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Réponse propre" sheetId="2" r:id="rId4"/>
    <sheet state="visible" name="FamillePersonnes" sheetId="3" r:id="rId5"/>
    <sheet state="visible" name="Famillesid" sheetId="4" r:id="rId6"/>
    <sheet state="visible" name="Personnesobjet" sheetId="5" r:id="rId7"/>
    <sheet state="visible" name="Placement amphi" sheetId="6" r:id="rId8"/>
    <sheet state="visible" name="Positionnement objet " sheetId="7" r:id="rId9"/>
    <sheet state="visible" name="Vérif" sheetId="8" r:id="rId10"/>
  </sheets>
  <definedNames/>
  <calcPr/>
</workbook>
</file>

<file path=xl/sharedStrings.xml><?xml version="1.0" encoding="utf-8"?>
<sst xmlns="http://schemas.openxmlformats.org/spreadsheetml/2006/main" count="5526" uniqueCount="1168">
  <si>
    <t>Horodateur</t>
  </si>
  <si>
    <t xml:space="preserve">Prénom NOM </t>
  </si>
  <si>
    <t>Que vois-tu sur cette photo ?</t>
  </si>
  <si>
    <t>Tu as listé ?</t>
  </si>
  <si>
    <t>Tu t'investis dans l'associatif ?</t>
  </si>
  <si>
    <t>Goûts musicaux ?</t>
  </si>
  <si>
    <t>Amateur d'art (artiste ou spectateur) ?</t>
  </si>
  <si>
    <t>Tu joues aux jeux vidéo ?</t>
  </si>
  <si>
    <t>Tu fais du sport ?</t>
  </si>
  <si>
    <t>Le sport c'est .....</t>
  </si>
  <si>
    <t>Quel sport (pratique ou amateur) ?</t>
  </si>
  <si>
    <t>Tu aimes te faire des bons petits plats et bien manger  ?</t>
  </si>
  <si>
    <t xml:space="preserve">Maintenant on passe aux choses sérieuses, tu bois ? </t>
  </si>
  <si>
    <t>Tu sors souvent ?</t>
  </si>
  <si>
    <t>En soirée ......</t>
  </si>
  <si>
    <t>Tu fumes des gros ter ?</t>
  </si>
  <si>
    <t>Chaud pour avoir un fillot ITII ?</t>
  </si>
  <si>
    <t>Es-tu un ITII ?</t>
  </si>
  <si>
    <t>Quel est le nom de ta famille de parrains ?</t>
  </si>
  <si>
    <t>Quel objet donneras-tu à ton fillot pour la soirée de parrainage ?</t>
  </si>
  <si>
    <t>Quelles cultures veux tu découvrir ?</t>
  </si>
  <si>
    <t>Quelles langues connaît tu déjà (même un peu) ?</t>
  </si>
  <si>
    <t>Familles :</t>
  </si>
  <si>
    <t>DPSU</t>
  </si>
  <si>
    <t>Le Bordel</t>
  </si>
  <si>
    <t>La Glotte</t>
  </si>
  <si>
    <t>Consulm3ow</t>
  </si>
  <si>
    <t xml:space="preserve">Le Zoo </t>
  </si>
  <si>
    <t>Beurre salé &amp; chocolatine</t>
  </si>
  <si>
    <t>Les domineurs</t>
  </si>
  <si>
    <t>La Comté</t>
  </si>
  <si>
    <t xml:space="preserve">La chevroll's </t>
  </si>
  <si>
    <t>La Tracharnasse</t>
  </si>
  <si>
    <t>Waltherock</t>
  </si>
  <si>
    <t>L'Influence</t>
  </si>
  <si>
    <t>COMA</t>
  </si>
  <si>
    <t>Mafia</t>
  </si>
  <si>
    <t>Summerfaigle</t>
  </si>
  <si>
    <t>Nuage</t>
  </si>
  <si>
    <t>PB</t>
  </si>
  <si>
    <t>Trident X ChaPau</t>
  </si>
  <si>
    <t>Galerie ++</t>
  </si>
  <si>
    <t>Le Corridor</t>
  </si>
  <si>
    <t xml:space="preserve">Dark Ludi et ses copines </t>
  </si>
  <si>
    <t>Dusex</t>
  </si>
  <si>
    <t>La Roulotte</t>
  </si>
  <si>
    <t>La dezingue</t>
  </si>
  <si>
    <t>Aquamif</t>
  </si>
  <si>
    <t>Les Mages</t>
  </si>
  <si>
    <t>Auberge-Monastère</t>
  </si>
  <si>
    <t>Pimp my Ride</t>
  </si>
  <si>
    <t>La 4 étoiles</t>
  </si>
  <si>
    <t>Le Donjon</t>
  </si>
  <si>
    <t>Malandros Team</t>
  </si>
  <si>
    <t>Barton</t>
  </si>
  <si>
    <t>La Crypte</t>
  </si>
  <si>
    <t>Jodyssée</t>
  </si>
  <si>
    <t>Les trutitas</t>
  </si>
  <si>
    <t>Les grosses cochonnes</t>
  </si>
  <si>
    <t xml:space="preserve">Sans-abri </t>
  </si>
  <si>
    <t>Le Panthéon</t>
  </si>
  <si>
    <t>la team corlay</t>
  </si>
  <si>
    <t>Les fortiches</t>
  </si>
  <si>
    <t>LePatio</t>
  </si>
  <si>
    <t>Les coulisses</t>
  </si>
  <si>
    <t>RACLETENTOUTAN</t>
  </si>
  <si>
    <t>La boisson</t>
  </si>
  <si>
    <t>Le squat</t>
  </si>
  <si>
    <t>Les topeurs</t>
  </si>
  <si>
    <t>azerty44</t>
  </si>
  <si>
    <t>Parainplégiques</t>
  </si>
  <si>
    <t>Le Kraal</t>
  </si>
  <si>
    <t>Discorde</t>
  </si>
  <si>
    <t>BBC</t>
  </si>
  <si>
    <t>EI3 mous cancer</t>
  </si>
  <si>
    <t>Badge</t>
  </si>
  <si>
    <t>l'Alliance</t>
  </si>
  <si>
    <t>Grande Famille</t>
  </si>
  <si>
    <t>La vigie</t>
  </si>
  <si>
    <t xml:space="preserve">Los Insoportables </t>
  </si>
  <si>
    <t>Les 6 salopards</t>
  </si>
  <si>
    <t>Les cyclistes</t>
  </si>
  <si>
    <t>Juaman’GI Reloaded</t>
  </si>
  <si>
    <t>Michel Qu</t>
  </si>
  <si>
    <t>L'homme le plus influent de France, leader charismatique récemment élu malgré son opposition passée avec certains membres du gouvernement, et Macron à ses côtés</t>
  </si>
  <si>
    <t>BDS</t>
  </si>
  <si>
    <t>Rock, Electro posée, Electro hard, Musique fançaise, Musique classique</t>
  </si>
  <si>
    <t>Musique</t>
  </si>
  <si>
    <t>Quelques fois par semaine</t>
  </si>
  <si>
    <t>Le dimanche à 15h32 s'il fait beau</t>
  </si>
  <si>
    <t>Pour le fun</t>
  </si>
  <si>
    <t>Sports de raquette</t>
  </si>
  <si>
    <t>J'aime cuisiner le WE ou quand j'ai le temps</t>
  </si>
  <si>
    <t>Plusieurs fois par semaine</t>
  </si>
  <si>
    <t>Objectif grosse défonce</t>
  </si>
  <si>
    <t>Non</t>
  </si>
  <si>
    <t>Du cidre</t>
  </si>
  <si>
    <t>Marie BOUTROUX</t>
  </si>
  <si>
    <t>BDE</t>
  </si>
  <si>
    <t>Rock, Electro posée, Pop, Musique fançaise</t>
  </si>
  <si>
    <t>Littérature, Musique, Cinéma</t>
  </si>
  <si>
    <t>Personnes :</t>
  </si>
  <si>
    <t>Seulement les soirs de pleine lune</t>
  </si>
  <si>
    <t>Sports collectifs</t>
  </si>
  <si>
    <t>Je fais toujours attention à bien manger</t>
  </si>
  <si>
    <t>Une fois par jour (voire plus)</t>
  </si>
  <si>
    <t>T'enflammes le dancefloor</t>
  </si>
  <si>
    <t>Aucune idée</t>
  </si>
  <si>
    <t>Kheira POUVREAU</t>
  </si>
  <si>
    <t>Rock, Pop, Musique fançaise</t>
  </si>
  <si>
    <t>Danse, Théâtre</t>
  </si>
  <si>
    <t>Une fois de temps en temps</t>
  </si>
  <si>
    <t>Pour la compet</t>
  </si>
  <si>
    <t>Sports collectifs, Autre</t>
  </si>
  <si>
    <t>Une fois par semaine</t>
  </si>
  <si>
    <t>Oui</t>
  </si>
  <si>
    <t>.</t>
  </si>
  <si>
    <t>Jean ROMAN</t>
  </si>
  <si>
    <t>Alexis Birée</t>
  </si>
  <si>
    <t>Electro posée, Electro hard, Pop, Autre</t>
  </si>
  <si>
    <t>Littérature, Cinéma</t>
  </si>
  <si>
    <t>Autre</t>
  </si>
  <si>
    <t>Oh oui, et les trucs bien gras ça me connait !</t>
  </si>
  <si>
    <t>Un cubi de sangria (vide, évidement, pas d'alcool dans Centrale)</t>
  </si>
  <si>
    <t>Pablo CARDONA ALVAREZ</t>
  </si>
  <si>
    <t>Rock, Pop</t>
  </si>
  <si>
    <t>Musique, Cinéma</t>
  </si>
  <si>
    <t>Pour le développement perso et se dépasser</t>
  </si>
  <si>
    <t>Enzo MORI</t>
  </si>
  <si>
    <t>Laura BOIS</t>
  </si>
  <si>
    <t>Une fois par mois</t>
  </si>
  <si>
    <t>Guillaume SALUDEN</t>
  </si>
  <si>
    <t>Louis Duhem</t>
  </si>
  <si>
    <t>Adrien COCHARD</t>
  </si>
  <si>
    <t>Tom Aubelle</t>
  </si>
  <si>
    <t>Julie Ugolini</t>
  </si>
  <si>
    <t>Surprise</t>
  </si>
  <si>
    <t>Constance Kooyman</t>
  </si>
  <si>
    <t>Mathieu KERMAREC</t>
  </si>
  <si>
    <t>Thomas Serratrice</t>
  </si>
  <si>
    <t>Jeanne SUDOUR</t>
  </si>
  <si>
    <t>Cédric DUSSERRE</t>
  </si>
  <si>
    <t>Agathe MADAULE</t>
  </si>
  <si>
    <t>Marie Cozzi</t>
  </si>
  <si>
    <t>Rock, Electro posée, Rap, Pop</t>
  </si>
  <si>
    <t>Charles-Eole MARICHAL</t>
  </si>
  <si>
    <t>Littérature, Danse</t>
  </si>
  <si>
    <t>Charlotte Fosse</t>
  </si>
  <si>
    <t>Marie VIOLLEAU</t>
  </si>
  <si>
    <t>Paul MARTEL</t>
  </si>
  <si>
    <t>Lisa SAVARIEAU</t>
  </si>
  <si>
    <t>Jules SINTES</t>
  </si>
  <si>
    <t>Alterner entre grec et coquillettes ça compte ?</t>
  </si>
  <si>
    <t>Ferreol GORIOUX</t>
  </si>
  <si>
    <t>Thomas SAEZ</t>
  </si>
  <si>
    <t>Thomas MEDORI</t>
  </si>
  <si>
    <t>Benjamin Martin</t>
  </si>
  <si>
    <t>Pauline AUBRY</t>
  </si>
  <si>
    <t>Sol VILLEGAS</t>
  </si>
  <si>
    <t>Alizée DIATCHENKO</t>
  </si>
  <si>
    <t>Je ne sais pas encore</t>
  </si>
  <si>
    <t>Nicolas GUYONNEAU</t>
  </si>
  <si>
    <t>Juan Felipe GÓMEZ ALFARO</t>
  </si>
  <si>
    <t>Alban VILLEDIEU</t>
  </si>
  <si>
    <t>Marius DUVILLARD</t>
  </si>
  <si>
    <t>Laura DRAUX</t>
  </si>
  <si>
    <t>Le président et un inconnu</t>
  </si>
  <si>
    <t>Juline CORNET-GOY</t>
  </si>
  <si>
    <t>Maxence PASCAL</t>
  </si>
  <si>
    <t>Léa SCETBUN</t>
  </si>
  <si>
    <t>Rap, Pop</t>
  </si>
  <si>
    <t>Solene LE FUR</t>
  </si>
  <si>
    <t>Pas du tout</t>
  </si>
  <si>
    <t>Pierre MAQUET</t>
  </si>
  <si>
    <t>simeo Potiron</t>
  </si>
  <si>
    <t>Grégoire Turzo</t>
  </si>
  <si>
    <t>Moens Diego</t>
  </si>
  <si>
    <t>Equitation, Autre</t>
  </si>
  <si>
    <t>Baptiste Marlet</t>
  </si>
  <si>
    <t>Je sais pas</t>
  </si>
  <si>
    <t>Célia CHABRANT</t>
  </si>
  <si>
    <t>Maximilien LESSAULT</t>
  </si>
  <si>
    <t>Pierre BOURREAU</t>
  </si>
  <si>
    <t>Rock, Rap, Pop, Musique fançaise</t>
  </si>
  <si>
    <t>Littérature, Danse, Musique, Cinéma</t>
  </si>
  <si>
    <t>Sports collectifs, Equitation, Escalade</t>
  </si>
  <si>
    <t>Charlotte BEAUNE</t>
  </si>
  <si>
    <t>Louis LEQUES</t>
  </si>
  <si>
    <t>Mathis CELCE</t>
  </si>
  <si>
    <t>Théo Hennion</t>
  </si>
  <si>
    <t>Cyriane BIENVENUE</t>
  </si>
  <si>
    <t>On verra</t>
  </si>
  <si>
    <t>Amine CHEKROUD</t>
  </si>
  <si>
    <t>Arthur LEMASSON</t>
  </si>
  <si>
    <t>Antoine DAROUX</t>
  </si>
  <si>
    <t>Eric Ali Mehenni</t>
  </si>
  <si>
    <t>Ruben MATONDZI</t>
  </si>
  <si>
    <t>TOMAZ AMORIM</t>
  </si>
  <si>
    <t>Rock, Electro posée, Pop</t>
  </si>
  <si>
    <t>Corentin GILBERT</t>
  </si>
  <si>
    <t>Sergio MORENO LÓPEZ</t>
  </si>
  <si>
    <t>Peinture, Musique, Cinéma</t>
  </si>
  <si>
    <t>Pierre Libault</t>
  </si>
  <si>
    <t>Romain SUCCHE</t>
  </si>
  <si>
    <t>Paul SAUBION</t>
  </si>
  <si>
    <t>Sports collectifs, Sports de raquette</t>
  </si>
  <si>
    <t>Tu te poses dans un coin, chill !!</t>
  </si>
  <si>
    <t>Écharpe ( Valencia C.F. )</t>
  </si>
  <si>
    <t>Electro posée, Electro hard, Rap, Pop, Musique fançaise</t>
  </si>
  <si>
    <t>Une fois par jour</t>
  </si>
  <si>
    <t>Sports collectifs, Sports de raquette, Sports aquatiques</t>
  </si>
  <si>
    <t>Maelig GABORIEAU</t>
  </si>
  <si>
    <t>Victor VINCENT DE LESTRADE</t>
  </si>
  <si>
    <t>Dimitri DEGONHIER</t>
  </si>
  <si>
    <t>Gonzalez JoseRi 😇</t>
  </si>
  <si>
    <t>Vincent PASCAT</t>
  </si>
  <si>
    <t xml:space="preserve">Une cuillère </t>
  </si>
  <si>
    <t>Pauline Viault</t>
  </si>
  <si>
    <t>Joanna MARTIN</t>
  </si>
  <si>
    <t>Marie POIRIER</t>
  </si>
  <si>
    <t>Damien GUYONVARCH</t>
  </si>
  <si>
    <t>Thomas LE JAN</t>
  </si>
  <si>
    <t>Apolline Gorry</t>
  </si>
  <si>
    <t>Grégory Perret</t>
  </si>
  <si>
    <t>Julien Douxami</t>
  </si>
  <si>
    <t>Deux inconnus</t>
  </si>
  <si>
    <t>Valentine KEMPF</t>
  </si>
  <si>
    <t>Justin Becker</t>
  </si>
  <si>
    <t>J'ui une grosse pute</t>
  </si>
  <si>
    <t>Aurélien DE LA HOUGUE</t>
  </si>
  <si>
    <t>Mathieu ZACH</t>
  </si>
  <si>
    <t>Rock, Pop, Musique fançaise, Jazz</t>
  </si>
  <si>
    <t>Pierre-Louis lombard</t>
  </si>
  <si>
    <t>Littérature, Danse, Musique, Théâtre</t>
  </si>
  <si>
    <t>Ludivine LUXEY</t>
  </si>
  <si>
    <t>Emeric Claudel</t>
  </si>
  <si>
    <t>Samuel RATOUIT</t>
  </si>
  <si>
    <t xml:space="preserve">Pompon de cheerleading ou souvenir du Népal </t>
  </si>
  <si>
    <t>Marius MENAULT</t>
  </si>
  <si>
    <t>Aurèle HAINAUT</t>
  </si>
  <si>
    <t>Alix BOSSU</t>
  </si>
  <si>
    <t>Flora SOUSSAND</t>
  </si>
  <si>
    <t>Mario ALVAREZ-CASTRILLON</t>
  </si>
  <si>
    <t>Chloé CANAVATE</t>
  </si>
  <si>
    <t>Sarah PETROCCHI</t>
  </si>
  <si>
    <t>Electro posée, Rap, Pop</t>
  </si>
  <si>
    <t>Alfonso COLON DE CARVAJAL</t>
  </si>
  <si>
    <t>Cinéma</t>
  </si>
  <si>
    <t>Pierre Go</t>
  </si>
  <si>
    <t>Maxime GRAS</t>
  </si>
  <si>
    <t>Lise GERMON</t>
  </si>
  <si>
    <t>Henrique MARTINEZ DE AZEVEDO</t>
  </si>
  <si>
    <t>Théo DELOBEL</t>
  </si>
  <si>
    <t>Eugénie cotte</t>
  </si>
  <si>
    <t>Céline FEREC</t>
  </si>
  <si>
    <t>Antoine TARDIVON</t>
  </si>
  <si>
    <t>Henri de Chanterac</t>
  </si>
  <si>
    <t>Felipe Altamirano</t>
  </si>
  <si>
    <t>Nicolas Meniconi</t>
  </si>
  <si>
    <t>Palme de la plus grosse PLS Nemo 2019</t>
  </si>
  <si>
    <t>Thomas oppmann</t>
  </si>
  <si>
    <t>Antoine SENELLART</t>
  </si>
  <si>
    <t>Mathis BARTHERE</t>
  </si>
  <si>
    <t>Electro posée, Electro hard, Rap, Musique fançaise</t>
  </si>
  <si>
    <t>Helena Delmotte</t>
  </si>
  <si>
    <t>Samir ZINA-RAGGOUA</t>
  </si>
  <si>
    <t>Maxime Roy</t>
  </si>
  <si>
    <t>Clément Wozniak</t>
  </si>
  <si>
    <t>Cyprien MARION</t>
  </si>
  <si>
    <t>Pm Guyot</t>
  </si>
  <si>
    <t>Vincent MESLIER</t>
  </si>
  <si>
    <t>Lucas SANCIET--MUNIER</t>
  </si>
  <si>
    <t>Planche caspor</t>
  </si>
  <si>
    <t>Thomas LE BOURHIS</t>
  </si>
  <si>
    <t>Manon DUBREIL</t>
  </si>
  <si>
    <t>Ananda VANDERWEGEN</t>
  </si>
  <si>
    <t>Alexandre Bryk</t>
  </si>
  <si>
    <t>Adán REYES REYES</t>
  </si>
  <si>
    <t>Andrew FONDJO</t>
  </si>
  <si>
    <t>Félix-Olivier Ngangue Nseke</t>
  </si>
  <si>
    <t>Nicolas ROGER</t>
  </si>
  <si>
    <t>Florian BARTOCCI</t>
  </si>
  <si>
    <t>Rap, Autre</t>
  </si>
  <si>
    <t>Peinture, Danse, Musique</t>
  </si>
  <si>
    <t>Le CONSULM3OW</t>
  </si>
  <si>
    <t>Manette de play/table caspor</t>
  </si>
  <si>
    <t>Electro posée</t>
  </si>
  <si>
    <t>Peinture, Littérature, Musique, Graphisme</t>
  </si>
  <si>
    <t>Sports de combat</t>
  </si>
  <si>
    <t>Carmen SORIA</t>
  </si>
  <si>
    <t xml:space="preserve">sifflet </t>
  </si>
  <si>
    <t>André D'ELBREIL</t>
  </si>
  <si>
    <t>Jeremy Garcia</t>
  </si>
  <si>
    <t>Lucas MIRANDE</t>
  </si>
  <si>
    <t>Laurine DECROS</t>
  </si>
  <si>
    <t>Alexandre VURLOD</t>
  </si>
  <si>
    <t>Marc de Ponnat</t>
  </si>
  <si>
    <t>Pop, Musique fançaise, Jazz</t>
  </si>
  <si>
    <t>Florent COLLOCH</t>
  </si>
  <si>
    <t>Peinture, Littérature, Sculpture, Danse, Musique, Théâtre, Cinéma, Graphisme, Autre</t>
  </si>
  <si>
    <t>Paul LENOIR</t>
  </si>
  <si>
    <t>Louis DA COSTA</t>
  </si>
  <si>
    <t>Paul CHAUVIN</t>
  </si>
  <si>
    <t>Baptiste Miossec</t>
  </si>
  <si>
    <t>Sports collectifs, Athlétisme, Sports aquatiques, Equitation</t>
  </si>
  <si>
    <t>Alessandro MASI</t>
  </si>
  <si>
    <t>Erwan Sauvage</t>
  </si>
  <si>
    <t xml:space="preserve">Drapeau </t>
  </si>
  <si>
    <t>Matthieu BARCET</t>
  </si>
  <si>
    <t>Iris PROUST</t>
  </si>
  <si>
    <t>Lucas Chaubier</t>
  </si>
  <si>
    <t>Rock, Electro posée, Electro hard, Pop</t>
  </si>
  <si>
    <t>Ariane BERGER</t>
  </si>
  <si>
    <t>Thomas AUZARD</t>
  </si>
  <si>
    <t>Martin Fauchille-Martin</t>
  </si>
  <si>
    <t>Léonce AUDIBERT</t>
  </si>
  <si>
    <t>Aurèle DALIBOT</t>
  </si>
  <si>
    <t>Oscar JACINTHO</t>
  </si>
  <si>
    <t>Claire TRINQUET</t>
  </si>
  <si>
    <t>Vincent Maillou</t>
  </si>
  <si>
    <t>Maena GALERON</t>
  </si>
  <si>
    <t>Constance PHILIPPE</t>
  </si>
  <si>
    <t>Luis FERNANDEZ</t>
  </si>
  <si>
    <t>Mitsi R.</t>
  </si>
  <si>
    <t>Audrey BOYENVAL</t>
  </si>
  <si>
    <t>Le Zoo</t>
  </si>
  <si>
    <t>Alizée AMSLER</t>
  </si>
  <si>
    <t>Un meme imprimé (nantral gag  rpz)</t>
  </si>
  <si>
    <t>José Ronzel</t>
  </si>
  <si>
    <t>Jérôme KAYSER</t>
  </si>
  <si>
    <t>Samuel BISMUT</t>
  </si>
  <si>
    <t>Léo HUREAU</t>
  </si>
  <si>
    <t>Adrien Simonet</t>
  </si>
  <si>
    <t>Elouan BARBEREAU</t>
  </si>
  <si>
    <t>Alison ALIAGA</t>
  </si>
  <si>
    <t>Rock, Electro posée, Rap, Pop, Jazz</t>
  </si>
  <si>
    <t>Pierre-Jean POLLOT</t>
  </si>
  <si>
    <t>Alexandre Ghannad</t>
  </si>
  <si>
    <t>Louis CLAUCE</t>
  </si>
  <si>
    <t>Anis KHEZNADJI</t>
  </si>
  <si>
    <t>Mikaël Farje</t>
  </si>
  <si>
    <t>Gauthier PEZZOLI</t>
  </si>
  <si>
    <t>Adam EL YOUMI</t>
  </si>
  <si>
    <t>Louis COGAN</t>
  </si>
  <si>
    <t>Richard ARNAUD</t>
  </si>
  <si>
    <t>Tom OVISTE</t>
  </si>
  <si>
    <t>Hugo GAYRARD</t>
  </si>
  <si>
    <t>Ramy SLIM</t>
  </si>
  <si>
    <t>Maëlenn COLSON</t>
  </si>
  <si>
    <t>Márcio Bruno DOS SANTOS CORREIA</t>
  </si>
  <si>
    <t>Thomas HERRBACH</t>
  </si>
  <si>
    <t>Jose Luís RIVERA BLANCO</t>
  </si>
  <si>
    <t>Laurène THILLIER</t>
  </si>
  <si>
    <t>Emmanuel COLLIGNAN</t>
  </si>
  <si>
    <t>Jean-Baptiste de BECO</t>
  </si>
  <si>
    <t>Quentin Peyle</t>
  </si>
  <si>
    <t>Maximin TOURAILLE</t>
  </si>
  <si>
    <t>Maxence FORT</t>
  </si>
  <si>
    <t>Mathilde Querné</t>
  </si>
  <si>
    <t>Suzanne COUTELOU</t>
  </si>
  <si>
    <t>Tony MARTINEAU</t>
  </si>
  <si>
    <t>Un bout de verre (la fontaine tmtc)</t>
  </si>
  <si>
    <t>Matthieu Brunot</t>
  </si>
  <si>
    <t>Rock, Rap, Pop, Musique fançaise, Jazz</t>
  </si>
  <si>
    <t>Adrien RIDOUARD</t>
  </si>
  <si>
    <t>Alexandre MERVILLE</t>
  </si>
  <si>
    <t>Antoine Dupuis</t>
  </si>
  <si>
    <t>Hugo Weiss</t>
  </si>
  <si>
    <t>Maxime Guldner</t>
  </si>
  <si>
    <t>Robin Tanquerel</t>
  </si>
  <si>
    <t>Rémy MAIGE</t>
  </si>
  <si>
    <t>Louis AUGEREAU</t>
  </si>
  <si>
    <t>Sébastien MARAIS</t>
  </si>
  <si>
    <t>Matthieu RETIERE</t>
  </si>
  <si>
    <t>Alice Mennesson</t>
  </si>
  <si>
    <t>Orson JAY</t>
  </si>
  <si>
    <t>Du houmous</t>
  </si>
  <si>
    <t>Nils Hornet</t>
  </si>
  <si>
    <t>Antoine Chillet</t>
  </si>
  <si>
    <t>Tommy GEHENIAU</t>
  </si>
  <si>
    <t>Victor BLANCART</t>
  </si>
  <si>
    <t>Marie-Jeanne PAUL</t>
  </si>
  <si>
    <t>Hugo SEMPÉ</t>
  </si>
  <si>
    <t>KONATE</t>
  </si>
  <si>
    <t>Electro posée, Pop, Musique fançaise</t>
  </si>
  <si>
    <t>Alexandre SEVENO</t>
  </si>
  <si>
    <t>Sports collectifs, Sports de combat</t>
  </si>
  <si>
    <t>Raúl VILLAFUERTE</t>
  </si>
  <si>
    <t>Marie COUPÉ</t>
  </si>
  <si>
    <t>Mathieu Rey-Herme</t>
  </si>
  <si>
    <t xml:space="preserve">costume de nain + lunettes </t>
  </si>
  <si>
    <t>Mai-Vi VU</t>
  </si>
  <si>
    <t>Exequiel</t>
  </si>
  <si>
    <t>Esteban LECOURT</t>
  </si>
  <si>
    <t>Antoine LETOFFET</t>
  </si>
  <si>
    <t>Awen BRUNEAU</t>
  </si>
  <si>
    <t>Timothée Corlay</t>
  </si>
  <si>
    <t>Jean Pichard</t>
  </si>
  <si>
    <t>Rock, Metal, Electro posée, Electro hard, Rap, Pop, Musique fançaise, Jazz, Musique classique, Kpop, Autre</t>
  </si>
  <si>
    <t>Argueta Tamayo Emanuel</t>
  </si>
  <si>
    <t>Christopher LESDALONS</t>
  </si>
  <si>
    <t>Allouache</t>
  </si>
  <si>
    <t>Noémie RABILLOUD</t>
  </si>
  <si>
    <t>Adrien Jamelot</t>
  </si>
  <si>
    <t>Valentin Pibernus</t>
  </si>
  <si>
    <t>Le Mintier Emmanuel</t>
  </si>
  <si>
    <t>Anaïs BOUCHET</t>
  </si>
  <si>
    <t>Sports collectifs, Sports de raquette, Athlétisme, Voile, Sports de rames, Sports aquatiques, Sports de combat, Equitation, Escalade, Autre</t>
  </si>
  <si>
    <t>Loïc</t>
  </si>
  <si>
    <t>Werner</t>
  </si>
  <si>
    <t>Fabien RAVET</t>
  </si>
  <si>
    <t>Yinzheng ZHOU</t>
  </si>
  <si>
    <t>Tanguy CABARET</t>
  </si>
  <si>
    <t>Jérôme VILLEROT</t>
  </si>
  <si>
    <t>Mouton</t>
  </si>
  <si>
    <t>Matthieu LAMIELLE</t>
  </si>
  <si>
    <t>Sports collectifs, Athlétisme, Sports de rames, Equitation</t>
  </si>
  <si>
    <t>Sébastien VILLA</t>
  </si>
  <si>
    <t>Clément DENIS</t>
  </si>
  <si>
    <t>Irène Le Borgne</t>
  </si>
  <si>
    <t xml:space="preserve">Beurre Salé &amp; Chocolatine  </t>
  </si>
  <si>
    <t>Hugo DOUX</t>
  </si>
  <si>
    <t>Puzzle</t>
  </si>
  <si>
    <t>Simon PUECH</t>
  </si>
  <si>
    <t>Julien Bomberault</t>
  </si>
  <si>
    <t>Audric BALSSA</t>
  </si>
  <si>
    <t>Gabriel Lucas</t>
  </si>
  <si>
    <t>Lucas Baraton</t>
  </si>
  <si>
    <t>Adele ONDARCUHU</t>
  </si>
  <si>
    <t>Rock, Electro posée, Electro hard, Rap, Autre</t>
  </si>
  <si>
    <t>Thibaut BERTHOMÉ</t>
  </si>
  <si>
    <t>Danse, Musique, Cinéma, Graphisme</t>
  </si>
  <si>
    <t>Vincent ESPINASSE</t>
  </si>
  <si>
    <t>Céline Balmes</t>
  </si>
  <si>
    <t>Gauthier Maillard</t>
  </si>
  <si>
    <t>Henri CHHOA</t>
  </si>
  <si>
    <t>Sports collectifs, Athlétisme, Sports de rames, Equitation, Autre</t>
  </si>
  <si>
    <t>Lilie BOIZUMAULT</t>
  </si>
  <si>
    <t>Marion JOUVIGNE</t>
  </si>
  <si>
    <t>Adrien BOUVIER</t>
  </si>
  <si>
    <t>Maxime PATRY</t>
  </si>
  <si>
    <t>Puzzle hyper stylé</t>
  </si>
  <si>
    <t>Geoffroy LECONTE</t>
  </si>
  <si>
    <t>Romane CARIOU</t>
  </si>
  <si>
    <t>Perrine JUILLET</t>
  </si>
  <si>
    <t>Marina THIEME PETERSEN</t>
  </si>
  <si>
    <t>Borget</t>
  </si>
  <si>
    <t>Romain THIMON</t>
  </si>
  <si>
    <t>Metal</t>
  </si>
  <si>
    <t>Mathurin Schneider</t>
  </si>
  <si>
    <t>Musique, Théâtre</t>
  </si>
  <si>
    <t>Tapias</t>
  </si>
  <si>
    <t>Amine BEDRANE</t>
  </si>
  <si>
    <t>Amine MEHMOUDEN</t>
  </si>
  <si>
    <t>Paniez</t>
  </si>
  <si>
    <t>Adrien HALLARD</t>
  </si>
  <si>
    <t>Pierre Veillard</t>
  </si>
  <si>
    <t>Selim Autones</t>
  </si>
  <si>
    <t>D120</t>
  </si>
  <si>
    <t>Sebastian CEPEDA</t>
  </si>
  <si>
    <t>Alexandre FOSSORIER</t>
  </si>
  <si>
    <t>Adrien BERSIER</t>
  </si>
  <si>
    <t xml:space="preserve">Pas encore trouvé </t>
  </si>
  <si>
    <t>Electro posée, Pop</t>
  </si>
  <si>
    <t>Littérature, Musique</t>
  </si>
  <si>
    <t>La Chevroll’s</t>
  </si>
  <si>
    <t>Un éléphant</t>
  </si>
  <si>
    <t>Sports collectifs, Sports aquatiques</t>
  </si>
  <si>
    <t>Lilian Dedecker</t>
  </si>
  <si>
    <t xml:space="preserve">La Comté </t>
  </si>
  <si>
    <t xml:space="preserve">Un tutu rose </t>
  </si>
  <si>
    <t>Nathan Gérard</t>
  </si>
  <si>
    <t>Julien LACOUR</t>
  </si>
  <si>
    <t>Quentin NIGRON</t>
  </si>
  <si>
    <t>Vire</t>
  </si>
  <si>
    <t>Judith LOUIS-ALEXANDRE</t>
  </si>
  <si>
    <t>Littérature, Danse, Musique, Théâtre, Cinéma, Graphisme</t>
  </si>
  <si>
    <t xml:space="preserve">Une partition de musique </t>
  </si>
  <si>
    <t>BDA, BDE</t>
  </si>
  <si>
    <t>Paul SIMON</t>
  </si>
  <si>
    <t>Maixent TIGNON</t>
  </si>
  <si>
    <t>Rock, Electro posée, Pop, Jazz, Musique classique</t>
  </si>
  <si>
    <t>Danse, Musique, Théâtre, Cinéma</t>
  </si>
  <si>
    <t>Valentin Antonio</t>
  </si>
  <si>
    <t>Bastien</t>
  </si>
  <si>
    <t>Sports collectifs, Voile, Sports de combat, Escalade, Autre</t>
  </si>
  <si>
    <t>Manon VLIEGHE</t>
  </si>
  <si>
    <t>Arthur</t>
  </si>
  <si>
    <t>Alexandre MERASLI</t>
  </si>
  <si>
    <t>Une salopette rayée bleue et blanche</t>
  </si>
  <si>
    <t>Aurélio Catel</t>
  </si>
  <si>
    <t>Miguel MORENO</t>
  </si>
  <si>
    <t>Rock, Electro posée, Electro hard, Rap, Pop, Musique fançaise, Jazz, Musique classique, Autre</t>
  </si>
  <si>
    <t>Peinture, Danse, Musique, Théâtre, Cinéma, Graphisme, Autre</t>
  </si>
  <si>
    <t>Aygalic JARA</t>
  </si>
  <si>
    <t>Sports collectifs, Sports de rames, Sports aquatiques, Autre</t>
  </si>
  <si>
    <t>Un bandana</t>
  </si>
  <si>
    <t>Maxime Canard</t>
  </si>
  <si>
    <t>Sports collectifs, Sports de raquette, Sports de combat</t>
  </si>
  <si>
    <t>Julián David HERNÁNDEZ TOVAR</t>
  </si>
  <si>
    <t>Yuna Landais</t>
  </si>
  <si>
    <t>La Chevroll's</t>
  </si>
  <si>
    <t>Ce choix n'est encore défini</t>
  </si>
  <si>
    <t>Electro hard, Rap</t>
  </si>
  <si>
    <t xml:space="preserve">La tracharnasse </t>
  </si>
  <si>
    <t xml:space="preserve">Sûrement une connerie </t>
  </si>
  <si>
    <t>BDE, BDS</t>
  </si>
  <si>
    <t>Un skate ou un trotinnette</t>
  </si>
  <si>
    <t>Pop, Musique fançaise, Musique classique</t>
  </si>
  <si>
    <t>Athlétisme</t>
  </si>
  <si>
    <t>pas encore d'idée</t>
  </si>
  <si>
    <t>Electro posée, Rap, Pop, Musique fançaise</t>
  </si>
  <si>
    <t>Sports collectifs, Sports de raquette, Athlétisme</t>
  </si>
  <si>
    <t xml:space="preserve">La Glotte </t>
  </si>
  <si>
    <t xml:space="preserve">Une casquette </t>
  </si>
  <si>
    <t>Rock, Metal, Musique fançaise</t>
  </si>
  <si>
    <t>Une table ou un micro</t>
  </si>
  <si>
    <t>Electro posée, Electro hard</t>
  </si>
  <si>
    <t xml:space="preserve">Les domineurs </t>
  </si>
  <si>
    <t>Un vinyle?</t>
  </si>
  <si>
    <t>un enfant, voire deux s'il est chauve</t>
  </si>
  <si>
    <t>troll</t>
  </si>
  <si>
    <t>BDA</t>
  </si>
  <si>
    <t>Rock, Metal, Electro posée, Electro hard, Rap, Jazz, Musique classique, Autre</t>
  </si>
  <si>
    <t>Pas de sport</t>
  </si>
  <si>
    <t>Une peluche de Scrat</t>
  </si>
  <si>
    <t>Rock, Electro posée, Rap, Pop, Musique fançaise, Autre</t>
  </si>
  <si>
    <t>Sports collectifs, Athlétisme, Escalade, Autre</t>
  </si>
  <si>
    <t>pâte à modeler</t>
  </si>
  <si>
    <t>Rock, Metal, Jazz, Musique classique, Autre</t>
  </si>
  <si>
    <t>Athlétisme, Equitation</t>
  </si>
  <si>
    <t xml:space="preserve">Walter le mouton (c'est une peluche) </t>
  </si>
  <si>
    <t>Pas de liste</t>
  </si>
  <si>
    <t>Rock, Electro posée, Pop, Autre</t>
  </si>
  <si>
    <t>Cadre avec une photo de Dwayne Johnson</t>
  </si>
  <si>
    <t>Bouteille de sable</t>
  </si>
  <si>
    <t>Rock, Metal, Electro posée, Electro hard</t>
  </si>
  <si>
    <t xml:space="preserve">Liasse de billets (home made) </t>
  </si>
  <si>
    <t>Electro posée, Electro hard, Rap, Musique classique</t>
  </si>
  <si>
    <t>Musique, Théâtre, Cinéma</t>
  </si>
  <si>
    <t>Sports collectifs, Athlétisme, Sports de rames</t>
  </si>
  <si>
    <t>Un drapeau du Brésil</t>
  </si>
  <si>
    <t>Electro posée, Jazz</t>
  </si>
  <si>
    <t>Harnais de kitesurf</t>
  </si>
  <si>
    <t>Rock, Electro posée, Musique fançaise</t>
  </si>
  <si>
    <t>Sports de raquette, Athlétisme, Sports aquatiques</t>
  </si>
  <si>
    <t xml:space="preserve">Bombe de lubrifiant moteur diesel </t>
  </si>
  <si>
    <t>Electro hard, Rap, Pop, Musique fançaise, Jazz</t>
  </si>
  <si>
    <t xml:space="preserve">Abdel Caspor Harrack si il est là </t>
  </si>
  <si>
    <t>Rap, Jazz</t>
  </si>
  <si>
    <t>Musique, Autre</t>
  </si>
  <si>
    <t>Un truc</t>
  </si>
  <si>
    <t>Electro posée, Electro hard, Autre</t>
  </si>
  <si>
    <t>Danse, Musique, Autre</t>
  </si>
  <si>
    <t>Pour les autres</t>
  </si>
  <si>
    <t>Equitation</t>
  </si>
  <si>
    <t>L’Influence</t>
  </si>
  <si>
    <t xml:space="preserve">Un cadeau </t>
  </si>
  <si>
    <t>Pas du tout, Peinture, Littérature, Sculpture, Danse, Musique, Théâtre, Cinéma, Graphisme, Autre</t>
  </si>
  <si>
    <t>Sports collectifs, Sports de rames, Sports de combat</t>
  </si>
  <si>
    <t xml:space="preserve">Un présent </t>
  </si>
  <si>
    <t>Electro posée, Electro hard, Jazz</t>
  </si>
  <si>
    <t>Pas du tout, Autre</t>
  </si>
  <si>
    <t>Sports collectifs, Sports de rames, Equitation</t>
  </si>
  <si>
    <t>NON</t>
  </si>
  <si>
    <t>Rock, Metal, Electro posée, Electro hard, Autre</t>
  </si>
  <si>
    <t>Total :</t>
  </si>
  <si>
    <t>Rap, Musique fançaise</t>
  </si>
  <si>
    <t xml:space="preserve">Casquette de Schumacher </t>
  </si>
  <si>
    <t>Je suis aigri et j'aime pas la musique, Rap</t>
  </si>
  <si>
    <t>A traiter :</t>
  </si>
  <si>
    <t>Foulard feria</t>
  </si>
  <si>
    <t>Danse, Musique</t>
  </si>
  <si>
    <t>Un cactus</t>
  </si>
  <si>
    <t>Je suis aigri et j'aime pas la musique</t>
  </si>
  <si>
    <t>Théâtre, Cinéma, Graphisme</t>
  </si>
  <si>
    <t>Pas de sport, Equitation</t>
  </si>
  <si>
    <t>PB-nuage</t>
  </si>
  <si>
    <t>Ma veste jaune</t>
  </si>
  <si>
    <t>Rock, Rap, Musique fançaise</t>
  </si>
  <si>
    <t>Sports aquatiques, Autre</t>
  </si>
  <si>
    <t>Une crosse de hockey</t>
  </si>
  <si>
    <t>Rap</t>
  </si>
  <si>
    <t>des lunettes fashion</t>
  </si>
  <si>
    <t>Rock, Electro hard, Rap, Pop, Jazz</t>
  </si>
  <si>
    <t>Danse, Cinéma</t>
  </si>
  <si>
    <t xml:space="preserve">COMA </t>
  </si>
  <si>
    <t>Une atelle</t>
  </si>
  <si>
    <t>Electro posée, Rap, Musique fançaise, Jazz</t>
  </si>
  <si>
    <t>Peinture, Musique</t>
  </si>
  <si>
    <t>Coma</t>
  </si>
  <si>
    <t>Un ski de qualité supérieure</t>
  </si>
  <si>
    <t>Rock, Metal, Electro hard, Rap, Musique fançaise</t>
  </si>
  <si>
    <t>Appareil photo</t>
  </si>
  <si>
    <t>Rock, Pop, Kpop</t>
  </si>
  <si>
    <t>Peinture, Musique, Théâtre, Cinéma</t>
  </si>
  <si>
    <t xml:space="preserve">Chapeau de farfadet </t>
  </si>
  <si>
    <t>Rock, Metal, Pop, Musique fançaise, Jazz, Musique classique, Autre</t>
  </si>
  <si>
    <t>Peinture, Sculpture, Danse, Musique, Théâtre, Cinéma, Graphisme</t>
  </si>
  <si>
    <t xml:space="preserve">Une sonette de vélo </t>
  </si>
  <si>
    <t>Sports de raquette, Autre</t>
  </si>
  <si>
    <t>Choix en cours</t>
  </si>
  <si>
    <t>Fait ?</t>
  </si>
  <si>
    <t>Sports aquatiques</t>
  </si>
  <si>
    <t>Nb de personnes :</t>
  </si>
  <si>
    <t>La comté</t>
  </si>
  <si>
    <t>Peluche Snoopy</t>
  </si>
  <si>
    <t>Rock, Rap, Pop, Jazz</t>
  </si>
  <si>
    <t>Un kway orange</t>
  </si>
  <si>
    <t>Littérature, Sculpture, Danse, Cinéma</t>
  </si>
  <si>
    <t>Voile, Autre</t>
  </si>
  <si>
    <t xml:space="preserve">Trident x ChaPau </t>
  </si>
  <si>
    <t>Une spirale hypnotisante</t>
  </si>
  <si>
    <t>Famille non valide :</t>
  </si>
  <si>
    <t>Sports collectifs, Sports de raquette, Voile, Escalade, Autre</t>
  </si>
  <si>
    <t>Trident x ChaPau</t>
  </si>
  <si>
    <t>Un bout de voile</t>
  </si>
  <si>
    <t>Rap, Pop, Musique fançaise, Jazz, Musique classique, Autre</t>
  </si>
  <si>
    <t>gallerie++</t>
  </si>
  <si>
    <t xml:space="preserve">Une béquille </t>
  </si>
  <si>
    <t>Rock, Electro posée, Rap, Pop, Musique fançaise, Jazz, Musique classique, Autre</t>
  </si>
  <si>
    <t>Musique, Cinéma, Autre</t>
  </si>
  <si>
    <t>Sports collectifs, Sports de combat, Autre</t>
  </si>
  <si>
    <t>galerie ++</t>
  </si>
  <si>
    <t xml:space="preserve">Poster sympathique </t>
  </si>
  <si>
    <t>Sports collectifs, Sports de rames</t>
  </si>
  <si>
    <t>cannelés</t>
  </si>
  <si>
    <t>Rock, Electro posée, Musique fançaise, Musique classique</t>
  </si>
  <si>
    <t>Sports collectifs, Voile, Sports de combat</t>
  </si>
  <si>
    <t>Trident x ChaPo</t>
  </si>
  <si>
    <t>Un truc stylé</t>
  </si>
  <si>
    <t>x</t>
  </si>
  <si>
    <t>Rock, Electro posée, Pop, Musique fançaise, Jazz, Musique classique</t>
  </si>
  <si>
    <t>Peinture, Musique, Autre</t>
  </si>
  <si>
    <t>Cape Winterf'aigle</t>
  </si>
  <si>
    <t>Rock, Metal, Electro posée, Pop</t>
  </si>
  <si>
    <t>Nb de familles :</t>
  </si>
  <si>
    <t>De l'amour</t>
  </si>
  <si>
    <t>Musique fançaise</t>
  </si>
  <si>
    <t>Sports collectifs, Sports de raquette, Voile, Autre</t>
  </si>
  <si>
    <t xml:space="preserve">Mafia </t>
  </si>
  <si>
    <t xml:space="preserve">je sais pas encore </t>
  </si>
  <si>
    <t>Rap, Musique fançaise, Jazz</t>
  </si>
  <si>
    <t xml:space="preserve">Déguisement </t>
  </si>
  <si>
    <t>Je suis aigri et j'aime pas la musique, Musique fançaise</t>
  </si>
  <si>
    <t xml:space="preserve">Mon bob Charlie </t>
  </si>
  <si>
    <t>Rock, Metal, Musique fançaise, Musique classique</t>
  </si>
  <si>
    <t>🎈</t>
  </si>
  <si>
    <t>Rap, Pop, Musique fançaise</t>
  </si>
  <si>
    <t>Un truc quali</t>
  </si>
  <si>
    <t>Electro posée, Rap, Musique fançaise</t>
  </si>
  <si>
    <t>Sports collectifs, Equitation</t>
  </si>
  <si>
    <t>Ski</t>
  </si>
  <si>
    <t>Nombre de personnes en famille :</t>
  </si>
  <si>
    <t>Littérature, Sculpture, Danse, Graphisme</t>
  </si>
  <si>
    <t>Raffin</t>
  </si>
  <si>
    <t>Rock, Rap, Jazz, Musique classique, Kpop, Autre</t>
  </si>
  <si>
    <t>Peinture, Littérature, Danse, Musique</t>
  </si>
  <si>
    <t>Sports de raquette, Equitation</t>
  </si>
  <si>
    <t xml:space="preserve">Une voiture </t>
  </si>
  <si>
    <t>Ski bas</t>
  </si>
  <si>
    <t>Electro posée, Rap</t>
  </si>
  <si>
    <t>Bonsaï</t>
  </si>
  <si>
    <t>Electro posée, Pop, Musique fançaise, Autre</t>
  </si>
  <si>
    <t>Sports de raquette, Athlétisme, Sports de rames</t>
  </si>
  <si>
    <t xml:space="preserve">Summerf’aigle </t>
  </si>
  <si>
    <t xml:space="preserve">Médaille de semi marathon </t>
  </si>
  <si>
    <t xml:space="preserve">Un maillot de rugby </t>
  </si>
  <si>
    <t>Sports de raquette, Athlétisme</t>
  </si>
  <si>
    <t>Une roue de velo</t>
  </si>
  <si>
    <t xml:space="preserve">La dézingue </t>
  </si>
  <si>
    <t>une truelle avec du platre</t>
  </si>
  <si>
    <t>Musique, Cinéma, Graphisme</t>
  </si>
  <si>
    <t>Une chaise de bureau en bien bel état</t>
  </si>
  <si>
    <t>La glotte</t>
  </si>
  <si>
    <t xml:space="preserve">Une bêche </t>
  </si>
  <si>
    <t>Electro posée, Electro hard, Rap</t>
  </si>
  <si>
    <t xml:space="preserve">Boîte de glaçons </t>
  </si>
  <si>
    <t>Electro posée, Rap, Pop, Musique fançaise, Jazz</t>
  </si>
  <si>
    <t xml:space="preserve">Un Chapelet </t>
  </si>
  <si>
    <t>BDS, Pas de liste</t>
  </si>
  <si>
    <t>Le petit Némo</t>
  </si>
  <si>
    <t>Electro posée, Rap, Pop, Musique fançaise, Musique classique</t>
  </si>
  <si>
    <t xml:space="preserve">Une tongue </t>
  </si>
  <si>
    <t>Nombre de familles non valide :</t>
  </si>
  <si>
    <t>Electro hard, Rap, Pop, Musique fançaise</t>
  </si>
  <si>
    <t>Aquamiff</t>
  </si>
  <si>
    <t>Aquarium</t>
  </si>
  <si>
    <t>Rock, Electro posée, Electro hard</t>
  </si>
  <si>
    <t>Sports de raquette, Escalade</t>
  </si>
  <si>
    <t xml:space="preserve">Aquamif </t>
  </si>
  <si>
    <t xml:space="preserve">Un flacon de poppy </t>
  </si>
  <si>
    <t>Un chibros</t>
  </si>
  <si>
    <t>Rock, Electro posée, Rap, Pop, Musique fançaise, Jazz, Musique classique</t>
  </si>
  <si>
    <t>Sports collectifs, Athlétisme</t>
  </si>
  <si>
    <t xml:space="preserve">Une fiole </t>
  </si>
  <si>
    <t>Rock, Metal</t>
  </si>
  <si>
    <t>PB/Nuage</t>
  </si>
  <si>
    <t>"1001 manières de cuisiner les légumes anciens : le guide complet revisité, édition 1967 avec supplément poireux et navets inclus pour le même prix"</t>
  </si>
  <si>
    <t>Moyenne de personne par famille :</t>
  </si>
  <si>
    <t>Pas de sport, Sports de raquette</t>
  </si>
  <si>
    <t>PB-Nuage</t>
  </si>
  <si>
    <t xml:space="preserve">Du JDR et de l'alcool </t>
  </si>
  <si>
    <t>Littérature, Musique, Cinéma, Graphisme</t>
  </si>
  <si>
    <t>Pas de sport, Athlétisme</t>
  </si>
  <si>
    <t>Ma couronne</t>
  </si>
  <si>
    <t>Mon maillot de volley</t>
  </si>
  <si>
    <t>Sports de rames</t>
  </si>
  <si>
    <t>Un calendrier Clara Morgane</t>
  </si>
  <si>
    <t>Rock, Pop, Musique fançaise, Musique classique, Autre</t>
  </si>
  <si>
    <t>Peinture, Littérature, Sculpture, Danse, Théâtre, Cinéma</t>
  </si>
  <si>
    <t>ECNiouzes sur l'enfance</t>
  </si>
  <si>
    <t>Sports collectifs, Sports de raquette, Sports de combat, Autre</t>
  </si>
  <si>
    <t>Summerf'aigle</t>
  </si>
  <si>
    <t xml:space="preserve">album l'entourage </t>
  </si>
  <si>
    <t>Une étoile</t>
  </si>
  <si>
    <t>Une maquette d'archi lol</t>
  </si>
  <si>
    <t>Rock, Rap, Kpop</t>
  </si>
  <si>
    <t>Un domino</t>
  </si>
  <si>
    <t>Pimp my ride</t>
  </si>
  <si>
    <t>JAMONN</t>
  </si>
  <si>
    <t>Rock, Jazz</t>
  </si>
  <si>
    <t>Guitare</t>
  </si>
  <si>
    <t>Rock, Metal, Electro posée, Electro hard, Pop, Musique fançaise, Jazz, Musique classique, Kpop</t>
  </si>
  <si>
    <t>Peinture, Littérature, Danse, Musique, Théâtre, Cinéma</t>
  </si>
  <si>
    <t>Sports aquatiques, Escalade</t>
  </si>
  <si>
    <t>Auberge/Monastere</t>
  </si>
  <si>
    <t>Electro posée, Electro hard, Rap, Pop, Jazz</t>
  </si>
  <si>
    <t>Musique, Graphisme</t>
  </si>
  <si>
    <t>Sports de rames, Autre</t>
  </si>
  <si>
    <t>Un aviron (la rame)</t>
  </si>
  <si>
    <t>Je suis aigri et j'aime pas la musique, Rock, Metal, Electro posée, Rap, Pop, Musique fançaise, Jazz, Musique classique, Kpop</t>
  </si>
  <si>
    <t>Escalade</t>
  </si>
  <si>
    <t>Le parchemin magique du Sorcier</t>
  </si>
  <si>
    <t>Electro posée, Electro hard, Pop, Musique fançaise, Jazz, Musique classique</t>
  </si>
  <si>
    <t>une kro vide</t>
  </si>
  <si>
    <t>Rock, Metal, Electro posée, Electro hard, Rap, Jazz, Musique classique</t>
  </si>
  <si>
    <t>De la sorcière</t>
  </si>
  <si>
    <t>Rap, Pop, Musique classique, Kpop</t>
  </si>
  <si>
    <t>Sports collectifs, Sports de raquette, Equitation</t>
  </si>
  <si>
    <t>Pshit pshit</t>
  </si>
  <si>
    <t>Rock, Jazz, Kpop</t>
  </si>
  <si>
    <t>Peinture, Littérature, Musique, Théâtre, Cinéma</t>
  </si>
  <si>
    <t>Athlétisme, Sports aquatiques</t>
  </si>
  <si>
    <t>Electro hard, Rap, Jazz</t>
  </si>
  <si>
    <t>Sports collectifs, Sports de rames, Sports de combat, Autre</t>
  </si>
  <si>
    <t>Vêtements</t>
  </si>
  <si>
    <t>Rock, Metal, Electro posée, Rap, Pop, Kpop, Autre</t>
  </si>
  <si>
    <t>Peinture, Littérature, Danse, Musique, Cinéma</t>
  </si>
  <si>
    <t>Sports de combat, Equitation</t>
  </si>
  <si>
    <t>Une carte de salon de tatouage</t>
  </si>
  <si>
    <t>Rock, Metal, Musique classique, Autre</t>
  </si>
  <si>
    <t>Peinture, Littérature, Danse, Musique, Théâtre, Graphisme</t>
  </si>
  <si>
    <t>Sports de combat, Autre</t>
  </si>
  <si>
    <t>Pygama</t>
  </si>
  <si>
    <t>Peinture, Sculpture, Cinéma</t>
  </si>
  <si>
    <t>Jsp wsh</t>
  </si>
  <si>
    <t>Peinture, Danse, Musique, Théâtre, Cinéma</t>
  </si>
  <si>
    <t>une fi'sel</t>
  </si>
  <si>
    <t>Rock, Metal, Electro posée, Rap, Pop, Musique classique</t>
  </si>
  <si>
    <t>Sports collectifs, Sports de raquette, Sports de rames</t>
  </si>
  <si>
    <t>Une machine à barbe a papa</t>
  </si>
  <si>
    <t>Rock, Electro posée, Rap, Pop, Musique fançaise</t>
  </si>
  <si>
    <t>El sombrero</t>
  </si>
  <si>
    <t>Peinture, Littérature, Cinéma</t>
  </si>
  <si>
    <t>une balle de hand</t>
  </si>
  <si>
    <t>Don’t know yet</t>
  </si>
  <si>
    <t>Livre Odyssée</t>
  </si>
  <si>
    <t xml:space="preserve">Jeu de wii </t>
  </si>
  <si>
    <t>Pas de sport, Sports collectifs</t>
  </si>
  <si>
    <t xml:space="preserve">Une genouillère </t>
  </si>
  <si>
    <t>Equitation, Escalade</t>
  </si>
  <si>
    <t>Jodyssee</t>
  </si>
  <si>
    <t>Mon diplome de bac littéraire</t>
  </si>
  <si>
    <t>Manette de console</t>
  </si>
  <si>
    <t>DarkLudi et ses copines</t>
  </si>
  <si>
    <t>Tomates cerises</t>
  </si>
  <si>
    <t>Pop</t>
  </si>
  <si>
    <t xml:space="preserve">DarkLudi et ses copines </t>
  </si>
  <si>
    <t xml:space="preserve">Drapeau rugby </t>
  </si>
  <si>
    <t>Rock, Electro posée, Rap, Jazz, Autre</t>
  </si>
  <si>
    <t>une fausse canne a peche, peut-etre</t>
  </si>
  <si>
    <t>Pop, Musique fançaise</t>
  </si>
  <si>
    <t>Une bougie</t>
  </si>
  <si>
    <t>Littérature, Théâtre, Cinéma</t>
  </si>
  <si>
    <t>Une planche de snow</t>
  </si>
  <si>
    <t>les trutitas</t>
  </si>
  <si>
    <t>Feo le chat</t>
  </si>
  <si>
    <t>Musique classique</t>
  </si>
  <si>
    <t>Tu viens pas</t>
  </si>
  <si>
    <t>Une flute</t>
  </si>
  <si>
    <t>Un porte clé</t>
  </si>
  <si>
    <t>Littérature, Musique, Théâtre, Cinéma</t>
  </si>
  <si>
    <t>Les Grosses Cochonnes</t>
  </si>
  <si>
    <t>Le fleurs du mal/pin's Brio/autrechoselol</t>
  </si>
  <si>
    <t>Rock, Musique fançaise, Musique classique</t>
  </si>
  <si>
    <t>Peinture, Littérature, Théâtre</t>
  </si>
  <si>
    <t>Les Fleurs du mal/Un pins FA/autre chose lol</t>
  </si>
  <si>
    <t>Rock, Metal, Musique classique</t>
  </si>
  <si>
    <t>Jamais</t>
  </si>
  <si>
    <t>Un sweat SKT</t>
  </si>
  <si>
    <t>Peinture, Sculpture, Graphisme</t>
  </si>
  <si>
    <t>Voile, Escalade</t>
  </si>
  <si>
    <t xml:space="preserve">Malandros </t>
  </si>
  <si>
    <t>Chaussons escalade</t>
  </si>
  <si>
    <t>Voile, Sports aquatiques</t>
  </si>
  <si>
    <t>Je sais pas encore</t>
  </si>
  <si>
    <t>Electro posée, Pop, Musique fançaise, Jazz</t>
  </si>
  <si>
    <t>Sports de raquette, Voile, Sports de rames, Sports aquatiques, Sports de combat</t>
  </si>
  <si>
    <t>sans-abri</t>
  </si>
  <si>
    <t>Des oreilles de cochon</t>
  </si>
  <si>
    <t>Rock, Electro posée, Electro hard, Rap, Pop, Musique fançaise, Jazz</t>
  </si>
  <si>
    <t>Sans abris</t>
  </si>
  <si>
    <t xml:space="preserve">Chapeau Ricard </t>
  </si>
  <si>
    <t>Rock, Electro hard, Rap, Musique fançaise, Jazz, Musique classique</t>
  </si>
  <si>
    <t>Peinture, Littérature, Musique, Cinéma</t>
  </si>
  <si>
    <t>Les mages</t>
  </si>
  <si>
    <t>Une gourde</t>
  </si>
  <si>
    <t>Rock, Electro posée, Rap, Jazz</t>
  </si>
  <si>
    <t>Sports de raquette, Escalade, Autre</t>
  </si>
  <si>
    <t>L'aquamif</t>
  </si>
  <si>
    <t>Aurèle</t>
  </si>
  <si>
    <t>Rock, Electro posée, Rap, Pop, Musique fançaise, Musique classique</t>
  </si>
  <si>
    <t>Peinture, Littérature, Sculpture, Musique, Théâtre, Cinéma</t>
  </si>
  <si>
    <t>Objet relatif aux vieilles charrues</t>
  </si>
  <si>
    <t>no se</t>
  </si>
  <si>
    <t>Rock, Rap, Musique classique</t>
  </si>
  <si>
    <t>Une partition</t>
  </si>
  <si>
    <t>Rock, Rap, Pop</t>
  </si>
  <si>
    <t>une feuille d'admission aux urgences ;)</t>
  </si>
  <si>
    <t>Athlétisme, Sports de combat, Escalade, Autre</t>
  </si>
  <si>
    <t>Sachet de meth/chapeau/silp/bouteille de Mr Propre/Truc de théâtre</t>
  </si>
  <si>
    <t>Rap, Pop, Musique fançaise, Jazz, Musique classique</t>
  </si>
  <si>
    <t>Un trophée</t>
  </si>
  <si>
    <t xml:space="preserve">Le 4 étoiles </t>
  </si>
  <si>
    <t>Une bouteille de jagger</t>
  </si>
  <si>
    <t>La team Corlay</t>
  </si>
  <si>
    <t>No se</t>
  </si>
  <si>
    <t xml:space="preserve">La team corlay </t>
  </si>
  <si>
    <t>Rien</t>
  </si>
  <si>
    <t xml:space="preserve">La 4 étoiles </t>
  </si>
  <si>
    <t xml:space="preserve">Une étoile </t>
  </si>
  <si>
    <t>Rock, Metal, Electro posée, Electro hard, Rap, Pop, Musique fançaise, Jazz, Musique classique, Autre</t>
  </si>
  <si>
    <t>Musique, Théâtre, Cinéma, Graphisme, Autre</t>
  </si>
  <si>
    <t>Sports collectifs, Athlétisme, Sports aquatiques, Autre</t>
  </si>
  <si>
    <t>sans abri</t>
  </si>
  <si>
    <t>je sais pas encore</t>
  </si>
  <si>
    <t>Rock, Electro posée, Electro hard, Rap, Pop, Musique fançaise</t>
  </si>
  <si>
    <t>Lunette de toilettes</t>
  </si>
  <si>
    <t>Théâtre</t>
  </si>
  <si>
    <t>les fortiches</t>
  </si>
  <si>
    <t>un pochon de houblon</t>
  </si>
  <si>
    <t>papier</t>
  </si>
  <si>
    <t>Littérature, Danse, Théâtre, Cinéma</t>
  </si>
  <si>
    <t>Sports collectifs, Athlétisme, Sports de combat</t>
  </si>
  <si>
    <t xml:space="preserve">Grande feuille à rouler </t>
  </si>
  <si>
    <t>Metal, Musique classique, Autre</t>
  </si>
  <si>
    <t>Danse</t>
  </si>
  <si>
    <t>Athlétisme, Sports de combat</t>
  </si>
  <si>
    <t>Une bouteille de pisco vide</t>
  </si>
  <si>
    <t>Electro hard, Autre</t>
  </si>
  <si>
    <t>Pas du tout, Danse</t>
  </si>
  <si>
    <t xml:space="preserve">LePatio </t>
  </si>
  <si>
    <t xml:space="preserve">Mon nounou </t>
  </si>
  <si>
    <t>Danse, Théâtre, Cinéma</t>
  </si>
  <si>
    <t>Sports collectifs, Athlétisme, Voile</t>
  </si>
  <si>
    <t xml:space="preserve">Valentina (Salsa Picante) </t>
  </si>
  <si>
    <t>Rock, Musique classique</t>
  </si>
  <si>
    <t>schoko bons</t>
  </si>
  <si>
    <t>Rock, Jazz, Musique classique</t>
  </si>
  <si>
    <t>La Famille du Baisodrome</t>
  </si>
  <si>
    <t>Mon peignoir</t>
  </si>
  <si>
    <t xml:space="preserve">La Crypte </t>
  </si>
  <si>
    <t>Veston du gouverneur (comu)</t>
  </si>
  <si>
    <t xml:space="preserve">Une banane vert </t>
  </si>
  <si>
    <t>Rock, Metal, Musique classique, Kpop</t>
  </si>
  <si>
    <t>Une valise de matèriel à dessin</t>
  </si>
  <si>
    <t>Rock, Metal, Electro hard, Musique fançaise, Jazz, Musique classique</t>
  </si>
  <si>
    <t>Sports aquatiques, Sports de combat</t>
  </si>
  <si>
    <t xml:space="preserve">Conseills académiques et pour bien s'amuser pendant ses études dans la façon Latinoaméricaine </t>
  </si>
  <si>
    <t>Littérature, Musique, Théâtre</t>
  </si>
  <si>
    <t>Le set de dés du JDR</t>
  </si>
  <si>
    <t xml:space="preserve">Pimp my ride </t>
  </si>
  <si>
    <t>Un arrêt de bus</t>
  </si>
  <si>
    <t>Electro posée, Pop, Autre</t>
  </si>
  <si>
    <t>Peinture, Littérature, Musique, Théâtre</t>
  </si>
  <si>
    <t xml:space="preserve">Les coulisses </t>
  </si>
  <si>
    <t>Noeud pap</t>
  </si>
  <si>
    <t>32 ecocups et deux balles de ping pong</t>
  </si>
  <si>
    <t>Rock, Metal, Electro posée, Electro hard, Rap, Pop, Jazz, Musique classique, Kpop</t>
  </si>
  <si>
    <t>Peinture, Musique, Graphisme</t>
  </si>
  <si>
    <t>Sports collectifs, Escalade</t>
  </si>
  <si>
    <t xml:space="preserve">Une manette GameCube </t>
  </si>
  <si>
    <t>Metal, Musique fançaise, Musique classique</t>
  </si>
  <si>
    <t>Peinture, Musique, Théâtre, Autre</t>
  </si>
  <si>
    <t>Rock, Metal, Electro posée, Pop, Musique fançaise, Jazz</t>
  </si>
  <si>
    <t>Metal, Electro posée, Rap, Musique fançaise, Jazz, Musique classique, Kpop</t>
  </si>
  <si>
    <t>Sais pas encore</t>
  </si>
  <si>
    <t>Je suis aigri et j'aime pas la musique, Electro posée, Autre</t>
  </si>
  <si>
    <t>Littérature, Musique, Théâtre, Autre</t>
  </si>
  <si>
    <t>Pas de sport, Sports de combat, Autre</t>
  </si>
  <si>
    <t>La Salière d'Or</t>
  </si>
  <si>
    <t>Rock, Metal, Pop</t>
  </si>
  <si>
    <t>PB - Nuage</t>
  </si>
  <si>
    <t>Porte clé</t>
  </si>
  <si>
    <t>Danse, Musique, Théâtre, Graphisme, Autre</t>
  </si>
  <si>
    <t>Un noeud papillon</t>
  </si>
  <si>
    <t>Rock, Metal, Electro posée, Pop, Musique classique</t>
  </si>
  <si>
    <t>Bastion</t>
  </si>
  <si>
    <t>Une balle de ping pong</t>
  </si>
  <si>
    <t>Le Squat</t>
  </si>
  <si>
    <t>Mon attelle de genou flingué</t>
  </si>
  <si>
    <t>Une affiche de la COMU</t>
  </si>
  <si>
    <t>Pas de sport, Sports aquatiques</t>
  </si>
  <si>
    <t>Un kebab</t>
  </si>
  <si>
    <t>Electro posée, Electro hard, Pop, Jazz</t>
  </si>
  <si>
    <t>Peinture</t>
  </si>
  <si>
    <t>Sports collectifs, Voile</t>
  </si>
  <si>
    <t>Une girafe en plastique</t>
  </si>
  <si>
    <t>Electro posée, Jazz, Musique classique</t>
  </si>
  <si>
    <t>Bart'on</t>
  </si>
  <si>
    <t>Pas encore décidé</t>
  </si>
  <si>
    <t>Rock, Rap</t>
  </si>
  <si>
    <t>La Boisson</t>
  </si>
  <si>
    <t>Du vin</t>
  </si>
  <si>
    <t>Un Khalot</t>
  </si>
  <si>
    <t>Rock, Electro posée, Rap, Autre</t>
  </si>
  <si>
    <t>Les Topeurs</t>
  </si>
  <si>
    <t>un oinj</t>
  </si>
  <si>
    <t>Rock, Metal, Electro posée, Jazz, Musique classique</t>
  </si>
  <si>
    <t>Peinture, Sculpture, Musique</t>
  </si>
  <si>
    <t xml:space="preserve">La Boisson </t>
  </si>
  <si>
    <t>un coupe cigare</t>
  </si>
  <si>
    <t>Topeurs</t>
  </si>
  <si>
    <t>Je ne sais pas</t>
  </si>
  <si>
    <t xml:space="preserve">Un maillot de foot </t>
  </si>
  <si>
    <t xml:space="preserve">Des ailes d’ange </t>
  </si>
  <si>
    <t>Un ras du cou (collier)</t>
  </si>
  <si>
    <t xml:space="preserve">Pas choisi encore </t>
  </si>
  <si>
    <t>Peinture, Sculpture, Théâtre, Cinéma</t>
  </si>
  <si>
    <t>Ta mère</t>
  </si>
  <si>
    <t>Rock, Metal, Electro posée, Jazz, Autre</t>
  </si>
  <si>
    <t>jsais ap</t>
  </si>
  <si>
    <t>Rock, Metal, Electro hard</t>
  </si>
  <si>
    <t>Théâtre, Cinéma</t>
  </si>
  <si>
    <t>Un rubix cube ou bien un lien vers ma chaîne YT</t>
  </si>
  <si>
    <t>Rock, Electro posée, Rap, Pop, Musique fançaise, Jazz, Kpop, Autre</t>
  </si>
  <si>
    <t>Peinture, Danse, Musique, Théâtre, Cinéma, Graphisme</t>
  </si>
  <si>
    <t>Sports de raquette, Athlétisme, Sports de combat, Escalade, Autre</t>
  </si>
  <si>
    <t>Un truc de boxe ou un truc de switch</t>
  </si>
  <si>
    <t>Les parainplegiques</t>
  </si>
  <si>
    <t>Oreiller</t>
  </si>
  <si>
    <t>Voile</t>
  </si>
  <si>
    <t>Des gants de voile</t>
  </si>
  <si>
    <t>Rock, Electro posée, Electro hard, Rap, Pop</t>
  </si>
  <si>
    <t>Peinture, Sculpture, Danse, Musique, Théâtre, Cinéma, Graphisme, Autre</t>
  </si>
  <si>
    <t>Sports collectifs, Sports de raquette, Sports de rames, Sports aquatiques, Escalade, Autre</t>
  </si>
  <si>
    <t>La dezing</t>
  </si>
  <si>
    <t>Des chaussettes</t>
  </si>
  <si>
    <t>Rap, Pop, Musique classique</t>
  </si>
  <si>
    <t>Rock, Pop, Musique fançaise, Musique classique</t>
  </si>
  <si>
    <t>Kraal</t>
  </si>
  <si>
    <t>Un démanilleur</t>
  </si>
  <si>
    <t>Je suis aigri et j'aime pas la musique, Rock, Metal, Electro posée, Electro hard, Rap, Pop, Musique fançaise, Jazz, Musique classique, Kpop, Autre</t>
  </si>
  <si>
    <t>Pas de sport, Sports collectifs, Sports de raquette, Athlétisme, Voile, Sports de rames, Sports aquatiques, Sports de combat, Equitation, Escalade, Autre</t>
  </si>
  <si>
    <t>Un chips</t>
  </si>
  <si>
    <t>Peinture, Littérature, Sculpture, Danse, Musique, Théâtre, Cinéma</t>
  </si>
  <si>
    <t>Sports collectifs, Sports de raquette, Voile, Sports aquatiques, Sports de combat, Equitation, Escalade</t>
  </si>
  <si>
    <t>Une maximator</t>
  </si>
  <si>
    <t>Beaucoup d'amour</t>
  </si>
  <si>
    <t>Rock, Electro posée, Rap, Pop, Musique fançaise, Jazz</t>
  </si>
  <si>
    <t xml:space="preserve">La Dezing </t>
  </si>
  <si>
    <t xml:space="preserve">Désolé je sais pas du tout mon bon Adrien la mif et Lucas  la mif </t>
  </si>
  <si>
    <t>Rock, Metal, Electro hard, Rap, Pop, Musique fançaise, Jazz, Musique classique, Kpop</t>
  </si>
  <si>
    <t>Athlétisme, Equitation, Autre</t>
  </si>
  <si>
    <t>Un masque de merde</t>
  </si>
  <si>
    <t xml:space="preserve">Balle de ping avec le logo d'Enactus </t>
  </si>
  <si>
    <t>Electro posée, Musique fançaise, Musique classique</t>
  </si>
  <si>
    <t>Athlétisme, Voile</t>
  </si>
  <si>
    <t>Un gant de voile solitaire cherchant sa moitié au fond de la baie de Pornic (merci Cyriane)</t>
  </si>
  <si>
    <t>Rock, Metal, Electro posée, Electro hard, Pop, Musique fançaise, Jazz, Musique classique, Autre</t>
  </si>
  <si>
    <t>Famille Discorde</t>
  </si>
  <si>
    <t>J'improserai</t>
  </si>
  <si>
    <t>Manivelle de Winch</t>
  </si>
  <si>
    <t>La dézing</t>
  </si>
  <si>
    <t xml:space="preserve">Pochtard avec du gazon dedans </t>
  </si>
  <si>
    <t>le squat</t>
  </si>
  <si>
    <t>Sports de raquette, Voile</t>
  </si>
  <si>
    <t>Une brosse à dents</t>
  </si>
  <si>
    <t>Rock, Electro posée, Rap, Pop, Musique classique</t>
  </si>
  <si>
    <t>Une carte</t>
  </si>
  <si>
    <t>Rock, Metal, Electro posée, Pop, Jazz</t>
  </si>
  <si>
    <t>Littérature, Danse, Musique</t>
  </si>
  <si>
    <t xml:space="preserve">Famille Discorde </t>
  </si>
  <si>
    <t xml:space="preserve">Un serre-tête médusé </t>
  </si>
  <si>
    <t>Littérature</t>
  </si>
  <si>
    <t>EI3 Mous'cancers</t>
  </si>
  <si>
    <t>Un planning du BDE des Fox</t>
  </si>
  <si>
    <t>Electro posée, Electro hard, Rap, Musique fançaise, Autre</t>
  </si>
  <si>
    <t>Les ei3-Mous'cancers</t>
  </si>
  <si>
    <t>Un saucisson de Savoie</t>
  </si>
  <si>
    <t>Un paquet de cartes</t>
  </si>
  <si>
    <t>Rock, Electro posée, Rap, Musique fançaise, Jazz, Musique classique, Autre</t>
  </si>
  <si>
    <t xml:space="preserve">Ei3 mous cancer </t>
  </si>
  <si>
    <t>Un déguisement</t>
  </si>
  <si>
    <t>Toute ma bienveillance</t>
  </si>
  <si>
    <t>Rock, Electro posée, Pop, Musique fançaise, Jazz</t>
  </si>
  <si>
    <t>Peinture, Littérature, Sculpture, Musique, Cinéma</t>
  </si>
  <si>
    <t>Un poney</t>
  </si>
  <si>
    <t xml:space="preserve">L'alliance </t>
  </si>
  <si>
    <t xml:space="preserve">Un oreiller </t>
  </si>
  <si>
    <t>Rock, Electro posée, Electro hard, Pop, Musique fançaise, Jazz, Musique classique</t>
  </si>
  <si>
    <t>Peinture, Littérature, Sculpture, Danse, Musique, Cinéma, Graphisme</t>
  </si>
  <si>
    <t>ADUNNO</t>
  </si>
  <si>
    <t>Des paillettes &lt;3</t>
  </si>
  <si>
    <t>Musique, Théâtre, Cinéma, Graphisme</t>
  </si>
  <si>
    <t>Sports collectifs, Sports de raquette, Autre</t>
  </si>
  <si>
    <t>pb-nauge</t>
  </si>
  <si>
    <t>¯\_(ツ)_/¯</t>
  </si>
  <si>
    <t>BDA, BDS</t>
  </si>
  <si>
    <t>Rock, Jazz, Musique classique, Autre</t>
  </si>
  <si>
    <t>Musique, Cinéma, Graphisme, Autre</t>
  </si>
  <si>
    <t>Une tasse de café</t>
  </si>
  <si>
    <t>Rock, Rap, Pop, Musique fançaise, Jazz, Musique classique</t>
  </si>
  <si>
    <t>Les Ei3 Mous'cancer</t>
  </si>
  <si>
    <t>Metal, Electro posée, Electro hard, Rap, Jazz, Musique classique</t>
  </si>
  <si>
    <t>boite a musique / partition</t>
  </si>
  <si>
    <t>Sports collectifs, Sports de raquette, Sports aquatiques, Sports de combat</t>
  </si>
  <si>
    <t xml:space="preserve">Acune idée encore </t>
  </si>
  <si>
    <t>Rock, Autre</t>
  </si>
  <si>
    <t xml:space="preserve">Je sais pas encore </t>
  </si>
  <si>
    <t xml:space="preserve">Je sais pas </t>
  </si>
  <si>
    <t>Jazz, Autre</t>
  </si>
  <si>
    <t>Los Insoportables</t>
  </si>
  <si>
    <t>Sais pas trop, des bières?</t>
  </si>
  <si>
    <t>Cinéma, Autre</t>
  </si>
  <si>
    <t xml:space="preserve">La Vigie </t>
  </si>
  <si>
    <t>Peinture, Littérature, Musique, Cinéma, Autre</t>
  </si>
  <si>
    <t>los Insoportables</t>
  </si>
  <si>
    <t xml:space="preserve">un bout de papier </t>
  </si>
  <si>
    <t>Rock, Electro posée, Pop, Musique fançaise, Musique classique, Autre</t>
  </si>
  <si>
    <t>Danse, Musique, Cinéma</t>
  </si>
  <si>
    <t>Los insoportables</t>
  </si>
  <si>
    <t>"molinillo" colombien, truc pour mélanger le cacao colombien :)</t>
  </si>
  <si>
    <t>Rock, Pop, Jazz, Musique classique, Autre</t>
  </si>
  <si>
    <t xml:space="preserve">Grande famille </t>
  </si>
  <si>
    <t xml:space="preserve">T shirt </t>
  </si>
  <si>
    <t>Rock</t>
  </si>
  <si>
    <t>Sports collectifs, Sports de rames, Escalade</t>
  </si>
  <si>
    <t>un aviron</t>
  </si>
  <si>
    <t>Peinture, Cinéma, Graphisme</t>
  </si>
  <si>
    <t xml:space="preserve">En réflexion </t>
  </si>
  <si>
    <t>Rock, Electro posée, Electro hard, Rap, Pop, Musique fançaise, Musique classique</t>
  </si>
  <si>
    <t>Peinture, Littérature, Sculpture, Musique, Théâtre, Cinéma, Graphisme</t>
  </si>
  <si>
    <t>Les parrainplégiques</t>
  </si>
  <si>
    <t>un cornichon</t>
  </si>
  <si>
    <t>Littérature, Sculpture, Théâtre, Cinéma, Graphisme</t>
  </si>
  <si>
    <t>un masque de lapin</t>
  </si>
  <si>
    <t>maillot de foot</t>
  </si>
  <si>
    <t>oreilles de cochon</t>
  </si>
  <si>
    <t>Rock, Metal, Electro posée, Electro hard, Rap, Pop, Musique fançaise, Jazz, Musique classique</t>
  </si>
  <si>
    <t>Peinture, Danse, Musique, Cinéma</t>
  </si>
  <si>
    <t>Voile, Sports de combat, Autre</t>
  </si>
  <si>
    <t xml:space="preserve">Une piece de bagnole mais je sais pas encore quoi </t>
  </si>
  <si>
    <t>Rock, Metal, Pop, Musique fançaise, Jazz, Musique classique</t>
  </si>
  <si>
    <t>Littérature, Danse, Musique, Théâtre, Cinéma</t>
  </si>
  <si>
    <t>Sports collectifs, Sports de rames, Sports aquatiques, Escalade</t>
  </si>
  <si>
    <t xml:space="preserve">une corde de harpe </t>
  </si>
  <si>
    <t xml:space="preserve">Les cyclistes </t>
  </si>
  <si>
    <t xml:space="preserve">Lunettes cassées </t>
  </si>
  <si>
    <t>Electro posée, Rap, Musique classique</t>
  </si>
  <si>
    <t>Sports de raquette, Sports de rames</t>
  </si>
  <si>
    <t xml:space="preserve">Une gamelle de chat </t>
  </si>
  <si>
    <t>les cyclistes</t>
  </si>
  <si>
    <t>Ballon?</t>
  </si>
  <si>
    <t>Rock, Electro posée, Rap, Pop, Musique fançaise, Jazz, Musique classique, Kpop, Autre</t>
  </si>
  <si>
    <t>Peinture, Littérature, Danse, Musique, Théâtre, Cinéma, Autre</t>
  </si>
  <si>
    <t>Sports collectifs, Sports de raquette, Athlétisme, Voile, Sports de rames</t>
  </si>
  <si>
    <t>Un billet</t>
  </si>
  <si>
    <t>Electro posée, Electro hard, Musique fançaise, Jazz</t>
  </si>
  <si>
    <t>Sports aquatiques, Equitation</t>
  </si>
  <si>
    <t>Un cochon</t>
  </si>
  <si>
    <t>Rock, Pop, Musique fançaise, Autre</t>
  </si>
  <si>
    <t>Littérature, Sculpture, Danse, Graphisme, Autre</t>
  </si>
  <si>
    <t>Malandros team</t>
  </si>
  <si>
    <t>Tequila</t>
  </si>
  <si>
    <t>Rock, Metal, Electro posée, Pop, Musique fançaise, Jazz, Musique classique</t>
  </si>
  <si>
    <t>Sports collectifs, Sports de raquette, Athlétisme, Sports aquatiques</t>
  </si>
  <si>
    <t>Une porte</t>
  </si>
  <si>
    <t>Juman'GI Reloaded</t>
  </si>
  <si>
    <t>Album de Gims</t>
  </si>
  <si>
    <t>Bouteille de picon</t>
  </si>
  <si>
    <t>Rock, Metal, Electro posée, Musique classique, Autre</t>
  </si>
  <si>
    <t>Escalade, Autre</t>
  </si>
  <si>
    <t>Une corde</t>
  </si>
  <si>
    <t>Juman'GI reloaded</t>
  </si>
  <si>
    <t xml:space="preserve">Un diadème </t>
  </si>
  <si>
    <t xml:space="preserve">Une ecocup </t>
  </si>
  <si>
    <t>Je suis aigri et j'aime pas la musique, Rock, Metal, Electro hard, Musique fançaise, Musique classique</t>
  </si>
  <si>
    <t>La Vigie</t>
  </si>
  <si>
    <t>Une bouture de romarin</t>
  </si>
  <si>
    <t>Rock, Pop, Jazz</t>
  </si>
  <si>
    <t>Grande famille</t>
  </si>
  <si>
    <t>Livre</t>
  </si>
  <si>
    <t>pimp my ride</t>
  </si>
  <si>
    <t xml:space="preserve">Un poids pour barre olympique </t>
  </si>
  <si>
    <t>Une photo de Gaël Monfils</t>
  </si>
  <si>
    <t>Pas encore choisi</t>
  </si>
  <si>
    <t>Electro hard</t>
  </si>
  <si>
    <t>Raquette cassée</t>
  </si>
  <si>
    <t>Electro posée, Electro hard, Pop</t>
  </si>
  <si>
    <t>Sports collectifs, Escalade, Autre</t>
  </si>
  <si>
    <t xml:space="preserve">Parainplegiques </t>
  </si>
  <si>
    <t xml:space="preserve">Surprise </t>
  </si>
  <si>
    <t>La dézingue</t>
  </si>
  <si>
    <t>Pique de brochette</t>
  </si>
  <si>
    <t>Ce choix n'est pas définitif</t>
  </si>
  <si>
    <t>Sports de raquette, Sports de combat</t>
  </si>
  <si>
    <t xml:space="preserve">Le donjon </t>
  </si>
  <si>
    <t>Un gant de moto</t>
  </si>
  <si>
    <t>Peinture, Sculpture, Musique, Théâtre</t>
  </si>
  <si>
    <t>Un chien mélange entre Trump et Thanos imprimé en 3d</t>
  </si>
  <si>
    <t>Rock, Metal, Electro posée, Rap, Pop, Jazz</t>
  </si>
  <si>
    <t>Sports collectifs, Sports aquatiques, Autre</t>
  </si>
  <si>
    <t>L'Alliance</t>
  </si>
  <si>
    <t>Pull sporla</t>
  </si>
  <si>
    <t>Rap, Pop, Musique fançaise, Musique classique</t>
  </si>
  <si>
    <t>Sports collectifs, Voile, Sports aquatiques, Autre</t>
  </si>
  <si>
    <t>Aspero</t>
  </si>
  <si>
    <t>Une banane</t>
  </si>
  <si>
    <t>Un truc en rapport avec les graffitis, une bombe ou un truc du genre !</t>
  </si>
  <si>
    <t>Peinture, Littérature, Musique</t>
  </si>
  <si>
    <t>Une bouteille de monbazillac</t>
  </si>
  <si>
    <t xml:space="preserve">Mystère </t>
  </si>
  <si>
    <t>Rock, Electro posée, Electro hard, Musique classique</t>
  </si>
  <si>
    <t>Littérature, Danse, Musique, Cinéma, Graphisme</t>
  </si>
  <si>
    <t xml:space="preserve">un cheveu de Poitou :o </t>
  </si>
  <si>
    <t>Rock, Electro posée, Rap</t>
  </si>
  <si>
    <t>Sculpture, Théâtre, Cinéma</t>
  </si>
  <si>
    <t xml:space="preserve">Parrainplégique </t>
  </si>
  <si>
    <t>Une table</t>
  </si>
  <si>
    <t>Peinture, Littérature</t>
  </si>
  <si>
    <t>?</t>
  </si>
  <si>
    <t>Sports collectifs, Sports de raquette, Voile</t>
  </si>
  <si>
    <t>Team corlay</t>
  </si>
  <si>
    <t>Raquette de squash</t>
  </si>
  <si>
    <t xml:space="preserve">Médaille </t>
  </si>
  <si>
    <t>Peinture, Littérature, Danse, Théâtre, Cinéma</t>
  </si>
  <si>
    <t xml:space="preserve">Drapeau breton </t>
  </si>
  <si>
    <t>ID :</t>
  </si>
  <si>
    <t>Nombres personnes :</t>
  </si>
  <si>
    <t>X</t>
  </si>
  <si>
    <t>Place :</t>
  </si>
  <si>
    <t>ID</t>
  </si>
  <si>
    <t>Récupéré ?</t>
  </si>
  <si>
    <t>Personne</t>
  </si>
  <si>
    <t>Objet à encore récupérer</t>
  </si>
  <si>
    <t>canape</t>
  </si>
  <si>
    <t>carton 1</t>
  </si>
  <si>
    <t>sur les canapés</t>
  </si>
  <si>
    <t>CNT armoire 2</t>
  </si>
  <si>
    <t>CNT-CNC</t>
  </si>
  <si>
    <t>Carton 1</t>
  </si>
  <si>
    <t>Ballon</t>
  </si>
  <si>
    <t>Audrey Boyenval</t>
  </si>
  <si>
    <t>big picture livre</t>
  </si>
  <si>
    <t>minskin</t>
  </si>
  <si>
    <t>sous bureau bde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</si>
</sst>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/>
    <font>
      <color rgb="FFFFFFFF"/>
    </font>
    <font>
      <sz val="11.0"/>
      <color rgb="FF000000"/>
      <name val="Arial"/>
    </font>
    <font>
      <sz val="11.0"/>
      <color rgb="FFF7981D"/>
      <name val="Inconsolata"/>
    </font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5" fillId="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2" fillId="0" fontId="1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Border="1" applyFont="1"/>
    <xf borderId="18" fillId="0" fontId="1" numFmtId="0" xfId="0" applyBorder="1" applyFont="1"/>
    <xf borderId="1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9" fillId="2" fontId="3" numFmtId="0" xfId="0" applyAlignment="1" applyBorder="1" applyFill="1" applyFont="1">
      <alignment readingOrder="0"/>
    </xf>
    <xf borderId="7" fillId="2" fontId="3" numFmtId="0" xfId="0" applyAlignment="1" applyBorder="1" applyFont="1">
      <alignment readingOrder="0"/>
    </xf>
    <xf borderId="10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16" fillId="3" fontId="1" numFmtId="0" xfId="0" applyAlignment="1" applyBorder="1" applyFill="1" applyFont="1">
      <alignment horizontal="left" readingOrder="0" vertical="center"/>
    </xf>
    <xf borderId="16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21" fillId="3" fontId="1" numFmtId="0" xfId="0" applyAlignment="1" applyBorder="1" applyFont="1">
      <alignment horizontal="center" readingOrder="0" vertical="center"/>
    </xf>
    <xf borderId="19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20" fillId="3" fontId="1" numFmtId="0" xfId="0" applyAlignment="1" applyBorder="1" applyFont="1">
      <alignment horizontal="center" vertical="center"/>
    </xf>
    <xf borderId="22" fillId="3" fontId="1" numFmtId="0" xfId="0" applyAlignment="1" applyBorder="1" applyFont="1">
      <alignment horizontal="center" vertical="center"/>
    </xf>
    <xf borderId="0" fillId="2" fontId="4" numFmtId="0" xfId="0" applyFont="1"/>
    <xf borderId="0" fillId="0" fontId="1" numFmtId="164" xfId="0" applyFont="1" applyNumberFormat="1"/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6" fillId="0" fontId="1" numFmtId="0" xfId="0" applyBorder="1" applyFont="1"/>
    <xf borderId="27" fillId="0" fontId="1" numFmtId="0" xfId="0" applyAlignment="1" applyBorder="1" applyFont="1">
      <alignment readingOrder="0"/>
    </xf>
    <xf borderId="13" fillId="0" fontId="1" numFmtId="0" xfId="0" applyBorder="1" applyFont="1"/>
    <xf borderId="14" fillId="0" fontId="1" numFmtId="0" xfId="0" applyBorder="1" applyFont="1"/>
    <xf borderId="28" fillId="0" fontId="1" numFmtId="0" xfId="0" applyBorder="1" applyFont="1"/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29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30" fillId="3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31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2" fontId="5" numFmtId="0" xfId="0" applyFont="1"/>
    <xf borderId="2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 readingOrder="0" vertical="bottom"/>
    </xf>
    <xf borderId="0" fillId="2" fontId="6" numFmtId="0" xfId="0" applyAlignment="1" applyFont="1">
      <alignment vertical="bottom"/>
    </xf>
    <xf borderId="4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29" fillId="2" fontId="6" numFmtId="0" xfId="0" applyAlignment="1" applyBorder="1" applyFont="1">
      <alignment vertical="bottom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29" fillId="2" fontId="6" numFmtId="0" xfId="0" applyAlignment="1" applyBorder="1" applyFont="1">
      <alignment readingOrder="0" vertical="bottom"/>
    </xf>
    <xf borderId="0" fillId="2" fontId="6" numFmtId="0" xfId="0" applyAlignment="1" applyFont="1">
      <alignment readingOrder="0" vertical="bottom"/>
    </xf>
    <xf borderId="22" fillId="0" fontId="1" numFmtId="0" xfId="0" applyAlignment="1" applyBorder="1" applyFont="1">
      <alignment horizontal="center"/>
    </xf>
    <xf borderId="29" fillId="2" fontId="6" numFmtId="0" xfId="0" applyAlignment="1" applyBorder="1" applyFont="1">
      <alignment vertical="bottom"/>
    </xf>
    <xf borderId="29" fillId="4" fontId="6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37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12" fillId="2" fontId="6" numFmtId="0" xfId="0" applyAlignment="1" applyBorder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25.57"/>
    <col customWidth="1" min="7" max="28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>
        <v>43626.6363156713</v>
      </c>
      <c r="B19" s="1" t="s">
        <v>83</v>
      </c>
      <c r="C19" s="1" t="s">
        <v>84</v>
      </c>
      <c r="D19" s="1" t="s">
        <v>85</v>
      </c>
      <c r="E19" s="1">
        <v>2.0</v>
      </c>
      <c r="F19" s="1" t="s">
        <v>86</v>
      </c>
      <c r="G19" s="1" t="s">
        <v>87</v>
      </c>
      <c r="H19" s="1" t="s">
        <v>88</v>
      </c>
      <c r="I19" s="1" t="s">
        <v>89</v>
      </c>
      <c r="J19" s="1" t="s">
        <v>90</v>
      </c>
      <c r="K19" s="1" t="s">
        <v>91</v>
      </c>
      <c r="L19" s="1" t="s">
        <v>92</v>
      </c>
      <c r="M19" s="1">
        <v>8.0</v>
      </c>
      <c r="N19" s="1" t="s">
        <v>93</v>
      </c>
      <c r="O19" s="1" t="s">
        <v>94</v>
      </c>
      <c r="P19" s="1">
        <v>4.0</v>
      </c>
      <c r="Q19" s="1" t="s">
        <v>95</v>
      </c>
      <c r="R19" s="1" t="s">
        <v>95</v>
      </c>
      <c r="S19" s="1" t="s">
        <v>23</v>
      </c>
      <c r="T19" s="1" t="s">
        <v>96</v>
      </c>
    </row>
    <row r="20">
      <c r="A20" s="2">
        <v>43626.6365815162</v>
      </c>
      <c r="B20" s="1" t="s">
        <v>97</v>
      </c>
      <c r="C20" s="1" t="s">
        <v>84</v>
      </c>
      <c r="D20" s="1" t="s">
        <v>98</v>
      </c>
      <c r="E20" s="1">
        <v>4.0</v>
      </c>
      <c r="F20" s="1" t="s">
        <v>99</v>
      </c>
      <c r="G20" s="1" t="s">
        <v>100</v>
      </c>
      <c r="H20" s="1" t="s">
        <v>102</v>
      </c>
      <c r="I20" s="1" t="s">
        <v>93</v>
      </c>
      <c r="J20" s="1" t="s">
        <v>90</v>
      </c>
      <c r="K20" s="1" t="s">
        <v>103</v>
      </c>
      <c r="L20" s="1" t="s">
        <v>104</v>
      </c>
      <c r="M20" s="1">
        <v>10.0</v>
      </c>
      <c r="N20" s="1" t="s">
        <v>105</v>
      </c>
      <c r="O20" s="1" t="s">
        <v>106</v>
      </c>
      <c r="P20" s="1">
        <v>1.0</v>
      </c>
      <c r="Q20" s="1" t="s">
        <v>95</v>
      </c>
      <c r="R20" s="1" t="s">
        <v>95</v>
      </c>
      <c r="S20" s="1" t="s">
        <v>23</v>
      </c>
      <c r="T20" s="1" t="s">
        <v>107</v>
      </c>
    </row>
    <row r="21">
      <c r="A21" s="2">
        <v>43626.63840519676</v>
      </c>
      <c r="B21" s="1" t="s">
        <v>108</v>
      </c>
      <c r="C21" s="1" t="s">
        <v>84</v>
      </c>
      <c r="D21" s="1" t="s">
        <v>98</v>
      </c>
      <c r="E21" s="1">
        <v>4.0</v>
      </c>
      <c r="F21" s="1" t="s">
        <v>109</v>
      </c>
      <c r="G21" s="1" t="s">
        <v>110</v>
      </c>
      <c r="H21" s="1" t="s">
        <v>111</v>
      </c>
      <c r="I21" s="1" t="s">
        <v>93</v>
      </c>
      <c r="J21" s="1" t="s">
        <v>112</v>
      </c>
      <c r="K21" s="1" t="s">
        <v>113</v>
      </c>
      <c r="L21" s="1" t="s">
        <v>104</v>
      </c>
      <c r="M21" s="1">
        <v>6.0</v>
      </c>
      <c r="N21" s="1" t="s">
        <v>114</v>
      </c>
      <c r="O21" s="1" t="s">
        <v>106</v>
      </c>
      <c r="P21" s="1">
        <v>1.0</v>
      </c>
      <c r="Q21" s="1" t="s">
        <v>115</v>
      </c>
      <c r="R21" s="1" t="s">
        <v>95</v>
      </c>
      <c r="S21" s="1" t="s">
        <v>23</v>
      </c>
      <c r="T21" s="1" t="s">
        <v>116</v>
      </c>
    </row>
    <row r="22">
      <c r="A22" s="2">
        <v>43626.65830123842</v>
      </c>
      <c r="B22" s="1" t="s">
        <v>117</v>
      </c>
      <c r="C22" s="1" t="s">
        <v>84</v>
      </c>
      <c r="D22" s="1" t="s">
        <v>85</v>
      </c>
      <c r="E22" s="1">
        <v>4.0</v>
      </c>
      <c r="F22" s="1" t="s">
        <v>119</v>
      </c>
      <c r="G22" s="1" t="s">
        <v>120</v>
      </c>
      <c r="H22" s="1" t="s">
        <v>88</v>
      </c>
      <c r="I22" s="1" t="s">
        <v>93</v>
      </c>
      <c r="J22" s="1" t="s">
        <v>90</v>
      </c>
      <c r="K22" s="1" t="s">
        <v>121</v>
      </c>
      <c r="L22" s="1" t="s">
        <v>122</v>
      </c>
      <c r="M22" s="1">
        <v>10.0</v>
      </c>
      <c r="N22" s="1" t="s">
        <v>105</v>
      </c>
      <c r="O22" s="1" t="s">
        <v>94</v>
      </c>
      <c r="P22" s="1">
        <v>2.0</v>
      </c>
      <c r="Q22" s="1" t="s">
        <v>115</v>
      </c>
      <c r="R22" s="1" t="s">
        <v>95</v>
      </c>
      <c r="S22" s="1" t="s">
        <v>23</v>
      </c>
      <c r="T22" s="1" t="s">
        <v>123</v>
      </c>
    </row>
    <row r="23">
      <c r="A23" s="2">
        <v>43626.6942934375</v>
      </c>
      <c r="B23" s="1" t="s">
        <v>118</v>
      </c>
      <c r="C23" s="1" t="s">
        <v>84</v>
      </c>
      <c r="D23" s="1" t="s">
        <v>85</v>
      </c>
      <c r="E23" s="1">
        <v>2.0</v>
      </c>
      <c r="F23" s="1" t="s">
        <v>125</v>
      </c>
      <c r="G23" s="1" t="s">
        <v>126</v>
      </c>
      <c r="H23" s="1" t="s">
        <v>102</v>
      </c>
      <c r="I23" s="1" t="s">
        <v>93</v>
      </c>
      <c r="J23" s="1" t="s">
        <v>127</v>
      </c>
      <c r="K23" s="1" t="s">
        <v>113</v>
      </c>
      <c r="L23" s="1" t="s">
        <v>104</v>
      </c>
      <c r="M23" s="1">
        <v>5.0</v>
      </c>
      <c r="N23" s="1" t="s">
        <v>130</v>
      </c>
      <c r="O23" s="1" t="s">
        <v>94</v>
      </c>
      <c r="P23" s="1">
        <v>1.0</v>
      </c>
      <c r="Q23" s="1" t="s">
        <v>115</v>
      </c>
      <c r="R23" s="1" t="s">
        <v>95</v>
      </c>
      <c r="S23" s="1" t="s">
        <v>24</v>
      </c>
      <c r="T23" s="1" t="s">
        <v>136</v>
      </c>
    </row>
    <row r="24">
      <c r="A24" s="2">
        <v>43626.72473332176</v>
      </c>
      <c r="B24" s="1" t="s">
        <v>140</v>
      </c>
      <c r="C24" s="1" t="s">
        <v>84</v>
      </c>
      <c r="D24" s="1" t="s">
        <v>85</v>
      </c>
      <c r="E24" s="1">
        <v>4.0</v>
      </c>
      <c r="F24" s="1" t="s">
        <v>144</v>
      </c>
      <c r="G24" s="1" t="s">
        <v>146</v>
      </c>
      <c r="H24" s="1" t="s">
        <v>102</v>
      </c>
      <c r="I24" s="1" t="s">
        <v>114</v>
      </c>
      <c r="J24" s="1" t="s">
        <v>127</v>
      </c>
      <c r="K24" s="1" t="s">
        <v>121</v>
      </c>
      <c r="L24" s="1" t="s">
        <v>152</v>
      </c>
      <c r="M24" s="1">
        <v>9.0</v>
      </c>
      <c r="N24" s="1" t="s">
        <v>93</v>
      </c>
      <c r="O24" s="1" t="s">
        <v>94</v>
      </c>
      <c r="P24" s="1">
        <v>1.0</v>
      </c>
      <c r="Q24" s="1" t="s">
        <v>95</v>
      </c>
      <c r="R24" s="1" t="s">
        <v>95</v>
      </c>
      <c r="S24" s="1" t="s">
        <v>23</v>
      </c>
      <c r="T24" s="1" t="s">
        <v>160</v>
      </c>
    </row>
    <row r="25">
      <c r="A25" s="2">
        <v>43626.694934976855</v>
      </c>
      <c r="B25" s="1" t="s">
        <v>165</v>
      </c>
      <c r="C25" s="1" t="s">
        <v>166</v>
      </c>
      <c r="D25" s="1" t="s">
        <v>85</v>
      </c>
      <c r="E25" s="1">
        <v>3.0</v>
      </c>
      <c r="F25" s="1" t="s">
        <v>170</v>
      </c>
      <c r="G25" s="1" t="s">
        <v>172</v>
      </c>
      <c r="H25" s="1" t="s">
        <v>102</v>
      </c>
      <c r="I25" s="1" t="s">
        <v>93</v>
      </c>
      <c r="J25" s="1" t="s">
        <v>127</v>
      </c>
      <c r="K25" s="1" t="s">
        <v>177</v>
      </c>
      <c r="L25" s="1" t="s">
        <v>104</v>
      </c>
      <c r="M25" s="1">
        <v>5.0</v>
      </c>
      <c r="N25" s="1" t="s">
        <v>114</v>
      </c>
      <c r="O25" s="1" t="s">
        <v>94</v>
      </c>
      <c r="P25" s="1">
        <v>5.0</v>
      </c>
      <c r="Q25" s="1" t="s">
        <v>115</v>
      </c>
      <c r="R25" s="1" t="s">
        <v>95</v>
      </c>
      <c r="S25" s="1" t="s">
        <v>24</v>
      </c>
      <c r="T25" s="1" t="s">
        <v>179</v>
      </c>
    </row>
    <row r="26">
      <c r="A26" s="2">
        <v>43626.694981990746</v>
      </c>
      <c r="B26" s="1" t="s">
        <v>180</v>
      </c>
      <c r="C26" s="1" t="s">
        <v>84</v>
      </c>
      <c r="D26" s="1" t="s">
        <v>85</v>
      </c>
      <c r="E26" s="1">
        <v>4.0</v>
      </c>
      <c r="F26" s="1" t="s">
        <v>183</v>
      </c>
      <c r="G26" s="1" t="s">
        <v>184</v>
      </c>
      <c r="H26" s="1" t="s">
        <v>102</v>
      </c>
      <c r="I26" s="1" t="s">
        <v>93</v>
      </c>
      <c r="J26" s="1" t="s">
        <v>90</v>
      </c>
      <c r="K26" s="1" t="s">
        <v>185</v>
      </c>
      <c r="L26" s="1" t="s">
        <v>92</v>
      </c>
      <c r="M26" s="1">
        <v>8.0</v>
      </c>
      <c r="N26" s="1" t="s">
        <v>93</v>
      </c>
      <c r="O26" s="1" t="s">
        <v>106</v>
      </c>
      <c r="P26" s="1">
        <v>1.0</v>
      </c>
      <c r="Q26" s="1" t="s">
        <v>115</v>
      </c>
      <c r="R26" s="1" t="s">
        <v>95</v>
      </c>
      <c r="S26" s="1" t="s">
        <v>24</v>
      </c>
      <c r="T26" s="1" t="s">
        <v>191</v>
      </c>
    </row>
    <row r="27">
      <c r="A27" s="2">
        <v>43626.699506006946</v>
      </c>
      <c r="B27" s="1" t="s">
        <v>124</v>
      </c>
      <c r="C27" s="1" t="s">
        <v>84</v>
      </c>
      <c r="D27" s="1" t="s">
        <v>85</v>
      </c>
      <c r="E27" s="1">
        <v>3.0</v>
      </c>
      <c r="F27" s="1" t="s">
        <v>198</v>
      </c>
      <c r="G27" s="1" t="s">
        <v>201</v>
      </c>
      <c r="H27" s="1" t="s">
        <v>111</v>
      </c>
      <c r="I27" s="1" t="s">
        <v>93</v>
      </c>
      <c r="J27" s="1" t="s">
        <v>112</v>
      </c>
      <c r="K27" s="1" t="s">
        <v>205</v>
      </c>
      <c r="L27" s="1" t="s">
        <v>104</v>
      </c>
      <c r="M27" s="1">
        <v>7.0</v>
      </c>
      <c r="N27" s="1" t="s">
        <v>114</v>
      </c>
      <c r="O27" s="1" t="s">
        <v>206</v>
      </c>
      <c r="P27" s="1">
        <v>1.0</v>
      </c>
      <c r="Q27" s="1" t="s">
        <v>95</v>
      </c>
      <c r="R27" s="1" t="s">
        <v>95</v>
      </c>
      <c r="S27" s="1" t="s">
        <v>25</v>
      </c>
      <c r="T27" s="1" t="s">
        <v>207</v>
      </c>
    </row>
    <row r="28">
      <c r="A28" s="2">
        <v>43626.73847837963</v>
      </c>
      <c r="B28" s="1" t="s">
        <v>128</v>
      </c>
      <c r="C28" s="1" t="s">
        <v>84</v>
      </c>
      <c r="D28" s="1" t="s">
        <v>85</v>
      </c>
      <c r="E28" s="1">
        <v>3.0</v>
      </c>
      <c r="F28" s="1" t="s">
        <v>208</v>
      </c>
      <c r="G28" s="1" t="s">
        <v>172</v>
      </c>
      <c r="H28" s="1" t="s">
        <v>111</v>
      </c>
      <c r="I28" s="1" t="s">
        <v>209</v>
      </c>
      <c r="J28" s="1" t="s">
        <v>112</v>
      </c>
      <c r="K28" s="1" t="s">
        <v>210</v>
      </c>
      <c r="L28" s="1" t="s">
        <v>92</v>
      </c>
      <c r="M28" s="1">
        <v>8.0</v>
      </c>
      <c r="N28" s="1" t="s">
        <v>105</v>
      </c>
      <c r="O28" s="1" t="s">
        <v>94</v>
      </c>
      <c r="P28" s="1">
        <v>2.0</v>
      </c>
      <c r="Q28" s="1" t="s">
        <v>95</v>
      </c>
      <c r="R28" s="1" t="s">
        <v>95</v>
      </c>
      <c r="S28" s="1" t="s">
        <v>26</v>
      </c>
      <c r="T28" s="1" t="s">
        <v>216</v>
      </c>
    </row>
    <row r="29">
      <c r="A29" s="2">
        <v>43626.73280854167</v>
      </c>
      <c r="B29" s="1" t="s">
        <v>222</v>
      </c>
      <c r="C29" s="1" t="s">
        <v>225</v>
      </c>
      <c r="D29" s="1" t="s">
        <v>98</v>
      </c>
      <c r="E29" s="1">
        <v>4.0</v>
      </c>
      <c r="F29" s="1" t="s">
        <v>231</v>
      </c>
      <c r="G29" s="1" t="s">
        <v>233</v>
      </c>
      <c r="H29" s="1" t="s">
        <v>102</v>
      </c>
      <c r="I29" s="1" t="s">
        <v>93</v>
      </c>
      <c r="J29" s="1" t="s">
        <v>90</v>
      </c>
      <c r="K29" s="1" t="s">
        <v>103</v>
      </c>
      <c r="L29" s="1" t="s">
        <v>104</v>
      </c>
      <c r="M29" s="1">
        <v>7.0</v>
      </c>
      <c r="N29" s="1" t="s">
        <v>93</v>
      </c>
      <c r="O29" s="1" t="s">
        <v>106</v>
      </c>
      <c r="P29" s="1">
        <v>1.0</v>
      </c>
      <c r="Q29" s="1" t="s">
        <v>95</v>
      </c>
      <c r="R29" s="1" t="s">
        <v>95</v>
      </c>
      <c r="S29" s="1" t="s">
        <v>23</v>
      </c>
      <c r="T29" s="1" t="s">
        <v>237</v>
      </c>
    </row>
    <row r="30">
      <c r="A30" s="2">
        <v>43626.74010767361</v>
      </c>
      <c r="B30" s="1" t="s">
        <v>212</v>
      </c>
      <c r="C30" s="1" t="s">
        <v>225</v>
      </c>
      <c r="D30" s="1" t="s">
        <v>85</v>
      </c>
      <c r="E30" s="1">
        <v>3.0</v>
      </c>
      <c r="F30" s="1" t="s">
        <v>245</v>
      </c>
      <c r="G30" s="1" t="s">
        <v>247</v>
      </c>
      <c r="H30" s="1" t="s">
        <v>102</v>
      </c>
      <c r="I30" s="1" t="s">
        <v>209</v>
      </c>
      <c r="J30" s="1" t="s">
        <v>127</v>
      </c>
      <c r="K30" s="1" t="s">
        <v>205</v>
      </c>
      <c r="L30" s="1" t="s">
        <v>104</v>
      </c>
      <c r="M30" s="1">
        <v>8.0</v>
      </c>
      <c r="N30" s="1" t="s">
        <v>93</v>
      </c>
      <c r="O30" s="1" t="s">
        <v>94</v>
      </c>
      <c r="P30" s="1">
        <v>3.0</v>
      </c>
      <c r="Q30" s="1" t="s">
        <v>95</v>
      </c>
      <c r="R30" s="1" t="s">
        <v>95</v>
      </c>
      <c r="S30" s="1" t="s">
        <v>26</v>
      </c>
      <c r="T30" s="1" t="s">
        <v>259</v>
      </c>
    </row>
    <row r="31">
      <c r="A31" s="2">
        <v>43626.74516305556</v>
      </c>
      <c r="B31" s="1" t="s">
        <v>262</v>
      </c>
      <c r="C31" s="1" t="s">
        <v>84</v>
      </c>
      <c r="D31" s="1" t="s">
        <v>85</v>
      </c>
      <c r="E31" s="1">
        <v>4.0</v>
      </c>
      <c r="F31" s="1" t="s">
        <v>263</v>
      </c>
      <c r="G31" s="1" t="s">
        <v>172</v>
      </c>
      <c r="H31" s="1" t="s">
        <v>111</v>
      </c>
      <c r="I31" s="1" t="s">
        <v>93</v>
      </c>
      <c r="J31" s="1" t="s">
        <v>112</v>
      </c>
      <c r="K31" s="1" t="s">
        <v>205</v>
      </c>
      <c r="L31" s="1" t="s">
        <v>92</v>
      </c>
      <c r="M31" s="1">
        <v>9.0</v>
      </c>
      <c r="N31" s="1" t="s">
        <v>93</v>
      </c>
      <c r="O31" s="1" t="s">
        <v>106</v>
      </c>
      <c r="P31" s="1">
        <v>3.0</v>
      </c>
      <c r="Q31" s="1" t="s">
        <v>95</v>
      </c>
      <c r="R31" s="1" t="s">
        <v>95</v>
      </c>
      <c r="S31" s="1" t="s">
        <v>26</v>
      </c>
      <c r="T31" s="1" t="s">
        <v>272</v>
      </c>
    </row>
    <row r="32">
      <c r="A32" s="2">
        <v>43626.745479930556</v>
      </c>
      <c r="B32" s="1" t="s">
        <v>278</v>
      </c>
      <c r="C32" s="1" t="s">
        <v>84</v>
      </c>
      <c r="D32" s="1" t="s">
        <v>85</v>
      </c>
      <c r="E32" s="1">
        <v>4.0</v>
      </c>
      <c r="F32" s="1" t="s">
        <v>282</v>
      </c>
      <c r="G32" s="1" t="s">
        <v>283</v>
      </c>
      <c r="H32" s="1" t="s">
        <v>111</v>
      </c>
      <c r="I32" s="1" t="s">
        <v>209</v>
      </c>
      <c r="J32" s="1" t="s">
        <v>127</v>
      </c>
      <c r="K32" s="1" t="s">
        <v>205</v>
      </c>
      <c r="L32" s="1" t="s">
        <v>92</v>
      </c>
      <c r="M32" s="1">
        <v>2.0</v>
      </c>
      <c r="N32" s="1" t="s">
        <v>93</v>
      </c>
      <c r="O32" s="1" t="s">
        <v>106</v>
      </c>
      <c r="P32" s="1">
        <v>1.0</v>
      </c>
      <c r="Q32" s="1" t="s">
        <v>95</v>
      </c>
      <c r="R32" s="1" t="s">
        <v>95</v>
      </c>
      <c r="S32" s="1" t="s">
        <v>284</v>
      </c>
      <c r="T32" s="1" t="s">
        <v>285</v>
      </c>
    </row>
    <row r="33">
      <c r="A33" s="2">
        <v>43626.771276307874</v>
      </c>
      <c r="B33" s="1" t="s">
        <v>129</v>
      </c>
      <c r="C33" s="1" t="s">
        <v>84</v>
      </c>
      <c r="D33" s="1" t="s">
        <v>85</v>
      </c>
      <c r="E33" s="1">
        <v>2.0</v>
      </c>
      <c r="F33" s="1" t="s">
        <v>286</v>
      </c>
      <c r="G33" s="1" t="s">
        <v>287</v>
      </c>
      <c r="H33" s="1" t="s">
        <v>102</v>
      </c>
      <c r="I33" s="1" t="s">
        <v>114</v>
      </c>
      <c r="J33" s="1" t="s">
        <v>90</v>
      </c>
      <c r="K33" s="1" t="s">
        <v>288</v>
      </c>
      <c r="L33" s="1" t="s">
        <v>92</v>
      </c>
      <c r="M33" s="1">
        <v>9.0</v>
      </c>
      <c r="N33" s="1" t="s">
        <v>93</v>
      </c>
      <c r="O33" s="1" t="s">
        <v>106</v>
      </c>
      <c r="P33" s="1">
        <v>1.0</v>
      </c>
      <c r="Q33" s="1" t="s">
        <v>95</v>
      </c>
      <c r="R33" s="1" t="s">
        <v>95</v>
      </c>
      <c r="S33" s="1" t="s">
        <v>27</v>
      </c>
      <c r="T33" s="1" t="s">
        <v>290</v>
      </c>
    </row>
    <row r="34">
      <c r="A34" s="2">
        <v>43626.85503413195</v>
      </c>
      <c r="B34" s="1" t="s">
        <v>131</v>
      </c>
      <c r="C34" s="1" t="s">
        <v>84</v>
      </c>
      <c r="D34" s="1" t="s">
        <v>85</v>
      </c>
      <c r="E34" s="1">
        <v>4.0</v>
      </c>
      <c r="F34" s="1" t="s">
        <v>297</v>
      </c>
      <c r="G34" s="1" t="s">
        <v>299</v>
      </c>
      <c r="H34" s="1" t="s">
        <v>102</v>
      </c>
      <c r="I34" s="1" t="s">
        <v>209</v>
      </c>
      <c r="J34" s="1" t="s">
        <v>127</v>
      </c>
      <c r="K34" s="1" t="s">
        <v>304</v>
      </c>
      <c r="L34" s="1" t="s">
        <v>92</v>
      </c>
      <c r="M34" s="1">
        <v>6.0</v>
      </c>
      <c r="N34" s="1" t="s">
        <v>93</v>
      </c>
      <c r="O34" s="1" t="s">
        <v>106</v>
      </c>
      <c r="P34" s="1">
        <v>5.0</v>
      </c>
      <c r="Q34" s="1" t="s">
        <v>95</v>
      </c>
      <c r="R34" s="1" t="s">
        <v>95</v>
      </c>
      <c r="S34" s="1" t="s">
        <v>28</v>
      </c>
      <c r="T34" s="1" t="s">
        <v>307</v>
      </c>
    </row>
    <row r="35">
      <c r="A35" s="2">
        <v>43626.7757149074</v>
      </c>
      <c r="B35" s="1" t="s">
        <v>213</v>
      </c>
      <c r="C35" s="1" t="s">
        <v>84</v>
      </c>
      <c r="D35" s="1" t="s">
        <v>85</v>
      </c>
      <c r="E35" s="1">
        <v>2.0</v>
      </c>
      <c r="F35" s="1" t="s">
        <v>311</v>
      </c>
      <c r="G35" s="1" t="s">
        <v>172</v>
      </c>
      <c r="H35" s="1" t="s">
        <v>111</v>
      </c>
      <c r="I35" s="1" t="s">
        <v>93</v>
      </c>
      <c r="J35" s="1" t="s">
        <v>112</v>
      </c>
      <c r="K35" s="1" t="s">
        <v>205</v>
      </c>
      <c r="L35" s="1" t="s">
        <v>152</v>
      </c>
      <c r="M35" s="1">
        <v>9.0</v>
      </c>
      <c r="N35" s="1" t="s">
        <v>93</v>
      </c>
      <c r="O35" s="1" t="s">
        <v>106</v>
      </c>
      <c r="P35" s="1">
        <v>2.0</v>
      </c>
      <c r="Q35" s="1" t="s">
        <v>95</v>
      </c>
      <c r="R35" s="1" t="s">
        <v>95</v>
      </c>
      <c r="S35" s="1" t="s">
        <v>325</v>
      </c>
      <c r="T35" s="1" t="s">
        <v>327</v>
      </c>
    </row>
    <row r="36">
      <c r="A36" s="2">
        <v>43626.77583162037</v>
      </c>
      <c r="B36" s="1" t="s">
        <v>291</v>
      </c>
      <c r="C36" s="1" t="s">
        <v>84</v>
      </c>
      <c r="D36" s="1" t="s">
        <v>85</v>
      </c>
      <c r="E36" s="1">
        <v>2.0</v>
      </c>
      <c r="F36" s="1" t="s">
        <v>335</v>
      </c>
      <c r="G36" s="1" t="s">
        <v>87</v>
      </c>
      <c r="H36" s="1" t="s">
        <v>88</v>
      </c>
      <c r="I36" s="1" t="s">
        <v>93</v>
      </c>
      <c r="J36" s="1" t="s">
        <v>112</v>
      </c>
      <c r="K36" s="1" t="s">
        <v>205</v>
      </c>
      <c r="L36" s="1" t="s">
        <v>92</v>
      </c>
      <c r="M36" s="1">
        <v>9.0</v>
      </c>
      <c r="N36" s="1" t="s">
        <v>93</v>
      </c>
      <c r="O36" s="1" t="s">
        <v>106</v>
      </c>
      <c r="P36" s="1">
        <v>2.0</v>
      </c>
      <c r="Q36" s="1" t="s">
        <v>95</v>
      </c>
      <c r="R36" s="1" t="s">
        <v>95</v>
      </c>
      <c r="S36" s="1" t="s">
        <v>325</v>
      </c>
      <c r="T36" s="1" t="s">
        <v>361</v>
      </c>
    </row>
    <row r="37">
      <c r="A37" s="2">
        <v>43626.826662499996</v>
      </c>
      <c r="B37" s="1" t="s">
        <v>132</v>
      </c>
      <c r="C37" s="1" t="s">
        <v>225</v>
      </c>
      <c r="D37" s="1" t="s">
        <v>98</v>
      </c>
      <c r="E37" s="1">
        <v>5.0</v>
      </c>
      <c r="F37" s="1" t="s">
        <v>363</v>
      </c>
      <c r="G37" s="1" t="s">
        <v>126</v>
      </c>
      <c r="H37" s="1" t="s">
        <v>111</v>
      </c>
      <c r="I37" s="1" t="s">
        <v>114</v>
      </c>
      <c r="J37" s="1" t="s">
        <v>127</v>
      </c>
      <c r="K37" s="1" t="s">
        <v>103</v>
      </c>
      <c r="L37" s="1" t="s">
        <v>152</v>
      </c>
      <c r="M37" s="1">
        <v>9.0</v>
      </c>
      <c r="N37" s="1" t="s">
        <v>93</v>
      </c>
      <c r="O37" s="1" t="s">
        <v>94</v>
      </c>
      <c r="P37" s="1">
        <v>3.0</v>
      </c>
      <c r="Q37" s="1" t="s">
        <v>95</v>
      </c>
      <c r="R37" s="1" t="s">
        <v>95</v>
      </c>
      <c r="S37" s="1" t="s">
        <v>29</v>
      </c>
      <c r="T37" s="1" t="s">
        <v>376</v>
      </c>
    </row>
    <row r="38">
      <c r="A38" s="2">
        <v>43626.829889375</v>
      </c>
      <c r="B38" s="1" t="s">
        <v>356</v>
      </c>
      <c r="C38" s="1" t="s">
        <v>84</v>
      </c>
      <c r="D38" s="1" t="s">
        <v>85</v>
      </c>
      <c r="E38" s="1">
        <v>5.0</v>
      </c>
      <c r="F38" s="1" t="s">
        <v>384</v>
      </c>
      <c r="G38" s="1" t="s">
        <v>172</v>
      </c>
      <c r="H38" s="1" t="s">
        <v>88</v>
      </c>
      <c r="I38" s="1" t="s">
        <v>93</v>
      </c>
      <c r="J38" s="1" t="s">
        <v>90</v>
      </c>
      <c r="K38" s="1" t="s">
        <v>386</v>
      </c>
      <c r="L38" s="1" t="s">
        <v>92</v>
      </c>
      <c r="M38" s="1">
        <v>7.0</v>
      </c>
      <c r="N38" s="1" t="s">
        <v>114</v>
      </c>
      <c r="O38" s="1" t="s">
        <v>206</v>
      </c>
      <c r="P38" s="1">
        <v>1.0</v>
      </c>
      <c r="Q38" s="1" t="s">
        <v>95</v>
      </c>
      <c r="R38" s="1" t="s">
        <v>95</v>
      </c>
      <c r="S38" s="1" t="s">
        <v>325</v>
      </c>
      <c r="T38" s="1" t="s">
        <v>390</v>
      </c>
    </row>
    <row r="39">
      <c r="A39" s="2">
        <v>43626.85551424768</v>
      </c>
      <c r="B39" s="1" t="s">
        <v>214</v>
      </c>
      <c r="C39" s="1" t="s">
        <v>84</v>
      </c>
      <c r="D39" s="1" t="s">
        <v>85</v>
      </c>
      <c r="E39" s="1">
        <v>5.0</v>
      </c>
      <c r="F39" s="1" t="s">
        <v>398</v>
      </c>
      <c r="G39" s="1" t="s">
        <v>299</v>
      </c>
      <c r="H39" s="1" t="s">
        <v>102</v>
      </c>
      <c r="I39" s="1" t="s">
        <v>209</v>
      </c>
      <c r="J39" s="1" t="s">
        <v>127</v>
      </c>
      <c r="K39" s="1" t="s">
        <v>407</v>
      </c>
      <c r="L39" s="1" t="s">
        <v>122</v>
      </c>
      <c r="M39" s="1">
        <v>1.0</v>
      </c>
      <c r="N39" s="1" t="s">
        <v>105</v>
      </c>
      <c r="O39" s="1" t="s">
        <v>106</v>
      </c>
      <c r="P39" s="1">
        <v>3.0</v>
      </c>
      <c r="Q39" s="1" t="s">
        <v>95</v>
      </c>
      <c r="R39" s="1" t="s">
        <v>95</v>
      </c>
      <c r="S39" s="1" t="s">
        <v>28</v>
      </c>
      <c r="T39" s="1" t="s">
        <v>414</v>
      </c>
    </row>
    <row r="40">
      <c r="A40" s="2">
        <v>43626.85548158565</v>
      </c>
      <c r="B40" s="1" t="s">
        <v>292</v>
      </c>
      <c r="C40" s="1" t="s">
        <v>84</v>
      </c>
      <c r="D40" s="1" t="s">
        <v>85</v>
      </c>
      <c r="E40" s="1">
        <v>4.0</v>
      </c>
      <c r="F40" s="1" t="s">
        <v>170</v>
      </c>
      <c r="G40" s="1" t="s">
        <v>121</v>
      </c>
      <c r="H40" s="1" t="s">
        <v>111</v>
      </c>
      <c r="I40" s="1" t="s">
        <v>209</v>
      </c>
      <c r="J40" s="1" t="s">
        <v>112</v>
      </c>
      <c r="K40" s="1" t="s">
        <v>416</v>
      </c>
      <c r="L40" s="1" t="s">
        <v>92</v>
      </c>
      <c r="M40" s="1">
        <v>7.0</v>
      </c>
      <c r="N40" s="1" t="s">
        <v>114</v>
      </c>
      <c r="O40" s="1" t="s">
        <v>106</v>
      </c>
      <c r="P40" s="1">
        <v>1.0</v>
      </c>
      <c r="Q40" s="1" t="s">
        <v>95</v>
      </c>
      <c r="R40" s="1" t="s">
        <v>95</v>
      </c>
      <c r="S40" s="1" t="s">
        <v>420</v>
      </c>
      <c r="T40" s="1" t="s">
        <v>422</v>
      </c>
    </row>
    <row r="41">
      <c r="A41" s="2">
        <v>43626.855497592594</v>
      </c>
      <c r="B41" s="1" t="s">
        <v>357</v>
      </c>
      <c r="C41" s="1" t="s">
        <v>225</v>
      </c>
      <c r="D41" s="1" t="s">
        <v>85</v>
      </c>
      <c r="E41" s="1">
        <v>5.0</v>
      </c>
      <c r="F41" s="1" t="s">
        <v>429</v>
      </c>
      <c r="G41" s="1" t="s">
        <v>431</v>
      </c>
      <c r="H41" s="1" t="s">
        <v>102</v>
      </c>
      <c r="I41" s="1" t="s">
        <v>93</v>
      </c>
      <c r="J41" s="1" t="s">
        <v>90</v>
      </c>
      <c r="K41" s="1" t="s">
        <v>436</v>
      </c>
      <c r="L41" s="1" t="s">
        <v>152</v>
      </c>
      <c r="M41" s="1">
        <v>7.0</v>
      </c>
      <c r="N41" s="1" t="s">
        <v>93</v>
      </c>
      <c r="O41" s="1" t="s">
        <v>206</v>
      </c>
      <c r="P41" s="1">
        <v>1.0</v>
      </c>
      <c r="Q41" s="1" t="s">
        <v>95</v>
      </c>
      <c r="R41" s="1" t="s">
        <v>95</v>
      </c>
      <c r="S41" s="1" t="s">
        <v>28</v>
      </c>
      <c r="T41" s="1" t="s">
        <v>441</v>
      </c>
    </row>
    <row r="42">
      <c r="A42" s="2">
        <v>43626.859164629626</v>
      </c>
      <c r="B42" s="1" t="s">
        <v>133</v>
      </c>
      <c r="C42" s="1" t="s">
        <v>225</v>
      </c>
      <c r="D42" s="1" t="s">
        <v>98</v>
      </c>
      <c r="E42" s="1">
        <v>3.0</v>
      </c>
      <c r="F42" s="1" t="s">
        <v>448</v>
      </c>
      <c r="G42" s="1" t="s">
        <v>450</v>
      </c>
      <c r="H42" s="1" t="s">
        <v>88</v>
      </c>
      <c r="I42" s="1" t="s">
        <v>114</v>
      </c>
      <c r="J42" s="1" t="s">
        <v>127</v>
      </c>
      <c r="K42" s="1" t="s">
        <v>121</v>
      </c>
      <c r="L42" s="1" t="s">
        <v>92</v>
      </c>
      <c r="M42" s="1">
        <v>6.0</v>
      </c>
      <c r="N42" s="1" t="s">
        <v>93</v>
      </c>
      <c r="O42" s="1" t="s">
        <v>206</v>
      </c>
      <c r="P42" s="1">
        <v>1.0</v>
      </c>
      <c r="Q42" s="1" t="s">
        <v>95</v>
      </c>
      <c r="R42" s="1" t="s">
        <v>95</v>
      </c>
      <c r="S42" s="1" t="s">
        <v>30</v>
      </c>
      <c r="T42" s="1" t="s">
        <v>458</v>
      </c>
    </row>
    <row r="43">
      <c r="A43" s="2">
        <v>43626.865117615744</v>
      </c>
      <c r="B43" s="1" t="s">
        <v>134</v>
      </c>
      <c r="C43" s="1" t="s">
        <v>84</v>
      </c>
      <c r="D43" s="1" t="s">
        <v>85</v>
      </c>
      <c r="E43" s="1">
        <v>5.0</v>
      </c>
      <c r="F43" s="1" t="s">
        <v>286</v>
      </c>
      <c r="G43" s="1" t="s">
        <v>247</v>
      </c>
      <c r="H43" s="1" t="s">
        <v>111</v>
      </c>
      <c r="I43" s="1" t="s">
        <v>93</v>
      </c>
      <c r="J43" s="1" t="s">
        <v>112</v>
      </c>
      <c r="K43" s="1" t="s">
        <v>103</v>
      </c>
      <c r="L43" s="1" t="s">
        <v>152</v>
      </c>
      <c r="M43" s="1">
        <v>7.0</v>
      </c>
      <c r="N43" s="1" t="s">
        <v>114</v>
      </c>
      <c r="O43" s="1" t="s">
        <v>106</v>
      </c>
      <c r="P43" s="1">
        <v>1.0</v>
      </c>
      <c r="Q43" s="1" t="s">
        <v>115</v>
      </c>
      <c r="R43" s="1" t="s">
        <v>95</v>
      </c>
      <c r="S43" s="1" t="s">
        <v>31</v>
      </c>
      <c r="T43" s="1" t="s">
        <v>462</v>
      </c>
    </row>
    <row r="44">
      <c r="A44" s="2">
        <v>43626.86996127314</v>
      </c>
      <c r="B44" s="1" t="s">
        <v>218</v>
      </c>
      <c r="C44" s="1" t="s">
        <v>84</v>
      </c>
      <c r="D44" s="1" t="s">
        <v>85</v>
      </c>
      <c r="E44" s="1">
        <v>5.0</v>
      </c>
      <c r="F44" s="1" t="s">
        <v>463</v>
      </c>
      <c r="G44" s="1" t="s">
        <v>464</v>
      </c>
      <c r="H44" s="1" t="s">
        <v>102</v>
      </c>
      <c r="I44" s="1" t="s">
        <v>114</v>
      </c>
      <c r="J44" s="1" t="s">
        <v>90</v>
      </c>
      <c r="K44" s="1" t="s">
        <v>103</v>
      </c>
      <c r="L44" s="1" t="s">
        <v>92</v>
      </c>
      <c r="M44" s="1">
        <v>7.0</v>
      </c>
      <c r="N44" s="1" t="s">
        <v>114</v>
      </c>
      <c r="O44" s="1" t="s">
        <v>106</v>
      </c>
      <c r="P44" s="1">
        <v>1.0</v>
      </c>
      <c r="Q44" s="1" t="s">
        <v>115</v>
      </c>
      <c r="R44" s="1" t="s">
        <v>95</v>
      </c>
      <c r="S44" s="1" t="s">
        <v>465</v>
      </c>
      <c r="T44" s="1" t="s">
        <v>466</v>
      </c>
    </row>
    <row r="45">
      <c r="A45" s="2">
        <v>43626.87357668982</v>
      </c>
      <c r="B45" s="1" t="s">
        <v>217</v>
      </c>
      <c r="C45" s="1" t="s">
        <v>166</v>
      </c>
      <c r="D45" s="1" t="s">
        <v>98</v>
      </c>
      <c r="E45" s="1">
        <v>4.0</v>
      </c>
      <c r="F45" s="1" t="s">
        <v>109</v>
      </c>
      <c r="G45" s="1" t="s">
        <v>110</v>
      </c>
      <c r="H45" s="1" t="s">
        <v>102</v>
      </c>
      <c r="I45" s="1" t="s">
        <v>93</v>
      </c>
      <c r="J45" s="1" t="s">
        <v>127</v>
      </c>
      <c r="K45" s="1" t="s">
        <v>467</v>
      </c>
      <c r="L45" s="1" t="s">
        <v>104</v>
      </c>
      <c r="M45" s="1">
        <v>6.0</v>
      </c>
      <c r="N45" s="1" t="s">
        <v>114</v>
      </c>
      <c r="O45" s="1" t="s">
        <v>106</v>
      </c>
      <c r="P45" s="1">
        <v>1.0</v>
      </c>
      <c r="Q45" s="1" t="s">
        <v>95</v>
      </c>
      <c r="R45" s="1" t="s">
        <v>95</v>
      </c>
      <c r="S45" s="1" t="s">
        <v>469</v>
      </c>
      <c r="T45" s="1" t="s">
        <v>470</v>
      </c>
    </row>
    <row r="46">
      <c r="A46" s="2">
        <v>43626.87433665509</v>
      </c>
      <c r="B46" s="1" t="s">
        <v>294</v>
      </c>
      <c r="C46" s="1" t="s">
        <v>166</v>
      </c>
      <c r="D46" s="1" t="s">
        <v>98</v>
      </c>
      <c r="E46" s="1">
        <v>5.0</v>
      </c>
      <c r="F46" s="1" t="s">
        <v>363</v>
      </c>
      <c r="G46" s="1" t="s">
        <v>476</v>
      </c>
      <c r="H46" s="1" t="s">
        <v>102</v>
      </c>
      <c r="I46" s="1" t="s">
        <v>114</v>
      </c>
      <c r="J46" s="1" t="s">
        <v>127</v>
      </c>
      <c r="K46" s="1" t="s">
        <v>91</v>
      </c>
      <c r="L46" s="1" t="s">
        <v>92</v>
      </c>
      <c r="M46" s="1">
        <v>5.0</v>
      </c>
      <c r="N46" s="1" t="s">
        <v>114</v>
      </c>
      <c r="O46" s="1" t="s">
        <v>106</v>
      </c>
      <c r="P46" s="1">
        <v>1.0</v>
      </c>
      <c r="Q46" s="1" t="s">
        <v>95</v>
      </c>
      <c r="R46" s="1" t="s">
        <v>95</v>
      </c>
      <c r="S46" s="1" t="s">
        <v>30</v>
      </c>
      <c r="T46" s="1" t="s">
        <v>477</v>
      </c>
    </row>
    <row r="47">
      <c r="A47" s="2">
        <v>43626.87478618056</v>
      </c>
      <c r="B47" s="1" t="s">
        <v>359</v>
      </c>
      <c r="C47" s="1" t="s">
        <v>225</v>
      </c>
      <c r="D47" s="1" t="s">
        <v>478</v>
      </c>
      <c r="E47" s="1">
        <v>5.0</v>
      </c>
      <c r="F47" s="1" t="s">
        <v>481</v>
      </c>
      <c r="G47" s="1" t="s">
        <v>482</v>
      </c>
      <c r="H47" s="1" t="s">
        <v>111</v>
      </c>
      <c r="I47" s="1" t="s">
        <v>93</v>
      </c>
      <c r="J47" s="1" t="s">
        <v>90</v>
      </c>
      <c r="K47" s="1" t="s">
        <v>485</v>
      </c>
      <c r="L47" s="1" t="s">
        <v>104</v>
      </c>
      <c r="M47" s="1">
        <v>8.0</v>
      </c>
      <c r="N47" s="1" t="s">
        <v>114</v>
      </c>
      <c r="O47" s="1" t="s">
        <v>206</v>
      </c>
      <c r="P47" s="1">
        <v>1.0</v>
      </c>
      <c r="Q47" s="1" t="s">
        <v>115</v>
      </c>
      <c r="R47" s="1" t="s">
        <v>95</v>
      </c>
      <c r="S47" s="1" t="s">
        <v>30</v>
      </c>
      <c r="T47" s="1" t="s">
        <v>489</v>
      </c>
    </row>
    <row r="48">
      <c r="A48" s="2">
        <v>43626.876842233796</v>
      </c>
      <c r="B48" s="1" t="s">
        <v>421</v>
      </c>
      <c r="C48" s="1" t="s">
        <v>225</v>
      </c>
      <c r="D48" s="1" t="s">
        <v>98</v>
      </c>
      <c r="E48" s="1">
        <v>5.0</v>
      </c>
      <c r="F48" s="1" t="s">
        <v>492</v>
      </c>
      <c r="G48" s="1" t="s">
        <v>493</v>
      </c>
      <c r="H48" s="1" t="s">
        <v>111</v>
      </c>
      <c r="I48" s="1" t="s">
        <v>89</v>
      </c>
      <c r="J48" s="1" t="s">
        <v>90</v>
      </c>
      <c r="K48" s="1" t="s">
        <v>495</v>
      </c>
      <c r="L48" s="1" t="s">
        <v>104</v>
      </c>
      <c r="M48" s="1">
        <v>8.0</v>
      </c>
      <c r="N48" s="1" t="s">
        <v>114</v>
      </c>
      <c r="O48" s="1" t="s">
        <v>106</v>
      </c>
      <c r="P48" s="1">
        <v>3.0</v>
      </c>
      <c r="Q48" s="1" t="s">
        <v>115</v>
      </c>
      <c r="R48" s="1" t="s">
        <v>95</v>
      </c>
      <c r="S48" s="1" t="s">
        <v>469</v>
      </c>
      <c r="T48" s="1" t="s">
        <v>496</v>
      </c>
    </row>
    <row r="49">
      <c r="A49" s="2">
        <v>43626.899203125</v>
      </c>
      <c r="B49" s="1" t="s">
        <v>295</v>
      </c>
      <c r="C49" s="1" t="s">
        <v>84</v>
      </c>
      <c r="D49" s="1" t="s">
        <v>85</v>
      </c>
      <c r="E49" s="1">
        <v>5.0</v>
      </c>
      <c r="F49" s="1" t="s">
        <v>286</v>
      </c>
      <c r="G49" s="1" t="s">
        <v>120</v>
      </c>
      <c r="H49" s="1" t="s">
        <v>111</v>
      </c>
      <c r="I49" s="1" t="s">
        <v>114</v>
      </c>
      <c r="J49" s="1" t="s">
        <v>127</v>
      </c>
      <c r="K49" s="1" t="s">
        <v>498</v>
      </c>
      <c r="L49" s="1" t="s">
        <v>104</v>
      </c>
      <c r="M49" s="1">
        <v>4.0</v>
      </c>
      <c r="N49" s="1" t="s">
        <v>130</v>
      </c>
      <c r="O49" s="1" t="s">
        <v>206</v>
      </c>
      <c r="P49" s="1">
        <v>1.0</v>
      </c>
      <c r="Q49" s="1" t="s">
        <v>115</v>
      </c>
      <c r="R49" s="1" t="s">
        <v>95</v>
      </c>
      <c r="S49" s="1" t="s">
        <v>501</v>
      </c>
      <c r="T49" s="1" t="s">
        <v>502</v>
      </c>
    </row>
    <row r="50">
      <c r="A50" s="2">
        <v>43627.26248320602</v>
      </c>
      <c r="B50" s="1" t="s">
        <v>135</v>
      </c>
      <c r="C50" s="1" t="s">
        <v>84</v>
      </c>
      <c r="D50" s="1" t="s">
        <v>478</v>
      </c>
      <c r="E50" s="1">
        <v>3.0</v>
      </c>
      <c r="F50" s="1" t="s">
        <v>503</v>
      </c>
      <c r="G50" s="1" t="s">
        <v>201</v>
      </c>
      <c r="H50" s="1" t="s">
        <v>102</v>
      </c>
      <c r="I50" s="1" t="s">
        <v>114</v>
      </c>
      <c r="J50" s="1" t="s">
        <v>90</v>
      </c>
      <c r="K50" s="1" t="s">
        <v>121</v>
      </c>
      <c r="L50" s="1" t="s">
        <v>122</v>
      </c>
      <c r="M50" s="1">
        <v>10.0</v>
      </c>
      <c r="N50" s="1" t="s">
        <v>105</v>
      </c>
      <c r="O50" s="1" t="s">
        <v>94</v>
      </c>
      <c r="P50" s="1">
        <v>4.0</v>
      </c>
      <c r="Q50" s="1" t="s">
        <v>95</v>
      </c>
      <c r="R50" s="1" t="s">
        <v>95</v>
      </c>
      <c r="S50" s="1" t="s">
        <v>504</v>
      </c>
      <c r="T50" s="1" t="s">
        <v>505</v>
      </c>
    </row>
    <row r="51">
      <c r="A51" s="2">
        <v>43627.26767769676</v>
      </c>
      <c r="B51" s="1" t="s">
        <v>219</v>
      </c>
      <c r="C51" s="1" t="s">
        <v>225</v>
      </c>
      <c r="D51" s="1" t="s">
        <v>506</v>
      </c>
      <c r="E51" s="1">
        <v>4.0</v>
      </c>
      <c r="F51" s="1" t="s">
        <v>335</v>
      </c>
      <c r="G51" s="1" t="s">
        <v>100</v>
      </c>
      <c r="H51" s="1" t="s">
        <v>102</v>
      </c>
      <c r="I51" s="1" t="s">
        <v>114</v>
      </c>
      <c r="J51" s="1" t="s">
        <v>90</v>
      </c>
      <c r="K51" s="1" t="s">
        <v>210</v>
      </c>
      <c r="L51" s="1" t="s">
        <v>122</v>
      </c>
      <c r="M51" s="1">
        <v>9.0</v>
      </c>
      <c r="N51" s="1" t="s">
        <v>93</v>
      </c>
      <c r="O51" s="1" t="s">
        <v>94</v>
      </c>
      <c r="P51" s="1">
        <v>4.0</v>
      </c>
      <c r="Q51" s="1" t="s">
        <v>95</v>
      </c>
      <c r="R51" s="1" t="s">
        <v>95</v>
      </c>
      <c r="S51" s="1" t="s">
        <v>32</v>
      </c>
      <c r="T51" s="1" t="s">
        <v>507</v>
      </c>
    </row>
    <row r="52">
      <c r="A52" s="2">
        <v>43627.309355370366</v>
      </c>
      <c r="B52" s="1" t="s">
        <v>360</v>
      </c>
      <c r="C52" s="1" t="s">
        <v>84</v>
      </c>
      <c r="D52" s="1" t="s">
        <v>85</v>
      </c>
      <c r="E52" s="1">
        <v>5.0</v>
      </c>
      <c r="F52" s="1" t="s">
        <v>508</v>
      </c>
      <c r="G52" s="1" t="s">
        <v>172</v>
      </c>
      <c r="H52" s="1" t="s">
        <v>102</v>
      </c>
      <c r="I52" s="1" t="s">
        <v>209</v>
      </c>
      <c r="J52" s="1" t="s">
        <v>127</v>
      </c>
      <c r="K52" s="1" t="s">
        <v>509</v>
      </c>
      <c r="L52" s="1" t="s">
        <v>92</v>
      </c>
      <c r="M52" s="1">
        <v>1.0</v>
      </c>
      <c r="N52" s="1" t="s">
        <v>130</v>
      </c>
      <c r="O52" s="1" t="s">
        <v>106</v>
      </c>
      <c r="P52" s="1">
        <v>1.0</v>
      </c>
      <c r="Q52" s="1" t="s">
        <v>95</v>
      </c>
      <c r="R52" s="1" t="s">
        <v>95</v>
      </c>
      <c r="S52" s="1" t="s">
        <v>501</v>
      </c>
      <c r="T52" s="1" t="s">
        <v>510</v>
      </c>
    </row>
    <row r="53">
      <c r="A53" s="2">
        <v>43627.34503298611</v>
      </c>
      <c r="B53" s="1" t="s">
        <v>211</v>
      </c>
      <c r="C53" s="1" t="s">
        <v>84</v>
      </c>
      <c r="D53" s="1" t="s">
        <v>85</v>
      </c>
      <c r="E53" s="1">
        <v>4.0</v>
      </c>
      <c r="F53" s="1" t="s">
        <v>511</v>
      </c>
      <c r="G53" s="1" t="s">
        <v>126</v>
      </c>
      <c r="H53" s="1" t="s">
        <v>102</v>
      </c>
      <c r="I53" s="1" t="s">
        <v>93</v>
      </c>
      <c r="J53" s="1" t="s">
        <v>127</v>
      </c>
      <c r="K53" s="1" t="s">
        <v>512</v>
      </c>
      <c r="L53" s="1" t="s">
        <v>122</v>
      </c>
      <c r="M53" s="1">
        <v>8.0</v>
      </c>
      <c r="N53" s="1" t="s">
        <v>93</v>
      </c>
      <c r="O53" s="1" t="s">
        <v>106</v>
      </c>
      <c r="P53" s="1">
        <v>1.0</v>
      </c>
      <c r="Q53" s="1" t="s">
        <v>95</v>
      </c>
      <c r="R53" s="1" t="s">
        <v>95</v>
      </c>
      <c r="S53" s="1" t="s">
        <v>513</v>
      </c>
      <c r="T53" s="1" t="s">
        <v>514</v>
      </c>
    </row>
    <row r="54">
      <c r="A54" s="2">
        <v>43627.35016127315</v>
      </c>
      <c r="B54" s="1" t="s">
        <v>296</v>
      </c>
      <c r="C54" s="1" t="s">
        <v>84</v>
      </c>
      <c r="D54" s="1" t="s">
        <v>85</v>
      </c>
      <c r="E54" s="1">
        <v>5.0</v>
      </c>
      <c r="F54" s="1" t="s">
        <v>515</v>
      </c>
      <c r="G54" s="1" t="s">
        <v>126</v>
      </c>
      <c r="H54" s="1" t="s">
        <v>88</v>
      </c>
      <c r="I54" s="1" t="s">
        <v>114</v>
      </c>
      <c r="J54" s="1" t="s">
        <v>127</v>
      </c>
      <c r="K54" s="1" t="s">
        <v>205</v>
      </c>
      <c r="L54" s="1" t="s">
        <v>92</v>
      </c>
      <c r="M54" s="1">
        <v>9.0</v>
      </c>
      <c r="N54" s="1" t="s">
        <v>93</v>
      </c>
      <c r="O54" s="1" t="s">
        <v>94</v>
      </c>
      <c r="P54" s="1">
        <v>3.0</v>
      </c>
      <c r="Q54" s="1" t="s">
        <v>115</v>
      </c>
      <c r="R54" s="1" t="s">
        <v>95</v>
      </c>
      <c r="S54" s="1" t="s">
        <v>32</v>
      </c>
      <c r="T54" s="1" t="s">
        <v>516</v>
      </c>
    </row>
    <row r="55">
      <c r="A55" s="2">
        <v>43627.360717187505</v>
      </c>
      <c r="B55" s="1" t="s">
        <v>215</v>
      </c>
      <c r="C55" s="1" t="s">
        <v>84</v>
      </c>
      <c r="D55" s="1" t="s">
        <v>98</v>
      </c>
      <c r="E55" s="1">
        <v>4.0</v>
      </c>
      <c r="F55" s="1" t="s">
        <v>517</v>
      </c>
      <c r="G55" s="1" t="s">
        <v>87</v>
      </c>
      <c r="H55" s="1" t="s">
        <v>88</v>
      </c>
      <c r="I55" s="1" t="s">
        <v>114</v>
      </c>
      <c r="J55" s="1" t="s">
        <v>90</v>
      </c>
      <c r="K55" s="1" t="s">
        <v>121</v>
      </c>
      <c r="L55" s="1" t="s">
        <v>92</v>
      </c>
      <c r="M55" s="1">
        <v>8.0</v>
      </c>
      <c r="N55" s="1" t="s">
        <v>105</v>
      </c>
      <c r="O55" s="1" t="s">
        <v>106</v>
      </c>
      <c r="P55" s="1">
        <v>3.0</v>
      </c>
      <c r="Q55" s="1" t="s">
        <v>95</v>
      </c>
      <c r="R55" s="1" t="s">
        <v>95</v>
      </c>
      <c r="S55" s="1" t="s">
        <v>518</v>
      </c>
      <c r="T55" s="1" t="s">
        <v>519</v>
      </c>
    </row>
    <row r="56">
      <c r="A56" s="2">
        <v>43627.36140847222</v>
      </c>
      <c r="B56" s="1" t="s">
        <v>362</v>
      </c>
      <c r="C56" s="1" t="s">
        <v>84</v>
      </c>
      <c r="D56" s="1" t="s">
        <v>85</v>
      </c>
      <c r="E56" s="1">
        <v>5.0</v>
      </c>
      <c r="F56" s="1" t="s">
        <v>515</v>
      </c>
      <c r="G56" s="1" t="s">
        <v>126</v>
      </c>
      <c r="H56" s="1" t="s">
        <v>88</v>
      </c>
      <c r="I56" s="1" t="s">
        <v>114</v>
      </c>
      <c r="J56" s="1" t="s">
        <v>127</v>
      </c>
      <c r="K56" s="1" t="s">
        <v>205</v>
      </c>
      <c r="L56" s="1" t="s">
        <v>92</v>
      </c>
      <c r="M56" s="1">
        <v>9.0</v>
      </c>
      <c r="N56" s="1" t="s">
        <v>93</v>
      </c>
      <c r="O56" s="1" t="s">
        <v>94</v>
      </c>
      <c r="P56" s="1">
        <v>3.0</v>
      </c>
      <c r="Q56" s="1" t="s">
        <v>115</v>
      </c>
      <c r="R56" s="1" t="s">
        <v>95</v>
      </c>
      <c r="S56" s="1" t="s">
        <v>32</v>
      </c>
      <c r="T56" s="1" t="s">
        <v>520</v>
      </c>
      <c r="U56" s="1" t="s">
        <v>521</v>
      </c>
    </row>
    <row r="57">
      <c r="A57" s="2">
        <v>43627.37397189815</v>
      </c>
      <c r="B57" s="1" t="s">
        <v>424</v>
      </c>
      <c r="C57" s="1" t="s">
        <v>84</v>
      </c>
      <c r="D57" s="1" t="s">
        <v>522</v>
      </c>
      <c r="E57" s="1">
        <v>5.0</v>
      </c>
      <c r="F57" s="1" t="s">
        <v>523</v>
      </c>
      <c r="G57" s="1" t="s">
        <v>87</v>
      </c>
      <c r="H57" s="1" t="s">
        <v>111</v>
      </c>
      <c r="I57" s="1" t="s">
        <v>89</v>
      </c>
      <c r="J57" s="1" t="s">
        <v>90</v>
      </c>
      <c r="K57" s="1" t="s">
        <v>524</v>
      </c>
      <c r="L57" s="1" t="s">
        <v>104</v>
      </c>
      <c r="M57" s="1">
        <v>10.0</v>
      </c>
      <c r="N57" s="1" t="s">
        <v>105</v>
      </c>
      <c r="O57" s="1" t="s">
        <v>94</v>
      </c>
      <c r="P57" s="1">
        <v>3.0</v>
      </c>
      <c r="Q57" s="1" t="s">
        <v>115</v>
      </c>
      <c r="R57" s="1" t="s">
        <v>95</v>
      </c>
      <c r="S57" s="1" t="s">
        <v>32</v>
      </c>
      <c r="T57" s="1" t="s">
        <v>525</v>
      </c>
    </row>
    <row r="58">
      <c r="A58" s="2">
        <v>43627.38097878473</v>
      </c>
      <c r="B58" s="1" t="s">
        <v>289</v>
      </c>
      <c r="C58" s="1" t="s">
        <v>225</v>
      </c>
      <c r="D58" s="1" t="s">
        <v>85</v>
      </c>
      <c r="E58" s="1">
        <v>2.0</v>
      </c>
      <c r="F58" s="1" t="s">
        <v>526</v>
      </c>
      <c r="G58" s="1" t="s">
        <v>464</v>
      </c>
      <c r="H58" s="1" t="s">
        <v>102</v>
      </c>
      <c r="I58" s="1" t="s">
        <v>93</v>
      </c>
      <c r="J58" s="1" t="s">
        <v>112</v>
      </c>
      <c r="K58" s="1" t="s">
        <v>527</v>
      </c>
      <c r="L58" s="1" t="s">
        <v>104</v>
      </c>
      <c r="M58" s="1">
        <v>9.0</v>
      </c>
      <c r="N58" s="1" t="s">
        <v>93</v>
      </c>
      <c r="O58" s="1" t="s">
        <v>106</v>
      </c>
      <c r="P58" s="1">
        <v>2.0</v>
      </c>
      <c r="Q58" s="1" t="s">
        <v>95</v>
      </c>
      <c r="R58" s="1" t="s">
        <v>95</v>
      </c>
      <c r="S58" s="1" t="s">
        <v>25</v>
      </c>
      <c r="T58" s="1" t="s">
        <v>528</v>
      </c>
    </row>
    <row r="59">
      <c r="A59" s="2">
        <v>43627.38125798611</v>
      </c>
      <c r="B59" s="1" t="s">
        <v>137</v>
      </c>
      <c r="C59" s="1" t="s">
        <v>84</v>
      </c>
      <c r="D59" s="1" t="s">
        <v>522</v>
      </c>
      <c r="E59" s="1">
        <v>3.0</v>
      </c>
      <c r="F59" s="1" t="s">
        <v>529</v>
      </c>
      <c r="G59" s="1" t="s">
        <v>464</v>
      </c>
      <c r="H59" s="1" t="s">
        <v>111</v>
      </c>
      <c r="I59" s="1" t="s">
        <v>93</v>
      </c>
      <c r="J59" s="1" t="s">
        <v>127</v>
      </c>
      <c r="K59" s="1" t="s">
        <v>530</v>
      </c>
      <c r="L59" s="1" t="s">
        <v>104</v>
      </c>
      <c r="M59" s="1">
        <v>4.0</v>
      </c>
      <c r="N59" s="1" t="s">
        <v>114</v>
      </c>
      <c r="O59" s="1" t="s">
        <v>206</v>
      </c>
      <c r="P59" s="1">
        <v>1.0</v>
      </c>
      <c r="Q59" s="1" t="s">
        <v>115</v>
      </c>
      <c r="R59" s="1" t="s">
        <v>95</v>
      </c>
      <c r="S59" s="1" t="s">
        <v>33</v>
      </c>
      <c r="T59" s="1" t="s">
        <v>531</v>
      </c>
    </row>
    <row r="60">
      <c r="A60" s="2">
        <v>43627.38334237269</v>
      </c>
      <c r="B60" s="1" t="s">
        <v>220</v>
      </c>
      <c r="C60" s="1" t="s">
        <v>84</v>
      </c>
      <c r="D60" s="1" t="s">
        <v>532</v>
      </c>
      <c r="E60" s="1">
        <v>1.0</v>
      </c>
      <c r="F60" s="1" t="s">
        <v>533</v>
      </c>
      <c r="G60" s="1" t="s">
        <v>247</v>
      </c>
      <c r="H60" s="1" t="s">
        <v>88</v>
      </c>
      <c r="I60" s="1" t="s">
        <v>93</v>
      </c>
      <c r="J60" s="1" t="s">
        <v>90</v>
      </c>
      <c r="K60" s="1" t="s">
        <v>91</v>
      </c>
      <c r="L60" s="1" t="s">
        <v>92</v>
      </c>
      <c r="M60" s="1">
        <v>3.0</v>
      </c>
      <c r="N60" s="1" t="s">
        <v>114</v>
      </c>
      <c r="O60" s="1" t="s">
        <v>206</v>
      </c>
      <c r="P60" s="1">
        <v>1.0</v>
      </c>
      <c r="Q60" s="1" t="s">
        <v>115</v>
      </c>
      <c r="R60" s="1" t="s">
        <v>95</v>
      </c>
      <c r="S60" s="1" t="s">
        <v>33</v>
      </c>
      <c r="T60" s="1" t="s">
        <v>534</v>
      </c>
    </row>
    <row r="61">
      <c r="A61" s="2">
        <v>43627.38382701389</v>
      </c>
      <c r="B61" s="1" t="s">
        <v>298</v>
      </c>
      <c r="C61" s="1" t="s">
        <v>84</v>
      </c>
      <c r="D61" s="1" t="s">
        <v>532</v>
      </c>
      <c r="E61" s="1">
        <v>2.0</v>
      </c>
      <c r="F61" s="1" t="s">
        <v>286</v>
      </c>
      <c r="G61" s="1" t="s">
        <v>120</v>
      </c>
      <c r="H61" s="1" t="s">
        <v>88</v>
      </c>
      <c r="I61" s="1" t="s">
        <v>93</v>
      </c>
      <c r="J61" s="1" t="s">
        <v>90</v>
      </c>
      <c r="K61" s="1" t="s">
        <v>121</v>
      </c>
      <c r="L61" s="1" t="s">
        <v>92</v>
      </c>
      <c r="M61" s="1">
        <v>5.0</v>
      </c>
      <c r="N61" s="1" t="s">
        <v>114</v>
      </c>
      <c r="O61" s="1" t="s">
        <v>206</v>
      </c>
      <c r="P61" s="1">
        <v>1.0</v>
      </c>
      <c r="Q61" s="1" t="s">
        <v>115</v>
      </c>
      <c r="R61" s="1" t="s">
        <v>95</v>
      </c>
      <c r="S61" s="1" t="s">
        <v>33</v>
      </c>
      <c r="T61" s="1" t="s">
        <v>535</v>
      </c>
    </row>
    <row r="62">
      <c r="A62" s="2">
        <v>43627.39190766204</v>
      </c>
      <c r="B62" s="1" t="s">
        <v>364</v>
      </c>
      <c r="C62" s="1" t="s">
        <v>84</v>
      </c>
      <c r="D62" s="1" t="s">
        <v>532</v>
      </c>
      <c r="E62" s="1">
        <v>3.0</v>
      </c>
      <c r="F62" s="1" t="s">
        <v>536</v>
      </c>
      <c r="G62" s="1" t="s">
        <v>247</v>
      </c>
      <c r="H62" s="1" t="s">
        <v>111</v>
      </c>
      <c r="I62" s="1" t="s">
        <v>114</v>
      </c>
      <c r="J62" s="1" t="s">
        <v>90</v>
      </c>
      <c r="K62" s="1" t="s">
        <v>121</v>
      </c>
      <c r="L62" s="1" t="s">
        <v>92</v>
      </c>
      <c r="M62" s="1">
        <v>4.0</v>
      </c>
      <c r="N62" s="1" t="s">
        <v>114</v>
      </c>
      <c r="O62" s="1" t="s">
        <v>206</v>
      </c>
      <c r="P62" s="1">
        <v>1.0</v>
      </c>
      <c r="Q62" s="1" t="s">
        <v>115</v>
      </c>
      <c r="R62" s="1" t="s">
        <v>95</v>
      </c>
      <c r="S62" s="1" t="s">
        <v>33</v>
      </c>
      <c r="T62" s="1" t="s">
        <v>537</v>
      </c>
    </row>
    <row r="63">
      <c r="A63" s="2">
        <v>43627.407905879634</v>
      </c>
      <c r="B63" s="1" t="s">
        <v>293</v>
      </c>
      <c r="C63" s="1" t="s">
        <v>84</v>
      </c>
      <c r="D63" s="1" t="s">
        <v>98</v>
      </c>
      <c r="E63" s="1">
        <v>4.0</v>
      </c>
      <c r="F63" s="1" t="s">
        <v>538</v>
      </c>
      <c r="G63" s="1" t="s">
        <v>539</v>
      </c>
      <c r="H63" s="1" t="s">
        <v>102</v>
      </c>
      <c r="I63" s="1" t="s">
        <v>93</v>
      </c>
      <c r="J63" s="1" t="s">
        <v>127</v>
      </c>
      <c r="K63" s="1" t="s">
        <v>540</v>
      </c>
      <c r="L63" s="1" t="s">
        <v>104</v>
      </c>
      <c r="M63" s="1">
        <v>8.0</v>
      </c>
      <c r="N63" s="1" t="s">
        <v>93</v>
      </c>
      <c r="O63" s="1" t="s">
        <v>106</v>
      </c>
      <c r="P63" s="1">
        <v>1.0</v>
      </c>
      <c r="Q63" s="1" t="s">
        <v>95</v>
      </c>
      <c r="R63" s="1" t="s">
        <v>95</v>
      </c>
      <c r="S63" s="1" t="s">
        <v>29</v>
      </c>
      <c r="T63" s="1" t="s">
        <v>541</v>
      </c>
    </row>
    <row r="64">
      <c r="A64" s="2">
        <v>43627.45083688658</v>
      </c>
      <c r="B64" s="1" t="s">
        <v>423</v>
      </c>
      <c r="C64" s="1" t="s">
        <v>84</v>
      </c>
      <c r="D64" s="1" t="s">
        <v>85</v>
      </c>
      <c r="E64" s="1">
        <v>5.0</v>
      </c>
      <c r="F64" s="1" t="s">
        <v>542</v>
      </c>
      <c r="G64" s="1" t="s">
        <v>126</v>
      </c>
      <c r="H64" s="1" t="s">
        <v>88</v>
      </c>
      <c r="I64" s="1" t="s">
        <v>93</v>
      </c>
      <c r="J64" s="1" t="s">
        <v>90</v>
      </c>
      <c r="K64" s="1" t="s">
        <v>103</v>
      </c>
      <c r="L64" s="1" t="s">
        <v>92</v>
      </c>
      <c r="M64" s="1">
        <v>8.0</v>
      </c>
      <c r="N64" s="1" t="s">
        <v>114</v>
      </c>
      <c r="O64" s="1" t="s">
        <v>106</v>
      </c>
      <c r="P64" s="1">
        <v>1.0</v>
      </c>
      <c r="Q64" s="1" t="s">
        <v>95</v>
      </c>
      <c r="R64" s="1" t="s">
        <v>95</v>
      </c>
      <c r="S64" s="1" t="s">
        <v>465</v>
      </c>
      <c r="T64" s="1" t="s">
        <v>543</v>
      </c>
    </row>
    <row r="65">
      <c r="A65" s="2">
        <v>43627.46601173611</v>
      </c>
      <c r="B65" s="1" t="s">
        <v>139</v>
      </c>
      <c r="C65" s="1" t="s">
        <v>84</v>
      </c>
      <c r="D65" s="1" t="s">
        <v>85</v>
      </c>
      <c r="E65" s="1">
        <v>4.0</v>
      </c>
      <c r="F65" s="1" t="s">
        <v>544</v>
      </c>
      <c r="G65" s="1" t="s">
        <v>172</v>
      </c>
      <c r="H65" s="1" t="s">
        <v>111</v>
      </c>
      <c r="I65" s="1" t="s">
        <v>93</v>
      </c>
      <c r="J65" s="1" t="s">
        <v>127</v>
      </c>
      <c r="K65" s="1" t="s">
        <v>545</v>
      </c>
      <c r="L65" s="1" t="s">
        <v>92</v>
      </c>
      <c r="M65" s="1">
        <v>8.0</v>
      </c>
      <c r="N65" s="1" t="s">
        <v>93</v>
      </c>
      <c r="O65" s="1" t="s">
        <v>94</v>
      </c>
      <c r="P65" s="1">
        <v>3.0</v>
      </c>
      <c r="Q65" s="1" t="s">
        <v>95</v>
      </c>
      <c r="R65" s="1" t="s">
        <v>95</v>
      </c>
      <c r="S65" s="1" t="s">
        <v>35</v>
      </c>
      <c r="T65" s="1" t="s">
        <v>546</v>
      </c>
    </row>
    <row r="66">
      <c r="A66" s="2">
        <v>43627.47024494213</v>
      </c>
      <c r="B66" s="1" t="s">
        <v>418</v>
      </c>
      <c r="C66" s="1" t="s">
        <v>84</v>
      </c>
      <c r="D66" s="1" t="s">
        <v>85</v>
      </c>
      <c r="E66" s="1">
        <v>5.0</v>
      </c>
      <c r="F66" s="1" t="s">
        <v>547</v>
      </c>
      <c r="G66" s="1" t="s">
        <v>172</v>
      </c>
      <c r="H66" s="1" t="s">
        <v>88</v>
      </c>
      <c r="I66" s="1" t="s">
        <v>93</v>
      </c>
      <c r="J66" s="1" t="s">
        <v>90</v>
      </c>
      <c r="K66" s="1" t="s">
        <v>205</v>
      </c>
      <c r="L66" s="1" t="s">
        <v>92</v>
      </c>
      <c r="M66" s="1">
        <v>8.0</v>
      </c>
      <c r="N66" s="1" t="s">
        <v>93</v>
      </c>
      <c r="O66" s="1" t="s">
        <v>106</v>
      </c>
      <c r="P66" s="1">
        <v>3.0</v>
      </c>
      <c r="Q66" s="1" t="s">
        <v>95</v>
      </c>
      <c r="R66" s="1" t="s">
        <v>95</v>
      </c>
      <c r="S66" s="1" t="s">
        <v>26</v>
      </c>
      <c r="T66" s="1" t="s">
        <v>548</v>
      </c>
    </row>
    <row r="67">
      <c r="A67" s="2">
        <v>43627.47473865741</v>
      </c>
      <c r="B67" s="1" t="s">
        <v>138</v>
      </c>
      <c r="C67" s="1" t="s">
        <v>225</v>
      </c>
      <c r="D67" s="1" t="s">
        <v>98</v>
      </c>
      <c r="E67" s="1">
        <v>3.0</v>
      </c>
      <c r="F67" s="1" t="s">
        <v>549</v>
      </c>
      <c r="G67" s="1" t="s">
        <v>550</v>
      </c>
      <c r="H67" s="1" t="s">
        <v>111</v>
      </c>
      <c r="I67" s="1" t="s">
        <v>114</v>
      </c>
      <c r="J67" s="1" t="s">
        <v>90</v>
      </c>
      <c r="K67" s="1" t="s">
        <v>386</v>
      </c>
      <c r="L67" s="1" t="s">
        <v>152</v>
      </c>
      <c r="M67" s="1">
        <v>10.0</v>
      </c>
      <c r="N67" s="1" t="s">
        <v>105</v>
      </c>
      <c r="O67" s="1" t="s">
        <v>94</v>
      </c>
      <c r="P67" s="1">
        <v>5.0</v>
      </c>
      <c r="Q67" s="1" t="s">
        <v>95</v>
      </c>
      <c r="R67" s="1" t="s">
        <v>95</v>
      </c>
      <c r="S67" s="1" t="s">
        <v>34</v>
      </c>
      <c r="T67" s="1" t="s">
        <v>551</v>
      </c>
    </row>
    <row r="68">
      <c r="A68" s="2">
        <v>43627.474740150465</v>
      </c>
      <c r="B68" s="1" t="s">
        <v>221</v>
      </c>
      <c r="C68" s="1" t="s">
        <v>225</v>
      </c>
      <c r="D68" s="1" t="s">
        <v>98</v>
      </c>
      <c r="E68" s="1">
        <v>3.0</v>
      </c>
      <c r="F68" s="1" t="s">
        <v>552</v>
      </c>
      <c r="G68" s="1" t="s">
        <v>553</v>
      </c>
      <c r="H68" s="1" t="s">
        <v>111</v>
      </c>
      <c r="I68" s="1" t="s">
        <v>89</v>
      </c>
      <c r="J68" s="1" t="s">
        <v>554</v>
      </c>
      <c r="K68" s="1" t="s">
        <v>555</v>
      </c>
      <c r="L68" s="1" t="s">
        <v>104</v>
      </c>
      <c r="M68" s="1">
        <v>10.0</v>
      </c>
      <c r="N68" s="1" t="s">
        <v>105</v>
      </c>
      <c r="O68" s="1" t="s">
        <v>94</v>
      </c>
      <c r="P68" s="1">
        <v>5.0</v>
      </c>
      <c r="Q68" s="1" t="s">
        <v>95</v>
      </c>
      <c r="R68" s="1" t="s">
        <v>95</v>
      </c>
      <c r="S68" s="1" t="s">
        <v>556</v>
      </c>
      <c r="T68" s="1" t="s">
        <v>557</v>
      </c>
    </row>
    <row r="69">
      <c r="A69" s="2">
        <v>43627.47477826389</v>
      </c>
      <c r="B69" s="1" t="s">
        <v>300</v>
      </c>
      <c r="C69" s="1" t="s">
        <v>225</v>
      </c>
      <c r="D69" s="1" t="s">
        <v>85</v>
      </c>
      <c r="E69" s="1">
        <v>3.0</v>
      </c>
      <c r="F69" s="1" t="s">
        <v>517</v>
      </c>
      <c r="G69" s="1" t="s">
        <v>558</v>
      </c>
      <c r="H69" s="1" t="s">
        <v>102</v>
      </c>
      <c r="I69" s="1" t="s">
        <v>93</v>
      </c>
      <c r="J69" s="1" t="s">
        <v>554</v>
      </c>
      <c r="K69" s="1" t="s">
        <v>559</v>
      </c>
      <c r="L69" s="1" t="s">
        <v>104</v>
      </c>
      <c r="M69" s="1">
        <v>10.0</v>
      </c>
      <c r="N69" s="1" t="s">
        <v>105</v>
      </c>
      <c r="O69" s="1" t="s">
        <v>94</v>
      </c>
      <c r="P69" s="1">
        <v>5.0</v>
      </c>
      <c r="Q69" s="1" t="s">
        <v>95</v>
      </c>
      <c r="R69" s="1" t="s">
        <v>95</v>
      </c>
      <c r="S69" s="1" t="s">
        <v>556</v>
      </c>
      <c r="T69" s="1" t="s">
        <v>560</v>
      </c>
    </row>
    <row r="70">
      <c r="A70" s="2">
        <v>43627.474909386576</v>
      </c>
      <c r="B70" s="1" t="s">
        <v>365</v>
      </c>
      <c r="C70" s="1" t="s">
        <v>84</v>
      </c>
      <c r="D70" s="1" t="s">
        <v>98</v>
      </c>
      <c r="E70" s="1">
        <v>3.0</v>
      </c>
      <c r="F70" s="1" t="s">
        <v>561</v>
      </c>
      <c r="G70" s="1" t="s">
        <v>562</v>
      </c>
      <c r="H70" s="1" t="s">
        <v>111</v>
      </c>
      <c r="I70" s="1" t="s">
        <v>93</v>
      </c>
      <c r="J70" s="1" t="s">
        <v>554</v>
      </c>
      <c r="K70" s="1" t="s">
        <v>563</v>
      </c>
      <c r="L70" s="1" t="s">
        <v>122</v>
      </c>
      <c r="M70" s="1">
        <v>10.0</v>
      </c>
      <c r="N70" s="1" t="s">
        <v>105</v>
      </c>
      <c r="O70" s="1" t="s">
        <v>94</v>
      </c>
      <c r="P70" s="1">
        <v>5.0</v>
      </c>
      <c r="Q70" s="1" t="s">
        <v>95</v>
      </c>
      <c r="R70" s="1" t="s">
        <v>95</v>
      </c>
      <c r="S70" s="1" t="s">
        <v>34</v>
      </c>
      <c r="T70" s="1" t="s">
        <v>564</v>
      </c>
    </row>
    <row r="71">
      <c r="A71" s="2">
        <v>43627.47496175926</v>
      </c>
      <c r="B71" s="1" t="s">
        <v>426</v>
      </c>
      <c r="C71" s="1" t="s">
        <v>225</v>
      </c>
      <c r="D71" s="1" t="s">
        <v>98</v>
      </c>
      <c r="E71" s="1">
        <v>3.0</v>
      </c>
      <c r="F71" s="1" t="s">
        <v>565</v>
      </c>
      <c r="G71" s="1" t="s">
        <v>562</v>
      </c>
      <c r="H71" s="1" t="s">
        <v>102</v>
      </c>
      <c r="I71" s="1" t="s">
        <v>93</v>
      </c>
      <c r="J71" s="1" t="s">
        <v>127</v>
      </c>
      <c r="K71" s="1" t="s">
        <v>555</v>
      </c>
      <c r="L71" s="1" t="s">
        <v>104</v>
      </c>
      <c r="M71" s="1">
        <v>10.0</v>
      </c>
      <c r="N71" s="1" t="s">
        <v>105</v>
      </c>
      <c r="O71" s="1" t="s">
        <v>94</v>
      </c>
      <c r="P71" s="1">
        <v>5.0</v>
      </c>
      <c r="Q71" s="1" t="s">
        <v>95</v>
      </c>
      <c r="R71" s="1" t="s">
        <v>95</v>
      </c>
      <c r="S71" s="1" t="s">
        <v>34</v>
      </c>
      <c r="T71" s="1" t="s">
        <v>115</v>
      </c>
    </row>
    <row r="74">
      <c r="A74" s="2"/>
    </row>
    <row r="75">
      <c r="A75" s="2">
        <v>43627.53954657407</v>
      </c>
      <c r="B75" s="1" t="s">
        <v>223</v>
      </c>
      <c r="C75" s="1" t="s">
        <v>84</v>
      </c>
      <c r="D75" s="1" t="s">
        <v>85</v>
      </c>
      <c r="E75" s="1">
        <v>4.0</v>
      </c>
      <c r="F75" s="1" t="s">
        <v>567</v>
      </c>
      <c r="G75" s="1" t="s">
        <v>172</v>
      </c>
      <c r="H75" s="1" t="s">
        <v>111</v>
      </c>
      <c r="I75" s="1" t="s">
        <v>93</v>
      </c>
      <c r="J75" s="1" t="s">
        <v>127</v>
      </c>
      <c r="K75" s="1" t="s">
        <v>205</v>
      </c>
      <c r="L75" s="1" t="s">
        <v>92</v>
      </c>
      <c r="M75" s="1">
        <v>8.0</v>
      </c>
      <c r="N75" s="1" t="s">
        <v>93</v>
      </c>
      <c r="O75" s="1" t="s">
        <v>94</v>
      </c>
      <c r="P75" s="1">
        <v>1.0</v>
      </c>
      <c r="Q75" s="1" t="s">
        <v>95</v>
      </c>
      <c r="R75" s="1" t="s">
        <v>95</v>
      </c>
      <c r="S75" s="1" t="s">
        <v>35</v>
      </c>
      <c r="T75" s="1" t="s">
        <v>568</v>
      </c>
    </row>
    <row r="76">
      <c r="A76" s="2"/>
    </row>
    <row r="77">
      <c r="A77" s="2">
        <v>43627.57668434028</v>
      </c>
      <c r="B77" s="1" t="s">
        <v>142</v>
      </c>
      <c r="C77" s="1" t="s">
        <v>166</v>
      </c>
      <c r="D77" s="1" t="s">
        <v>98</v>
      </c>
      <c r="E77" s="1">
        <v>3.0</v>
      </c>
      <c r="F77" s="1" t="s">
        <v>569</v>
      </c>
      <c r="G77" s="1" t="s">
        <v>172</v>
      </c>
      <c r="H77" s="1" t="s">
        <v>102</v>
      </c>
      <c r="I77" s="1" t="s">
        <v>89</v>
      </c>
      <c r="J77" s="1" t="s">
        <v>90</v>
      </c>
      <c r="K77" s="1" t="s">
        <v>524</v>
      </c>
      <c r="L77" s="1" t="s">
        <v>152</v>
      </c>
      <c r="M77" s="1">
        <v>10.0</v>
      </c>
      <c r="N77" s="1" t="s">
        <v>93</v>
      </c>
      <c r="O77" s="1" t="s">
        <v>106</v>
      </c>
      <c r="P77" s="1">
        <v>1.0</v>
      </c>
      <c r="Q77" s="1" t="s">
        <v>95</v>
      </c>
      <c r="R77" s="1" t="s">
        <v>95</v>
      </c>
      <c r="S77" s="1" t="s">
        <v>37</v>
      </c>
      <c r="T77" s="1" t="s">
        <v>571</v>
      </c>
    </row>
    <row r="78">
      <c r="A78" s="2">
        <v>43627.65763758102</v>
      </c>
      <c r="B78" s="1" t="s">
        <v>358</v>
      </c>
      <c r="C78" s="1" t="s">
        <v>84</v>
      </c>
      <c r="D78" s="1" t="s">
        <v>98</v>
      </c>
      <c r="E78" s="1">
        <v>4.0</v>
      </c>
      <c r="F78" s="1" t="s">
        <v>511</v>
      </c>
      <c r="G78" s="1" t="s">
        <v>572</v>
      </c>
      <c r="H78" s="1" t="s">
        <v>102</v>
      </c>
      <c r="I78" s="1" t="s">
        <v>93</v>
      </c>
      <c r="J78" s="1" t="s">
        <v>90</v>
      </c>
      <c r="K78" s="1" t="s">
        <v>205</v>
      </c>
      <c r="L78" s="1" t="s">
        <v>104</v>
      </c>
      <c r="M78" s="1">
        <v>10.0</v>
      </c>
      <c r="N78" s="1" t="s">
        <v>105</v>
      </c>
      <c r="O78" s="1" t="s">
        <v>106</v>
      </c>
      <c r="P78" s="1">
        <v>1.0</v>
      </c>
      <c r="Q78" s="1" t="s">
        <v>115</v>
      </c>
      <c r="R78" s="1" t="s">
        <v>95</v>
      </c>
      <c r="S78" s="1" t="s">
        <v>29</v>
      </c>
      <c r="T78" s="1" t="s">
        <v>573</v>
      </c>
    </row>
    <row r="79">
      <c r="A79" s="2">
        <v>43627.73244280093</v>
      </c>
      <c r="B79" s="1" t="s">
        <v>143</v>
      </c>
      <c r="C79" s="1" t="s">
        <v>84</v>
      </c>
      <c r="D79" s="1" t="s">
        <v>522</v>
      </c>
      <c r="E79" s="1">
        <v>2.0</v>
      </c>
      <c r="F79" s="1" t="s">
        <v>574</v>
      </c>
      <c r="G79" s="1" t="s">
        <v>575</v>
      </c>
      <c r="H79" s="1" t="s">
        <v>102</v>
      </c>
      <c r="I79" s="1" t="s">
        <v>89</v>
      </c>
      <c r="J79" s="1" t="s">
        <v>554</v>
      </c>
      <c r="K79" s="1" t="s">
        <v>576</v>
      </c>
      <c r="L79" s="1" t="s">
        <v>92</v>
      </c>
      <c r="M79" s="1">
        <v>3.0</v>
      </c>
      <c r="N79" s="1" t="s">
        <v>114</v>
      </c>
      <c r="O79" s="1" t="s">
        <v>206</v>
      </c>
      <c r="P79" s="1">
        <v>2.0</v>
      </c>
      <c r="Q79" s="1" t="s">
        <v>95</v>
      </c>
      <c r="R79" s="1" t="s">
        <v>95</v>
      </c>
      <c r="S79" s="1" t="s">
        <v>577</v>
      </c>
      <c r="T79" s="1" t="s">
        <v>578</v>
      </c>
    </row>
    <row r="80">
      <c r="A80" s="2">
        <v>43627.75302493056</v>
      </c>
      <c r="B80" s="1" t="s">
        <v>141</v>
      </c>
      <c r="C80" s="1" t="s">
        <v>84</v>
      </c>
      <c r="D80" s="1" t="s">
        <v>98</v>
      </c>
      <c r="E80" s="1">
        <v>3.0</v>
      </c>
      <c r="F80" s="1" t="s">
        <v>579</v>
      </c>
      <c r="G80" s="1" t="s">
        <v>126</v>
      </c>
      <c r="H80" s="1" t="s">
        <v>111</v>
      </c>
      <c r="I80" s="1" t="s">
        <v>209</v>
      </c>
      <c r="J80" s="1" t="s">
        <v>112</v>
      </c>
      <c r="K80" s="1" t="s">
        <v>580</v>
      </c>
      <c r="L80" s="1" t="s">
        <v>122</v>
      </c>
      <c r="M80" s="1">
        <v>10.0</v>
      </c>
      <c r="N80" s="1" t="s">
        <v>105</v>
      </c>
      <c r="O80" s="1" t="s">
        <v>94</v>
      </c>
      <c r="P80" s="1">
        <v>3.0</v>
      </c>
      <c r="Q80" s="1" t="s">
        <v>95</v>
      </c>
      <c r="R80" s="1" t="s">
        <v>95</v>
      </c>
      <c r="S80" s="1" t="s">
        <v>36</v>
      </c>
      <c r="T80" s="1" t="s">
        <v>581</v>
      </c>
    </row>
    <row r="81">
      <c r="A81" s="2">
        <v>43627.76173637732</v>
      </c>
      <c r="B81" s="1" t="s">
        <v>224</v>
      </c>
      <c r="C81" s="1" t="s">
        <v>166</v>
      </c>
      <c r="D81" s="1" t="s">
        <v>98</v>
      </c>
      <c r="E81" s="1">
        <v>3.0</v>
      </c>
      <c r="F81" s="1" t="s">
        <v>582</v>
      </c>
      <c r="G81" s="1" t="s">
        <v>87</v>
      </c>
      <c r="H81" s="1" t="s">
        <v>111</v>
      </c>
      <c r="I81" s="1" t="s">
        <v>114</v>
      </c>
      <c r="J81" s="1" t="s">
        <v>90</v>
      </c>
      <c r="K81" s="1" t="s">
        <v>91</v>
      </c>
      <c r="L81" s="1" t="s">
        <v>122</v>
      </c>
      <c r="M81" s="1">
        <v>10.0</v>
      </c>
      <c r="N81" s="1" t="s">
        <v>105</v>
      </c>
      <c r="O81" s="1" t="s">
        <v>94</v>
      </c>
      <c r="P81" s="1">
        <v>2.0</v>
      </c>
      <c r="Q81" s="1" t="s">
        <v>95</v>
      </c>
      <c r="R81" s="1" t="s">
        <v>95</v>
      </c>
      <c r="S81" s="1" t="s">
        <v>36</v>
      </c>
      <c r="T81" s="1" t="s">
        <v>583</v>
      </c>
    </row>
    <row r="82">
      <c r="A82" s="2">
        <v>43627.83635711805</v>
      </c>
      <c r="B82" s="1" t="s">
        <v>301</v>
      </c>
      <c r="C82" s="1" t="s">
        <v>84</v>
      </c>
      <c r="D82" s="1" t="s">
        <v>85</v>
      </c>
      <c r="E82" s="1">
        <v>4.0</v>
      </c>
      <c r="F82" s="1" t="s">
        <v>584</v>
      </c>
      <c r="G82" s="1" t="s">
        <v>585</v>
      </c>
      <c r="H82" s="1" t="s">
        <v>111</v>
      </c>
      <c r="I82" s="1" t="s">
        <v>93</v>
      </c>
      <c r="J82" s="1" t="s">
        <v>127</v>
      </c>
      <c r="K82" s="1" t="s">
        <v>205</v>
      </c>
      <c r="L82" s="1" t="s">
        <v>92</v>
      </c>
      <c r="M82" s="1">
        <v>8.0</v>
      </c>
      <c r="N82" s="1" t="s">
        <v>93</v>
      </c>
      <c r="O82" s="1" t="s">
        <v>106</v>
      </c>
      <c r="P82" s="1">
        <v>2.0</v>
      </c>
      <c r="Q82" s="1" t="s">
        <v>95</v>
      </c>
      <c r="R82" s="1" t="s">
        <v>95</v>
      </c>
      <c r="S82" s="1" t="s">
        <v>586</v>
      </c>
      <c r="T82" s="1" t="s">
        <v>587</v>
      </c>
    </row>
    <row r="83">
      <c r="A83" s="2">
        <v>43627.840697754626</v>
      </c>
      <c r="B83" s="1" t="s">
        <v>366</v>
      </c>
      <c r="C83" s="1" t="s">
        <v>84</v>
      </c>
      <c r="D83" s="1" t="s">
        <v>85</v>
      </c>
      <c r="E83" s="1">
        <v>4.0</v>
      </c>
      <c r="F83" s="1" t="s">
        <v>588</v>
      </c>
      <c r="G83" s="1" t="s">
        <v>589</v>
      </c>
      <c r="H83" s="1" t="s">
        <v>102</v>
      </c>
      <c r="I83" s="1" t="s">
        <v>93</v>
      </c>
      <c r="J83" s="1" t="s">
        <v>127</v>
      </c>
      <c r="K83" s="1" t="s">
        <v>205</v>
      </c>
      <c r="L83" s="1" t="s">
        <v>92</v>
      </c>
      <c r="M83" s="1">
        <v>7.0</v>
      </c>
      <c r="N83" s="1" t="s">
        <v>93</v>
      </c>
      <c r="O83" s="1" t="s">
        <v>106</v>
      </c>
      <c r="P83" s="1">
        <v>4.0</v>
      </c>
      <c r="Q83" s="1" t="s">
        <v>95</v>
      </c>
      <c r="R83" s="1" t="s">
        <v>95</v>
      </c>
      <c r="S83" s="1" t="s">
        <v>590</v>
      </c>
      <c r="T83" s="1" t="s">
        <v>591</v>
      </c>
    </row>
    <row r="84">
      <c r="A84" s="2">
        <v>43627.84141126157</v>
      </c>
      <c r="B84" s="1" t="s">
        <v>468</v>
      </c>
      <c r="C84" s="1" t="s">
        <v>166</v>
      </c>
      <c r="D84" s="1" t="s">
        <v>85</v>
      </c>
      <c r="E84" s="1">
        <v>3.0</v>
      </c>
      <c r="F84" s="1" t="s">
        <v>592</v>
      </c>
      <c r="G84" s="1" t="s">
        <v>247</v>
      </c>
      <c r="H84" s="1" t="s">
        <v>102</v>
      </c>
      <c r="I84" s="1" t="s">
        <v>209</v>
      </c>
      <c r="J84" s="1" t="s">
        <v>112</v>
      </c>
      <c r="K84" s="1" t="s">
        <v>113</v>
      </c>
      <c r="L84" s="1" t="s">
        <v>104</v>
      </c>
      <c r="M84" s="1">
        <v>7.0</v>
      </c>
      <c r="N84" s="1" t="s">
        <v>93</v>
      </c>
      <c r="O84" s="1" t="s">
        <v>206</v>
      </c>
      <c r="P84" s="1">
        <v>1.0</v>
      </c>
      <c r="Q84" s="1" t="s">
        <v>95</v>
      </c>
      <c r="R84" s="1" t="s">
        <v>95</v>
      </c>
      <c r="S84" s="1" t="s">
        <v>26</v>
      </c>
      <c r="T84" s="1" t="s">
        <v>593</v>
      </c>
    </row>
    <row r="85">
      <c r="A85" s="2">
        <v>43627.91430295139</v>
      </c>
      <c r="B85" s="1" t="s">
        <v>228</v>
      </c>
      <c r="C85" s="1" t="s">
        <v>84</v>
      </c>
      <c r="D85" s="1" t="s">
        <v>522</v>
      </c>
      <c r="E85" s="1">
        <v>3.0</v>
      </c>
      <c r="F85" s="1" t="s">
        <v>594</v>
      </c>
      <c r="G85" s="1" t="s">
        <v>595</v>
      </c>
      <c r="H85" s="1" t="s">
        <v>209</v>
      </c>
      <c r="I85" s="1" t="s">
        <v>89</v>
      </c>
      <c r="J85" s="1" t="s">
        <v>554</v>
      </c>
      <c r="K85" s="1" t="s">
        <v>524</v>
      </c>
      <c r="L85" s="1" t="s">
        <v>152</v>
      </c>
      <c r="M85" s="1">
        <v>7.0</v>
      </c>
      <c r="N85" s="1" t="s">
        <v>114</v>
      </c>
      <c r="O85" s="1" t="s">
        <v>206</v>
      </c>
      <c r="P85" s="1">
        <v>2.0</v>
      </c>
      <c r="Q85" s="1" t="s">
        <v>95</v>
      </c>
      <c r="R85" s="1" t="s">
        <v>95</v>
      </c>
      <c r="S85" s="1" t="s">
        <v>577</v>
      </c>
      <c r="T85" s="1" t="s">
        <v>596</v>
      </c>
    </row>
    <row r="86">
      <c r="A86" s="2">
        <v>43627.96573019676</v>
      </c>
      <c r="B86" s="1" t="s">
        <v>226</v>
      </c>
      <c r="C86" s="1" t="s">
        <v>84</v>
      </c>
      <c r="D86" s="1" t="s">
        <v>98</v>
      </c>
      <c r="E86" s="1">
        <v>4.0</v>
      </c>
      <c r="F86" s="1" t="s">
        <v>597</v>
      </c>
      <c r="G86" s="1" t="s">
        <v>598</v>
      </c>
      <c r="H86" s="1" t="s">
        <v>102</v>
      </c>
      <c r="I86" s="1" t="s">
        <v>114</v>
      </c>
      <c r="J86" s="1" t="s">
        <v>90</v>
      </c>
      <c r="K86" s="1" t="s">
        <v>121</v>
      </c>
      <c r="L86" s="1" t="s">
        <v>104</v>
      </c>
      <c r="M86" s="1">
        <v>5.0</v>
      </c>
      <c r="N86" s="1" t="s">
        <v>114</v>
      </c>
      <c r="O86" s="1" t="s">
        <v>206</v>
      </c>
      <c r="P86" s="1">
        <v>3.0</v>
      </c>
      <c r="Q86" s="1" t="s">
        <v>95</v>
      </c>
      <c r="R86" s="1" t="s">
        <v>95</v>
      </c>
      <c r="S86" s="1" t="s">
        <v>37</v>
      </c>
      <c r="T86" s="1" t="s">
        <v>599</v>
      </c>
    </row>
    <row r="87">
      <c r="A87" s="2">
        <v>43628.45620925926</v>
      </c>
      <c r="B87" s="1" t="s">
        <v>147</v>
      </c>
      <c r="C87" s="1" t="s">
        <v>166</v>
      </c>
      <c r="D87" s="1" t="s">
        <v>532</v>
      </c>
      <c r="E87" s="1">
        <v>2.0</v>
      </c>
      <c r="F87" s="1" t="s">
        <v>481</v>
      </c>
      <c r="G87" s="1" t="s">
        <v>100</v>
      </c>
      <c r="H87" s="1" t="s">
        <v>102</v>
      </c>
      <c r="I87" s="1" t="s">
        <v>93</v>
      </c>
      <c r="J87" s="1" t="s">
        <v>112</v>
      </c>
      <c r="K87" s="1" t="s">
        <v>600</v>
      </c>
      <c r="L87" s="1" t="s">
        <v>104</v>
      </c>
      <c r="M87" s="1">
        <v>7.0</v>
      </c>
      <c r="N87" s="1" t="s">
        <v>114</v>
      </c>
      <c r="O87" s="1" t="s">
        <v>106</v>
      </c>
      <c r="P87" s="1">
        <v>1.0</v>
      </c>
      <c r="Q87" s="1" t="s">
        <v>115</v>
      </c>
      <c r="R87" s="1" t="s">
        <v>95</v>
      </c>
      <c r="S87" s="1" t="s">
        <v>40</v>
      </c>
      <c r="T87" s="1" t="s">
        <v>601</v>
      </c>
    </row>
    <row r="88">
      <c r="A88" s="2">
        <v>43628.66689721065</v>
      </c>
      <c r="B88" s="1" t="s">
        <v>472</v>
      </c>
      <c r="C88" s="1" t="s">
        <v>84</v>
      </c>
      <c r="D88" s="1" t="s">
        <v>98</v>
      </c>
      <c r="E88" s="1">
        <v>4.0</v>
      </c>
      <c r="F88" s="1" t="s">
        <v>170</v>
      </c>
      <c r="G88" s="1" t="s">
        <v>126</v>
      </c>
      <c r="H88" s="1" t="s">
        <v>111</v>
      </c>
      <c r="I88" s="1" t="s">
        <v>114</v>
      </c>
      <c r="J88" s="1" t="s">
        <v>127</v>
      </c>
      <c r="K88" s="1" t="s">
        <v>603</v>
      </c>
      <c r="L88" s="1" t="s">
        <v>152</v>
      </c>
      <c r="M88" s="1">
        <v>8.0</v>
      </c>
      <c r="N88" s="1" t="s">
        <v>114</v>
      </c>
      <c r="O88" s="1" t="s">
        <v>206</v>
      </c>
      <c r="P88" s="1">
        <v>2.0</v>
      </c>
      <c r="Q88" s="1" t="s">
        <v>115</v>
      </c>
      <c r="R88" s="1" t="s">
        <v>95</v>
      </c>
      <c r="S88" s="1" t="s">
        <v>605</v>
      </c>
      <c r="T88" s="1" t="s">
        <v>606</v>
      </c>
    </row>
    <row r="89">
      <c r="A89" s="2">
        <v>43628.67907050926</v>
      </c>
      <c r="B89" s="1" t="s">
        <v>419</v>
      </c>
      <c r="C89" s="1" t="s">
        <v>225</v>
      </c>
      <c r="D89" s="1" t="s">
        <v>98</v>
      </c>
      <c r="E89" s="1">
        <v>3.0</v>
      </c>
      <c r="F89" s="1" t="s">
        <v>607</v>
      </c>
      <c r="G89" s="1" t="s">
        <v>100</v>
      </c>
      <c r="H89" s="1" t="s">
        <v>102</v>
      </c>
      <c r="I89" s="1" t="s">
        <v>93</v>
      </c>
      <c r="J89" s="1" t="s">
        <v>90</v>
      </c>
      <c r="K89" s="1" t="s">
        <v>103</v>
      </c>
      <c r="L89" s="1" t="s">
        <v>92</v>
      </c>
      <c r="M89" s="1">
        <v>7.0</v>
      </c>
      <c r="N89" s="1" t="s">
        <v>93</v>
      </c>
      <c r="O89" s="1" t="s">
        <v>106</v>
      </c>
      <c r="P89" s="1">
        <v>3.0</v>
      </c>
      <c r="Q89" s="1" t="s">
        <v>115</v>
      </c>
      <c r="R89" s="1" t="s">
        <v>95</v>
      </c>
      <c r="S89" s="1" t="s">
        <v>29</v>
      </c>
      <c r="T89" s="1" t="s">
        <v>608</v>
      </c>
    </row>
    <row r="90">
      <c r="A90" s="2">
        <v>43628.71466922454</v>
      </c>
      <c r="B90" s="1" t="s">
        <v>229</v>
      </c>
      <c r="C90" s="1" t="s">
        <v>84</v>
      </c>
      <c r="D90" s="1" t="s">
        <v>98</v>
      </c>
      <c r="E90" s="1">
        <v>5.0</v>
      </c>
      <c r="F90" s="1" t="s">
        <v>109</v>
      </c>
      <c r="G90" s="1" t="s">
        <v>609</v>
      </c>
      <c r="H90" s="1" t="s">
        <v>111</v>
      </c>
      <c r="I90" s="1" t="s">
        <v>93</v>
      </c>
      <c r="J90" s="1" t="s">
        <v>127</v>
      </c>
      <c r="K90" s="1" t="s">
        <v>610</v>
      </c>
      <c r="L90" s="1" t="s">
        <v>122</v>
      </c>
      <c r="M90" s="1">
        <v>5.0</v>
      </c>
      <c r="N90" s="1" t="s">
        <v>130</v>
      </c>
      <c r="O90" s="1" t="s">
        <v>206</v>
      </c>
      <c r="P90" s="1">
        <v>1.0</v>
      </c>
      <c r="Q90" s="1" t="s">
        <v>95</v>
      </c>
      <c r="R90" s="1" t="s">
        <v>95</v>
      </c>
      <c r="S90" s="1" t="s">
        <v>611</v>
      </c>
      <c r="T90" s="1" t="s">
        <v>612</v>
      </c>
    </row>
    <row r="91">
      <c r="A91" s="2">
        <v>43628.71848671296</v>
      </c>
      <c r="B91" s="1" t="s">
        <v>308</v>
      </c>
      <c r="C91" s="1" t="s">
        <v>84</v>
      </c>
      <c r="D91" s="1" t="s">
        <v>98</v>
      </c>
      <c r="E91" s="1">
        <v>4.0</v>
      </c>
      <c r="F91" s="1" t="s">
        <v>515</v>
      </c>
      <c r="G91" s="1" t="s">
        <v>120</v>
      </c>
      <c r="H91" s="1" t="s">
        <v>111</v>
      </c>
      <c r="I91" s="1" t="s">
        <v>93</v>
      </c>
      <c r="J91" s="1" t="s">
        <v>127</v>
      </c>
      <c r="K91" s="1" t="s">
        <v>614</v>
      </c>
      <c r="L91" s="1" t="s">
        <v>122</v>
      </c>
      <c r="M91" s="1">
        <v>5.0</v>
      </c>
      <c r="N91" s="1" t="s">
        <v>114</v>
      </c>
      <c r="O91" s="1" t="s">
        <v>206</v>
      </c>
      <c r="P91" s="1">
        <v>1.0</v>
      </c>
      <c r="Q91" s="1" t="s">
        <v>95</v>
      </c>
      <c r="R91" s="1" t="s">
        <v>95</v>
      </c>
      <c r="S91" s="1" t="s">
        <v>615</v>
      </c>
      <c r="T91" s="1" t="s">
        <v>616</v>
      </c>
    </row>
    <row r="92">
      <c r="A92" s="2">
        <v>43628.72189568287</v>
      </c>
      <c r="B92" s="1" t="s">
        <v>148</v>
      </c>
      <c r="C92" s="1" t="s">
        <v>166</v>
      </c>
      <c r="D92" s="1" t="s">
        <v>85</v>
      </c>
      <c r="E92" s="1">
        <v>3.0</v>
      </c>
      <c r="F92" s="1" t="s">
        <v>617</v>
      </c>
      <c r="G92" s="1" t="s">
        <v>172</v>
      </c>
      <c r="H92" s="1" t="s">
        <v>102</v>
      </c>
      <c r="I92" s="1" t="s">
        <v>93</v>
      </c>
      <c r="J92" s="1" t="s">
        <v>112</v>
      </c>
      <c r="K92" s="1" t="s">
        <v>103</v>
      </c>
      <c r="L92" s="1" t="s">
        <v>104</v>
      </c>
      <c r="M92" s="1">
        <v>2.0</v>
      </c>
      <c r="N92" s="1" t="s">
        <v>130</v>
      </c>
      <c r="O92" s="1" t="s">
        <v>206</v>
      </c>
      <c r="P92" s="1">
        <v>1.0</v>
      </c>
      <c r="Q92" s="1" t="s">
        <v>115</v>
      </c>
      <c r="R92" s="1" t="s">
        <v>95</v>
      </c>
      <c r="S92" s="1" t="s">
        <v>618</v>
      </c>
      <c r="T92" s="1" t="s">
        <v>619</v>
      </c>
    </row>
    <row r="93">
      <c r="A93" s="2">
        <v>43628.728663726855</v>
      </c>
      <c r="B93" s="1" t="s">
        <v>230</v>
      </c>
      <c r="C93" s="1" t="s">
        <v>84</v>
      </c>
      <c r="D93" s="1" t="s">
        <v>85</v>
      </c>
      <c r="E93" s="1">
        <v>4.0</v>
      </c>
      <c r="F93" s="1" t="s">
        <v>620</v>
      </c>
      <c r="G93" s="1" t="s">
        <v>621</v>
      </c>
      <c r="H93" s="1" t="s">
        <v>111</v>
      </c>
      <c r="I93" s="1" t="s">
        <v>93</v>
      </c>
      <c r="J93" s="1" t="s">
        <v>127</v>
      </c>
      <c r="K93" s="1" t="s">
        <v>622</v>
      </c>
      <c r="L93" s="1" t="s">
        <v>122</v>
      </c>
      <c r="M93" s="1">
        <v>6.0</v>
      </c>
      <c r="N93" s="1" t="s">
        <v>114</v>
      </c>
      <c r="O93" s="1" t="s">
        <v>106</v>
      </c>
      <c r="P93" s="1">
        <v>1.0</v>
      </c>
      <c r="Q93" s="1" t="s">
        <v>95</v>
      </c>
      <c r="R93" s="1" t="s">
        <v>95</v>
      </c>
      <c r="S93" s="1" t="s">
        <v>623</v>
      </c>
      <c r="T93" s="1" t="s">
        <v>624</v>
      </c>
    </row>
    <row r="94">
      <c r="A94" s="2">
        <v>43628.73207828704</v>
      </c>
      <c r="B94" s="1" t="s">
        <v>309</v>
      </c>
      <c r="C94" s="1" t="s">
        <v>84</v>
      </c>
      <c r="D94" s="1" t="s">
        <v>85</v>
      </c>
      <c r="E94" s="1">
        <v>4.0</v>
      </c>
      <c r="F94" s="1" t="s">
        <v>511</v>
      </c>
      <c r="G94" s="1" t="s">
        <v>126</v>
      </c>
      <c r="H94" s="1" t="s">
        <v>111</v>
      </c>
      <c r="I94" s="1" t="s">
        <v>93</v>
      </c>
      <c r="J94" s="1" t="s">
        <v>90</v>
      </c>
      <c r="K94" s="1" t="s">
        <v>625</v>
      </c>
      <c r="L94" s="1" t="s">
        <v>104</v>
      </c>
      <c r="M94" s="1">
        <v>8.0</v>
      </c>
      <c r="N94" s="1" t="s">
        <v>114</v>
      </c>
      <c r="O94" s="1" t="s">
        <v>206</v>
      </c>
      <c r="P94" s="1">
        <v>2.0</v>
      </c>
      <c r="Q94" s="1" t="s">
        <v>95</v>
      </c>
      <c r="R94" s="1" t="s">
        <v>95</v>
      </c>
      <c r="S94" s="1" t="s">
        <v>623</v>
      </c>
      <c r="T94" s="1" t="s">
        <v>626</v>
      </c>
    </row>
    <row r="95">
      <c r="A95" s="2">
        <v>43628.79684616898</v>
      </c>
      <c r="B95" s="1" t="s">
        <v>371</v>
      </c>
      <c r="C95" s="1" t="s">
        <v>225</v>
      </c>
      <c r="D95" s="1" t="s">
        <v>506</v>
      </c>
      <c r="E95" s="1">
        <v>3.0</v>
      </c>
      <c r="F95" s="1" t="s">
        <v>627</v>
      </c>
      <c r="G95" s="1" t="s">
        <v>120</v>
      </c>
      <c r="H95" s="1" t="s">
        <v>111</v>
      </c>
      <c r="I95" s="1" t="s">
        <v>93</v>
      </c>
      <c r="J95" s="1" t="s">
        <v>127</v>
      </c>
      <c r="K95" s="1" t="s">
        <v>628</v>
      </c>
      <c r="L95" s="1" t="s">
        <v>122</v>
      </c>
      <c r="M95" s="1">
        <v>5.0</v>
      </c>
      <c r="N95" s="1" t="s">
        <v>130</v>
      </c>
      <c r="O95" s="1" t="s">
        <v>206</v>
      </c>
      <c r="P95" s="1">
        <v>1.0</v>
      </c>
      <c r="Q95" s="1" t="s">
        <v>115</v>
      </c>
      <c r="R95" s="1" t="s">
        <v>95</v>
      </c>
      <c r="S95" s="1" t="s">
        <v>629</v>
      </c>
      <c r="T95" s="1" t="s">
        <v>630</v>
      </c>
    </row>
    <row r="96">
      <c r="A96" s="2">
        <v>43628.81022614583</v>
      </c>
      <c r="B96" s="1" t="s">
        <v>433</v>
      </c>
      <c r="C96" s="1" t="s">
        <v>84</v>
      </c>
      <c r="D96" s="1" t="s">
        <v>98</v>
      </c>
      <c r="E96" s="1">
        <v>3.0</v>
      </c>
      <c r="F96" s="1" t="s">
        <v>632</v>
      </c>
      <c r="G96" s="1" t="s">
        <v>633</v>
      </c>
      <c r="H96" s="1" t="s">
        <v>111</v>
      </c>
      <c r="I96" s="1" t="s">
        <v>114</v>
      </c>
      <c r="J96" s="1" t="s">
        <v>90</v>
      </c>
      <c r="K96" s="1" t="s">
        <v>121</v>
      </c>
      <c r="L96" s="1" t="s">
        <v>92</v>
      </c>
      <c r="M96" s="1">
        <v>3.0</v>
      </c>
      <c r="N96" s="1" t="s">
        <v>114</v>
      </c>
      <c r="O96" s="1" t="s">
        <v>106</v>
      </c>
      <c r="P96" s="1">
        <v>1.0</v>
      </c>
      <c r="Q96" s="1" t="s">
        <v>95</v>
      </c>
      <c r="R96" s="1" t="s">
        <v>95</v>
      </c>
      <c r="S96" s="1" t="s">
        <v>615</v>
      </c>
      <c r="T96" s="1" t="s">
        <v>634</v>
      </c>
    </row>
    <row r="97">
      <c r="A97" s="2">
        <v>43628.81186957176</v>
      </c>
      <c r="B97" s="1" t="s">
        <v>479</v>
      </c>
      <c r="C97" s="1" t="s">
        <v>84</v>
      </c>
      <c r="D97" s="1" t="s">
        <v>98</v>
      </c>
      <c r="E97" s="1">
        <v>3.0</v>
      </c>
      <c r="F97" s="1" t="s">
        <v>635</v>
      </c>
      <c r="G97" s="1" t="s">
        <v>589</v>
      </c>
      <c r="H97" s="1" t="s">
        <v>88</v>
      </c>
      <c r="I97" s="1" t="s">
        <v>93</v>
      </c>
      <c r="J97" s="1" t="s">
        <v>90</v>
      </c>
      <c r="K97" s="1" t="s">
        <v>91</v>
      </c>
      <c r="L97" s="1" t="s">
        <v>104</v>
      </c>
      <c r="M97" s="1">
        <v>5.0</v>
      </c>
      <c r="N97" s="1" t="s">
        <v>114</v>
      </c>
      <c r="O97" s="1" t="s">
        <v>206</v>
      </c>
      <c r="P97" s="1">
        <v>1.0</v>
      </c>
      <c r="Q97" s="1" t="s">
        <v>115</v>
      </c>
      <c r="R97" s="1" t="s">
        <v>95</v>
      </c>
      <c r="S97" s="1" t="s">
        <v>615</v>
      </c>
      <c r="T97" s="1" t="s">
        <v>637</v>
      </c>
    </row>
    <row r="98">
      <c r="A98" s="2">
        <v>43628.87167753473</v>
      </c>
      <c r="B98" s="1" t="s">
        <v>302</v>
      </c>
      <c r="C98" s="1" t="s">
        <v>84</v>
      </c>
      <c r="D98" s="1" t="s">
        <v>85</v>
      </c>
      <c r="E98" s="1">
        <v>3.0</v>
      </c>
      <c r="F98" s="1" t="s">
        <v>638</v>
      </c>
      <c r="G98" s="1" t="s">
        <v>126</v>
      </c>
      <c r="H98" s="1" t="s">
        <v>102</v>
      </c>
      <c r="I98" s="1" t="s">
        <v>93</v>
      </c>
      <c r="J98" s="1" t="s">
        <v>112</v>
      </c>
      <c r="K98" s="1" t="s">
        <v>639</v>
      </c>
      <c r="L98" s="1" t="s">
        <v>92</v>
      </c>
      <c r="M98" s="1">
        <v>10.0</v>
      </c>
      <c r="N98" s="1" t="s">
        <v>105</v>
      </c>
      <c r="O98" s="1" t="s">
        <v>106</v>
      </c>
      <c r="P98" s="1">
        <v>2.0</v>
      </c>
      <c r="Q98" s="1" t="s">
        <v>95</v>
      </c>
      <c r="R98" s="1" t="s">
        <v>95</v>
      </c>
      <c r="S98" s="1" t="s">
        <v>640</v>
      </c>
      <c r="T98" s="1" t="s">
        <v>641</v>
      </c>
    </row>
    <row r="99">
      <c r="A99" s="2">
        <v>43628.8828891088</v>
      </c>
      <c r="B99" s="1" t="s">
        <v>149</v>
      </c>
      <c r="C99" s="1" t="s">
        <v>84</v>
      </c>
      <c r="D99" s="1" t="s">
        <v>85</v>
      </c>
      <c r="E99" s="1">
        <v>3.0</v>
      </c>
      <c r="F99" s="1" t="s">
        <v>642</v>
      </c>
      <c r="G99" s="1" t="s">
        <v>172</v>
      </c>
      <c r="H99" s="1" t="s">
        <v>111</v>
      </c>
      <c r="I99" s="1" t="s">
        <v>93</v>
      </c>
      <c r="J99" s="1" t="s">
        <v>112</v>
      </c>
      <c r="K99" s="1" t="s">
        <v>103</v>
      </c>
      <c r="L99" s="1" t="s">
        <v>122</v>
      </c>
      <c r="M99" s="1">
        <v>10.0</v>
      </c>
      <c r="N99" s="1" t="s">
        <v>93</v>
      </c>
      <c r="O99" s="1" t="s">
        <v>94</v>
      </c>
      <c r="P99" s="1">
        <v>2.0</v>
      </c>
      <c r="Q99" s="1" t="s">
        <v>95</v>
      </c>
      <c r="R99" s="1" t="s">
        <v>95</v>
      </c>
      <c r="S99" s="1" t="s">
        <v>42</v>
      </c>
      <c r="T99" s="1" t="s">
        <v>643</v>
      </c>
    </row>
    <row r="100">
      <c r="A100" s="2">
        <v>43628.88369578704</v>
      </c>
      <c r="B100" s="1" t="s">
        <v>232</v>
      </c>
      <c r="C100" s="1" t="s">
        <v>84</v>
      </c>
      <c r="D100" s="1" t="s">
        <v>85</v>
      </c>
      <c r="E100" s="1">
        <v>4.0</v>
      </c>
      <c r="F100" s="1" t="s">
        <v>644</v>
      </c>
      <c r="G100" s="1" t="s">
        <v>87</v>
      </c>
      <c r="H100" s="1" t="s">
        <v>111</v>
      </c>
      <c r="I100" s="1" t="s">
        <v>93</v>
      </c>
      <c r="J100" s="1" t="s">
        <v>112</v>
      </c>
      <c r="K100" s="1" t="s">
        <v>103</v>
      </c>
      <c r="L100" s="1" t="s">
        <v>122</v>
      </c>
      <c r="M100" s="1">
        <v>10.0</v>
      </c>
      <c r="N100" s="1" t="s">
        <v>93</v>
      </c>
      <c r="O100" s="1" t="s">
        <v>94</v>
      </c>
      <c r="P100" s="1">
        <v>1.0</v>
      </c>
      <c r="Q100" s="1" t="s">
        <v>95</v>
      </c>
      <c r="R100" s="1" t="s">
        <v>95</v>
      </c>
      <c r="S100" s="1" t="s">
        <v>42</v>
      </c>
      <c r="T100" s="1" t="s">
        <v>645</v>
      </c>
    </row>
    <row r="101">
      <c r="A101" s="2">
        <v>43628.883959074075</v>
      </c>
      <c r="B101" s="1" t="s">
        <v>310</v>
      </c>
      <c r="C101" s="1" t="s">
        <v>84</v>
      </c>
      <c r="D101" s="1" t="s">
        <v>85</v>
      </c>
      <c r="E101" s="1">
        <v>4.0</v>
      </c>
      <c r="F101" s="1" t="s">
        <v>646</v>
      </c>
      <c r="G101" s="1" t="s">
        <v>87</v>
      </c>
      <c r="H101" s="1" t="s">
        <v>111</v>
      </c>
      <c r="I101" s="1" t="s">
        <v>93</v>
      </c>
      <c r="J101" s="1" t="s">
        <v>112</v>
      </c>
      <c r="K101" s="1" t="s">
        <v>103</v>
      </c>
      <c r="L101" s="1" t="s">
        <v>122</v>
      </c>
      <c r="M101" s="1">
        <v>10.0</v>
      </c>
      <c r="N101" s="1" t="s">
        <v>93</v>
      </c>
      <c r="O101" s="1" t="s">
        <v>94</v>
      </c>
      <c r="P101" s="1">
        <v>3.0</v>
      </c>
      <c r="Q101" s="1" t="s">
        <v>95</v>
      </c>
      <c r="R101" s="1" t="s">
        <v>95</v>
      </c>
      <c r="S101" s="1" t="s">
        <v>42</v>
      </c>
      <c r="T101" s="1" t="s">
        <v>647</v>
      </c>
    </row>
    <row r="102">
      <c r="A102" s="2">
        <v>43628.883963043976</v>
      </c>
      <c r="B102" s="1" t="s">
        <v>373</v>
      </c>
      <c r="C102" s="1" t="s">
        <v>84</v>
      </c>
      <c r="D102" s="1" t="s">
        <v>85</v>
      </c>
      <c r="E102" s="1">
        <v>5.0</v>
      </c>
      <c r="F102" s="1" t="s">
        <v>648</v>
      </c>
      <c r="G102" s="1" t="s">
        <v>172</v>
      </c>
      <c r="H102" s="1" t="s">
        <v>111</v>
      </c>
      <c r="I102" s="1" t="s">
        <v>93</v>
      </c>
      <c r="J102" s="1" t="s">
        <v>112</v>
      </c>
      <c r="K102" s="1" t="s">
        <v>103</v>
      </c>
      <c r="L102" s="1" t="s">
        <v>122</v>
      </c>
      <c r="M102" s="1">
        <v>10.0</v>
      </c>
      <c r="N102" s="1" t="s">
        <v>93</v>
      </c>
      <c r="O102" s="1" t="s">
        <v>94</v>
      </c>
      <c r="P102" s="1">
        <v>2.0</v>
      </c>
      <c r="Q102" s="1" t="s">
        <v>95</v>
      </c>
      <c r="R102" s="1" t="s">
        <v>95</v>
      </c>
      <c r="S102" s="1" t="s">
        <v>42</v>
      </c>
      <c r="T102" s="1" t="s">
        <v>649</v>
      </c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>
        <v>43628.927533194445</v>
      </c>
      <c r="B115" s="1" t="s">
        <v>151</v>
      </c>
      <c r="C115" s="1" t="s">
        <v>225</v>
      </c>
      <c r="D115" s="1" t="s">
        <v>85</v>
      </c>
      <c r="E115" s="1">
        <v>5.0</v>
      </c>
      <c r="F115" s="1" t="s">
        <v>650</v>
      </c>
      <c r="G115" s="1" t="s">
        <v>464</v>
      </c>
      <c r="H115" s="1" t="s">
        <v>111</v>
      </c>
      <c r="I115" s="1" t="s">
        <v>93</v>
      </c>
      <c r="J115" s="1" t="s">
        <v>90</v>
      </c>
      <c r="K115" s="1" t="s">
        <v>651</v>
      </c>
      <c r="L115" s="1" t="s">
        <v>104</v>
      </c>
      <c r="M115" s="1">
        <v>10.0</v>
      </c>
      <c r="N115" s="1" t="s">
        <v>93</v>
      </c>
      <c r="O115" s="1" t="s">
        <v>106</v>
      </c>
      <c r="P115" s="1">
        <v>3.0</v>
      </c>
      <c r="Q115" s="1" t="s">
        <v>115</v>
      </c>
      <c r="R115" s="1" t="s">
        <v>95</v>
      </c>
      <c r="S115" s="1" t="s">
        <v>44</v>
      </c>
      <c r="T115" s="1" t="s">
        <v>652</v>
      </c>
    </row>
    <row r="116">
      <c r="A116" s="2">
        <v>43628.92341657408</v>
      </c>
      <c r="B116" s="1" t="s">
        <v>235</v>
      </c>
      <c r="C116" s="1" t="s">
        <v>225</v>
      </c>
      <c r="D116" s="1" t="s">
        <v>85</v>
      </c>
      <c r="E116" s="1">
        <v>3.0</v>
      </c>
      <c r="F116" s="1" t="s">
        <v>245</v>
      </c>
      <c r="G116" s="1" t="s">
        <v>654</v>
      </c>
      <c r="H116" s="1" t="s">
        <v>88</v>
      </c>
      <c r="I116" s="1" t="s">
        <v>93</v>
      </c>
      <c r="J116" s="1" t="s">
        <v>554</v>
      </c>
      <c r="K116" s="1" t="s">
        <v>651</v>
      </c>
      <c r="L116" s="1" t="s">
        <v>104</v>
      </c>
      <c r="M116" s="1">
        <v>9.0</v>
      </c>
      <c r="N116" s="1" t="s">
        <v>93</v>
      </c>
      <c r="O116" s="1" t="s">
        <v>94</v>
      </c>
      <c r="P116" s="1">
        <v>4.0</v>
      </c>
      <c r="Q116" s="1" t="s">
        <v>115</v>
      </c>
      <c r="R116" s="1" t="s">
        <v>95</v>
      </c>
      <c r="S116" s="1" t="s">
        <v>44</v>
      </c>
      <c r="T116" s="1" t="s">
        <v>655</v>
      </c>
    </row>
    <row r="117">
      <c r="A117" s="2">
        <v>43628.928910752315</v>
      </c>
      <c r="B117" s="1" t="s">
        <v>313</v>
      </c>
      <c r="C117" s="1" t="s">
        <v>225</v>
      </c>
      <c r="D117" s="1" t="s">
        <v>85</v>
      </c>
      <c r="E117" s="1">
        <v>2.0</v>
      </c>
      <c r="F117" s="1" t="s">
        <v>656</v>
      </c>
      <c r="G117" s="1" t="s">
        <v>657</v>
      </c>
      <c r="H117" s="1" t="s">
        <v>88</v>
      </c>
      <c r="I117" s="1" t="s">
        <v>114</v>
      </c>
      <c r="J117" s="1" t="s">
        <v>90</v>
      </c>
      <c r="K117" s="1" t="s">
        <v>658</v>
      </c>
      <c r="L117" s="1" t="s">
        <v>122</v>
      </c>
      <c r="M117" s="1">
        <v>9.0</v>
      </c>
      <c r="N117" s="1" t="s">
        <v>93</v>
      </c>
      <c r="O117" s="1" t="s">
        <v>106</v>
      </c>
      <c r="P117" s="1">
        <v>4.0</v>
      </c>
      <c r="Q117" s="1" t="s">
        <v>95</v>
      </c>
      <c r="R117" s="1" t="s">
        <v>95</v>
      </c>
      <c r="S117" s="1" t="s">
        <v>44</v>
      </c>
      <c r="T117" s="1" t="s">
        <v>659</v>
      </c>
    </row>
    <row r="118">
      <c r="A118" s="2">
        <v>43628.929827025466</v>
      </c>
      <c r="B118" s="1" t="s">
        <v>375</v>
      </c>
      <c r="C118" s="1" t="s">
        <v>225</v>
      </c>
      <c r="D118" s="1" t="s">
        <v>85</v>
      </c>
      <c r="E118" s="1">
        <v>4.0</v>
      </c>
      <c r="F118" s="1" t="s">
        <v>463</v>
      </c>
      <c r="G118" s="1" t="s">
        <v>126</v>
      </c>
      <c r="H118" s="1" t="s">
        <v>111</v>
      </c>
      <c r="I118" s="1" t="s">
        <v>93</v>
      </c>
      <c r="J118" s="1" t="s">
        <v>90</v>
      </c>
      <c r="K118" s="1" t="s">
        <v>651</v>
      </c>
      <c r="L118" s="1" t="s">
        <v>92</v>
      </c>
      <c r="M118" s="1">
        <v>8.0</v>
      </c>
      <c r="N118" s="1" t="s">
        <v>93</v>
      </c>
      <c r="O118" s="1" t="s">
        <v>106</v>
      </c>
      <c r="P118" s="1">
        <v>4.0</v>
      </c>
      <c r="Q118" s="1" t="s">
        <v>115</v>
      </c>
      <c r="R118" s="1" t="s">
        <v>95</v>
      </c>
      <c r="S118" s="1" t="s">
        <v>44</v>
      </c>
      <c r="T118" s="1" t="s">
        <v>660</v>
      </c>
    </row>
    <row r="119">
      <c r="A119" s="2">
        <v>43629.24399804398</v>
      </c>
      <c r="B119" s="1" t="s">
        <v>372</v>
      </c>
      <c r="C119" s="1" t="s">
        <v>84</v>
      </c>
      <c r="D119" s="1" t="s">
        <v>85</v>
      </c>
      <c r="E119" s="1">
        <v>4.0</v>
      </c>
      <c r="F119" s="1" t="s">
        <v>661</v>
      </c>
      <c r="G119" s="1" t="s">
        <v>247</v>
      </c>
      <c r="H119" s="1" t="s">
        <v>111</v>
      </c>
      <c r="I119" s="1" t="s">
        <v>93</v>
      </c>
      <c r="J119" s="1" t="s">
        <v>90</v>
      </c>
      <c r="K119" s="1" t="s">
        <v>205</v>
      </c>
      <c r="L119" s="1" t="s">
        <v>104</v>
      </c>
      <c r="M119" s="1">
        <v>5.0</v>
      </c>
      <c r="N119" s="1" t="s">
        <v>114</v>
      </c>
      <c r="O119" s="1" t="s">
        <v>206</v>
      </c>
      <c r="P119" s="1">
        <v>1.0</v>
      </c>
      <c r="Q119" s="1" t="s">
        <v>95</v>
      </c>
      <c r="R119" s="1" t="s">
        <v>95</v>
      </c>
      <c r="S119" s="1" t="s">
        <v>623</v>
      </c>
      <c r="T119" s="1" t="s">
        <v>662</v>
      </c>
    </row>
    <row r="120">
      <c r="A120" s="2">
        <v>43629.438116226855</v>
      </c>
      <c r="B120" s="1" t="s">
        <v>303</v>
      </c>
      <c r="C120" s="1" t="s">
        <v>166</v>
      </c>
      <c r="D120" s="1" t="s">
        <v>98</v>
      </c>
      <c r="E120" s="1">
        <v>5.0</v>
      </c>
      <c r="F120" s="1" t="s">
        <v>663</v>
      </c>
      <c r="G120" s="1" t="s">
        <v>172</v>
      </c>
      <c r="H120" s="1" t="s">
        <v>102</v>
      </c>
      <c r="I120" s="1" t="s">
        <v>93</v>
      </c>
      <c r="J120" s="1" t="s">
        <v>127</v>
      </c>
      <c r="K120" s="1" t="s">
        <v>664</v>
      </c>
      <c r="L120" s="1" t="s">
        <v>92</v>
      </c>
      <c r="M120" s="1">
        <v>7.0</v>
      </c>
      <c r="N120" s="1" t="s">
        <v>114</v>
      </c>
      <c r="O120" s="1" t="s">
        <v>106</v>
      </c>
      <c r="P120" s="1">
        <v>1.0</v>
      </c>
      <c r="Q120" s="1" t="s">
        <v>115</v>
      </c>
      <c r="R120" s="1" t="s">
        <v>95</v>
      </c>
      <c r="S120" s="1" t="s">
        <v>665</v>
      </c>
      <c r="T120" s="1" t="s">
        <v>666</v>
      </c>
    </row>
    <row r="121">
      <c r="A121" s="2">
        <v>43629.47495478009</v>
      </c>
      <c r="B121" s="1" t="s">
        <v>153</v>
      </c>
      <c r="C121" s="1" t="s">
        <v>166</v>
      </c>
      <c r="D121" s="1" t="s">
        <v>85</v>
      </c>
      <c r="E121" s="1">
        <v>5.0</v>
      </c>
      <c r="F121" s="1" t="s">
        <v>517</v>
      </c>
      <c r="G121" s="1" t="s">
        <v>247</v>
      </c>
      <c r="H121" s="1" t="s">
        <v>111</v>
      </c>
      <c r="I121" s="1" t="s">
        <v>209</v>
      </c>
      <c r="J121" s="1" t="s">
        <v>127</v>
      </c>
      <c r="K121" s="1" t="s">
        <v>103</v>
      </c>
      <c r="L121" s="1" t="s">
        <v>92</v>
      </c>
      <c r="M121" s="1">
        <v>8.0</v>
      </c>
      <c r="N121" s="1" t="s">
        <v>93</v>
      </c>
      <c r="O121" s="1" t="s">
        <v>106</v>
      </c>
      <c r="P121" s="1">
        <v>4.0</v>
      </c>
      <c r="Q121" s="1" t="s">
        <v>95</v>
      </c>
      <c r="R121" s="1" t="s">
        <v>95</v>
      </c>
      <c r="S121" s="1" t="s">
        <v>45</v>
      </c>
      <c r="T121" s="1" t="s">
        <v>667</v>
      </c>
    </row>
    <row r="122">
      <c r="A122" s="2">
        <v>43629.51423678241</v>
      </c>
      <c r="B122" s="1" t="s">
        <v>434</v>
      </c>
      <c r="C122" s="1" t="s">
        <v>84</v>
      </c>
      <c r="D122" s="1" t="s">
        <v>85</v>
      </c>
      <c r="E122" s="1">
        <v>5.0</v>
      </c>
      <c r="F122" s="1" t="s">
        <v>648</v>
      </c>
      <c r="G122" s="1" t="s">
        <v>247</v>
      </c>
      <c r="H122" s="1" t="s">
        <v>102</v>
      </c>
      <c r="I122" s="1" t="s">
        <v>209</v>
      </c>
      <c r="J122" s="1" t="s">
        <v>127</v>
      </c>
      <c r="K122" s="1" t="s">
        <v>668</v>
      </c>
      <c r="L122" s="1" t="s">
        <v>122</v>
      </c>
      <c r="M122" s="1">
        <v>7.0</v>
      </c>
      <c r="N122" s="1" t="s">
        <v>114</v>
      </c>
      <c r="O122" s="1" t="s">
        <v>206</v>
      </c>
      <c r="P122" s="1">
        <v>1.0</v>
      </c>
      <c r="Q122" s="1" t="s">
        <v>95</v>
      </c>
      <c r="R122" s="1" t="s">
        <v>95</v>
      </c>
      <c r="S122" s="1" t="s">
        <v>41</v>
      </c>
      <c r="T122" s="1" t="s">
        <v>669</v>
      </c>
    </row>
    <row r="123">
      <c r="A123" s="2">
        <v>43629.533618078705</v>
      </c>
      <c r="B123" s="1" t="s">
        <v>154</v>
      </c>
      <c r="C123" s="1" t="s">
        <v>84</v>
      </c>
      <c r="D123" s="1" t="s">
        <v>98</v>
      </c>
      <c r="E123" s="1">
        <v>2.0</v>
      </c>
      <c r="F123" s="1" t="s">
        <v>245</v>
      </c>
      <c r="G123" s="1" t="s">
        <v>87</v>
      </c>
      <c r="H123" s="1" t="s">
        <v>111</v>
      </c>
      <c r="I123" s="1" t="s">
        <v>93</v>
      </c>
      <c r="J123" s="1" t="s">
        <v>127</v>
      </c>
      <c r="K123" s="1" t="s">
        <v>103</v>
      </c>
      <c r="L123" s="1" t="s">
        <v>152</v>
      </c>
      <c r="M123" s="1">
        <v>10.0</v>
      </c>
      <c r="N123" s="1" t="s">
        <v>114</v>
      </c>
      <c r="O123" s="1" t="s">
        <v>106</v>
      </c>
      <c r="P123" s="1">
        <v>1.0</v>
      </c>
      <c r="Q123" s="1" t="s">
        <v>95</v>
      </c>
      <c r="R123" s="1" t="s">
        <v>95</v>
      </c>
      <c r="S123" s="1" t="s">
        <v>670</v>
      </c>
      <c r="T123" s="1" t="s">
        <v>671</v>
      </c>
    </row>
    <row r="124">
      <c r="A124" s="2">
        <v>43629.53529113426</v>
      </c>
      <c r="B124" s="1" t="s">
        <v>480</v>
      </c>
      <c r="C124" s="1" t="s">
        <v>166</v>
      </c>
      <c r="D124" s="1" t="s">
        <v>85</v>
      </c>
      <c r="E124" s="1">
        <v>4.0</v>
      </c>
      <c r="F124" s="1" t="s">
        <v>650</v>
      </c>
      <c r="G124" s="1" t="s">
        <v>672</v>
      </c>
      <c r="H124" s="1" t="s">
        <v>111</v>
      </c>
      <c r="I124" s="1" t="s">
        <v>209</v>
      </c>
      <c r="J124" s="1" t="s">
        <v>127</v>
      </c>
      <c r="K124" s="1" t="s">
        <v>210</v>
      </c>
      <c r="L124" s="1" t="s">
        <v>92</v>
      </c>
      <c r="M124" s="1">
        <v>8.0</v>
      </c>
      <c r="N124" s="1" t="s">
        <v>114</v>
      </c>
      <c r="O124" s="1" t="s">
        <v>206</v>
      </c>
      <c r="P124" s="1">
        <v>1.0</v>
      </c>
      <c r="Q124" s="1" t="s">
        <v>115</v>
      </c>
      <c r="R124" s="1" t="s">
        <v>95</v>
      </c>
      <c r="S124" s="1" t="s">
        <v>41</v>
      </c>
      <c r="T124" s="1" t="s">
        <v>673</v>
      </c>
    </row>
    <row r="125">
      <c r="A125" s="2">
        <v>43629.56508170139</v>
      </c>
      <c r="B125" s="1" t="s">
        <v>355</v>
      </c>
      <c r="C125" s="1" t="s">
        <v>84</v>
      </c>
      <c r="D125" s="1" t="s">
        <v>85</v>
      </c>
      <c r="E125" s="1">
        <v>4.0</v>
      </c>
      <c r="F125" s="1" t="s">
        <v>208</v>
      </c>
      <c r="G125" s="1" t="s">
        <v>247</v>
      </c>
      <c r="H125" s="1" t="s">
        <v>111</v>
      </c>
      <c r="I125" s="1" t="s">
        <v>93</v>
      </c>
      <c r="J125" s="1" t="s">
        <v>112</v>
      </c>
      <c r="K125" s="1" t="s">
        <v>205</v>
      </c>
      <c r="L125" s="1" t="s">
        <v>92</v>
      </c>
      <c r="M125" s="1">
        <v>9.0</v>
      </c>
      <c r="N125" s="1" t="s">
        <v>93</v>
      </c>
      <c r="O125" s="1" t="s">
        <v>106</v>
      </c>
      <c r="P125" s="1">
        <v>1.0</v>
      </c>
      <c r="Q125" s="1" t="s">
        <v>95</v>
      </c>
      <c r="R125" s="1" t="s">
        <v>95</v>
      </c>
      <c r="S125" s="1" t="s">
        <v>674</v>
      </c>
      <c r="T125" s="1" t="s">
        <v>675</v>
      </c>
    </row>
    <row r="126">
      <c r="A126" s="2">
        <v>43629.60024078704</v>
      </c>
      <c r="B126" s="1" t="s">
        <v>427</v>
      </c>
      <c r="C126" s="1" t="s">
        <v>84</v>
      </c>
      <c r="D126" s="1" t="s">
        <v>85</v>
      </c>
      <c r="E126" s="1">
        <v>4.0</v>
      </c>
      <c r="F126" s="1" t="s">
        <v>676</v>
      </c>
      <c r="G126" s="1" t="s">
        <v>464</v>
      </c>
      <c r="H126" s="1" t="s">
        <v>102</v>
      </c>
      <c r="I126" s="1" t="s">
        <v>93</v>
      </c>
      <c r="J126" s="1" t="s">
        <v>112</v>
      </c>
      <c r="K126" s="1" t="s">
        <v>103</v>
      </c>
      <c r="L126" s="1" t="s">
        <v>92</v>
      </c>
      <c r="M126" s="1">
        <v>7.0</v>
      </c>
      <c r="N126" s="1" t="s">
        <v>114</v>
      </c>
      <c r="O126" s="1" t="s">
        <v>106</v>
      </c>
      <c r="P126" s="1">
        <v>2.0</v>
      </c>
      <c r="Q126" s="1" t="s">
        <v>95</v>
      </c>
      <c r="R126" s="1" t="s">
        <v>95</v>
      </c>
      <c r="S126" s="1" t="s">
        <v>35</v>
      </c>
      <c r="T126" s="1" t="s">
        <v>677</v>
      </c>
    </row>
    <row r="127">
      <c r="A127" s="2">
        <v>43629.77579693287</v>
      </c>
      <c r="B127" s="1" t="s">
        <v>236</v>
      </c>
      <c r="C127" s="1" t="s">
        <v>225</v>
      </c>
      <c r="D127" s="1" t="s">
        <v>85</v>
      </c>
      <c r="E127" s="1">
        <v>4.0</v>
      </c>
      <c r="F127" s="1" t="s">
        <v>678</v>
      </c>
      <c r="G127" s="1" t="s">
        <v>172</v>
      </c>
      <c r="H127" s="1" t="s">
        <v>102</v>
      </c>
      <c r="I127" s="1" t="s">
        <v>209</v>
      </c>
      <c r="J127" s="1" t="s">
        <v>112</v>
      </c>
      <c r="K127" s="1" t="s">
        <v>103</v>
      </c>
      <c r="L127" s="1" t="s">
        <v>92</v>
      </c>
      <c r="M127" s="1">
        <v>8.0</v>
      </c>
      <c r="N127" s="1" t="s">
        <v>93</v>
      </c>
      <c r="O127" s="1" t="s">
        <v>106</v>
      </c>
      <c r="P127" s="1">
        <v>1.0</v>
      </c>
      <c r="Q127" s="1" t="s">
        <v>115</v>
      </c>
      <c r="R127" s="1" t="s">
        <v>95</v>
      </c>
      <c r="S127" s="1" t="s">
        <v>45</v>
      </c>
      <c r="T127" s="1" t="s">
        <v>679</v>
      </c>
    </row>
    <row r="128">
      <c r="A128" s="2">
        <v>43629.78027634259</v>
      </c>
      <c r="B128" s="1" t="s">
        <v>314</v>
      </c>
      <c r="C128" s="1" t="s">
        <v>225</v>
      </c>
      <c r="D128" s="1" t="s">
        <v>680</v>
      </c>
      <c r="E128" s="1">
        <v>4.0</v>
      </c>
      <c r="F128" s="1" t="s">
        <v>511</v>
      </c>
      <c r="G128" s="1" t="s">
        <v>172</v>
      </c>
      <c r="H128" s="1" t="s">
        <v>102</v>
      </c>
      <c r="I128" s="1" t="s">
        <v>209</v>
      </c>
      <c r="J128" s="1" t="s">
        <v>127</v>
      </c>
      <c r="K128" s="1" t="s">
        <v>205</v>
      </c>
      <c r="L128" s="1" t="s">
        <v>152</v>
      </c>
      <c r="M128" s="1">
        <v>9.0</v>
      </c>
      <c r="N128" s="1" t="s">
        <v>105</v>
      </c>
      <c r="O128" s="1" t="s">
        <v>106</v>
      </c>
      <c r="P128" s="1">
        <v>1.0</v>
      </c>
      <c r="Q128" s="1" t="s">
        <v>95</v>
      </c>
      <c r="R128" s="1" t="s">
        <v>95</v>
      </c>
      <c r="S128" s="1" t="s">
        <v>45</v>
      </c>
      <c r="T128" s="1" t="s">
        <v>681</v>
      </c>
    </row>
    <row r="129">
      <c r="A129" s="2">
        <v>43629.782459849535</v>
      </c>
      <c r="B129" s="1" t="s">
        <v>377</v>
      </c>
      <c r="C129" s="1" t="s">
        <v>166</v>
      </c>
      <c r="D129" s="1" t="s">
        <v>85</v>
      </c>
      <c r="E129" s="1">
        <v>5.0</v>
      </c>
      <c r="F129" s="1" t="s">
        <v>682</v>
      </c>
      <c r="G129" s="1" t="s">
        <v>172</v>
      </c>
      <c r="H129" s="1" t="s">
        <v>102</v>
      </c>
      <c r="I129" s="1" t="s">
        <v>209</v>
      </c>
      <c r="J129" s="1" t="s">
        <v>112</v>
      </c>
      <c r="K129" s="1" t="s">
        <v>210</v>
      </c>
      <c r="L129" s="1" t="s">
        <v>122</v>
      </c>
      <c r="M129" s="1">
        <v>9.0</v>
      </c>
      <c r="N129" s="1" t="s">
        <v>105</v>
      </c>
      <c r="O129" s="1" t="s">
        <v>106</v>
      </c>
      <c r="P129" s="1">
        <v>2.0</v>
      </c>
      <c r="Q129" s="1" t="s">
        <v>95</v>
      </c>
      <c r="R129" s="1" t="s">
        <v>95</v>
      </c>
      <c r="S129" s="1" t="s">
        <v>45</v>
      </c>
      <c r="T129" s="1" t="s">
        <v>683</v>
      </c>
    </row>
    <row r="130">
      <c r="A130" s="2">
        <v>43629.870463969906</v>
      </c>
      <c r="B130" s="1" t="s">
        <v>155</v>
      </c>
      <c r="C130" s="1" t="s">
        <v>84</v>
      </c>
      <c r="D130" s="1" t="s">
        <v>85</v>
      </c>
      <c r="E130" s="1">
        <v>4.0</v>
      </c>
      <c r="F130" s="1" t="s">
        <v>685</v>
      </c>
      <c r="G130" s="1" t="s">
        <v>100</v>
      </c>
      <c r="H130" s="1" t="s">
        <v>88</v>
      </c>
      <c r="I130" s="1" t="s">
        <v>93</v>
      </c>
      <c r="J130" s="1" t="s">
        <v>90</v>
      </c>
      <c r="K130" s="1" t="s">
        <v>103</v>
      </c>
      <c r="L130" s="1" t="s">
        <v>122</v>
      </c>
      <c r="M130" s="1">
        <v>8.0</v>
      </c>
      <c r="N130" s="1" t="s">
        <v>93</v>
      </c>
      <c r="O130" s="1" t="s">
        <v>94</v>
      </c>
      <c r="P130" s="1">
        <v>5.0</v>
      </c>
      <c r="Q130" s="1" t="s">
        <v>95</v>
      </c>
      <c r="R130" s="1" t="s">
        <v>95</v>
      </c>
      <c r="S130" s="1" t="s">
        <v>686</v>
      </c>
      <c r="T130" s="1" t="s">
        <v>687</v>
      </c>
    </row>
    <row r="131">
      <c r="A131" s="2">
        <v>43629.871831006945</v>
      </c>
      <c r="B131" s="1" t="s">
        <v>239</v>
      </c>
      <c r="C131" s="1" t="s">
        <v>225</v>
      </c>
      <c r="D131" s="1" t="s">
        <v>98</v>
      </c>
      <c r="E131" s="1">
        <v>2.0</v>
      </c>
      <c r="F131" s="1" t="s">
        <v>688</v>
      </c>
      <c r="G131" s="1" t="s">
        <v>126</v>
      </c>
      <c r="H131" s="1" t="s">
        <v>111</v>
      </c>
      <c r="I131" s="1" t="s">
        <v>93</v>
      </c>
      <c r="J131" s="1" t="s">
        <v>90</v>
      </c>
      <c r="K131" s="1" t="s">
        <v>689</v>
      </c>
      <c r="L131" s="1" t="s">
        <v>92</v>
      </c>
      <c r="M131" s="1">
        <v>8.0</v>
      </c>
      <c r="N131" s="1" t="s">
        <v>114</v>
      </c>
      <c r="O131" s="1" t="s">
        <v>94</v>
      </c>
      <c r="P131" s="1">
        <v>4.0</v>
      </c>
      <c r="Q131" s="1" t="s">
        <v>95</v>
      </c>
      <c r="R131" s="1" t="s">
        <v>95</v>
      </c>
      <c r="S131" s="1" t="s">
        <v>690</v>
      </c>
      <c r="T131" s="1" t="s">
        <v>691</v>
      </c>
    </row>
    <row r="132">
      <c r="A132" s="2">
        <v>43629.8808205324</v>
      </c>
      <c r="B132" s="1" t="s">
        <v>316</v>
      </c>
      <c r="C132" s="1" t="s">
        <v>225</v>
      </c>
      <c r="D132" s="1" t="s">
        <v>85</v>
      </c>
      <c r="E132" s="1">
        <v>3.0</v>
      </c>
      <c r="F132" s="1" t="s">
        <v>503</v>
      </c>
      <c r="G132" s="1" t="s">
        <v>126</v>
      </c>
      <c r="H132" s="1" t="s">
        <v>102</v>
      </c>
      <c r="I132" s="1" t="s">
        <v>93</v>
      </c>
      <c r="J132" s="1" t="s">
        <v>90</v>
      </c>
      <c r="K132" s="1" t="s">
        <v>205</v>
      </c>
      <c r="L132" s="1" t="s">
        <v>92</v>
      </c>
      <c r="M132" s="1">
        <v>10.0</v>
      </c>
      <c r="N132" s="1" t="s">
        <v>93</v>
      </c>
      <c r="O132" s="1" t="s">
        <v>94</v>
      </c>
      <c r="P132" s="1">
        <v>3.0</v>
      </c>
      <c r="Q132" s="1" t="s">
        <v>95</v>
      </c>
      <c r="R132" s="1" t="s">
        <v>95</v>
      </c>
      <c r="S132" s="1" t="s">
        <v>47</v>
      </c>
      <c r="T132" s="1" t="s">
        <v>692</v>
      </c>
    </row>
    <row r="133">
      <c r="A133" s="2">
        <v>43630.52018678241</v>
      </c>
      <c r="B133" s="1" t="s">
        <v>473</v>
      </c>
      <c r="C133" s="1" t="s">
        <v>84</v>
      </c>
      <c r="D133" s="1" t="s">
        <v>85</v>
      </c>
      <c r="E133" s="1">
        <v>3.0</v>
      </c>
      <c r="F133" s="1" t="s">
        <v>693</v>
      </c>
      <c r="G133" s="1" t="s">
        <v>172</v>
      </c>
      <c r="H133" s="1" t="s">
        <v>111</v>
      </c>
      <c r="I133" s="1" t="s">
        <v>93</v>
      </c>
      <c r="J133" s="1" t="s">
        <v>127</v>
      </c>
      <c r="K133" s="1" t="s">
        <v>694</v>
      </c>
      <c r="L133" s="1" t="s">
        <v>122</v>
      </c>
      <c r="M133" s="1">
        <v>8.0</v>
      </c>
      <c r="N133" s="1" t="s">
        <v>93</v>
      </c>
      <c r="O133" s="1" t="s">
        <v>106</v>
      </c>
      <c r="P133" s="1">
        <v>2.0</v>
      </c>
      <c r="Q133" s="1" t="s">
        <v>95</v>
      </c>
      <c r="R133" s="1" t="s">
        <v>95</v>
      </c>
      <c r="S133" s="1" t="s">
        <v>35</v>
      </c>
      <c r="T133" s="1" t="s">
        <v>695</v>
      </c>
    </row>
    <row r="134">
      <c r="A134" s="2">
        <v>43630.7679188426</v>
      </c>
      <c r="B134" s="1" t="s">
        <v>305</v>
      </c>
      <c r="C134" s="1" t="s">
        <v>84</v>
      </c>
      <c r="D134" s="1" t="s">
        <v>522</v>
      </c>
      <c r="E134" s="1">
        <v>3.0</v>
      </c>
      <c r="F134" s="1" t="s">
        <v>696</v>
      </c>
      <c r="G134" s="1" t="s">
        <v>126</v>
      </c>
      <c r="H134" s="1" t="s">
        <v>88</v>
      </c>
      <c r="I134" s="1" t="s">
        <v>89</v>
      </c>
      <c r="J134" s="1" t="s">
        <v>554</v>
      </c>
      <c r="K134" s="1" t="s">
        <v>524</v>
      </c>
      <c r="L134" s="1" t="s">
        <v>152</v>
      </c>
      <c r="M134" s="1">
        <v>8.0</v>
      </c>
      <c r="N134" s="1" t="s">
        <v>93</v>
      </c>
      <c r="O134" s="1" t="s">
        <v>206</v>
      </c>
      <c r="P134" s="1">
        <v>1.0</v>
      </c>
      <c r="Q134" s="1" t="s">
        <v>95</v>
      </c>
      <c r="R134" s="1" t="s">
        <v>95</v>
      </c>
      <c r="S134" s="1" t="s">
        <v>697</v>
      </c>
      <c r="T134" s="1" t="s">
        <v>698</v>
      </c>
    </row>
    <row r="135">
      <c r="A135" s="2">
        <v>43630.76857248842</v>
      </c>
      <c r="B135" s="1" t="s">
        <v>369</v>
      </c>
      <c r="C135" s="1" t="s">
        <v>84</v>
      </c>
      <c r="D135" s="1" t="s">
        <v>522</v>
      </c>
      <c r="E135" s="1">
        <v>2.0</v>
      </c>
      <c r="F135" s="1" t="s">
        <v>574</v>
      </c>
      <c r="G135" s="1" t="s">
        <v>172</v>
      </c>
      <c r="H135" s="1" t="s">
        <v>88</v>
      </c>
      <c r="I135" s="1" t="s">
        <v>89</v>
      </c>
      <c r="J135" s="1" t="s">
        <v>90</v>
      </c>
      <c r="K135" s="1" t="s">
        <v>700</v>
      </c>
      <c r="L135" s="1" t="s">
        <v>152</v>
      </c>
      <c r="M135" s="1">
        <v>8.0</v>
      </c>
      <c r="N135" s="1" t="s">
        <v>93</v>
      </c>
      <c r="O135" s="1" t="s">
        <v>94</v>
      </c>
      <c r="P135" s="1">
        <v>1.0</v>
      </c>
      <c r="Q135" s="1" t="s">
        <v>95</v>
      </c>
      <c r="R135" s="1" t="s">
        <v>95</v>
      </c>
      <c r="S135" s="1" t="s">
        <v>701</v>
      </c>
      <c r="T135" s="1" t="s">
        <v>702</v>
      </c>
    </row>
    <row r="136">
      <c r="A136" s="2"/>
    </row>
    <row r="137">
      <c r="A137" s="2">
        <v>43630.7776434375</v>
      </c>
      <c r="B137" s="1" t="s">
        <v>157</v>
      </c>
      <c r="C137" s="1" t="s">
        <v>84</v>
      </c>
      <c r="D137" s="1" t="s">
        <v>522</v>
      </c>
      <c r="E137" s="1">
        <v>2.0</v>
      </c>
      <c r="F137" s="1" t="s">
        <v>125</v>
      </c>
      <c r="G137" s="1" t="s">
        <v>703</v>
      </c>
      <c r="H137" s="1" t="s">
        <v>111</v>
      </c>
      <c r="I137" s="1" t="s">
        <v>89</v>
      </c>
      <c r="J137" s="1" t="s">
        <v>554</v>
      </c>
      <c r="K137" s="1" t="s">
        <v>704</v>
      </c>
      <c r="L137" s="1" t="s">
        <v>92</v>
      </c>
      <c r="M137" s="1">
        <v>6.0</v>
      </c>
      <c r="N137" s="1" t="s">
        <v>114</v>
      </c>
      <c r="O137" s="1" t="s">
        <v>206</v>
      </c>
      <c r="P137" s="1">
        <v>1.0</v>
      </c>
      <c r="Q137" s="1" t="s">
        <v>95</v>
      </c>
      <c r="R137" s="1" t="s">
        <v>95</v>
      </c>
      <c r="S137" s="1" t="s">
        <v>49</v>
      </c>
      <c r="T137" s="1" t="s">
        <v>705</v>
      </c>
    </row>
    <row r="138">
      <c r="A138" s="2">
        <v>43630.85108934028</v>
      </c>
      <c r="B138" s="1" t="s">
        <v>161</v>
      </c>
      <c r="C138" s="1" t="s">
        <v>84</v>
      </c>
      <c r="D138" s="1" t="s">
        <v>85</v>
      </c>
      <c r="E138" s="1">
        <v>3.0</v>
      </c>
      <c r="F138" s="1" t="s">
        <v>198</v>
      </c>
      <c r="G138" s="1" t="s">
        <v>172</v>
      </c>
      <c r="H138" s="1" t="s">
        <v>88</v>
      </c>
      <c r="I138" s="1" t="s">
        <v>93</v>
      </c>
      <c r="J138" s="1" t="s">
        <v>90</v>
      </c>
      <c r="K138" s="1" t="s">
        <v>103</v>
      </c>
      <c r="L138" s="1" t="s">
        <v>92</v>
      </c>
      <c r="M138" s="1">
        <v>7.0</v>
      </c>
      <c r="N138" s="1" t="s">
        <v>114</v>
      </c>
      <c r="O138" s="1" t="s">
        <v>106</v>
      </c>
      <c r="P138" s="1">
        <v>1.0</v>
      </c>
      <c r="Q138" s="1" t="s">
        <v>95</v>
      </c>
      <c r="R138" s="1" t="s">
        <v>95</v>
      </c>
      <c r="S138" s="1" t="s">
        <v>52</v>
      </c>
      <c r="T138" s="1" t="s">
        <v>706</v>
      </c>
    </row>
    <row r="139">
      <c r="A139" s="2">
        <v>43630.854716608796</v>
      </c>
      <c r="B139" s="1" t="s">
        <v>471</v>
      </c>
      <c r="C139" s="1" t="s">
        <v>84</v>
      </c>
      <c r="D139" s="1" t="s">
        <v>85</v>
      </c>
      <c r="E139" s="1">
        <v>5.0</v>
      </c>
      <c r="F139" s="1" t="s">
        <v>263</v>
      </c>
      <c r="G139" s="1" t="s">
        <v>126</v>
      </c>
      <c r="H139" s="1" t="s">
        <v>111</v>
      </c>
      <c r="I139" s="1" t="s">
        <v>93</v>
      </c>
      <c r="J139" s="1" t="s">
        <v>112</v>
      </c>
      <c r="K139" s="1" t="s">
        <v>707</v>
      </c>
      <c r="L139" s="1" t="s">
        <v>152</v>
      </c>
      <c r="M139" s="1">
        <v>10.0</v>
      </c>
      <c r="N139" s="1" t="s">
        <v>93</v>
      </c>
      <c r="O139" s="1" t="s">
        <v>94</v>
      </c>
      <c r="P139" s="1">
        <v>3.0</v>
      </c>
      <c r="Q139" s="1" t="s">
        <v>115</v>
      </c>
      <c r="R139" s="1" t="s">
        <v>95</v>
      </c>
      <c r="S139" s="1" t="s">
        <v>29</v>
      </c>
      <c r="T139" s="1" t="s">
        <v>708</v>
      </c>
    </row>
    <row r="140">
      <c r="A140" s="2">
        <v>43631.32883702546</v>
      </c>
      <c r="B140" s="1" t="s">
        <v>241</v>
      </c>
      <c r="C140" s="1" t="s">
        <v>84</v>
      </c>
      <c r="D140" s="1" t="s">
        <v>522</v>
      </c>
      <c r="E140" s="1">
        <v>5.0</v>
      </c>
      <c r="F140" s="1" t="s">
        <v>709</v>
      </c>
      <c r="G140" s="1" t="s">
        <v>710</v>
      </c>
      <c r="H140" s="1" t="s">
        <v>102</v>
      </c>
      <c r="I140" s="1" t="s">
        <v>89</v>
      </c>
      <c r="J140" s="1" t="s">
        <v>554</v>
      </c>
      <c r="K140" s="1" t="s">
        <v>524</v>
      </c>
      <c r="L140" s="1" t="s">
        <v>122</v>
      </c>
      <c r="M140" s="1">
        <v>2.0</v>
      </c>
      <c r="N140" s="1" t="s">
        <v>93</v>
      </c>
      <c r="O140" s="1" t="s">
        <v>206</v>
      </c>
      <c r="P140" s="1">
        <v>1.0</v>
      </c>
      <c r="Q140" s="1" t="s">
        <v>115</v>
      </c>
      <c r="R140" s="1" t="s">
        <v>95</v>
      </c>
      <c r="S140" s="1" t="s">
        <v>49</v>
      </c>
      <c r="T140" s="1" t="s">
        <v>711</v>
      </c>
    </row>
    <row r="141">
      <c r="A141" s="2">
        <v>43631.686512245375</v>
      </c>
      <c r="B141" s="1" t="s">
        <v>368</v>
      </c>
      <c r="C141" s="1" t="s">
        <v>84</v>
      </c>
      <c r="D141" s="1" t="s">
        <v>98</v>
      </c>
      <c r="E141" s="1">
        <v>4.0</v>
      </c>
      <c r="F141" s="1" t="s">
        <v>582</v>
      </c>
      <c r="G141" s="1" t="s">
        <v>126</v>
      </c>
      <c r="H141" s="1" t="s">
        <v>111</v>
      </c>
      <c r="I141" s="1" t="s">
        <v>93</v>
      </c>
      <c r="J141" s="1" t="s">
        <v>127</v>
      </c>
      <c r="K141" s="1" t="s">
        <v>712</v>
      </c>
      <c r="L141" s="1" t="s">
        <v>92</v>
      </c>
      <c r="M141" s="1">
        <v>8.0</v>
      </c>
      <c r="N141" s="1" t="s">
        <v>114</v>
      </c>
      <c r="O141" s="1" t="s">
        <v>94</v>
      </c>
      <c r="P141" s="1">
        <v>3.0</v>
      </c>
      <c r="Q141" s="1" t="s">
        <v>95</v>
      </c>
      <c r="R141" s="1" t="s">
        <v>95</v>
      </c>
      <c r="S141" s="1" t="s">
        <v>713</v>
      </c>
      <c r="T141" s="1" t="s">
        <v>714</v>
      </c>
    </row>
    <row r="142">
      <c r="A142" s="2">
        <v>43631.71950875</v>
      </c>
      <c r="B142" s="1" t="s">
        <v>159</v>
      </c>
      <c r="C142" s="1" t="s">
        <v>225</v>
      </c>
      <c r="D142" s="1" t="s">
        <v>85</v>
      </c>
      <c r="E142" s="1">
        <v>3.0</v>
      </c>
      <c r="F142" s="1" t="s">
        <v>650</v>
      </c>
      <c r="G142" s="1" t="s">
        <v>172</v>
      </c>
      <c r="H142" s="1" t="s">
        <v>102</v>
      </c>
      <c r="I142" s="1" t="s">
        <v>93</v>
      </c>
      <c r="J142" s="1" t="s">
        <v>112</v>
      </c>
      <c r="K142" s="1" t="s">
        <v>113</v>
      </c>
      <c r="L142" s="1" t="s">
        <v>122</v>
      </c>
      <c r="M142" s="1">
        <v>7.0</v>
      </c>
      <c r="N142" s="1" t="s">
        <v>114</v>
      </c>
      <c r="O142" s="1" t="s">
        <v>206</v>
      </c>
      <c r="P142" s="1">
        <v>1.0</v>
      </c>
      <c r="Q142" s="1" t="s">
        <v>95</v>
      </c>
      <c r="R142" s="1" t="s">
        <v>95</v>
      </c>
      <c r="S142" s="1" t="s">
        <v>51</v>
      </c>
      <c r="T142" s="1" t="s">
        <v>715</v>
      </c>
    </row>
    <row r="143">
      <c r="A143" s="2">
        <v>43631.78352391203</v>
      </c>
      <c r="B143" s="1" t="s">
        <v>430</v>
      </c>
      <c r="C143" s="1" t="s">
        <v>225</v>
      </c>
      <c r="D143" s="1" t="s">
        <v>98</v>
      </c>
      <c r="E143" s="1">
        <v>5.0</v>
      </c>
      <c r="F143" s="1" t="s">
        <v>384</v>
      </c>
      <c r="G143" s="1" t="s">
        <v>233</v>
      </c>
      <c r="H143" s="1" t="s">
        <v>102</v>
      </c>
      <c r="I143" s="1" t="s">
        <v>114</v>
      </c>
      <c r="J143" s="1" t="s">
        <v>90</v>
      </c>
      <c r="K143" s="1" t="s">
        <v>707</v>
      </c>
      <c r="L143" s="1" t="s">
        <v>92</v>
      </c>
      <c r="M143" s="1">
        <v>7.0</v>
      </c>
      <c r="N143" s="1" t="s">
        <v>93</v>
      </c>
      <c r="O143" s="1" t="s">
        <v>106</v>
      </c>
      <c r="P143" s="1">
        <v>1.0</v>
      </c>
      <c r="Q143" s="1" t="s">
        <v>115</v>
      </c>
      <c r="R143" s="1" t="s">
        <v>95</v>
      </c>
      <c r="S143" s="1" t="s">
        <v>713</v>
      </c>
      <c r="T143" s="1" t="s">
        <v>716</v>
      </c>
    </row>
    <row r="144">
      <c r="A144" s="2">
        <v>43631.87937807871</v>
      </c>
      <c r="B144" s="1" t="s">
        <v>318</v>
      </c>
      <c r="C144" s="1" t="s">
        <v>84</v>
      </c>
      <c r="D144" s="1" t="s">
        <v>522</v>
      </c>
      <c r="E144" s="1">
        <v>5.0</v>
      </c>
      <c r="F144" s="1" t="s">
        <v>717</v>
      </c>
      <c r="G144" s="1" t="s">
        <v>233</v>
      </c>
      <c r="H144" s="1" t="s">
        <v>111</v>
      </c>
      <c r="I144" s="1" t="s">
        <v>114</v>
      </c>
      <c r="J144" s="1" t="s">
        <v>554</v>
      </c>
      <c r="K144" s="1" t="s">
        <v>121</v>
      </c>
      <c r="L144" s="1" t="s">
        <v>92</v>
      </c>
      <c r="M144" s="1">
        <v>6.0</v>
      </c>
      <c r="N144" s="1" t="s">
        <v>114</v>
      </c>
      <c r="O144" s="1" t="s">
        <v>206</v>
      </c>
      <c r="P144" s="1">
        <v>1.0</v>
      </c>
      <c r="Q144" s="1" t="s">
        <v>95</v>
      </c>
      <c r="R144" s="1" t="s">
        <v>95</v>
      </c>
      <c r="S144" s="1" t="s">
        <v>49</v>
      </c>
      <c r="T144" s="1" t="s">
        <v>718</v>
      </c>
    </row>
    <row r="145">
      <c r="A145" s="2">
        <v>43632.395954594904</v>
      </c>
      <c r="B145" s="1" t="s">
        <v>158</v>
      </c>
      <c r="C145" s="1" t="s">
        <v>84</v>
      </c>
      <c r="D145" s="1" t="s">
        <v>506</v>
      </c>
      <c r="E145" s="1">
        <v>1.0</v>
      </c>
      <c r="F145" s="1" t="s">
        <v>125</v>
      </c>
      <c r="G145" s="1" t="s">
        <v>172</v>
      </c>
      <c r="H145" s="1" t="s">
        <v>102</v>
      </c>
      <c r="I145" s="1" t="s">
        <v>93</v>
      </c>
      <c r="J145" s="1" t="s">
        <v>127</v>
      </c>
      <c r="K145" s="1" t="s">
        <v>121</v>
      </c>
      <c r="L145" s="1" t="s">
        <v>92</v>
      </c>
      <c r="M145" s="1">
        <v>8.0</v>
      </c>
      <c r="N145" s="1" t="s">
        <v>93</v>
      </c>
      <c r="O145" s="1" t="s">
        <v>106</v>
      </c>
      <c r="P145" s="1">
        <v>1.0</v>
      </c>
      <c r="Q145" s="1" t="s">
        <v>115</v>
      </c>
      <c r="R145" s="1" t="s">
        <v>95</v>
      </c>
      <c r="S145" s="1" t="s">
        <v>719</v>
      </c>
      <c r="T145" s="1" t="s">
        <v>720</v>
      </c>
    </row>
    <row r="146">
      <c r="A146" s="2">
        <v>43632.427157303246</v>
      </c>
      <c r="B146" s="1" t="s">
        <v>242</v>
      </c>
      <c r="C146" s="1" t="s">
        <v>84</v>
      </c>
      <c r="D146" s="1" t="s">
        <v>85</v>
      </c>
      <c r="E146" s="1">
        <v>3.0</v>
      </c>
      <c r="F146" s="1" t="s">
        <v>721</v>
      </c>
      <c r="G146" s="1" t="s">
        <v>87</v>
      </c>
      <c r="H146" s="1" t="s">
        <v>102</v>
      </c>
      <c r="I146" s="1" t="s">
        <v>114</v>
      </c>
      <c r="J146" s="1" t="s">
        <v>90</v>
      </c>
      <c r="K146" s="1" t="s">
        <v>103</v>
      </c>
      <c r="L146" s="1" t="s">
        <v>104</v>
      </c>
      <c r="M146" s="1">
        <v>10.0</v>
      </c>
      <c r="N146" s="1" t="s">
        <v>93</v>
      </c>
      <c r="O146" s="1" t="s">
        <v>206</v>
      </c>
      <c r="P146" s="1">
        <v>4.0</v>
      </c>
      <c r="Q146" s="1" t="s">
        <v>95</v>
      </c>
      <c r="R146" s="1" t="s">
        <v>95</v>
      </c>
      <c r="S146" s="1" t="s">
        <v>50</v>
      </c>
      <c r="T146" s="1" t="s">
        <v>722</v>
      </c>
    </row>
    <row r="147">
      <c r="A147" s="2">
        <v>43632.43029020833</v>
      </c>
      <c r="B147" s="1" t="s">
        <v>381</v>
      </c>
      <c r="C147" s="1" t="s">
        <v>84</v>
      </c>
      <c r="D147" s="1" t="s">
        <v>522</v>
      </c>
      <c r="E147" s="1">
        <v>5.0</v>
      </c>
      <c r="F147" s="1" t="s">
        <v>723</v>
      </c>
      <c r="G147" s="1" t="s">
        <v>724</v>
      </c>
      <c r="H147" s="1" t="s">
        <v>102</v>
      </c>
      <c r="I147" s="1" t="s">
        <v>114</v>
      </c>
      <c r="J147" s="1" t="s">
        <v>90</v>
      </c>
      <c r="K147" s="1" t="s">
        <v>725</v>
      </c>
      <c r="L147" s="1" t="s">
        <v>92</v>
      </c>
      <c r="M147" s="1">
        <v>8.0</v>
      </c>
      <c r="N147" s="1" t="s">
        <v>114</v>
      </c>
      <c r="O147" s="1" t="s">
        <v>206</v>
      </c>
      <c r="P147" s="1">
        <v>1.0</v>
      </c>
      <c r="Q147" s="1" t="s">
        <v>95</v>
      </c>
      <c r="R147" s="1" t="s">
        <v>95</v>
      </c>
      <c r="S147" s="1" t="s">
        <v>726</v>
      </c>
      <c r="T147" s="1" t="s">
        <v>179</v>
      </c>
    </row>
    <row r="148">
      <c r="A148" s="2">
        <v>43632.43691355324</v>
      </c>
      <c r="B148" s="1" t="s">
        <v>319</v>
      </c>
      <c r="C148" s="1" t="s">
        <v>84</v>
      </c>
      <c r="D148" s="1" t="s">
        <v>98</v>
      </c>
      <c r="E148" s="1">
        <v>4.0</v>
      </c>
      <c r="F148" s="1" t="s">
        <v>727</v>
      </c>
      <c r="G148" s="1" t="s">
        <v>728</v>
      </c>
      <c r="H148" s="1" t="s">
        <v>111</v>
      </c>
      <c r="I148" s="1" t="s">
        <v>209</v>
      </c>
      <c r="J148" s="1" t="s">
        <v>127</v>
      </c>
      <c r="K148" s="1" t="s">
        <v>729</v>
      </c>
      <c r="L148" s="1" t="s">
        <v>104</v>
      </c>
      <c r="M148" s="1">
        <v>2.0</v>
      </c>
      <c r="N148" s="1" t="s">
        <v>114</v>
      </c>
      <c r="O148" s="1" t="s">
        <v>206</v>
      </c>
      <c r="P148" s="1">
        <v>1.0</v>
      </c>
      <c r="Q148" s="1" t="s">
        <v>115</v>
      </c>
      <c r="R148" s="1" t="s">
        <v>95</v>
      </c>
      <c r="S148" s="1" t="s">
        <v>719</v>
      </c>
      <c r="T148" s="1" t="s">
        <v>730</v>
      </c>
    </row>
    <row r="149">
      <c r="A149" s="2"/>
    </row>
    <row r="150">
      <c r="A150" s="2">
        <v>43632.71924884259</v>
      </c>
      <c r="B150" s="1" t="s">
        <v>156</v>
      </c>
      <c r="C150" s="1" t="s">
        <v>84</v>
      </c>
      <c r="D150" s="1" t="s">
        <v>85</v>
      </c>
      <c r="E150" s="1">
        <v>4.0</v>
      </c>
      <c r="F150" s="1" t="s">
        <v>731</v>
      </c>
      <c r="G150" s="1" t="s">
        <v>126</v>
      </c>
      <c r="H150" s="1" t="s">
        <v>88</v>
      </c>
      <c r="I150" s="1" t="s">
        <v>93</v>
      </c>
      <c r="J150" s="1" t="s">
        <v>127</v>
      </c>
      <c r="K150" s="1" t="s">
        <v>732</v>
      </c>
      <c r="L150" s="1" t="s">
        <v>92</v>
      </c>
      <c r="M150" s="1">
        <v>8.0</v>
      </c>
      <c r="N150" s="1" t="s">
        <v>114</v>
      </c>
      <c r="O150" s="1" t="s">
        <v>94</v>
      </c>
      <c r="P150" s="1">
        <v>3.0</v>
      </c>
      <c r="Q150" s="1" t="s">
        <v>95</v>
      </c>
      <c r="R150" s="1" t="s">
        <v>95</v>
      </c>
      <c r="S150" s="1" t="s">
        <v>48</v>
      </c>
      <c r="T150" s="1" t="s">
        <v>733</v>
      </c>
    </row>
    <row r="151">
      <c r="A151" s="2">
        <v>43632.72089271991</v>
      </c>
      <c r="B151" s="1" t="s">
        <v>240</v>
      </c>
      <c r="C151" s="1" t="s">
        <v>84</v>
      </c>
      <c r="D151" s="1" t="s">
        <v>85</v>
      </c>
      <c r="E151" s="1">
        <v>3.0</v>
      </c>
      <c r="F151" s="1" t="s">
        <v>734</v>
      </c>
      <c r="G151" s="1" t="s">
        <v>100</v>
      </c>
      <c r="H151" s="1" t="s">
        <v>102</v>
      </c>
      <c r="I151" s="1" t="s">
        <v>114</v>
      </c>
      <c r="J151" s="1" t="s">
        <v>127</v>
      </c>
      <c r="K151" s="1" t="s">
        <v>205</v>
      </c>
      <c r="L151" s="1" t="s">
        <v>104</v>
      </c>
      <c r="M151" s="1">
        <v>9.0</v>
      </c>
      <c r="N151" s="1" t="s">
        <v>114</v>
      </c>
      <c r="O151" s="1" t="s">
        <v>94</v>
      </c>
      <c r="P151" s="1">
        <v>1.0</v>
      </c>
      <c r="Q151" s="1" t="s">
        <v>95</v>
      </c>
      <c r="R151" s="1" t="s">
        <v>95</v>
      </c>
      <c r="S151" s="1" t="s">
        <v>48</v>
      </c>
      <c r="T151" s="1" t="s">
        <v>735</v>
      </c>
    </row>
    <row r="152">
      <c r="A152" s="2">
        <v>43632.72176505787</v>
      </c>
      <c r="B152" s="1" t="s">
        <v>317</v>
      </c>
      <c r="C152" s="1" t="s">
        <v>84</v>
      </c>
      <c r="D152" s="1" t="s">
        <v>85</v>
      </c>
      <c r="E152" s="1">
        <v>4.0</v>
      </c>
      <c r="F152" s="1" t="s">
        <v>736</v>
      </c>
      <c r="G152" s="1" t="s">
        <v>464</v>
      </c>
      <c r="H152" s="1" t="s">
        <v>88</v>
      </c>
      <c r="I152" s="1" t="s">
        <v>114</v>
      </c>
      <c r="J152" s="1" t="s">
        <v>127</v>
      </c>
      <c r="K152" s="1" t="s">
        <v>113</v>
      </c>
      <c r="L152" s="1" t="s">
        <v>92</v>
      </c>
      <c r="M152" s="1">
        <v>8.0</v>
      </c>
      <c r="N152" s="1" t="s">
        <v>114</v>
      </c>
      <c r="O152" s="1" t="s">
        <v>94</v>
      </c>
      <c r="P152" s="1">
        <v>3.0</v>
      </c>
      <c r="Q152" s="1" t="s">
        <v>95</v>
      </c>
      <c r="R152" s="1" t="s">
        <v>95</v>
      </c>
      <c r="S152" s="1" t="s">
        <v>48</v>
      </c>
      <c r="T152" s="1" t="s">
        <v>737</v>
      </c>
    </row>
    <row r="153">
      <c r="A153" s="2">
        <v>43632.86679369213</v>
      </c>
      <c r="B153" s="1" t="s">
        <v>435</v>
      </c>
      <c r="C153" s="1" t="s">
        <v>84</v>
      </c>
      <c r="D153" s="1" t="s">
        <v>85</v>
      </c>
      <c r="E153" s="1">
        <v>3.0</v>
      </c>
      <c r="F153" s="1" t="s">
        <v>738</v>
      </c>
      <c r="G153" s="1" t="s">
        <v>482</v>
      </c>
      <c r="H153" s="1" t="s">
        <v>111</v>
      </c>
      <c r="I153" s="1" t="s">
        <v>93</v>
      </c>
      <c r="J153" s="1" t="s">
        <v>127</v>
      </c>
      <c r="K153" s="1" t="s">
        <v>739</v>
      </c>
      <c r="L153" s="1" t="s">
        <v>92</v>
      </c>
      <c r="M153" s="1">
        <v>7.0</v>
      </c>
      <c r="N153" s="1" t="s">
        <v>93</v>
      </c>
      <c r="O153" s="1" t="s">
        <v>106</v>
      </c>
      <c r="P153" s="1">
        <v>1.0</v>
      </c>
      <c r="Q153" s="1" t="s">
        <v>115</v>
      </c>
      <c r="R153" s="1" t="s">
        <v>95</v>
      </c>
      <c r="S153" s="1" t="s">
        <v>44</v>
      </c>
      <c r="T153" s="1" t="s">
        <v>740</v>
      </c>
    </row>
    <row r="154">
      <c r="A154" s="2">
        <v>43632.89690358796</v>
      </c>
      <c r="B154" s="1" t="s">
        <v>162</v>
      </c>
      <c r="C154" s="1" t="s">
        <v>84</v>
      </c>
      <c r="D154" s="1" t="s">
        <v>85</v>
      </c>
      <c r="E154" s="1">
        <v>5.0</v>
      </c>
      <c r="F154" s="1" t="s">
        <v>741</v>
      </c>
      <c r="G154" s="1" t="s">
        <v>742</v>
      </c>
      <c r="H154" s="1" t="s">
        <v>102</v>
      </c>
      <c r="I154" s="1" t="s">
        <v>93</v>
      </c>
      <c r="J154" s="1" t="s">
        <v>127</v>
      </c>
      <c r="K154" s="1" t="s">
        <v>743</v>
      </c>
      <c r="L154" s="1" t="s">
        <v>104</v>
      </c>
      <c r="M154" s="1">
        <v>9.0</v>
      </c>
      <c r="N154" s="1" t="s">
        <v>105</v>
      </c>
      <c r="O154" s="1" t="s">
        <v>106</v>
      </c>
      <c r="P154" s="1">
        <v>3.0</v>
      </c>
      <c r="Q154" s="1" t="s">
        <v>115</v>
      </c>
      <c r="R154" s="1" t="s">
        <v>95</v>
      </c>
      <c r="S154" s="1" t="s">
        <v>53</v>
      </c>
      <c r="T154" s="1" t="s">
        <v>107</v>
      </c>
    </row>
    <row r="155">
      <c r="A155" s="2">
        <v>43632.908729421295</v>
      </c>
      <c r="B155" s="1" t="s">
        <v>246</v>
      </c>
      <c r="C155" s="1" t="s">
        <v>84</v>
      </c>
      <c r="D155" s="1" t="s">
        <v>85</v>
      </c>
      <c r="E155" s="1">
        <v>4.0</v>
      </c>
      <c r="F155" s="1" t="s">
        <v>744</v>
      </c>
      <c r="G155" s="1" t="s">
        <v>589</v>
      </c>
      <c r="H155" s="1" t="s">
        <v>111</v>
      </c>
      <c r="I155" s="1" t="s">
        <v>209</v>
      </c>
      <c r="J155" s="1" t="s">
        <v>127</v>
      </c>
      <c r="K155" s="1" t="s">
        <v>745</v>
      </c>
      <c r="L155" s="1" t="s">
        <v>92</v>
      </c>
      <c r="M155" s="1">
        <v>10.0</v>
      </c>
      <c r="N155" s="1" t="s">
        <v>93</v>
      </c>
      <c r="O155" s="1" t="s">
        <v>94</v>
      </c>
      <c r="P155" s="1">
        <v>5.0</v>
      </c>
      <c r="Q155" s="1" t="s">
        <v>95</v>
      </c>
      <c r="R155" s="1" t="s">
        <v>95</v>
      </c>
      <c r="S155" s="1" t="s">
        <v>53</v>
      </c>
      <c r="T155" s="1" t="s">
        <v>746</v>
      </c>
    </row>
    <row r="156">
      <c r="A156" s="2">
        <v>43633.26695217592</v>
      </c>
      <c r="B156" s="1" t="s">
        <v>244</v>
      </c>
      <c r="C156" s="1" t="s">
        <v>84</v>
      </c>
      <c r="D156" s="1" t="s">
        <v>85</v>
      </c>
      <c r="E156" s="1">
        <v>5.0</v>
      </c>
      <c r="F156" s="1" t="s">
        <v>747</v>
      </c>
      <c r="G156" s="1" t="s">
        <v>748</v>
      </c>
      <c r="H156" s="1" t="s">
        <v>88</v>
      </c>
      <c r="I156" s="1" t="s">
        <v>89</v>
      </c>
      <c r="J156" s="1" t="s">
        <v>90</v>
      </c>
      <c r="K156" s="1" t="s">
        <v>749</v>
      </c>
      <c r="L156" s="1" t="s">
        <v>92</v>
      </c>
      <c r="M156" s="1">
        <v>7.0</v>
      </c>
      <c r="N156" s="1" t="s">
        <v>130</v>
      </c>
      <c r="O156" s="1" t="s">
        <v>106</v>
      </c>
      <c r="P156" s="1">
        <v>1.0</v>
      </c>
      <c r="Q156" s="1" t="s">
        <v>95</v>
      </c>
      <c r="R156" s="1" t="s">
        <v>95</v>
      </c>
      <c r="S156" s="1" t="s">
        <v>52</v>
      </c>
      <c r="T156" s="1" t="s">
        <v>750</v>
      </c>
    </row>
    <row r="157">
      <c r="A157" s="2">
        <v>43633.47264905093</v>
      </c>
      <c r="B157" s="1" t="s">
        <v>321</v>
      </c>
      <c r="C157" s="1" t="s">
        <v>84</v>
      </c>
      <c r="D157" s="1" t="s">
        <v>85</v>
      </c>
      <c r="E157" s="1">
        <v>5.0</v>
      </c>
      <c r="F157" s="1" t="s">
        <v>751</v>
      </c>
      <c r="G157" s="1" t="s">
        <v>752</v>
      </c>
      <c r="H157" s="1" t="s">
        <v>111</v>
      </c>
      <c r="I157" s="1" t="s">
        <v>114</v>
      </c>
      <c r="J157" s="1" t="s">
        <v>90</v>
      </c>
      <c r="K157" s="1" t="s">
        <v>753</v>
      </c>
      <c r="L157" s="1" t="s">
        <v>104</v>
      </c>
      <c r="M157" s="1">
        <v>7.0</v>
      </c>
      <c r="N157" s="1" t="s">
        <v>114</v>
      </c>
      <c r="O157" s="1" t="s">
        <v>106</v>
      </c>
      <c r="P157" s="1">
        <v>1.0</v>
      </c>
      <c r="Q157" s="1" t="s">
        <v>115</v>
      </c>
      <c r="R157" s="1" t="s">
        <v>95</v>
      </c>
      <c r="S157" s="1" t="s">
        <v>52</v>
      </c>
      <c r="T157" s="1" t="s">
        <v>754</v>
      </c>
    </row>
    <row r="158">
      <c r="A158" s="2">
        <v>43633.505344687495</v>
      </c>
      <c r="B158" s="1" t="s">
        <v>163</v>
      </c>
      <c r="C158" s="1" t="s">
        <v>84</v>
      </c>
      <c r="D158" s="1" t="s">
        <v>522</v>
      </c>
      <c r="E158" s="1">
        <v>3.0</v>
      </c>
      <c r="F158" s="1" t="s">
        <v>198</v>
      </c>
      <c r="G158" s="1" t="s">
        <v>755</v>
      </c>
      <c r="H158" s="1" t="s">
        <v>88</v>
      </c>
      <c r="I158" s="1" t="s">
        <v>93</v>
      </c>
      <c r="J158" s="1" t="s">
        <v>90</v>
      </c>
      <c r="K158" s="1" t="s">
        <v>498</v>
      </c>
      <c r="L158" s="1" t="s">
        <v>122</v>
      </c>
      <c r="M158" s="1">
        <v>7.0</v>
      </c>
      <c r="N158" s="1" t="s">
        <v>93</v>
      </c>
      <c r="O158" s="1" t="s">
        <v>106</v>
      </c>
      <c r="P158" s="1">
        <v>2.0</v>
      </c>
      <c r="Q158" s="1" t="s">
        <v>95</v>
      </c>
      <c r="R158" s="1" t="s">
        <v>95</v>
      </c>
      <c r="S158" s="1" t="s">
        <v>54</v>
      </c>
      <c r="T158" s="1" t="s">
        <v>756</v>
      </c>
    </row>
    <row r="159">
      <c r="A159" s="2">
        <v>43633.56493561342</v>
      </c>
      <c r="B159" s="1" t="s">
        <v>164</v>
      </c>
      <c r="C159" s="1" t="s">
        <v>84</v>
      </c>
      <c r="D159" s="1" t="s">
        <v>522</v>
      </c>
      <c r="E159" s="1">
        <v>3.0</v>
      </c>
      <c r="F159" s="1" t="s">
        <v>632</v>
      </c>
      <c r="G159" s="1" t="s">
        <v>757</v>
      </c>
      <c r="H159" s="1" t="s">
        <v>102</v>
      </c>
      <c r="I159" s="1" t="s">
        <v>93</v>
      </c>
      <c r="J159" s="1" t="s">
        <v>127</v>
      </c>
      <c r="K159" s="1" t="s">
        <v>729</v>
      </c>
      <c r="L159" s="1" t="s">
        <v>92</v>
      </c>
      <c r="M159" s="1">
        <v>7.0</v>
      </c>
      <c r="N159" s="1" t="s">
        <v>114</v>
      </c>
      <c r="O159" s="1" t="s">
        <v>106</v>
      </c>
      <c r="P159" s="1">
        <v>1.0</v>
      </c>
      <c r="Q159" s="1" t="s">
        <v>115</v>
      </c>
      <c r="R159" s="1" t="s">
        <v>95</v>
      </c>
      <c r="S159" s="1" t="s">
        <v>55</v>
      </c>
      <c r="T159" s="1" t="s">
        <v>758</v>
      </c>
    </row>
    <row r="160">
      <c r="A160" s="2">
        <v>43633.71841052083</v>
      </c>
      <c r="B160" s="1" t="s">
        <v>248</v>
      </c>
      <c r="C160" s="1" t="s">
        <v>84</v>
      </c>
      <c r="D160" s="1" t="s">
        <v>522</v>
      </c>
      <c r="E160" s="1">
        <v>4.0</v>
      </c>
      <c r="F160" s="1" t="s">
        <v>759</v>
      </c>
      <c r="G160" s="1" t="s">
        <v>100</v>
      </c>
      <c r="H160" s="1" t="s">
        <v>102</v>
      </c>
      <c r="I160" s="1" t="s">
        <v>209</v>
      </c>
      <c r="J160" s="1" t="s">
        <v>127</v>
      </c>
      <c r="K160" s="1" t="s">
        <v>760</v>
      </c>
      <c r="L160" s="1" t="s">
        <v>104</v>
      </c>
      <c r="M160" s="1">
        <v>7.0</v>
      </c>
      <c r="N160" s="1" t="s">
        <v>114</v>
      </c>
      <c r="O160" s="1" t="s">
        <v>206</v>
      </c>
      <c r="P160" s="1">
        <v>2.0</v>
      </c>
      <c r="Q160" s="1" t="s">
        <v>95</v>
      </c>
      <c r="R160" s="1" t="s">
        <v>95</v>
      </c>
      <c r="S160" s="1" t="s">
        <v>54</v>
      </c>
      <c r="T160" s="1" t="s">
        <v>761</v>
      </c>
    </row>
    <row r="161">
      <c r="A161" s="2">
        <v>43633.72251902778</v>
      </c>
      <c r="B161" s="1" t="s">
        <v>323</v>
      </c>
      <c r="C161" s="1" t="s">
        <v>166</v>
      </c>
      <c r="D161" s="1" t="s">
        <v>522</v>
      </c>
      <c r="E161" s="1">
        <v>3.0</v>
      </c>
      <c r="F161" s="1" t="s">
        <v>762</v>
      </c>
      <c r="G161" s="1" t="s">
        <v>126</v>
      </c>
      <c r="H161" s="1" t="s">
        <v>111</v>
      </c>
      <c r="I161" s="1" t="s">
        <v>114</v>
      </c>
      <c r="J161" s="1" t="s">
        <v>90</v>
      </c>
      <c r="K161" s="1" t="s">
        <v>103</v>
      </c>
      <c r="L161" s="1" t="s">
        <v>92</v>
      </c>
      <c r="M161" s="1">
        <v>8.0</v>
      </c>
      <c r="N161" s="1" t="s">
        <v>114</v>
      </c>
      <c r="O161" s="1" t="s">
        <v>106</v>
      </c>
      <c r="P161" s="1">
        <v>2.0</v>
      </c>
      <c r="Q161" s="1" t="s">
        <v>95</v>
      </c>
      <c r="R161" s="1" t="s">
        <v>95</v>
      </c>
      <c r="S161" s="1" t="s">
        <v>54</v>
      </c>
      <c r="T161" s="1" t="s">
        <v>763</v>
      </c>
    </row>
    <row r="162">
      <c r="A162" s="2">
        <v>43633.81577555556</v>
      </c>
      <c r="B162" s="1" t="s">
        <v>483</v>
      </c>
      <c r="C162" s="1" t="s">
        <v>225</v>
      </c>
      <c r="D162" s="1" t="s">
        <v>85</v>
      </c>
      <c r="E162" s="1">
        <v>3.0</v>
      </c>
      <c r="F162" s="1" t="s">
        <v>144</v>
      </c>
      <c r="G162" s="1" t="s">
        <v>764</v>
      </c>
      <c r="H162" s="1" t="s">
        <v>111</v>
      </c>
      <c r="I162" s="1" t="s">
        <v>93</v>
      </c>
      <c r="J162" s="1" t="s">
        <v>112</v>
      </c>
      <c r="K162" s="1" t="s">
        <v>651</v>
      </c>
      <c r="L162" s="1" t="s">
        <v>104</v>
      </c>
      <c r="M162" s="1">
        <v>8.0</v>
      </c>
      <c r="N162" s="1" t="s">
        <v>93</v>
      </c>
      <c r="O162" s="1" t="s">
        <v>106</v>
      </c>
      <c r="P162" s="1">
        <v>2.0</v>
      </c>
      <c r="Q162" s="1" t="s">
        <v>115</v>
      </c>
      <c r="R162" s="1" t="s">
        <v>95</v>
      </c>
      <c r="S162" s="1" t="s">
        <v>44</v>
      </c>
      <c r="T162" s="1" t="s">
        <v>765</v>
      </c>
    </row>
    <row r="163">
      <c r="A163" s="2">
        <v>43633.8201212037</v>
      </c>
      <c r="B163" s="1" t="s">
        <v>167</v>
      </c>
      <c r="C163" s="1" t="s">
        <v>84</v>
      </c>
      <c r="D163" s="1" t="s">
        <v>85</v>
      </c>
      <c r="E163" s="1">
        <v>4.0</v>
      </c>
      <c r="F163" s="1" t="s">
        <v>511</v>
      </c>
      <c r="G163" s="1" t="s">
        <v>172</v>
      </c>
      <c r="H163" s="1" t="s">
        <v>102</v>
      </c>
      <c r="I163" s="1" t="s">
        <v>93</v>
      </c>
      <c r="J163" s="1" t="s">
        <v>112</v>
      </c>
      <c r="K163" s="1" t="s">
        <v>467</v>
      </c>
      <c r="L163" s="1" t="s">
        <v>92</v>
      </c>
      <c r="M163" s="1">
        <v>8.0</v>
      </c>
      <c r="N163" s="1" t="s">
        <v>93</v>
      </c>
      <c r="O163" s="1" t="s">
        <v>106</v>
      </c>
      <c r="P163" s="1">
        <v>3.0</v>
      </c>
      <c r="Q163" s="1" t="s">
        <v>95</v>
      </c>
      <c r="R163" s="1" t="s">
        <v>95</v>
      </c>
      <c r="S163" s="1" t="s">
        <v>56</v>
      </c>
      <c r="T163" s="1" t="s">
        <v>766</v>
      </c>
    </row>
    <row r="164">
      <c r="A164" s="2">
        <v>43633.820647650464</v>
      </c>
      <c r="B164" s="1" t="s">
        <v>250</v>
      </c>
      <c r="C164" s="1" t="s">
        <v>84</v>
      </c>
      <c r="D164" s="1" t="s">
        <v>85</v>
      </c>
      <c r="E164" s="1">
        <v>4.0</v>
      </c>
      <c r="F164" s="1" t="s">
        <v>384</v>
      </c>
      <c r="G164" s="1" t="s">
        <v>126</v>
      </c>
      <c r="H164" s="1" t="s">
        <v>111</v>
      </c>
      <c r="I164" s="1" t="s">
        <v>93</v>
      </c>
      <c r="J164" s="1" t="s">
        <v>90</v>
      </c>
      <c r="K164" s="1" t="s">
        <v>103</v>
      </c>
      <c r="L164" s="1" t="s">
        <v>104</v>
      </c>
      <c r="M164" s="1">
        <v>8.0</v>
      </c>
      <c r="N164" s="1" t="s">
        <v>114</v>
      </c>
      <c r="O164" s="1" t="s">
        <v>106</v>
      </c>
      <c r="P164" s="1">
        <v>1.0</v>
      </c>
      <c r="Q164" s="1" t="s">
        <v>95</v>
      </c>
      <c r="R164" s="1" t="s">
        <v>95</v>
      </c>
      <c r="S164" s="1" t="s">
        <v>56</v>
      </c>
      <c r="T164" s="1" t="s">
        <v>767</v>
      </c>
    </row>
    <row r="165">
      <c r="A165" s="2">
        <v>43633.82228949074</v>
      </c>
      <c r="B165" s="1" t="s">
        <v>326</v>
      </c>
      <c r="C165" s="1" t="s">
        <v>84</v>
      </c>
      <c r="D165" s="1" t="s">
        <v>85</v>
      </c>
      <c r="E165" s="1">
        <v>4.0</v>
      </c>
      <c r="F165" s="1" t="s">
        <v>198</v>
      </c>
      <c r="G165" s="1" t="s">
        <v>100</v>
      </c>
      <c r="H165" s="1" t="s">
        <v>88</v>
      </c>
      <c r="I165" s="1" t="s">
        <v>209</v>
      </c>
      <c r="J165" s="1" t="s">
        <v>112</v>
      </c>
      <c r="K165" s="1" t="s">
        <v>509</v>
      </c>
      <c r="L165" s="1" t="s">
        <v>122</v>
      </c>
      <c r="M165" s="1">
        <v>7.0</v>
      </c>
      <c r="N165" s="1" t="s">
        <v>114</v>
      </c>
      <c r="O165" s="1" t="s">
        <v>106</v>
      </c>
      <c r="P165" s="1">
        <v>1.0</v>
      </c>
      <c r="Q165" s="1" t="s">
        <v>95</v>
      </c>
      <c r="R165" s="1" t="s">
        <v>95</v>
      </c>
      <c r="S165" s="1" t="s">
        <v>56</v>
      </c>
      <c r="T165" s="1" t="s">
        <v>768</v>
      </c>
    </row>
    <row r="166">
      <c r="A166" s="2">
        <v>43633.82981752315</v>
      </c>
      <c r="B166" s="1" t="s">
        <v>391</v>
      </c>
      <c r="C166" s="1" t="s">
        <v>84</v>
      </c>
      <c r="D166" s="1" t="s">
        <v>85</v>
      </c>
      <c r="E166" s="1">
        <v>4.0</v>
      </c>
      <c r="F166" s="1" t="s">
        <v>198</v>
      </c>
      <c r="G166" s="1" t="s">
        <v>87</v>
      </c>
      <c r="H166" s="1" t="s">
        <v>111</v>
      </c>
      <c r="I166" s="1" t="s">
        <v>114</v>
      </c>
      <c r="J166" s="1" t="s">
        <v>90</v>
      </c>
      <c r="K166" s="1" t="s">
        <v>769</v>
      </c>
      <c r="L166" s="1" t="s">
        <v>92</v>
      </c>
      <c r="M166" s="1">
        <v>8.0</v>
      </c>
      <c r="N166" s="1" t="s">
        <v>114</v>
      </c>
      <c r="O166" s="1" t="s">
        <v>206</v>
      </c>
      <c r="P166" s="1">
        <v>1.0</v>
      </c>
      <c r="Q166" s="1" t="s">
        <v>95</v>
      </c>
      <c r="R166" s="1" t="s">
        <v>95</v>
      </c>
      <c r="S166" s="1" t="s">
        <v>56</v>
      </c>
      <c r="T166" s="1" t="s">
        <v>770</v>
      </c>
    </row>
    <row r="167">
      <c r="A167" s="2">
        <v>43633.83582342592</v>
      </c>
      <c r="B167" s="1" t="s">
        <v>444</v>
      </c>
      <c r="C167" s="1" t="s">
        <v>84</v>
      </c>
      <c r="D167" s="1" t="s">
        <v>85</v>
      </c>
      <c r="E167" s="1">
        <v>3.0</v>
      </c>
      <c r="F167" s="1" t="s">
        <v>574</v>
      </c>
      <c r="G167" s="1" t="s">
        <v>172</v>
      </c>
      <c r="H167" s="1" t="s">
        <v>102</v>
      </c>
      <c r="I167" s="1" t="s">
        <v>93</v>
      </c>
      <c r="J167" s="1" t="s">
        <v>127</v>
      </c>
      <c r="K167" s="1" t="s">
        <v>771</v>
      </c>
      <c r="L167" s="1" t="s">
        <v>92</v>
      </c>
      <c r="M167" s="1">
        <v>7.0</v>
      </c>
      <c r="N167" s="1" t="s">
        <v>114</v>
      </c>
      <c r="O167" s="1" t="s">
        <v>106</v>
      </c>
      <c r="P167" s="1">
        <v>2.0</v>
      </c>
      <c r="Q167" s="1" t="s">
        <v>95</v>
      </c>
      <c r="R167" s="1" t="s">
        <v>95</v>
      </c>
      <c r="S167" s="1" t="s">
        <v>772</v>
      </c>
      <c r="T167" s="1" t="s">
        <v>773</v>
      </c>
    </row>
    <row r="168">
      <c r="A168" s="2">
        <v>43633.900661377316</v>
      </c>
      <c r="B168" s="1" t="s">
        <v>168</v>
      </c>
      <c r="C168" s="1" t="s">
        <v>166</v>
      </c>
      <c r="D168" s="1" t="s">
        <v>85</v>
      </c>
      <c r="E168" s="1">
        <v>2.0</v>
      </c>
      <c r="F168" s="1" t="s">
        <v>125</v>
      </c>
      <c r="G168" s="1" t="s">
        <v>126</v>
      </c>
      <c r="H168" s="1" t="s">
        <v>209</v>
      </c>
      <c r="I168" s="1" t="s">
        <v>114</v>
      </c>
      <c r="J168" s="1" t="s">
        <v>127</v>
      </c>
      <c r="K168" s="1" t="s">
        <v>694</v>
      </c>
      <c r="L168" s="1" t="s">
        <v>92</v>
      </c>
      <c r="M168" s="1">
        <v>3.0</v>
      </c>
      <c r="N168" s="1" t="s">
        <v>130</v>
      </c>
      <c r="O168" s="1" t="s">
        <v>206</v>
      </c>
      <c r="P168" s="1">
        <v>1.0</v>
      </c>
      <c r="Q168" s="1" t="s">
        <v>95</v>
      </c>
      <c r="R168" s="1" t="s">
        <v>95</v>
      </c>
      <c r="S168" s="1" t="s">
        <v>57</v>
      </c>
      <c r="T168" s="1" t="s">
        <v>774</v>
      </c>
    </row>
    <row r="169">
      <c r="A169" s="2">
        <v>43634.44562158565</v>
      </c>
      <c r="B169" s="1" t="s">
        <v>150</v>
      </c>
      <c r="C169" s="1" t="s">
        <v>84</v>
      </c>
      <c r="D169" s="1" t="s">
        <v>85</v>
      </c>
      <c r="E169" s="1">
        <v>4.0</v>
      </c>
      <c r="F169" s="1" t="s">
        <v>638</v>
      </c>
      <c r="G169" s="1" t="s">
        <v>247</v>
      </c>
      <c r="H169" s="1" t="s">
        <v>102</v>
      </c>
      <c r="I169" s="1" t="s">
        <v>93</v>
      </c>
      <c r="J169" s="1" t="s">
        <v>127</v>
      </c>
      <c r="K169" s="1" t="s">
        <v>103</v>
      </c>
      <c r="L169" s="1" t="s">
        <v>152</v>
      </c>
      <c r="M169" s="1">
        <v>6.0</v>
      </c>
      <c r="N169" s="1" t="s">
        <v>114</v>
      </c>
      <c r="O169" s="1" t="s">
        <v>206</v>
      </c>
      <c r="P169" s="1">
        <v>2.0</v>
      </c>
      <c r="Q169" s="1" t="s">
        <v>95</v>
      </c>
      <c r="R169" s="1" t="s">
        <v>95</v>
      </c>
      <c r="S169" s="1" t="s">
        <v>775</v>
      </c>
      <c r="T169" s="1" t="s">
        <v>776</v>
      </c>
    </row>
    <row r="170">
      <c r="A170" s="2">
        <v>43634.446225555555</v>
      </c>
      <c r="B170" s="1" t="s">
        <v>234</v>
      </c>
      <c r="C170" s="1" t="s">
        <v>84</v>
      </c>
      <c r="D170" s="1" t="s">
        <v>85</v>
      </c>
      <c r="E170" s="1">
        <v>4.0</v>
      </c>
      <c r="F170" s="1" t="s">
        <v>777</v>
      </c>
      <c r="G170" s="1" t="s">
        <v>87</v>
      </c>
      <c r="H170" s="1" t="s">
        <v>102</v>
      </c>
      <c r="I170" s="1" t="s">
        <v>93</v>
      </c>
      <c r="J170" s="1" t="s">
        <v>127</v>
      </c>
      <c r="K170" s="1" t="s">
        <v>103</v>
      </c>
      <c r="L170" s="1" t="s">
        <v>122</v>
      </c>
      <c r="M170" s="1">
        <v>7.0</v>
      </c>
      <c r="N170" s="1" t="s">
        <v>93</v>
      </c>
      <c r="O170" s="1" t="s">
        <v>106</v>
      </c>
      <c r="P170" s="1">
        <v>1.0</v>
      </c>
      <c r="Q170" s="1" t="s">
        <v>95</v>
      </c>
      <c r="R170" s="1" t="s">
        <v>95</v>
      </c>
      <c r="S170" s="1" t="s">
        <v>778</v>
      </c>
      <c r="T170" s="1" t="s">
        <v>779</v>
      </c>
    </row>
    <row r="171">
      <c r="A171" s="2">
        <v>43634.48000619213</v>
      </c>
      <c r="B171" s="1" t="s">
        <v>251</v>
      </c>
      <c r="C171" s="1" t="s">
        <v>84</v>
      </c>
      <c r="D171" s="1" t="s">
        <v>85</v>
      </c>
      <c r="E171" s="1">
        <v>3.0</v>
      </c>
      <c r="F171" s="1" t="s">
        <v>780</v>
      </c>
      <c r="G171" s="1" t="s">
        <v>755</v>
      </c>
      <c r="H171" s="1" t="s">
        <v>88</v>
      </c>
      <c r="I171" s="1" t="s">
        <v>114</v>
      </c>
      <c r="J171" s="1" t="s">
        <v>90</v>
      </c>
      <c r="K171" s="1" t="s">
        <v>103</v>
      </c>
      <c r="L171" s="1" t="s">
        <v>104</v>
      </c>
      <c r="M171" s="1">
        <v>8.0</v>
      </c>
      <c r="N171" s="1" t="s">
        <v>93</v>
      </c>
      <c r="O171" s="1" t="s">
        <v>106</v>
      </c>
      <c r="P171" s="1">
        <v>2.0</v>
      </c>
      <c r="Q171" s="1" t="s">
        <v>115</v>
      </c>
      <c r="R171" s="1" t="s">
        <v>95</v>
      </c>
      <c r="S171" s="1" t="s">
        <v>57</v>
      </c>
      <c r="T171" s="1" t="s">
        <v>781</v>
      </c>
    </row>
    <row r="172">
      <c r="A172" s="2">
        <v>43634.48752957176</v>
      </c>
      <c r="B172" s="1" t="s">
        <v>312</v>
      </c>
      <c r="C172" s="1" t="s">
        <v>84</v>
      </c>
      <c r="D172" s="1" t="s">
        <v>85</v>
      </c>
      <c r="E172" s="1">
        <v>4.0</v>
      </c>
      <c r="F172" s="1" t="s">
        <v>782</v>
      </c>
      <c r="G172" s="1" t="s">
        <v>172</v>
      </c>
      <c r="H172" s="1" t="s">
        <v>102</v>
      </c>
      <c r="I172" s="1" t="s">
        <v>93</v>
      </c>
      <c r="J172" s="1" t="s">
        <v>90</v>
      </c>
      <c r="K172" s="1" t="s">
        <v>103</v>
      </c>
      <c r="L172" s="1" t="s">
        <v>92</v>
      </c>
      <c r="M172" s="1">
        <v>8.0</v>
      </c>
      <c r="N172" s="1" t="s">
        <v>93</v>
      </c>
      <c r="O172" s="1" t="s">
        <v>106</v>
      </c>
      <c r="P172" s="1">
        <v>1.0</v>
      </c>
      <c r="Q172" s="1" t="s">
        <v>95</v>
      </c>
      <c r="R172" s="1" t="s">
        <v>95</v>
      </c>
      <c r="S172" s="1" t="s">
        <v>775</v>
      </c>
      <c r="T172" s="1" t="s">
        <v>783</v>
      </c>
    </row>
    <row r="173">
      <c r="A173" s="2">
        <v>43634.523350104166</v>
      </c>
      <c r="B173" s="1" t="s">
        <v>374</v>
      </c>
      <c r="C173" s="1" t="s">
        <v>166</v>
      </c>
      <c r="D173" s="1" t="s">
        <v>85</v>
      </c>
      <c r="E173" s="1">
        <v>4.0</v>
      </c>
      <c r="F173" s="1" t="s">
        <v>511</v>
      </c>
      <c r="G173" s="1" t="s">
        <v>784</v>
      </c>
      <c r="H173" s="1" t="s">
        <v>102</v>
      </c>
      <c r="I173" s="1" t="s">
        <v>93</v>
      </c>
      <c r="J173" s="1" t="s">
        <v>127</v>
      </c>
      <c r="K173" s="1" t="s">
        <v>103</v>
      </c>
      <c r="L173" s="1" t="s">
        <v>92</v>
      </c>
      <c r="M173" s="1">
        <v>9.0</v>
      </c>
      <c r="N173" s="1" t="s">
        <v>93</v>
      </c>
      <c r="O173" s="1" t="s">
        <v>206</v>
      </c>
      <c r="P173" s="1">
        <v>3.0</v>
      </c>
      <c r="Q173" s="1" t="s">
        <v>95</v>
      </c>
      <c r="R173" s="1" t="s">
        <v>95</v>
      </c>
      <c r="S173" s="1" t="s">
        <v>43</v>
      </c>
      <c r="T173" s="1" t="s">
        <v>785</v>
      </c>
    </row>
    <row r="174">
      <c r="A174" s="2">
        <v>43634.56438787037</v>
      </c>
      <c r="B174" s="1" t="s">
        <v>328</v>
      </c>
      <c r="C174" s="1" t="s">
        <v>84</v>
      </c>
      <c r="D174" s="1" t="s">
        <v>85</v>
      </c>
      <c r="E174" s="1">
        <v>3.0</v>
      </c>
      <c r="F174" s="1" t="s">
        <v>398</v>
      </c>
      <c r="G174" s="1" t="s">
        <v>299</v>
      </c>
      <c r="H174" s="1" t="s">
        <v>102</v>
      </c>
      <c r="I174" s="1" t="s">
        <v>89</v>
      </c>
      <c r="J174" s="1" t="s">
        <v>90</v>
      </c>
      <c r="K174" s="1" t="s">
        <v>407</v>
      </c>
      <c r="L174" s="1" t="s">
        <v>92</v>
      </c>
      <c r="M174" s="1">
        <v>7.0</v>
      </c>
      <c r="N174" s="1" t="s">
        <v>114</v>
      </c>
      <c r="O174" s="1" t="s">
        <v>206</v>
      </c>
      <c r="P174" s="1">
        <v>3.0</v>
      </c>
      <c r="Q174" s="1" t="s">
        <v>115</v>
      </c>
      <c r="R174" s="1" t="s">
        <v>95</v>
      </c>
      <c r="S174" s="1" t="s">
        <v>786</v>
      </c>
      <c r="T174" s="1" t="s">
        <v>787</v>
      </c>
    </row>
    <row r="175">
      <c r="A175" s="2">
        <v>43634.59127744213</v>
      </c>
      <c r="B175" s="1" t="s">
        <v>392</v>
      </c>
      <c r="C175" s="1" t="s">
        <v>84</v>
      </c>
      <c r="D175" s="1" t="s">
        <v>532</v>
      </c>
      <c r="E175" s="1">
        <v>2.0</v>
      </c>
      <c r="F175" s="1" t="s">
        <v>788</v>
      </c>
      <c r="G175" s="1" t="s">
        <v>464</v>
      </c>
      <c r="H175" s="1" t="s">
        <v>102</v>
      </c>
      <c r="I175" s="1" t="s">
        <v>93</v>
      </c>
      <c r="J175" s="1" t="s">
        <v>90</v>
      </c>
      <c r="K175" s="1" t="s">
        <v>205</v>
      </c>
      <c r="L175" s="1" t="s">
        <v>104</v>
      </c>
      <c r="M175" s="1">
        <v>1.0</v>
      </c>
      <c r="N175" s="1" t="s">
        <v>130</v>
      </c>
      <c r="O175" s="1" t="s">
        <v>789</v>
      </c>
      <c r="P175" s="1">
        <v>1.0</v>
      </c>
      <c r="Q175" s="1" t="s">
        <v>115</v>
      </c>
      <c r="R175" s="1" t="s">
        <v>95</v>
      </c>
      <c r="S175" s="1" t="s">
        <v>57</v>
      </c>
      <c r="T175" s="1" t="s">
        <v>790</v>
      </c>
    </row>
    <row r="176">
      <c r="A176" s="2">
        <v>43634.773569212965</v>
      </c>
      <c r="B176" s="1" t="s">
        <v>169</v>
      </c>
      <c r="C176" s="1" t="s">
        <v>84</v>
      </c>
      <c r="D176" s="1" t="s">
        <v>98</v>
      </c>
      <c r="E176" s="1">
        <v>2.0</v>
      </c>
      <c r="F176" s="1" t="s">
        <v>638</v>
      </c>
      <c r="G176" s="1" t="s">
        <v>450</v>
      </c>
      <c r="H176" s="1" t="s">
        <v>102</v>
      </c>
      <c r="I176" s="1" t="s">
        <v>89</v>
      </c>
      <c r="J176" s="1" t="s">
        <v>127</v>
      </c>
      <c r="K176" s="1" t="s">
        <v>121</v>
      </c>
      <c r="L176" s="1" t="s">
        <v>104</v>
      </c>
      <c r="M176" s="1">
        <v>5.0</v>
      </c>
      <c r="N176" s="1" t="s">
        <v>114</v>
      </c>
      <c r="O176" s="1" t="s">
        <v>106</v>
      </c>
      <c r="P176" s="1">
        <v>1.0</v>
      </c>
      <c r="Q176" s="1" t="s">
        <v>95</v>
      </c>
      <c r="R176" s="1" t="s">
        <v>95</v>
      </c>
      <c r="S176" s="1" t="s">
        <v>58</v>
      </c>
      <c r="T176" s="1" t="s">
        <v>791</v>
      </c>
    </row>
    <row r="177">
      <c r="A177" s="2">
        <v>43634.77729375</v>
      </c>
      <c r="B177" s="1" t="s">
        <v>252</v>
      </c>
      <c r="C177" s="1" t="s">
        <v>84</v>
      </c>
      <c r="D177" s="1" t="s">
        <v>98</v>
      </c>
      <c r="E177" s="1">
        <v>3.0</v>
      </c>
      <c r="F177" s="1" t="s">
        <v>99</v>
      </c>
      <c r="G177" s="1" t="s">
        <v>792</v>
      </c>
      <c r="H177" s="1" t="s">
        <v>88</v>
      </c>
      <c r="I177" s="1" t="s">
        <v>114</v>
      </c>
      <c r="J177" s="1" t="s">
        <v>127</v>
      </c>
      <c r="K177" s="1" t="s">
        <v>121</v>
      </c>
      <c r="L177" s="1" t="s">
        <v>92</v>
      </c>
      <c r="M177" s="1">
        <v>3.0</v>
      </c>
      <c r="N177" s="1" t="s">
        <v>130</v>
      </c>
      <c r="O177" s="1" t="s">
        <v>106</v>
      </c>
      <c r="P177" s="1">
        <v>1.0</v>
      </c>
      <c r="Q177" s="1" t="s">
        <v>95</v>
      </c>
      <c r="R177" s="1" t="s">
        <v>95</v>
      </c>
      <c r="S177" s="1" t="s">
        <v>793</v>
      </c>
      <c r="T177" s="1" t="s">
        <v>794</v>
      </c>
    </row>
    <row r="178">
      <c r="A178" s="2">
        <v>43634.77771288194</v>
      </c>
      <c r="B178" s="1" t="s">
        <v>329</v>
      </c>
      <c r="C178" s="1" t="s">
        <v>84</v>
      </c>
      <c r="D178" s="1" t="s">
        <v>98</v>
      </c>
      <c r="E178" s="1">
        <v>5.0</v>
      </c>
      <c r="F178" s="1" t="s">
        <v>795</v>
      </c>
      <c r="G178" s="1" t="s">
        <v>796</v>
      </c>
      <c r="H178" s="1" t="s">
        <v>88</v>
      </c>
      <c r="I178" s="1" t="s">
        <v>93</v>
      </c>
      <c r="J178" s="1" t="s">
        <v>127</v>
      </c>
      <c r="K178" s="1" t="s">
        <v>509</v>
      </c>
      <c r="L178" s="1" t="s">
        <v>92</v>
      </c>
      <c r="M178" s="1">
        <v>6.0</v>
      </c>
      <c r="N178" s="1" t="s">
        <v>130</v>
      </c>
      <c r="O178" s="1" t="s">
        <v>206</v>
      </c>
      <c r="P178" s="1">
        <v>1.0</v>
      </c>
      <c r="Q178" s="1" t="s">
        <v>95</v>
      </c>
      <c r="R178" s="1" t="s">
        <v>95</v>
      </c>
      <c r="S178" s="1" t="s">
        <v>793</v>
      </c>
      <c r="T178" s="1" t="s">
        <v>797</v>
      </c>
    </row>
    <row r="179">
      <c r="A179" s="2">
        <v>43634.78386790509</v>
      </c>
      <c r="B179" s="1" t="s">
        <v>393</v>
      </c>
      <c r="C179" s="1" t="s">
        <v>84</v>
      </c>
      <c r="D179" s="1" t="s">
        <v>532</v>
      </c>
      <c r="E179" s="1">
        <v>2.0</v>
      </c>
      <c r="F179" s="1" t="s">
        <v>798</v>
      </c>
      <c r="G179" s="1" t="s">
        <v>126</v>
      </c>
      <c r="H179" s="1" t="s">
        <v>209</v>
      </c>
      <c r="I179" s="1" t="s">
        <v>89</v>
      </c>
      <c r="J179" s="1" t="s">
        <v>127</v>
      </c>
      <c r="K179" s="1" t="s">
        <v>524</v>
      </c>
      <c r="L179" s="1" t="s">
        <v>122</v>
      </c>
      <c r="M179" s="1">
        <v>2.0</v>
      </c>
      <c r="N179" s="1" t="s">
        <v>799</v>
      </c>
      <c r="O179" s="1" t="s">
        <v>206</v>
      </c>
      <c r="P179" s="1">
        <v>1.0</v>
      </c>
      <c r="Q179" s="1" t="s">
        <v>95</v>
      </c>
      <c r="R179" s="1" t="s">
        <v>95</v>
      </c>
      <c r="S179" s="1" t="s">
        <v>793</v>
      </c>
      <c r="T179" s="1" t="s">
        <v>800</v>
      </c>
    </row>
    <row r="180">
      <c r="A180" s="2">
        <v>43634.9620274537</v>
      </c>
      <c r="B180" s="1" t="s">
        <v>322</v>
      </c>
      <c r="C180" s="1" t="s">
        <v>225</v>
      </c>
      <c r="D180" s="1" t="s">
        <v>98</v>
      </c>
      <c r="E180" s="1">
        <v>3.0</v>
      </c>
      <c r="F180" s="1" t="s">
        <v>588</v>
      </c>
      <c r="G180" s="1" t="s">
        <v>801</v>
      </c>
      <c r="H180" s="1" t="s">
        <v>102</v>
      </c>
      <c r="I180" s="1" t="s">
        <v>93</v>
      </c>
      <c r="J180" s="1" t="s">
        <v>127</v>
      </c>
      <c r="K180" s="1" t="s">
        <v>802</v>
      </c>
      <c r="L180" s="1" t="s">
        <v>92</v>
      </c>
      <c r="M180" s="1">
        <v>8.0</v>
      </c>
      <c r="N180" s="1" t="s">
        <v>93</v>
      </c>
      <c r="O180" s="1" t="s">
        <v>94</v>
      </c>
      <c r="P180" s="1">
        <v>3.0</v>
      </c>
      <c r="Q180" s="1" t="s">
        <v>95</v>
      </c>
      <c r="R180" s="1" t="s">
        <v>95</v>
      </c>
      <c r="S180" s="1" t="s">
        <v>803</v>
      </c>
      <c r="T180" s="1" t="s">
        <v>804</v>
      </c>
    </row>
    <row r="181">
      <c r="A181" s="2">
        <v>43635.554665752315</v>
      </c>
      <c r="B181" s="1" t="s">
        <v>171</v>
      </c>
      <c r="C181" s="1" t="s">
        <v>84</v>
      </c>
      <c r="D181" s="1" t="s">
        <v>98</v>
      </c>
      <c r="E181" s="1">
        <v>2.0</v>
      </c>
      <c r="F181" s="1" t="s">
        <v>109</v>
      </c>
      <c r="G181" s="1" t="s">
        <v>172</v>
      </c>
      <c r="H181" s="1" t="s">
        <v>102</v>
      </c>
      <c r="I181" s="1" t="s">
        <v>93</v>
      </c>
      <c r="J181" s="1" t="s">
        <v>127</v>
      </c>
      <c r="K181" s="1" t="s">
        <v>805</v>
      </c>
      <c r="L181" s="1" t="s">
        <v>92</v>
      </c>
      <c r="M181" s="1">
        <v>9.0</v>
      </c>
      <c r="N181" s="1" t="s">
        <v>93</v>
      </c>
      <c r="O181" s="1" t="s">
        <v>106</v>
      </c>
      <c r="P181" s="1">
        <v>2.0</v>
      </c>
      <c r="Q181" s="1" t="s">
        <v>95</v>
      </c>
      <c r="R181" s="1" t="s">
        <v>95</v>
      </c>
      <c r="S181" s="1" t="s">
        <v>59</v>
      </c>
      <c r="T181" s="1" t="s">
        <v>806</v>
      </c>
    </row>
    <row r="182">
      <c r="A182" s="2">
        <v>43635.55771915509</v>
      </c>
      <c r="B182" s="1" t="s">
        <v>253</v>
      </c>
      <c r="C182" s="1" t="s">
        <v>166</v>
      </c>
      <c r="D182" s="1" t="s">
        <v>98</v>
      </c>
      <c r="E182" s="1">
        <v>4.0</v>
      </c>
      <c r="F182" s="1" t="s">
        <v>807</v>
      </c>
      <c r="G182" s="1" t="s">
        <v>784</v>
      </c>
      <c r="H182" s="1" t="s">
        <v>102</v>
      </c>
      <c r="I182" s="1" t="s">
        <v>93</v>
      </c>
      <c r="J182" s="1" t="s">
        <v>127</v>
      </c>
      <c r="K182" s="1" t="s">
        <v>808</v>
      </c>
      <c r="L182" s="1" t="s">
        <v>104</v>
      </c>
      <c r="M182" s="1">
        <v>8.0</v>
      </c>
      <c r="N182" s="1" t="s">
        <v>93</v>
      </c>
      <c r="O182" s="1" t="s">
        <v>106</v>
      </c>
      <c r="P182" s="1">
        <v>1.0</v>
      </c>
      <c r="Q182" s="1" t="s">
        <v>115</v>
      </c>
      <c r="R182" s="1" t="s">
        <v>95</v>
      </c>
      <c r="S182" s="1" t="s">
        <v>809</v>
      </c>
      <c r="T182" s="1" t="s">
        <v>810</v>
      </c>
    </row>
    <row r="183">
      <c r="A183" s="2">
        <v>43635.56833282407</v>
      </c>
      <c r="B183" s="1" t="s">
        <v>330</v>
      </c>
      <c r="C183" s="1" t="s">
        <v>84</v>
      </c>
      <c r="D183" s="1" t="s">
        <v>98</v>
      </c>
      <c r="E183" s="1">
        <v>3.0</v>
      </c>
      <c r="F183" s="1" t="s">
        <v>811</v>
      </c>
      <c r="G183" s="1" t="s">
        <v>247</v>
      </c>
      <c r="H183" s="1" t="s">
        <v>111</v>
      </c>
      <c r="I183" s="1" t="s">
        <v>93</v>
      </c>
      <c r="J183" s="1" t="s">
        <v>90</v>
      </c>
      <c r="K183" s="1" t="s">
        <v>498</v>
      </c>
      <c r="L183" s="1" t="s">
        <v>92</v>
      </c>
      <c r="M183" s="1">
        <v>10.0</v>
      </c>
      <c r="N183" s="1" t="s">
        <v>93</v>
      </c>
      <c r="O183" s="1" t="s">
        <v>94</v>
      </c>
      <c r="P183" s="1">
        <v>5.0</v>
      </c>
      <c r="Q183" s="1" t="s">
        <v>95</v>
      </c>
      <c r="R183" s="1" t="s">
        <v>95</v>
      </c>
      <c r="S183" s="1" t="s">
        <v>812</v>
      </c>
      <c r="T183" s="1" t="s">
        <v>813</v>
      </c>
    </row>
    <row r="184">
      <c r="A184" s="2">
        <v>43635.6267071412</v>
      </c>
      <c r="B184" s="1" t="s">
        <v>380</v>
      </c>
      <c r="C184" s="1" t="s">
        <v>84</v>
      </c>
      <c r="D184" s="1" t="s">
        <v>85</v>
      </c>
      <c r="E184" s="1">
        <v>3.0</v>
      </c>
      <c r="F184" s="1" t="s">
        <v>814</v>
      </c>
      <c r="G184" s="1" t="s">
        <v>815</v>
      </c>
      <c r="H184" s="1" t="s">
        <v>88</v>
      </c>
      <c r="I184" s="1" t="s">
        <v>93</v>
      </c>
      <c r="J184" s="1" t="s">
        <v>90</v>
      </c>
      <c r="K184" s="1" t="s">
        <v>205</v>
      </c>
      <c r="L184" s="1" t="s">
        <v>104</v>
      </c>
      <c r="M184" s="1">
        <v>7.0</v>
      </c>
      <c r="N184" s="1" t="s">
        <v>114</v>
      </c>
      <c r="O184" s="1" t="s">
        <v>206</v>
      </c>
      <c r="P184" s="1">
        <v>4.0</v>
      </c>
      <c r="Q184" s="1" t="s">
        <v>115</v>
      </c>
      <c r="R184" s="1" t="s">
        <v>95</v>
      </c>
      <c r="S184" s="1" t="s">
        <v>816</v>
      </c>
      <c r="T184" s="1" t="s">
        <v>817</v>
      </c>
    </row>
    <row r="185">
      <c r="A185" s="2">
        <v>43635.75019092593</v>
      </c>
      <c r="B185" s="1" t="s">
        <v>379</v>
      </c>
      <c r="C185" s="1" t="s">
        <v>84</v>
      </c>
      <c r="D185" s="1" t="s">
        <v>85</v>
      </c>
      <c r="E185" s="1">
        <v>3.0</v>
      </c>
      <c r="F185" s="1" t="s">
        <v>818</v>
      </c>
      <c r="G185" s="1" t="s">
        <v>464</v>
      </c>
      <c r="H185" s="1" t="s">
        <v>209</v>
      </c>
      <c r="I185" s="1" t="s">
        <v>93</v>
      </c>
      <c r="J185" s="1" t="s">
        <v>127</v>
      </c>
      <c r="K185" s="1" t="s">
        <v>819</v>
      </c>
      <c r="L185" s="1" t="s">
        <v>122</v>
      </c>
      <c r="M185" s="1">
        <v>5.0</v>
      </c>
      <c r="N185" s="1" t="s">
        <v>114</v>
      </c>
      <c r="O185" s="1" t="s">
        <v>206</v>
      </c>
      <c r="P185" s="1">
        <v>4.0</v>
      </c>
      <c r="Q185" s="1" t="s">
        <v>95</v>
      </c>
      <c r="R185" s="1" t="s">
        <v>95</v>
      </c>
      <c r="S185" s="1" t="s">
        <v>820</v>
      </c>
      <c r="T185" s="1" t="s">
        <v>821</v>
      </c>
    </row>
    <row r="186">
      <c r="A186" s="2">
        <v>43636.40884797454</v>
      </c>
      <c r="B186" s="1" t="s">
        <v>331</v>
      </c>
      <c r="C186" s="1" t="s">
        <v>84</v>
      </c>
      <c r="D186" s="1" t="s">
        <v>85</v>
      </c>
      <c r="E186" s="1">
        <v>5.0</v>
      </c>
      <c r="F186" s="1" t="s">
        <v>822</v>
      </c>
      <c r="G186" s="1" t="s">
        <v>823</v>
      </c>
      <c r="H186" s="1" t="s">
        <v>88</v>
      </c>
      <c r="I186" s="1" t="s">
        <v>93</v>
      </c>
      <c r="J186" s="1" t="s">
        <v>127</v>
      </c>
      <c r="K186" s="1" t="s">
        <v>512</v>
      </c>
      <c r="L186" s="1" t="s">
        <v>92</v>
      </c>
      <c r="M186" s="1">
        <v>5.0</v>
      </c>
      <c r="N186" s="1" t="s">
        <v>114</v>
      </c>
      <c r="O186" s="1" t="s">
        <v>206</v>
      </c>
      <c r="P186" s="1">
        <v>1.0</v>
      </c>
      <c r="Q186" s="1" t="s">
        <v>115</v>
      </c>
      <c r="R186" s="1" t="s">
        <v>95</v>
      </c>
      <c r="S186" s="1" t="s">
        <v>60</v>
      </c>
      <c r="T186" s="1" t="s">
        <v>659</v>
      </c>
    </row>
    <row r="187">
      <c r="A187" s="2">
        <v>43636.41036388889</v>
      </c>
      <c r="B187" s="1" t="s">
        <v>395</v>
      </c>
      <c r="C187" s="1" t="s">
        <v>84</v>
      </c>
      <c r="D187" s="1" t="s">
        <v>85</v>
      </c>
      <c r="E187" s="1">
        <v>4.0</v>
      </c>
      <c r="F187" s="1" t="s">
        <v>109</v>
      </c>
      <c r="G187" s="1" t="s">
        <v>539</v>
      </c>
      <c r="H187" s="1" t="s">
        <v>111</v>
      </c>
      <c r="I187" s="1" t="s">
        <v>93</v>
      </c>
      <c r="J187" s="1" t="s">
        <v>112</v>
      </c>
      <c r="K187" s="1" t="s">
        <v>91</v>
      </c>
      <c r="L187" s="1" t="s">
        <v>104</v>
      </c>
      <c r="M187" s="1">
        <v>5.0</v>
      </c>
      <c r="N187" s="1" t="s">
        <v>114</v>
      </c>
      <c r="O187" s="1" t="s">
        <v>206</v>
      </c>
      <c r="P187" s="1">
        <v>1.0</v>
      </c>
      <c r="Q187" s="1" t="s">
        <v>95</v>
      </c>
      <c r="R187" s="1" t="s">
        <v>95</v>
      </c>
      <c r="S187" s="1" t="s">
        <v>60</v>
      </c>
      <c r="T187" s="1" t="s">
        <v>824</v>
      </c>
    </row>
    <row r="188">
      <c r="A188" s="2">
        <v>43636.46121340278</v>
      </c>
      <c r="B188" s="1" t="s">
        <v>174</v>
      </c>
      <c r="C188" s="1" t="s">
        <v>84</v>
      </c>
      <c r="D188" s="1" t="s">
        <v>85</v>
      </c>
      <c r="E188" s="1">
        <v>4.0</v>
      </c>
      <c r="F188" s="1" t="s">
        <v>511</v>
      </c>
      <c r="G188" s="1" t="s">
        <v>172</v>
      </c>
      <c r="H188" s="1" t="s">
        <v>111</v>
      </c>
      <c r="I188" s="1" t="s">
        <v>93</v>
      </c>
      <c r="J188" s="1" t="s">
        <v>127</v>
      </c>
      <c r="K188" s="1" t="s">
        <v>205</v>
      </c>
      <c r="L188" s="1" t="s">
        <v>152</v>
      </c>
      <c r="M188" s="1">
        <v>8.0</v>
      </c>
      <c r="N188" s="1" t="s">
        <v>93</v>
      </c>
      <c r="O188" s="1" t="s">
        <v>106</v>
      </c>
      <c r="P188" s="1">
        <v>1.0</v>
      </c>
      <c r="Q188" s="1" t="s">
        <v>95</v>
      </c>
      <c r="R188" s="1" t="s">
        <v>95</v>
      </c>
      <c r="S188" s="1" t="s">
        <v>61</v>
      </c>
      <c r="T188" s="1" t="s">
        <v>825</v>
      </c>
    </row>
    <row r="189">
      <c r="A189" s="2">
        <v>43636.47463164352</v>
      </c>
      <c r="B189" s="1" t="s">
        <v>173</v>
      </c>
      <c r="C189" s="1" t="s">
        <v>84</v>
      </c>
      <c r="D189" s="1" t="s">
        <v>85</v>
      </c>
      <c r="E189" s="1">
        <v>5.0</v>
      </c>
      <c r="F189" s="1" t="s">
        <v>826</v>
      </c>
      <c r="G189" s="1" t="s">
        <v>742</v>
      </c>
      <c r="H189" s="1" t="s">
        <v>88</v>
      </c>
      <c r="I189" s="1" t="s">
        <v>114</v>
      </c>
      <c r="J189" s="1" t="s">
        <v>90</v>
      </c>
      <c r="K189" s="1" t="s">
        <v>103</v>
      </c>
      <c r="L189" s="1" t="s">
        <v>104</v>
      </c>
      <c r="M189" s="1">
        <v>7.0</v>
      </c>
      <c r="N189" s="1" t="s">
        <v>114</v>
      </c>
      <c r="O189" s="1" t="s">
        <v>106</v>
      </c>
      <c r="P189" s="1">
        <v>1.0</v>
      </c>
      <c r="Q189" s="1" t="s">
        <v>95</v>
      </c>
      <c r="R189" s="1" t="s">
        <v>95</v>
      </c>
      <c r="S189" s="1" t="s">
        <v>60</v>
      </c>
      <c r="T189" s="1" t="s">
        <v>827</v>
      </c>
    </row>
    <row r="190">
      <c r="A190" s="2">
        <v>43636.48126422454</v>
      </c>
      <c r="B190" s="1" t="s">
        <v>254</v>
      </c>
      <c r="C190" s="1" t="s">
        <v>84</v>
      </c>
      <c r="D190" s="1" t="s">
        <v>85</v>
      </c>
      <c r="E190" s="1">
        <v>4.0</v>
      </c>
      <c r="F190" s="1" t="s">
        <v>828</v>
      </c>
      <c r="G190" s="1" t="s">
        <v>247</v>
      </c>
      <c r="H190" s="1" t="s">
        <v>111</v>
      </c>
      <c r="I190" s="1" t="s">
        <v>93</v>
      </c>
      <c r="J190" s="1" t="s">
        <v>90</v>
      </c>
      <c r="K190" s="1" t="s">
        <v>103</v>
      </c>
      <c r="L190" s="1" t="s">
        <v>92</v>
      </c>
      <c r="M190" s="1">
        <v>7.0</v>
      </c>
      <c r="N190" s="1" t="s">
        <v>114</v>
      </c>
      <c r="O190" s="1" t="s">
        <v>206</v>
      </c>
      <c r="P190" s="1">
        <v>1.0</v>
      </c>
      <c r="Q190" s="1" t="s">
        <v>95</v>
      </c>
      <c r="R190" s="1" t="s">
        <v>95</v>
      </c>
      <c r="S190" s="1" t="s">
        <v>60</v>
      </c>
      <c r="T190" s="1" t="s">
        <v>829</v>
      </c>
    </row>
    <row r="191">
      <c r="A191" s="2">
        <v>43636.63281678241</v>
      </c>
      <c r="B191" s="1" t="s">
        <v>249</v>
      </c>
      <c r="C191" s="1" t="s">
        <v>84</v>
      </c>
      <c r="D191" s="1" t="s">
        <v>478</v>
      </c>
      <c r="E191" s="1">
        <v>5.0</v>
      </c>
      <c r="F191" s="1" t="s">
        <v>646</v>
      </c>
      <c r="G191" s="1" t="s">
        <v>482</v>
      </c>
      <c r="H191" s="1" t="s">
        <v>111</v>
      </c>
      <c r="I191" s="1" t="s">
        <v>89</v>
      </c>
      <c r="J191" s="1" t="s">
        <v>90</v>
      </c>
      <c r="K191" s="1" t="s">
        <v>830</v>
      </c>
      <c r="L191" s="1" t="s">
        <v>104</v>
      </c>
      <c r="M191" s="1">
        <v>7.0</v>
      </c>
      <c r="N191" s="1" t="s">
        <v>130</v>
      </c>
      <c r="O191" s="1" t="s">
        <v>206</v>
      </c>
      <c r="P191" s="1">
        <v>1.0</v>
      </c>
      <c r="Q191" s="1" t="s">
        <v>95</v>
      </c>
      <c r="R191" s="1" t="s">
        <v>95</v>
      </c>
      <c r="S191" s="1" t="s">
        <v>55</v>
      </c>
      <c r="T191" s="1" t="s">
        <v>831</v>
      </c>
    </row>
    <row r="192">
      <c r="A192" s="2">
        <v>43636.63738990741</v>
      </c>
      <c r="B192" s="1" t="s">
        <v>324</v>
      </c>
      <c r="C192" s="1" t="s">
        <v>84</v>
      </c>
      <c r="D192" s="1" t="s">
        <v>98</v>
      </c>
      <c r="E192" s="1">
        <v>5.0</v>
      </c>
      <c r="F192" s="1" t="s">
        <v>832</v>
      </c>
      <c r="G192" s="1" t="s">
        <v>482</v>
      </c>
      <c r="H192" s="1" t="s">
        <v>102</v>
      </c>
      <c r="I192" s="1" t="s">
        <v>93</v>
      </c>
      <c r="J192" s="1" t="s">
        <v>90</v>
      </c>
      <c r="K192" s="1" t="s">
        <v>177</v>
      </c>
      <c r="L192" s="1" t="s">
        <v>92</v>
      </c>
      <c r="M192" s="1">
        <v>1.0</v>
      </c>
      <c r="N192" s="1" t="s">
        <v>93</v>
      </c>
      <c r="O192" s="1" t="s">
        <v>106</v>
      </c>
      <c r="P192" s="1">
        <v>1.0</v>
      </c>
      <c r="Q192" s="1" t="s">
        <v>115</v>
      </c>
      <c r="R192" s="1" t="s">
        <v>95</v>
      </c>
      <c r="S192" s="1" t="s">
        <v>55</v>
      </c>
      <c r="T192" s="1" t="s">
        <v>833</v>
      </c>
    </row>
    <row r="193">
      <c r="A193" s="2">
        <v>43636.64507254629</v>
      </c>
      <c r="B193" s="1" t="s">
        <v>243</v>
      </c>
      <c r="C193" s="1" t="s">
        <v>84</v>
      </c>
      <c r="D193" s="1" t="s">
        <v>85</v>
      </c>
      <c r="E193" s="1">
        <v>2.0</v>
      </c>
      <c r="F193" s="1" t="s">
        <v>511</v>
      </c>
      <c r="G193" s="1" t="s">
        <v>172</v>
      </c>
      <c r="H193" s="1" t="s">
        <v>102</v>
      </c>
      <c r="I193" s="1" t="s">
        <v>114</v>
      </c>
      <c r="J193" s="1" t="s">
        <v>90</v>
      </c>
      <c r="K193" s="1" t="s">
        <v>668</v>
      </c>
      <c r="L193" s="1" t="s">
        <v>122</v>
      </c>
      <c r="M193" s="1">
        <v>7.0</v>
      </c>
      <c r="N193" s="1" t="s">
        <v>93</v>
      </c>
      <c r="O193" s="1" t="s">
        <v>106</v>
      </c>
      <c r="P193" s="1">
        <v>1.0</v>
      </c>
      <c r="Q193" s="1" t="s">
        <v>95</v>
      </c>
      <c r="R193" s="1" t="s">
        <v>95</v>
      </c>
      <c r="S193" s="1" t="s">
        <v>834</v>
      </c>
      <c r="T193" s="1" t="s">
        <v>835</v>
      </c>
    </row>
    <row r="194">
      <c r="A194" s="2">
        <v>43636.68045678241</v>
      </c>
      <c r="B194" s="1" t="s">
        <v>255</v>
      </c>
      <c r="C194" s="1" t="s">
        <v>166</v>
      </c>
      <c r="D194" s="1" t="s">
        <v>85</v>
      </c>
      <c r="E194" s="1">
        <v>2.0</v>
      </c>
      <c r="F194" s="1" t="s">
        <v>183</v>
      </c>
      <c r="G194" s="1" t="s">
        <v>247</v>
      </c>
      <c r="H194" s="1" t="s">
        <v>111</v>
      </c>
      <c r="I194" s="1" t="s">
        <v>93</v>
      </c>
      <c r="J194" s="1" t="s">
        <v>112</v>
      </c>
      <c r="K194" s="1" t="s">
        <v>103</v>
      </c>
      <c r="L194" s="1" t="s">
        <v>92</v>
      </c>
      <c r="M194" s="1">
        <v>4.0</v>
      </c>
      <c r="N194" s="1" t="s">
        <v>114</v>
      </c>
      <c r="O194" s="1" t="s">
        <v>206</v>
      </c>
      <c r="P194" s="1">
        <v>1.0</v>
      </c>
      <c r="Q194" s="1" t="s">
        <v>95</v>
      </c>
      <c r="R194" s="1" t="s">
        <v>95</v>
      </c>
      <c r="S194" s="1" t="s">
        <v>836</v>
      </c>
      <c r="T194" s="1" t="s">
        <v>837</v>
      </c>
    </row>
    <row r="195">
      <c r="A195" s="2">
        <v>43636.71909291667</v>
      </c>
      <c r="B195" s="1" t="s">
        <v>332</v>
      </c>
      <c r="C195" s="1" t="s">
        <v>225</v>
      </c>
      <c r="D195" s="1" t="s">
        <v>85</v>
      </c>
      <c r="E195" s="1">
        <v>3.0</v>
      </c>
      <c r="F195" s="1" t="s">
        <v>648</v>
      </c>
      <c r="G195" s="1" t="s">
        <v>172</v>
      </c>
      <c r="H195" s="1" t="s">
        <v>111</v>
      </c>
      <c r="I195" s="1" t="s">
        <v>209</v>
      </c>
      <c r="J195" s="1" t="s">
        <v>112</v>
      </c>
      <c r="K195" s="1" t="s">
        <v>113</v>
      </c>
      <c r="L195" s="1" t="s">
        <v>104</v>
      </c>
      <c r="M195" s="1">
        <v>7.0</v>
      </c>
      <c r="N195" s="1" t="s">
        <v>114</v>
      </c>
      <c r="O195" s="1" t="s">
        <v>94</v>
      </c>
      <c r="P195" s="1">
        <v>1.0</v>
      </c>
      <c r="Q195" s="1" t="s">
        <v>95</v>
      </c>
      <c r="R195" s="1" t="s">
        <v>95</v>
      </c>
      <c r="S195" s="1" t="s">
        <v>838</v>
      </c>
      <c r="T195" s="1" t="s">
        <v>839</v>
      </c>
    </row>
    <row r="196">
      <c r="A196" s="2">
        <v>43636.71929787037</v>
      </c>
      <c r="B196" s="1" t="s">
        <v>320</v>
      </c>
      <c r="C196" s="1" t="s">
        <v>84</v>
      </c>
      <c r="D196" s="1" t="s">
        <v>85</v>
      </c>
      <c r="E196" s="1">
        <v>4.0</v>
      </c>
      <c r="F196" s="1" t="s">
        <v>648</v>
      </c>
      <c r="G196" s="1" t="s">
        <v>172</v>
      </c>
      <c r="H196" s="1" t="s">
        <v>102</v>
      </c>
      <c r="I196" s="1" t="s">
        <v>93</v>
      </c>
      <c r="J196" s="1" t="s">
        <v>90</v>
      </c>
      <c r="K196" s="1" t="s">
        <v>651</v>
      </c>
      <c r="L196" s="1" t="s">
        <v>104</v>
      </c>
      <c r="M196" s="1">
        <v>5.0</v>
      </c>
      <c r="N196" s="1" t="s">
        <v>114</v>
      </c>
      <c r="O196" s="1" t="s">
        <v>106</v>
      </c>
      <c r="P196" s="1">
        <v>1.0</v>
      </c>
      <c r="Q196" s="1" t="s">
        <v>95</v>
      </c>
      <c r="R196" s="1" t="s">
        <v>95</v>
      </c>
      <c r="S196" s="1" t="s">
        <v>840</v>
      </c>
      <c r="T196" s="1" t="s">
        <v>841</v>
      </c>
    </row>
    <row r="197">
      <c r="A197" s="2">
        <v>43636.720622685185</v>
      </c>
      <c r="B197" s="1" t="s">
        <v>394</v>
      </c>
      <c r="C197" s="1" t="s">
        <v>166</v>
      </c>
      <c r="D197" s="1" t="s">
        <v>98</v>
      </c>
      <c r="E197" s="1">
        <v>5.0</v>
      </c>
      <c r="F197" s="1" t="s">
        <v>842</v>
      </c>
      <c r="G197" s="1" t="s">
        <v>843</v>
      </c>
      <c r="H197" s="1" t="s">
        <v>88</v>
      </c>
      <c r="I197" s="1" t="s">
        <v>93</v>
      </c>
      <c r="J197" s="1" t="s">
        <v>127</v>
      </c>
      <c r="K197" s="1" t="s">
        <v>844</v>
      </c>
      <c r="L197" s="1" t="s">
        <v>92</v>
      </c>
      <c r="M197" s="1">
        <v>10.0</v>
      </c>
      <c r="N197" s="1" t="s">
        <v>105</v>
      </c>
      <c r="O197" s="1" t="s">
        <v>94</v>
      </c>
      <c r="P197" s="1">
        <v>3.0</v>
      </c>
      <c r="Q197" s="1" t="s">
        <v>95</v>
      </c>
      <c r="R197" s="1" t="s">
        <v>95</v>
      </c>
      <c r="S197" s="1" t="s">
        <v>845</v>
      </c>
      <c r="T197" s="1" t="s">
        <v>846</v>
      </c>
    </row>
    <row r="198">
      <c r="A198" s="2">
        <v>43636.776974259265</v>
      </c>
      <c r="B198" s="1" t="s">
        <v>175</v>
      </c>
      <c r="C198" s="1" t="s">
        <v>84</v>
      </c>
      <c r="D198" s="1" t="s">
        <v>98</v>
      </c>
      <c r="E198" s="1">
        <v>3.0</v>
      </c>
      <c r="F198" s="1" t="s">
        <v>847</v>
      </c>
      <c r="G198" s="1" t="s">
        <v>126</v>
      </c>
      <c r="H198" s="1" t="s">
        <v>102</v>
      </c>
      <c r="I198" s="1" t="s">
        <v>93</v>
      </c>
      <c r="J198" s="1" t="s">
        <v>90</v>
      </c>
      <c r="K198" s="1" t="s">
        <v>91</v>
      </c>
      <c r="L198" s="1" t="s">
        <v>92</v>
      </c>
      <c r="M198" s="1">
        <v>8.0</v>
      </c>
      <c r="N198" s="1" t="s">
        <v>114</v>
      </c>
      <c r="O198" s="1" t="s">
        <v>94</v>
      </c>
      <c r="P198" s="1">
        <v>2.0</v>
      </c>
      <c r="Q198" s="1" t="s">
        <v>115</v>
      </c>
      <c r="R198" s="1" t="s">
        <v>95</v>
      </c>
      <c r="S198" s="1" t="s">
        <v>62</v>
      </c>
      <c r="T198" s="1" t="s">
        <v>848</v>
      </c>
    </row>
    <row r="199">
      <c r="A199" s="2">
        <v>43636.79567208333</v>
      </c>
      <c r="B199" s="1" t="s">
        <v>256</v>
      </c>
      <c r="C199" s="1" t="s">
        <v>225</v>
      </c>
      <c r="D199" s="1" t="s">
        <v>98</v>
      </c>
      <c r="E199" s="1">
        <v>5.0</v>
      </c>
      <c r="F199" s="1" t="s">
        <v>632</v>
      </c>
      <c r="G199" s="1" t="s">
        <v>849</v>
      </c>
      <c r="H199" s="1" t="s">
        <v>88</v>
      </c>
      <c r="I199" s="1" t="s">
        <v>114</v>
      </c>
      <c r="J199" s="1" t="s">
        <v>90</v>
      </c>
      <c r="K199" s="1" t="s">
        <v>103</v>
      </c>
      <c r="L199" s="1" t="s">
        <v>92</v>
      </c>
      <c r="M199" s="1">
        <v>7.0</v>
      </c>
      <c r="N199" s="1" t="s">
        <v>114</v>
      </c>
      <c r="O199" s="1" t="s">
        <v>106</v>
      </c>
      <c r="P199" s="1">
        <v>2.0</v>
      </c>
      <c r="Q199" s="1" t="s">
        <v>115</v>
      </c>
      <c r="R199" s="1" t="s">
        <v>95</v>
      </c>
      <c r="S199" s="1" t="s">
        <v>850</v>
      </c>
      <c r="T199" s="1" t="s">
        <v>851</v>
      </c>
    </row>
    <row r="200">
      <c r="A200" s="2">
        <v>43636.85069790509</v>
      </c>
      <c r="B200" s="1" t="s">
        <v>333</v>
      </c>
      <c r="C200" s="1" t="s">
        <v>84</v>
      </c>
      <c r="D200" s="1" t="s">
        <v>98</v>
      </c>
      <c r="E200" s="1">
        <v>1.0</v>
      </c>
      <c r="F200" s="1" t="s">
        <v>582</v>
      </c>
      <c r="G200" s="1" t="s">
        <v>247</v>
      </c>
      <c r="H200" s="1" t="s">
        <v>209</v>
      </c>
      <c r="I200" s="1" t="s">
        <v>114</v>
      </c>
      <c r="J200" s="1" t="s">
        <v>90</v>
      </c>
      <c r="K200" s="1" t="s">
        <v>103</v>
      </c>
      <c r="L200" s="1" t="s">
        <v>122</v>
      </c>
      <c r="M200" s="1">
        <v>7.0</v>
      </c>
      <c r="N200" s="1" t="s">
        <v>130</v>
      </c>
      <c r="O200" s="1" t="s">
        <v>206</v>
      </c>
      <c r="P200" s="1">
        <v>2.0</v>
      </c>
      <c r="Q200" s="1" t="s">
        <v>95</v>
      </c>
      <c r="R200" s="1" t="s">
        <v>95</v>
      </c>
      <c r="S200" s="1" t="s">
        <v>850</v>
      </c>
      <c r="T200" s="1" t="s">
        <v>852</v>
      </c>
    </row>
    <row r="201">
      <c r="A201" s="2">
        <v>43636.8550290162</v>
      </c>
      <c r="B201" s="1" t="s">
        <v>176</v>
      </c>
      <c r="C201" s="1" t="s">
        <v>166</v>
      </c>
      <c r="D201" s="1" t="s">
        <v>85</v>
      </c>
      <c r="E201" s="1">
        <v>3.0</v>
      </c>
      <c r="F201" s="1" t="s">
        <v>780</v>
      </c>
      <c r="G201" s="1" t="s">
        <v>853</v>
      </c>
      <c r="H201" s="1" t="s">
        <v>209</v>
      </c>
      <c r="I201" s="1" t="s">
        <v>93</v>
      </c>
      <c r="J201" s="1" t="s">
        <v>127</v>
      </c>
      <c r="K201" s="1" t="s">
        <v>854</v>
      </c>
      <c r="L201" s="1" t="s">
        <v>104</v>
      </c>
      <c r="M201" s="1">
        <v>9.0</v>
      </c>
      <c r="N201" s="1" t="s">
        <v>93</v>
      </c>
      <c r="O201" s="1" t="s">
        <v>106</v>
      </c>
      <c r="P201" s="1">
        <v>5.0</v>
      </c>
      <c r="Q201" s="1" t="s">
        <v>95</v>
      </c>
      <c r="R201" s="1" t="s">
        <v>95</v>
      </c>
      <c r="S201" s="1" t="s">
        <v>63</v>
      </c>
      <c r="T201" s="1" t="s">
        <v>855</v>
      </c>
    </row>
    <row r="202">
      <c r="A202" s="2">
        <v>43636.85505366898</v>
      </c>
      <c r="B202" s="1" t="s">
        <v>257</v>
      </c>
      <c r="C202" s="1" t="s">
        <v>225</v>
      </c>
      <c r="D202" s="1" t="s">
        <v>532</v>
      </c>
      <c r="E202" s="1">
        <v>1.0</v>
      </c>
      <c r="F202" s="1" t="s">
        <v>856</v>
      </c>
      <c r="G202" s="1" t="s">
        <v>857</v>
      </c>
      <c r="H202" s="1" t="s">
        <v>102</v>
      </c>
      <c r="I202" s="1" t="s">
        <v>89</v>
      </c>
      <c r="J202" s="1" t="s">
        <v>90</v>
      </c>
      <c r="K202" s="1" t="s">
        <v>858</v>
      </c>
      <c r="L202" s="1" t="s">
        <v>122</v>
      </c>
      <c r="M202" s="1">
        <v>10.0</v>
      </c>
      <c r="N202" s="1" t="s">
        <v>114</v>
      </c>
      <c r="O202" s="1" t="s">
        <v>106</v>
      </c>
      <c r="P202" s="1">
        <v>2.0</v>
      </c>
      <c r="Q202" s="1" t="s">
        <v>95</v>
      </c>
      <c r="R202" s="1" t="s">
        <v>95</v>
      </c>
      <c r="S202" s="1" t="s">
        <v>63</v>
      </c>
      <c r="T202" s="1" t="s">
        <v>859</v>
      </c>
    </row>
    <row r="203">
      <c r="A203" s="2">
        <v>43636.85668920139</v>
      </c>
      <c r="B203" s="1" t="s">
        <v>334</v>
      </c>
      <c r="C203" s="1" t="s">
        <v>225</v>
      </c>
      <c r="D203" s="1" t="s">
        <v>532</v>
      </c>
      <c r="E203" s="1">
        <v>5.0</v>
      </c>
      <c r="F203" s="1" t="s">
        <v>860</v>
      </c>
      <c r="G203" s="1" t="s">
        <v>861</v>
      </c>
      <c r="H203" s="1" t="s">
        <v>102</v>
      </c>
      <c r="I203" s="1" t="s">
        <v>114</v>
      </c>
      <c r="J203" s="1" t="s">
        <v>90</v>
      </c>
      <c r="K203" s="1" t="s">
        <v>121</v>
      </c>
      <c r="L203" s="1" t="s">
        <v>92</v>
      </c>
      <c r="M203" s="1">
        <v>10.0</v>
      </c>
      <c r="N203" s="1" t="s">
        <v>114</v>
      </c>
      <c r="O203" s="1" t="s">
        <v>106</v>
      </c>
      <c r="P203" s="1">
        <v>2.0</v>
      </c>
      <c r="Q203" s="1" t="s">
        <v>95</v>
      </c>
      <c r="R203" s="1" t="s">
        <v>95</v>
      </c>
      <c r="S203" s="1" t="s">
        <v>862</v>
      </c>
      <c r="T203" s="1" t="s">
        <v>863</v>
      </c>
    </row>
    <row r="204">
      <c r="A204" s="2">
        <v>43636.85868046296</v>
      </c>
      <c r="B204" s="1" t="s">
        <v>399</v>
      </c>
      <c r="C204" s="1" t="s">
        <v>84</v>
      </c>
      <c r="D204" s="1" t="s">
        <v>506</v>
      </c>
      <c r="E204" s="1">
        <v>5.0</v>
      </c>
      <c r="F204" s="1" t="s">
        <v>544</v>
      </c>
      <c r="G204" s="1" t="s">
        <v>864</v>
      </c>
      <c r="H204" s="1" t="s">
        <v>111</v>
      </c>
      <c r="I204" s="1" t="s">
        <v>93</v>
      </c>
      <c r="J204" s="1" t="s">
        <v>90</v>
      </c>
      <c r="K204" s="1" t="s">
        <v>865</v>
      </c>
      <c r="L204" s="1" t="s">
        <v>122</v>
      </c>
      <c r="M204" s="1">
        <v>7.0</v>
      </c>
      <c r="N204" s="1" t="s">
        <v>114</v>
      </c>
      <c r="O204" s="1" t="s">
        <v>106</v>
      </c>
      <c r="P204" s="1">
        <v>3.0</v>
      </c>
      <c r="Q204" s="1" t="s">
        <v>95</v>
      </c>
      <c r="R204" s="1" t="s">
        <v>95</v>
      </c>
      <c r="S204" s="1" t="s">
        <v>862</v>
      </c>
      <c r="T204" s="1" t="s">
        <v>866</v>
      </c>
    </row>
    <row r="205">
      <c r="A205" s="2">
        <v>43636.869010486116</v>
      </c>
      <c r="B205" s="1" t="s">
        <v>445</v>
      </c>
      <c r="C205" s="1" t="s">
        <v>225</v>
      </c>
      <c r="D205" s="1" t="s">
        <v>532</v>
      </c>
      <c r="E205" s="1">
        <v>1.0</v>
      </c>
      <c r="F205" s="1" t="s">
        <v>867</v>
      </c>
      <c r="G205" s="1" t="s">
        <v>857</v>
      </c>
      <c r="H205" s="1" t="s">
        <v>102</v>
      </c>
      <c r="I205" s="1" t="s">
        <v>89</v>
      </c>
      <c r="J205" s="1" t="s">
        <v>554</v>
      </c>
      <c r="K205" s="1" t="s">
        <v>121</v>
      </c>
      <c r="L205" s="1" t="s">
        <v>92</v>
      </c>
      <c r="M205" s="1">
        <v>7.0</v>
      </c>
      <c r="N205" s="1" t="s">
        <v>93</v>
      </c>
      <c r="O205" s="1" t="s">
        <v>206</v>
      </c>
      <c r="P205" s="1">
        <v>1.0</v>
      </c>
      <c r="Q205" s="1" t="s">
        <v>95</v>
      </c>
      <c r="R205" s="1" t="s">
        <v>95</v>
      </c>
      <c r="S205" s="1" t="s">
        <v>57</v>
      </c>
      <c r="T205" s="1" t="s">
        <v>868</v>
      </c>
    </row>
    <row r="206">
      <c r="A206" s="2">
        <v>43636.950237418976</v>
      </c>
      <c r="B206" s="1" t="s">
        <v>306</v>
      </c>
      <c r="C206" s="1" t="s">
        <v>84</v>
      </c>
      <c r="D206" s="1" t="s">
        <v>522</v>
      </c>
      <c r="E206" s="1">
        <v>3.0</v>
      </c>
      <c r="F206" s="1" t="s">
        <v>869</v>
      </c>
      <c r="G206" s="1" t="s">
        <v>784</v>
      </c>
      <c r="H206" s="1" t="s">
        <v>111</v>
      </c>
      <c r="I206" s="1" t="s">
        <v>89</v>
      </c>
      <c r="J206" s="1" t="s">
        <v>554</v>
      </c>
      <c r="K206" s="1" t="s">
        <v>524</v>
      </c>
      <c r="L206" s="1" t="s">
        <v>92</v>
      </c>
      <c r="M206" s="1">
        <v>6.0</v>
      </c>
      <c r="N206" s="1" t="s">
        <v>114</v>
      </c>
      <c r="O206" s="1" t="s">
        <v>206</v>
      </c>
      <c r="P206" s="1">
        <v>1.0</v>
      </c>
      <c r="Q206" s="1" t="s">
        <v>95</v>
      </c>
      <c r="R206" s="1" t="s">
        <v>95</v>
      </c>
      <c r="S206" s="1" t="s">
        <v>870</v>
      </c>
      <c r="T206" s="1" t="s">
        <v>871</v>
      </c>
    </row>
    <row r="207">
      <c r="A207" s="2">
        <v>43637.24989788195</v>
      </c>
      <c r="B207" s="1" t="s">
        <v>389</v>
      </c>
      <c r="C207" s="1" t="s">
        <v>84</v>
      </c>
      <c r="D207" s="1" t="s">
        <v>478</v>
      </c>
      <c r="E207" s="1">
        <v>5.0</v>
      </c>
      <c r="F207" s="1" t="s">
        <v>782</v>
      </c>
      <c r="G207" s="1" t="s">
        <v>450</v>
      </c>
      <c r="H207" s="1" t="s">
        <v>111</v>
      </c>
      <c r="I207" s="1" t="s">
        <v>93</v>
      </c>
      <c r="J207" s="1" t="s">
        <v>90</v>
      </c>
      <c r="K207" s="1" t="s">
        <v>694</v>
      </c>
      <c r="L207" s="1" t="s">
        <v>92</v>
      </c>
      <c r="M207" s="1">
        <v>4.0</v>
      </c>
      <c r="N207" s="1" t="s">
        <v>93</v>
      </c>
      <c r="O207" s="1" t="s">
        <v>106</v>
      </c>
      <c r="P207" s="1">
        <v>1.0</v>
      </c>
      <c r="Q207" s="1" t="s">
        <v>115</v>
      </c>
      <c r="R207" s="1" t="s">
        <v>95</v>
      </c>
      <c r="S207" s="1" t="s">
        <v>872</v>
      </c>
      <c r="T207" s="1" t="s">
        <v>873</v>
      </c>
    </row>
    <row r="208">
      <c r="A208" s="2">
        <v>43637.35429869213</v>
      </c>
      <c r="B208" s="1" t="s">
        <v>451</v>
      </c>
      <c r="C208" s="1" t="s">
        <v>166</v>
      </c>
      <c r="D208" s="1" t="s">
        <v>532</v>
      </c>
      <c r="E208" s="1">
        <v>2.0</v>
      </c>
      <c r="F208" s="1" t="s">
        <v>121</v>
      </c>
      <c r="G208" s="1" t="s">
        <v>146</v>
      </c>
      <c r="H208" s="1" t="s">
        <v>102</v>
      </c>
      <c r="I208" s="1" t="s">
        <v>93</v>
      </c>
      <c r="J208" s="1" t="s">
        <v>554</v>
      </c>
      <c r="K208" s="1" t="s">
        <v>600</v>
      </c>
      <c r="L208" s="1" t="s">
        <v>92</v>
      </c>
      <c r="M208" s="1">
        <v>10.0</v>
      </c>
      <c r="N208" s="1" t="s">
        <v>114</v>
      </c>
      <c r="O208" s="1" t="s">
        <v>106</v>
      </c>
      <c r="P208" s="1">
        <v>1.0</v>
      </c>
      <c r="Q208" s="1" t="s">
        <v>95</v>
      </c>
      <c r="R208" s="1" t="s">
        <v>95</v>
      </c>
      <c r="S208" s="1" t="s">
        <v>63</v>
      </c>
      <c r="T208" s="1" t="s">
        <v>874</v>
      </c>
    </row>
    <row r="209">
      <c r="A209" s="2">
        <v>43637.494941122684</v>
      </c>
      <c r="B209" s="1" t="s">
        <v>486</v>
      </c>
      <c r="C209" s="1" t="s">
        <v>225</v>
      </c>
      <c r="D209" s="1" t="s">
        <v>522</v>
      </c>
      <c r="E209" s="1">
        <v>3.0</v>
      </c>
      <c r="F209" s="1" t="s">
        <v>875</v>
      </c>
      <c r="G209" s="1" t="s">
        <v>299</v>
      </c>
      <c r="H209" s="1" t="s">
        <v>111</v>
      </c>
      <c r="I209" s="1" t="s">
        <v>114</v>
      </c>
      <c r="J209" s="1" t="s">
        <v>127</v>
      </c>
      <c r="K209" s="1" t="s">
        <v>121</v>
      </c>
      <c r="L209" s="1" t="s">
        <v>92</v>
      </c>
      <c r="M209" s="1">
        <v>5.0</v>
      </c>
      <c r="N209" s="1" t="s">
        <v>114</v>
      </c>
      <c r="O209" s="1" t="s">
        <v>206</v>
      </c>
      <c r="P209" s="1">
        <v>2.0</v>
      </c>
      <c r="Q209" s="1" t="s">
        <v>115</v>
      </c>
      <c r="R209" s="1" t="s">
        <v>95</v>
      </c>
      <c r="S209" s="1" t="s">
        <v>49</v>
      </c>
      <c r="T209" s="1" t="s">
        <v>876</v>
      </c>
    </row>
    <row r="210">
      <c r="A210" s="2">
        <v>43637.496435891204</v>
      </c>
      <c r="B210" s="1" t="s">
        <v>491</v>
      </c>
      <c r="C210" s="1" t="s">
        <v>166</v>
      </c>
      <c r="D210" s="1" t="s">
        <v>532</v>
      </c>
      <c r="E210" s="1">
        <v>2.0</v>
      </c>
      <c r="F210" s="1" t="s">
        <v>877</v>
      </c>
      <c r="G210" s="1" t="s">
        <v>815</v>
      </c>
      <c r="H210" s="1" t="s">
        <v>111</v>
      </c>
      <c r="I210" s="1" t="s">
        <v>89</v>
      </c>
      <c r="J210" s="1" t="s">
        <v>127</v>
      </c>
      <c r="K210" s="1" t="s">
        <v>878</v>
      </c>
      <c r="L210" s="1" t="s">
        <v>92</v>
      </c>
      <c r="M210" s="1">
        <v>8.0</v>
      </c>
      <c r="N210" s="1" t="s">
        <v>93</v>
      </c>
      <c r="O210" s="1" t="s">
        <v>94</v>
      </c>
      <c r="P210" s="1">
        <v>3.0</v>
      </c>
      <c r="Q210" s="1" t="s">
        <v>115</v>
      </c>
      <c r="R210" s="1" t="s">
        <v>95</v>
      </c>
      <c r="S210" s="1" t="s">
        <v>63</v>
      </c>
      <c r="T210" s="1" t="s">
        <v>879</v>
      </c>
    </row>
    <row r="211">
      <c r="A211" s="2">
        <v>43637.55732609954</v>
      </c>
      <c r="B211" s="1" t="s">
        <v>178</v>
      </c>
      <c r="C211" s="1" t="s">
        <v>166</v>
      </c>
      <c r="D211" s="1" t="s">
        <v>522</v>
      </c>
      <c r="E211" s="1">
        <v>5.0</v>
      </c>
      <c r="F211" s="1" t="s">
        <v>448</v>
      </c>
      <c r="G211" s="1" t="s">
        <v>880</v>
      </c>
      <c r="H211" s="1" t="s">
        <v>102</v>
      </c>
      <c r="I211" s="1" t="s">
        <v>89</v>
      </c>
      <c r="J211" s="1" t="s">
        <v>554</v>
      </c>
      <c r="K211" s="1" t="s">
        <v>524</v>
      </c>
      <c r="L211" s="1" t="s">
        <v>92</v>
      </c>
      <c r="M211" s="1">
        <v>4.0</v>
      </c>
      <c r="N211" s="1" t="s">
        <v>130</v>
      </c>
      <c r="O211" s="1" t="s">
        <v>206</v>
      </c>
      <c r="P211" s="1">
        <v>1.0</v>
      </c>
      <c r="Q211" s="1" t="s">
        <v>115</v>
      </c>
      <c r="R211" s="1" t="s">
        <v>95</v>
      </c>
      <c r="S211" s="1" t="s">
        <v>64</v>
      </c>
      <c r="T211" s="1" t="s">
        <v>881</v>
      </c>
    </row>
    <row r="212">
      <c r="A212" s="2">
        <v>43637.73236201389</v>
      </c>
      <c r="B212" s="1" t="s">
        <v>382</v>
      </c>
      <c r="C212" s="1" t="s">
        <v>84</v>
      </c>
      <c r="D212" s="1" t="s">
        <v>98</v>
      </c>
      <c r="E212" s="1">
        <v>3.0</v>
      </c>
      <c r="F212" s="1" t="s">
        <v>688</v>
      </c>
      <c r="G212" s="1" t="s">
        <v>126</v>
      </c>
      <c r="H212" s="1" t="s">
        <v>111</v>
      </c>
      <c r="I212" s="1" t="s">
        <v>114</v>
      </c>
      <c r="J212" s="1" t="s">
        <v>127</v>
      </c>
      <c r="K212" s="1" t="s">
        <v>600</v>
      </c>
      <c r="L212" s="1" t="s">
        <v>104</v>
      </c>
      <c r="M212" s="1">
        <v>10.0</v>
      </c>
      <c r="N212" s="1" t="s">
        <v>93</v>
      </c>
      <c r="O212" s="1" t="s">
        <v>206</v>
      </c>
      <c r="P212" s="1">
        <v>5.0</v>
      </c>
      <c r="Q212" s="1" t="s">
        <v>95</v>
      </c>
      <c r="R212" s="1" t="s">
        <v>95</v>
      </c>
      <c r="S212" s="1" t="s">
        <v>882</v>
      </c>
      <c r="T212" s="1" t="s">
        <v>883</v>
      </c>
    </row>
    <row r="213">
      <c r="A213" s="2">
        <v>43637.83789210649</v>
      </c>
      <c r="B213" s="1" t="s">
        <v>258</v>
      </c>
      <c r="C213" s="1" t="s">
        <v>84</v>
      </c>
      <c r="D213" s="1" t="s">
        <v>522</v>
      </c>
      <c r="E213" s="1">
        <v>3.0</v>
      </c>
      <c r="F213" s="1" t="s">
        <v>884</v>
      </c>
      <c r="G213" s="1" t="s">
        <v>885</v>
      </c>
      <c r="H213" s="1" t="s">
        <v>102</v>
      </c>
      <c r="I213" s="1" t="s">
        <v>114</v>
      </c>
      <c r="J213" s="1" t="s">
        <v>90</v>
      </c>
      <c r="K213" s="1" t="s">
        <v>694</v>
      </c>
      <c r="L213" s="1" t="s">
        <v>104</v>
      </c>
      <c r="M213" s="1">
        <v>7.0</v>
      </c>
      <c r="N213" s="1" t="s">
        <v>114</v>
      </c>
      <c r="O213" s="1" t="s">
        <v>206</v>
      </c>
      <c r="P213" s="1">
        <v>1.0</v>
      </c>
      <c r="Q213" s="1" t="s">
        <v>95</v>
      </c>
      <c r="R213" s="1" t="s">
        <v>95</v>
      </c>
      <c r="S213" s="1" t="s">
        <v>886</v>
      </c>
      <c r="T213" s="1" t="s">
        <v>887</v>
      </c>
    </row>
    <row r="214">
      <c r="A214" s="2">
        <v>43637.93215782408</v>
      </c>
      <c r="B214" s="1" t="s">
        <v>447</v>
      </c>
      <c r="C214" s="1" t="s">
        <v>84</v>
      </c>
      <c r="D214" s="1" t="s">
        <v>98</v>
      </c>
      <c r="E214" s="1">
        <v>5.0</v>
      </c>
      <c r="F214" s="1" t="s">
        <v>777</v>
      </c>
      <c r="G214" s="1" t="s">
        <v>247</v>
      </c>
      <c r="H214" s="1" t="s">
        <v>88</v>
      </c>
      <c r="I214" s="1" t="s">
        <v>93</v>
      </c>
      <c r="J214" s="1" t="s">
        <v>127</v>
      </c>
      <c r="K214" s="1" t="s">
        <v>91</v>
      </c>
      <c r="L214" s="1" t="s">
        <v>104</v>
      </c>
      <c r="M214" s="1">
        <v>9.0</v>
      </c>
      <c r="N214" s="1" t="s">
        <v>93</v>
      </c>
      <c r="O214" s="1" t="s">
        <v>94</v>
      </c>
      <c r="P214" s="1">
        <v>2.0</v>
      </c>
      <c r="Q214" s="1" t="s">
        <v>95</v>
      </c>
      <c r="R214" s="1" t="s">
        <v>95</v>
      </c>
      <c r="S214" s="1" t="s">
        <v>60</v>
      </c>
      <c r="T214" s="1" t="s">
        <v>888</v>
      </c>
    </row>
    <row r="215">
      <c r="A215" s="2">
        <v>43637.93869710648</v>
      </c>
      <c r="B215" s="1" t="s">
        <v>181</v>
      </c>
      <c r="C215" s="1" t="s">
        <v>84</v>
      </c>
      <c r="D215" s="1" t="s">
        <v>85</v>
      </c>
      <c r="E215" s="1">
        <v>5.0</v>
      </c>
      <c r="F215" s="1" t="s">
        <v>889</v>
      </c>
      <c r="G215" s="1" t="s">
        <v>890</v>
      </c>
      <c r="H215" s="1" t="s">
        <v>88</v>
      </c>
      <c r="I215" s="1" t="s">
        <v>93</v>
      </c>
      <c r="J215" s="1" t="s">
        <v>127</v>
      </c>
      <c r="K215" s="1" t="s">
        <v>891</v>
      </c>
      <c r="L215" s="1" t="s">
        <v>92</v>
      </c>
      <c r="M215" s="1">
        <v>6.0</v>
      </c>
      <c r="N215" s="1" t="s">
        <v>114</v>
      </c>
      <c r="O215" s="1" t="s">
        <v>206</v>
      </c>
      <c r="P215" s="1">
        <v>1.0</v>
      </c>
      <c r="Q215" s="1" t="s">
        <v>95</v>
      </c>
      <c r="R215" s="1" t="s">
        <v>95</v>
      </c>
      <c r="S215" s="1" t="s">
        <v>65</v>
      </c>
      <c r="T215" s="1" t="s">
        <v>806</v>
      </c>
    </row>
    <row r="216">
      <c r="A216" s="2">
        <v>43637.93890545139</v>
      </c>
      <c r="B216" s="1" t="s">
        <v>260</v>
      </c>
      <c r="C216" s="1" t="s">
        <v>84</v>
      </c>
      <c r="D216" s="1" t="s">
        <v>532</v>
      </c>
      <c r="E216" s="1">
        <v>3.0</v>
      </c>
      <c r="F216" s="1" t="s">
        <v>398</v>
      </c>
      <c r="G216" s="1" t="s">
        <v>703</v>
      </c>
      <c r="H216" s="1" t="s">
        <v>88</v>
      </c>
      <c r="I216" s="1" t="s">
        <v>93</v>
      </c>
      <c r="J216" s="1" t="s">
        <v>90</v>
      </c>
      <c r="K216" s="1" t="s">
        <v>386</v>
      </c>
      <c r="L216" s="1" t="s">
        <v>122</v>
      </c>
      <c r="M216" s="1">
        <v>3.0</v>
      </c>
      <c r="N216" s="1" t="s">
        <v>114</v>
      </c>
      <c r="O216" s="1" t="s">
        <v>789</v>
      </c>
      <c r="P216" s="1">
        <v>1.0</v>
      </c>
      <c r="Q216" s="1" t="s">
        <v>95</v>
      </c>
      <c r="R216" s="1" t="s">
        <v>95</v>
      </c>
      <c r="S216" s="1" t="s">
        <v>65</v>
      </c>
      <c r="T216" s="1" t="s">
        <v>892</v>
      </c>
    </row>
    <row r="217">
      <c r="A217" s="2">
        <v>43637.93922516204</v>
      </c>
      <c r="B217" s="1" t="s">
        <v>337</v>
      </c>
      <c r="C217" s="1" t="s">
        <v>84</v>
      </c>
      <c r="D217" s="1" t="s">
        <v>522</v>
      </c>
      <c r="E217" s="1">
        <v>1.0</v>
      </c>
      <c r="F217" s="1" t="s">
        <v>893</v>
      </c>
      <c r="G217" s="1" t="s">
        <v>894</v>
      </c>
      <c r="H217" s="1" t="s">
        <v>88</v>
      </c>
      <c r="I217" s="1" t="s">
        <v>89</v>
      </c>
      <c r="J217" s="1" t="s">
        <v>90</v>
      </c>
      <c r="K217" s="1" t="s">
        <v>524</v>
      </c>
      <c r="L217" s="1" t="s">
        <v>122</v>
      </c>
      <c r="M217" s="1">
        <v>1.0</v>
      </c>
      <c r="N217" s="1" t="s">
        <v>799</v>
      </c>
      <c r="O217" s="1" t="s">
        <v>789</v>
      </c>
      <c r="P217" s="1">
        <v>1.0</v>
      </c>
      <c r="Q217" s="1" t="s">
        <v>95</v>
      </c>
      <c r="R217" s="1" t="s">
        <v>95</v>
      </c>
      <c r="S217" s="1" t="s">
        <v>65</v>
      </c>
      <c r="T217" s="1" t="s">
        <v>846</v>
      </c>
    </row>
    <row r="218">
      <c r="A218" s="2">
        <v>43637.93968565972</v>
      </c>
      <c r="B218" s="1" t="s">
        <v>400</v>
      </c>
      <c r="C218" s="1" t="s">
        <v>84</v>
      </c>
      <c r="D218" s="1" t="s">
        <v>532</v>
      </c>
      <c r="E218" s="1">
        <v>3.0</v>
      </c>
      <c r="F218" s="1" t="s">
        <v>895</v>
      </c>
      <c r="G218" s="1" t="s">
        <v>672</v>
      </c>
      <c r="H218" s="1" t="s">
        <v>88</v>
      </c>
      <c r="I218" s="1" t="s">
        <v>114</v>
      </c>
      <c r="J218" s="1" t="s">
        <v>90</v>
      </c>
      <c r="K218" s="1" t="s">
        <v>103</v>
      </c>
      <c r="L218" s="1" t="s">
        <v>122</v>
      </c>
      <c r="M218" s="1">
        <v>4.0</v>
      </c>
      <c r="N218" s="1" t="s">
        <v>114</v>
      </c>
      <c r="O218" s="1" t="s">
        <v>206</v>
      </c>
      <c r="P218" s="1">
        <v>1.0</v>
      </c>
      <c r="Q218" s="1" t="s">
        <v>95</v>
      </c>
      <c r="R218" s="1" t="s">
        <v>95</v>
      </c>
      <c r="S218" s="1" t="s">
        <v>65</v>
      </c>
      <c r="T218" s="1" t="s">
        <v>806</v>
      </c>
    </row>
    <row r="219">
      <c r="A219" s="2">
        <v>43637.93984795139</v>
      </c>
      <c r="B219" s="1" t="s">
        <v>452</v>
      </c>
      <c r="C219" s="1" t="s">
        <v>84</v>
      </c>
      <c r="D219" s="1" t="s">
        <v>532</v>
      </c>
      <c r="E219" s="1">
        <v>2.0</v>
      </c>
      <c r="F219" s="1" t="s">
        <v>896</v>
      </c>
      <c r="G219" s="1" t="s">
        <v>849</v>
      </c>
      <c r="H219" s="1" t="s">
        <v>88</v>
      </c>
      <c r="I219" s="1" t="s">
        <v>114</v>
      </c>
      <c r="J219" s="1" t="s">
        <v>127</v>
      </c>
      <c r="K219" s="1" t="s">
        <v>651</v>
      </c>
      <c r="L219" s="1" t="s">
        <v>122</v>
      </c>
      <c r="M219" s="1">
        <v>1.0</v>
      </c>
      <c r="N219" s="1" t="s">
        <v>130</v>
      </c>
      <c r="O219" s="1" t="s">
        <v>206</v>
      </c>
      <c r="P219" s="1">
        <v>1.0</v>
      </c>
      <c r="Q219" s="1" t="s">
        <v>95</v>
      </c>
      <c r="R219" s="1" t="s">
        <v>95</v>
      </c>
      <c r="S219" s="1" t="s">
        <v>65</v>
      </c>
      <c r="T219" s="1" t="s">
        <v>897</v>
      </c>
    </row>
    <row r="220">
      <c r="A220" s="2">
        <v>43638.64005087963</v>
      </c>
      <c r="B220" s="1" t="s">
        <v>145</v>
      </c>
      <c r="C220" s="1" t="s">
        <v>84</v>
      </c>
      <c r="D220" s="1" t="s">
        <v>478</v>
      </c>
      <c r="E220" s="1">
        <v>5.0</v>
      </c>
      <c r="F220" s="1" t="s">
        <v>898</v>
      </c>
      <c r="G220" s="1" t="s">
        <v>899</v>
      </c>
      <c r="H220" s="1" t="s">
        <v>88</v>
      </c>
      <c r="I220" s="1" t="s">
        <v>89</v>
      </c>
      <c r="J220" s="1" t="s">
        <v>90</v>
      </c>
      <c r="K220" s="1" t="s">
        <v>900</v>
      </c>
      <c r="L220" s="1" t="s">
        <v>152</v>
      </c>
      <c r="M220" s="1">
        <v>6.0</v>
      </c>
      <c r="N220" s="1" t="s">
        <v>93</v>
      </c>
      <c r="O220" s="1" t="s">
        <v>206</v>
      </c>
      <c r="P220" s="1">
        <v>1.0</v>
      </c>
      <c r="Q220" s="1" t="s">
        <v>95</v>
      </c>
      <c r="R220" s="1" t="s">
        <v>95</v>
      </c>
      <c r="S220" s="1" t="s">
        <v>701</v>
      </c>
      <c r="T220" s="1" t="s">
        <v>901</v>
      </c>
    </row>
    <row r="221">
      <c r="A221" s="2">
        <v>43638.664520300925</v>
      </c>
      <c r="B221" s="1" t="s">
        <v>227</v>
      </c>
      <c r="C221" s="1" t="s">
        <v>84</v>
      </c>
      <c r="D221" s="1" t="s">
        <v>522</v>
      </c>
      <c r="E221" s="1">
        <v>3.0</v>
      </c>
      <c r="F221" s="1" t="s">
        <v>902</v>
      </c>
      <c r="G221" s="1" t="s">
        <v>755</v>
      </c>
      <c r="H221" s="1" t="s">
        <v>88</v>
      </c>
      <c r="I221" s="1" t="s">
        <v>89</v>
      </c>
      <c r="J221" s="1" t="s">
        <v>554</v>
      </c>
      <c r="K221" s="1" t="s">
        <v>121</v>
      </c>
      <c r="L221" s="1" t="s">
        <v>104</v>
      </c>
      <c r="M221" s="1">
        <v>1.0</v>
      </c>
      <c r="N221" s="1" t="s">
        <v>114</v>
      </c>
      <c r="O221" s="1" t="s">
        <v>206</v>
      </c>
      <c r="P221" s="1">
        <v>1.0</v>
      </c>
      <c r="Q221" s="1" t="s">
        <v>95</v>
      </c>
      <c r="R221" s="1" t="s">
        <v>95</v>
      </c>
      <c r="S221" s="1" t="s">
        <v>903</v>
      </c>
      <c r="T221" s="1" t="s">
        <v>904</v>
      </c>
    </row>
    <row r="222">
      <c r="A222" s="2">
        <v>43638.69283707176</v>
      </c>
      <c r="B222" s="1" t="s">
        <v>336</v>
      </c>
      <c r="C222" s="1" t="s">
        <v>225</v>
      </c>
      <c r="D222" s="1" t="s">
        <v>522</v>
      </c>
      <c r="E222" s="1">
        <v>3.0</v>
      </c>
      <c r="F222" s="1" t="s">
        <v>682</v>
      </c>
      <c r="G222" s="1" t="s">
        <v>905</v>
      </c>
      <c r="H222" s="1" t="s">
        <v>102</v>
      </c>
      <c r="I222" s="1" t="s">
        <v>209</v>
      </c>
      <c r="J222" s="1" t="s">
        <v>127</v>
      </c>
      <c r="K222" s="1" t="s">
        <v>121</v>
      </c>
      <c r="L222" s="1" t="s">
        <v>104</v>
      </c>
      <c r="M222" s="1">
        <v>8.0</v>
      </c>
      <c r="N222" s="1" t="s">
        <v>114</v>
      </c>
      <c r="O222" s="1" t="s">
        <v>206</v>
      </c>
      <c r="P222" s="1">
        <v>2.0</v>
      </c>
      <c r="Q222" s="1" t="s">
        <v>115</v>
      </c>
      <c r="R222" s="1" t="s">
        <v>95</v>
      </c>
      <c r="S222" s="1" t="s">
        <v>64</v>
      </c>
      <c r="T222" s="1" t="s">
        <v>906</v>
      </c>
    </row>
    <row r="223">
      <c r="A223" s="2">
        <v>43638.72003673611</v>
      </c>
      <c r="B223" s="1" t="s">
        <v>475</v>
      </c>
      <c r="C223" s="1" t="s">
        <v>166</v>
      </c>
      <c r="D223" s="1" t="s">
        <v>98</v>
      </c>
      <c r="E223" s="1">
        <v>3.0</v>
      </c>
      <c r="F223" s="1" t="s">
        <v>822</v>
      </c>
      <c r="G223" s="1" t="s">
        <v>572</v>
      </c>
      <c r="H223" s="1" t="s">
        <v>102</v>
      </c>
      <c r="I223" s="1" t="s">
        <v>114</v>
      </c>
      <c r="J223" s="1" t="s">
        <v>90</v>
      </c>
      <c r="K223" s="1" t="s">
        <v>103</v>
      </c>
      <c r="L223" s="1" t="s">
        <v>152</v>
      </c>
      <c r="M223" s="1">
        <v>7.0</v>
      </c>
      <c r="N223" s="1" t="s">
        <v>93</v>
      </c>
      <c r="O223" s="1" t="s">
        <v>106</v>
      </c>
      <c r="P223" s="1">
        <v>2.0</v>
      </c>
      <c r="Q223" s="1" t="s">
        <v>95</v>
      </c>
      <c r="R223" s="1" t="s">
        <v>95</v>
      </c>
      <c r="S223" s="1" t="s">
        <v>713</v>
      </c>
      <c r="T223" s="1" t="s">
        <v>116</v>
      </c>
    </row>
    <row r="224">
      <c r="A224" s="2">
        <v>43638.816961793986</v>
      </c>
      <c r="B224" s="1" t="s">
        <v>488</v>
      </c>
      <c r="C224" s="1" t="s">
        <v>84</v>
      </c>
      <c r="D224" s="1" t="s">
        <v>522</v>
      </c>
      <c r="E224" s="1">
        <v>4.0</v>
      </c>
      <c r="F224" s="1" t="s">
        <v>907</v>
      </c>
      <c r="G224" s="1" t="s">
        <v>126</v>
      </c>
      <c r="H224" s="1" t="s">
        <v>111</v>
      </c>
      <c r="I224" s="1" t="s">
        <v>209</v>
      </c>
      <c r="J224" s="1" t="s">
        <v>90</v>
      </c>
      <c r="K224" s="1" t="s">
        <v>205</v>
      </c>
      <c r="L224" s="1" t="s">
        <v>152</v>
      </c>
      <c r="M224" s="1">
        <v>2.0</v>
      </c>
      <c r="N224" s="1" t="s">
        <v>130</v>
      </c>
      <c r="O224" s="1" t="s">
        <v>206</v>
      </c>
      <c r="P224" s="1">
        <v>1.0</v>
      </c>
      <c r="Q224" s="1" t="s">
        <v>115</v>
      </c>
      <c r="R224" s="1" t="s">
        <v>95</v>
      </c>
      <c r="S224" s="1" t="s">
        <v>908</v>
      </c>
      <c r="T224" s="1" t="s">
        <v>909</v>
      </c>
    </row>
    <row r="225">
      <c r="A225" s="2">
        <v>43638.83243953704</v>
      </c>
      <c r="B225" s="1" t="s">
        <v>186</v>
      </c>
      <c r="C225" s="1" t="s">
        <v>84</v>
      </c>
      <c r="D225" s="1" t="s">
        <v>98</v>
      </c>
      <c r="E225" s="1">
        <v>5.0</v>
      </c>
      <c r="F225" s="1" t="s">
        <v>693</v>
      </c>
      <c r="G225" s="1" t="s">
        <v>431</v>
      </c>
      <c r="H225" s="1" t="s">
        <v>111</v>
      </c>
      <c r="I225" s="1" t="s">
        <v>93</v>
      </c>
      <c r="J225" s="1" t="s">
        <v>90</v>
      </c>
      <c r="K225" s="1" t="s">
        <v>103</v>
      </c>
      <c r="L225" s="1" t="s">
        <v>92</v>
      </c>
      <c r="M225" s="1">
        <v>8.0</v>
      </c>
      <c r="N225" s="1" t="s">
        <v>93</v>
      </c>
      <c r="O225" s="1" t="s">
        <v>106</v>
      </c>
      <c r="P225" s="1">
        <v>3.0</v>
      </c>
      <c r="Q225" s="1" t="s">
        <v>115</v>
      </c>
      <c r="R225" s="1" t="s">
        <v>95</v>
      </c>
      <c r="S225" s="1" t="s">
        <v>910</v>
      </c>
      <c r="T225" s="1" t="s">
        <v>911</v>
      </c>
    </row>
    <row r="226">
      <c r="A226" s="2">
        <v>43638.83334641204</v>
      </c>
      <c r="B226" s="1" t="s">
        <v>264</v>
      </c>
      <c r="C226" s="1" t="s">
        <v>225</v>
      </c>
      <c r="D226" s="1" t="s">
        <v>98</v>
      </c>
      <c r="E226" s="1">
        <v>5.0</v>
      </c>
      <c r="F226" s="1" t="s">
        <v>693</v>
      </c>
      <c r="G226" s="1" t="s">
        <v>233</v>
      </c>
      <c r="H226" s="1" t="s">
        <v>111</v>
      </c>
      <c r="I226" s="1" t="s">
        <v>89</v>
      </c>
      <c r="J226" s="1" t="s">
        <v>90</v>
      </c>
      <c r="K226" s="1" t="s">
        <v>524</v>
      </c>
      <c r="L226" s="1" t="s">
        <v>92</v>
      </c>
      <c r="M226" s="1">
        <v>8.0</v>
      </c>
      <c r="N226" s="1" t="s">
        <v>93</v>
      </c>
      <c r="O226" s="1" t="s">
        <v>106</v>
      </c>
      <c r="P226" s="1">
        <v>1.0</v>
      </c>
      <c r="Q226" s="1" t="s">
        <v>115</v>
      </c>
      <c r="R226" s="1" t="s">
        <v>95</v>
      </c>
      <c r="S226" s="1" t="s">
        <v>910</v>
      </c>
      <c r="T226" s="1" t="s">
        <v>912</v>
      </c>
    </row>
    <row r="227">
      <c r="A227" s="2">
        <v>43638.852486979165</v>
      </c>
      <c r="B227" s="1" t="s">
        <v>339</v>
      </c>
      <c r="C227" s="1" t="s">
        <v>84</v>
      </c>
      <c r="D227" s="1" t="s">
        <v>98</v>
      </c>
      <c r="E227" s="1">
        <v>5.0</v>
      </c>
      <c r="F227" s="1" t="s">
        <v>582</v>
      </c>
      <c r="G227" s="1" t="s">
        <v>87</v>
      </c>
      <c r="H227" s="1" t="s">
        <v>111</v>
      </c>
      <c r="I227" s="1" t="s">
        <v>114</v>
      </c>
      <c r="J227" s="1" t="s">
        <v>90</v>
      </c>
      <c r="K227" s="1" t="s">
        <v>913</v>
      </c>
      <c r="L227" s="1" t="s">
        <v>122</v>
      </c>
      <c r="M227" s="1">
        <v>2.0</v>
      </c>
      <c r="N227" s="1" t="s">
        <v>93</v>
      </c>
      <c r="O227" s="1" t="s">
        <v>206</v>
      </c>
      <c r="P227" s="1">
        <v>1.0</v>
      </c>
      <c r="Q227" s="1" t="s">
        <v>115</v>
      </c>
      <c r="R227" s="1" t="s">
        <v>95</v>
      </c>
      <c r="S227" s="1" t="s">
        <v>67</v>
      </c>
      <c r="T227" s="1" t="s">
        <v>914</v>
      </c>
    </row>
    <row r="228">
      <c r="A228" s="2">
        <v>43638.90897480324</v>
      </c>
      <c r="B228" s="1" t="s">
        <v>388</v>
      </c>
      <c r="C228" s="1" t="s">
        <v>84</v>
      </c>
      <c r="D228" s="1" t="s">
        <v>522</v>
      </c>
      <c r="E228" s="1">
        <v>3.0</v>
      </c>
      <c r="F228" s="1" t="s">
        <v>915</v>
      </c>
      <c r="G228" s="1" t="s">
        <v>916</v>
      </c>
      <c r="H228" s="1" t="s">
        <v>102</v>
      </c>
      <c r="I228" s="1" t="s">
        <v>114</v>
      </c>
      <c r="J228" s="1" t="s">
        <v>554</v>
      </c>
      <c r="K228" s="1" t="s">
        <v>917</v>
      </c>
      <c r="L228" s="1" t="s">
        <v>92</v>
      </c>
      <c r="M228" s="1">
        <v>6.0</v>
      </c>
      <c r="N228" s="1" t="s">
        <v>114</v>
      </c>
      <c r="O228" s="1" t="s">
        <v>106</v>
      </c>
      <c r="P228" s="1">
        <v>1.0</v>
      </c>
      <c r="Q228" s="1" t="s">
        <v>115</v>
      </c>
      <c r="R228" s="1" t="s">
        <v>115</v>
      </c>
      <c r="S228" s="1" t="s">
        <v>54</v>
      </c>
      <c r="T228" s="1" t="s">
        <v>918</v>
      </c>
    </row>
    <row r="229">
      <c r="A229" s="2">
        <v>43638.95128836806</v>
      </c>
      <c r="B229" s="1" t="s">
        <v>442</v>
      </c>
      <c r="C229" s="1" t="s">
        <v>84</v>
      </c>
      <c r="D229" s="1" t="s">
        <v>522</v>
      </c>
      <c r="E229" s="1">
        <v>3.0</v>
      </c>
      <c r="F229" s="1" t="s">
        <v>919</v>
      </c>
      <c r="G229" s="1" t="s">
        <v>87</v>
      </c>
      <c r="H229" s="1" t="s">
        <v>102</v>
      </c>
      <c r="I229" s="1" t="s">
        <v>93</v>
      </c>
      <c r="J229" s="1" t="s">
        <v>90</v>
      </c>
      <c r="K229" s="1" t="s">
        <v>103</v>
      </c>
      <c r="L229" s="1" t="s">
        <v>152</v>
      </c>
      <c r="M229" s="1">
        <v>5.0</v>
      </c>
      <c r="N229" s="1" t="s">
        <v>130</v>
      </c>
      <c r="O229" s="1" t="s">
        <v>206</v>
      </c>
      <c r="P229" s="1">
        <v>1.0</v>
      </c>
      <c r="Q229" s="1" t="s">
        <v>115</v>
      </c>
      <c r="R229" s="1" t="s">
        <v>95</v>
      </c>
      <c r="S229" s="1" t="s">
        <v>920</v>
      </c>
      <c r="T229" s="1" t="s">
        <v>921</v>
      </c>
    </row>
    <row r="230">
      <c r="A230" s="2">
        <v>43639.44534925926</v>
      </c>
      <c r="B230" s="1" t="s">
        <v>182</v>
      </c>
      <c r="C230" s="1" t="s">
        <v>84</v>
      </c>
      <c r="D230" s="1" t="s">
        <v>98</v>
      </c>
      <c r="E230" s="1">
        <v>3.0</v>
      </c>
      <c r="F230" s="1" t="s">
        <v>922</v>
      </c>
      <c r="G230" s="1" t="s">
        <v>742</v>
      </c>
      <c r="H230" s="1" t="s">
        <v>209</v>
      </c>
      <c r="I230" s="1" t="s">
        <v>93</v>
      </c>
      <c r="J230" s="1" t="s">
        <v>90</v>
      </c>
      <c r="K230" s="1" t="s">
        <v>121</v>
      </c>
      <c r="L230" s="1" t="s">
        <v>122</v>
      </c>
      <c r="M230" s="1">
        <v>7.0</v>
      </c>
      <c r="N230" s="1" t="s">
        <v>93</v>
      </c>
      <c r="O230" s="1" t="s">
        <v>94</v>
      </c>
      <c r="P230" s="1">
        <v>2.0</v>
      </c>
      <c r="Q230" s="1" t="s">
        <v>115</v>
      </c>
      <c r="R230" s="1" t="s">
        <v>95</v>
      </c>
      <c r="S230" s="1" t="s">
        <v>923</v>
      </c>
      <c r="T230" s="1" t="s">
        <v>924</v>
      </c>
    </row>
    <row r="231">
      <c r="A231" s="2">
        <v>43639.450105717595</v>
      </c>
      <c r="B231" s="1" t="s">
        <v>261</v>
      </c>
      <c r="C231" s="1" t="s">
        <v>84</v>
      </c>
      <c r="D231" s="1" t="s">
        <v>85</v>
      </c>
      <c r="E231" s="1">
        <v>3.0</v>
      </c>
      <c r="F231" s="1" t="s">
        <v>620</v>
      </c>
      <c r="G231" s="1" t="s">
        <v>703</v>
      </c>
      <c r="H231" s="1" t="s">
        <v>88</v>
      </c>
      <c r="I231" s="1" t="s">
        <v>89</v>
      </c>
      <c r="J231" s="1" t="s">
        <v>127</v>
      </c>
      <c r="K231" s="1" t="s">
        <v>524</v>
      </c>
      <c r="L231" s="1" t="s">
        <v>152</v>
      </c>
      <c r="M231" s="1">
        <v>2.0</v>
      </c>
      <c r="N231" s="1" t="s">
        <v>130</v>
      </c>
      <c r="O231" s="1" t="s">
        <v>789</v>
      </c>
      <c r="P231" s="1">
        <v>1.0</v>
      </c>
      <c r="Q231" s="1" t="s">
        <v>115</v>
      </c>
      <c r="R231" s="1" t="s">
        <v>95</v>
      </c>
      <c r="S231" s="1" t="s">
        <v>923</v>
      </c>
      <c r="T231" s="1" t="s">
        <v>925</v>
      </c>
    </row>
    <row r="232">
      <c r="A232" s="2">
        <v>43639.45155657407</v>
      </c>
      <c r="B232" s="1" t="s">
        <v>187</v>
      </c>
      <c r="C232" s="1" t="s">
        <v>84</v>
      </c>
      <c r="D232" s="1" t="s">
        <v>98</v>
      </c>
      <c r="E232" s="1">
        <v>1.0</v>
      </c>
      <c r="F232" s="1" t="s">
        <v>926</v>
      </c>
      <c r="G232" s="1" t="s">
        <v>172</v>
      </c>
      <c r="H232" s="1" t="s">
        <v>102</v>
      </c>
      <c r="I232" s="1" t="s">
        <v>89</v>
      </c>
      <c r="J232" s="1" t="s">
        <v>554</v>
      </c>
      <c r="K232" s="1" t="s">
        <v>91</v>
      </c>
      <c r="L232" s="1" t="s">
        <v>122</v>
      </c>
      <c r="M232" s="1">
        <v>10.0</v>
      </c>
      <c r="N232" s="1" t="s">
        <v>93</v>
      </c>
      <c r="O232" s="1" t="s">
        <v>94</v>
      </c>
      <c r="P232" s="1">
        <v>5.0</v>
      </c>
      <c r="Q232" s="1" t="s">
        <v>115</v>
      </c>
      <c r="R232" s="1" t="s">
        <v>95</v>
      </c>
      <c r="S232" s="1" t="s">
        <v>927</v>
      </c>
      <c r="T232" s="1" t="s">
        <v>928</v>
      </c>
    </row>
    <row r="233">
      <c r="A233" s="2">
        <v>43639.456640115735</v>
      </c>
      <c r="B233" s="1" t="s">
        <v>338</v>
      </c>
      <c r="C233" s="1" t="s">
        <v>84</v>
      </c>
      <c r="D233" s="1" t="s">
        <v>85</v>
      </c>
      <c r="E233" s="1">
        <v>4.0</v>
      </c>
      <c r="F233" s="1" t="s">
        <v>929</v>
      </c>
      <c r="G233" s="1" t="s">
        <v>930</v>
      </c>
      <c r="H233" s="1" t="s">
        <v>88</v>
      </c>
      <c r="I233" s="1" t="s">
        <v>114</v>
      </c>
      <c r="J233" s="1" t="s">
        <v>127</v>
      </c>
      <c r="K233" s="1" t="s">
        <v>288</v>
      </c>
      <c r="L233" s="1" t="s">
        <v>92</v>
      </c>
      <c r="M233" s="1">
        <v>10.0</v>
      </c>
      <c r="N233" s="1" t="s">
        <v>93</v>
      </c>
      <c r="O233" s="1" t="s">
        <v>206</v>
      </c>
      <c r="P233" s="1">
        <v>1.0</v>
      </c>
      <c r="Q233" s="1" t="s">
        <v>115</v>
      </c>
      <c r="R233" s="1" t="s">
        <v>95</v>
      </c>
      <c r="S233" s="1" t="s">
        <v>931</v>
      </c>
      <c r="T233" s="1" t="s">
        <v>932</v>
      </c>
    </row>
    <row r="234">
      <c r="A234" s="2">
        <v>43639.584061898146</v>
      </c>
      <c r="B234" s="1" t="s">
        <v>265</v>
      </c>
      <c r="C234" s="1" t="s">
        <v>166</v>
      </c>
      <c r="D234" s="1" t="s">
        <v>98</v>
      </c>
      <c r="E234" s="1">
        <v>1.0</v>
      </c>
      <c r="F234" s="1" t="s">
        <v>582</v>
      </c>
      <c r="G234" s="1" t="s">
        <v>172</v>
      </c>
      <c r="H234" s="1" t="s">
        <v>111</v>
      </c>
      <c r="I234" s="1" t="s">
        <v>114</v>
      </c>
      <c r="J234" s="1" t="s">
        <v>127</v>
      </c>
      <c r="K234" s="1" t="s">
        <v>121</v>
      </c>
      <c r="L234" s="1" t="s">
        <v>152</v>
      </c>
      <c r="M234" s="1">
        <v>8.0</v>
      </c>
      <c r="N234" s="1" t="s">
        <v>114</v>
      </c>
      <c r="O234" s="1" t="s">
        <v>206</v>
      </c>
      <c r="P234" s="1">
        <v>3.0</v>
      </c>
      <c r="Q234" s="1" t="s">
        <v>95</v>
      </c>
      <c r="R234" s="1" t="s">
        <v>95</v>
      </c>
      <c r="S234" s="1" t="s">
        <v>933</v>
      </c>
      <c r="T234" s="1" t="s">
        <v>934</v>
      </c>
    </row>
    <row r="235">
      <c r="A235" s="2">
        <v>43639.58973178241</v>
      </c>
      <c r="B235" s="1" t="s">
        <v>340</v>
      </c>
      <c r="C235" s="1" t="s">
        <v>84</v>
      </c>
      <c r="D235" s="1" t="s">
        <v>98</v>
      </c>
      <c r="E235" s="1">
        <v>3.0</v>
      </c>
      <c r="F235" s="1" t="s">
        <v>922</v>
      </c>
      <c r="G235" s="1" t="s">
        <v>172</v>
      </c>
      <c r="H235" s="1" t="s">
        <v>88</v>
      </c>
      <c r="I235" s="1" t="s">
        <v>93</v>
      </c>
      <c r="J235" s="1" t="s">
        <v>112</v>
      </c>
      <c r="K235" s="1" t="s">
        <v>103</v>
      </c>
      <c r="L235" s="1" t="s">
        <v>152</v>
      </c>
      <c r="M235" s="1">
        <v>7.0</v>
      </c>
      <c r="N235" s="1" t="s">
        <v>114</v>
      </c>
      <c r="O235" s="1" t="s">
        <v>206</v>
      </c>
      <c r="P235" s="1">
        <v>5.0</v>
      </c>
      <c r="Q235" s="1" t="s">
        <v>115</v>
      </c>
      <c r="R235" s="1" t="s">
        <v>95</v>
      </c>
      <c r="S235" s="1" t="s">
        <v>927</v>
      </c>
      <c r="T235" s="1" t="s">
        <v>935</v>
      </c>
    </row>
    <row r="236">
      <c r="A236" s="2">
        <v>43639.60501666667</v>
      </c>
      <c r="B236" s="1" t="s">
        <v>401</v>
      </c>
      <c r="C236" s="1" t="s">
        <v>84</v>
      </c>
      <c r="D236" s="1" t="s">
        <v>85</v>
      </c>
      <c r="E236" s="1">
        <v>5.0</v>
      </c>
      <c r="F236" s="1" t="s">
        <v>183</v>
      </c>
      <c r="G236" s="1" t="s">
        <v>247</v>
      </c>
      <c r="H236" s="1" t="s">
        <v>111</v>
      </c>
      <c r="I236" s="1" t="s">
        <v>93</v>
      </c>
      <c r="J236" s="1" t="s">
        <v>127</v>
      </c>
      <c r="K236" s="1" t="s">
        <v>707</v>
      </c>
      <c r="L236" s="1" t="s">
        <v>92</v>
      </c>
      <c r="M236" s="1">
        <v>6.0</v>
      </c>
      <c r="N236" s="1" t="s">
        <v>114</v>
      </c>
      <c r="O236" s="1" t="s">
        <v>106</v>
      </c>
      <c r="P236" s="1">
        <v>1.0</v>
      </c>
      <c r="Q236" s="1" t="s">
        <v>115</v>
      </c>
      <c r="R236" s="1" t="s">
        <v>95</v>
      </c>
      <c r="S236" s="1" t="s">
        <v>923</v>
      </c>
      <c r="T236" s="1" t="s">
        <v>936</v>
      </c>
    </row>
    <row r="237">
      <c r="A237" s="2">
        <v>43639.643611875</v>
      </c>
      <c r="B237" s="1" t="s">
        <v>402</v>
      </c>
      <c r="C237" s="1" t="s">
        <v>84</v>
      </c>
      <c r="D237" s="1" t="s">
        <v>98</v>
      </c>
      <c r="E237" s="1">
        <v>5.0</v>
      </c>
      <c r="F237" s="1" t="s">
        <v>902</v>
      </c>
      <c r="G237" s="1" t="s">
        <v>482</v>
      </c>
      <c r="H237" s="1" t="s">
        <v>111</v>
      </c>
      <c r="I237" s="1" t="s">
        <v>114</v>
      </c>
      <c r="J237" s="1" t="s">
        <v>127</v>
      </c>
      <c r="K237" s="1" t="s">
        <v>103</v>
      </c>
      <c r="L237" s="1" t="s">
        <v>92</v>
      </c>
      <c r="M237" s="1">
        <v>3.0</v>
      </c>
      <c r="N237" s="1" t="s">
        <v>114</v>
      </c>
      <c r="O237" s="1" t="s">
        <v>106</v>
      </c>
      <c r="P237" s="1">
        <v>1.0</v>
      </c>
      <c r="Q237" s="1" t="s">
        <v>115</v>
      </c>
      <c r="R237" s="1" t="s">
        <v>95</v>
      </c>
      <c r="S237" s="1" t="s">
        <v>910</v>
      </c>
      <c r="T237" s="1" t="s">
        <v>937</v>
      </c>
    </row>
    <row r="238">
      <c r="A238" s="2">
        <v>43639.7056537037</v>
      </c>
      <c r="B238" s="1" t="s">
        <v>397</v>
      </c>
      <c r="C238" s="1" t="s">
        <v>84</v>
      </c>
      <c r="D238" s="1" t="s">
        <v>98</v>
      </c>
      <c r="E238" s="1">
        <v>3.0</v>
      </c>
      <c r="F238" s="1" t="s">
        <v>617</v>
      </c>
      <c r="G238" s="1" t="s">
        <v>100</v>
      </c>
      <c r="H238" s="1" t="s">
        <v>88</v>
      </c>
      <c r="I238" s="1" t="s">
        <v>93</v>
      </c>
      <c r="J238" s="1" t="s">
        <v>90</v>
      </c>
      <c r="K238" s="1" t="s">
        <v>205</v>
      </c>
      <c r="L238" s="1" t="s">
        <v>122</v>
      </c>
      <c r="M238" s="1">
        <v>7.0</v>
      </c>
      <c r="N238" s="1" t="s">
        <v>93</v>
      </c>
      <c r="O238" s="1" t="s">
        <v>206</v>
      </c>
      <c r="P238" s="1">
        <v>2.0</v>
      </c>
      <c r="Q238" s="1" t="s">
        <v>95</v>
      </c>
      <c r="R238" s="1" t="s">
        <v>95</v>
      </c>
      <c r="S238" s="1" t="s">
        <v>62</v>
      </c>
      <c r="T238" s="1" t="s">
        <v>938</v>
      </c>
    </row>
    <row r="239">
      <c r="A239" s="2">
        <v>43639.7455236574</v>
      </c>
      <c r="B239" s="1" t="s">
        <v>188</v>
      </c>
      <c r="C239" s="1" t="s">
        <v>84</v>
      </c>
      <c r="D239" s="1" t="s">
        <v>85</v>
      </c>
      <c r="E239" s="1">
        <v>4.0</v>
      </c>
      <c r="F239" s="1" t="s">
        <v>121</v>
      </c>
      <c r="G239" s="1" t="s">
        <v>939</v>
      </c>
      <c r="H239" s="1" t="s">
        <v>111</v>
      </c>
      <c r="I239" s="1" t="s">
        <v>93</v>
      </c>
      <c r="J239" s="1" t="s">
        <v>90</v>
      </c>
      <c r="K239" s="1" t="s">
        <v>819</v>
      </c>
      <c r="L239" s="1" t="s">
        <v>104</v>
      </c>
      <c r="M239" s="1">
        <v>7.0</v>
      </c>
      <c r="N239" s="1" t="s">
        <v>114</v>
      </c>
      <c r="O239" s="1" t="s">
        <v>206</v>
      </c>
      <c r="P239" s="1">
        <v>3.0</v>
      </c>
      <c r="Q239" s="1" t="s">
        <v>95</v>
      </c>
      <c r="R239" s="1" t="s">
        <v>95</v>
      </c>
      <c r="S239" s="1" t="s">
        <v>69</v>
      </c>
      <c r="T239" s="1" t="s">
        <v>940</v>
      </c>
    </row>
    <row r="240">
      <c r="A240" s="2"/>
    </row>
    <row r="241">
      <c r="A241" s="2">
        <v>43639.74793039352</v>
      </c>
      <c r="B241" s="1" t="s">
        <v>266</v>
      </c>
      <c r="C241" s="1" t="s">
        <v>84</v>
      </c>
      <c r="D241" s="1" t="s">
        <v>532</v>
      </c>
      <c r="E241" s="1">
        <v>4.0</v>
      </c>
      <c r="F241" s="1" t="s">
        <v>941</v>
      </c>
      <c r="G241" s="1" t="s">
        <v>87</v>
      </c>
      <c r="H241" s="1" t="s">
        <v>102</v>
      </c>
      <c r="I241" s="1" t="s">
        <v>89</v>
      </c>
      <c r="J241" s="1" t="s">
        <v>90</v>
      </c>
      <c r="K241" s="1" t="s">
        <v>121</v>
      </c>
      <c r="L241" s="1" t="s">
        <v>92</v>
      </c>
      <c r="M241" s="1">
        <v>6.0</v>
      </c>
      <c r="N241" s="1" t="s">
        <v>93</v>
      </c>
      <c r="O241" s="1" t="s">
        <v>206</v>
      </c>
      <c r="P241" s="1">
        <v>4.0</v>
      </c>
      <c r="Q241" s="1" t="s">
        <v>95</v>
      </c>
      <c r="R241" s="1" t="s">
        <v>95</v>
      </c>
      <c r="S241" s="1" t="s">
        <v>69</v>
      </c>
      <c r="T241" s="1" t="s">
        <v>942</v>
      </c>
    </row>
    <row r="242">
      <c r="A242" s="2">
        <v>43639.75481333333</v>
      </c>
      <c r="B242" s="1" t="s">
        <v>341</v>
      </c>
      <c r="C242" s="1" t="s">
        <v>84</v>
      </c>
      <c r="D242" s="1" t="s">
        <v>85</v>
      </c>
      <c r="E242" s="1">
        <v>5.0</v>
      </c>
      <c r="F242" s="1" t="s">
        <v>943</v>
      </c>
      <c r="G242" s="1" t="s">
        <v>944</v>
      </c>
      <c r="H242" s="1" t="s">
        <v>88</v>
      </c>
      <c r="I242" s="1" t="s">
        <v>93</v>
      </c>
      <c r="J242" s="1" t="s">
        <v>90</v>
      </c>
      <c r="K242" s="1" t="s">
        <v>103</v>
      </c>
      <c r="L242" s="1" t="s">
        <v>92</v>
      </c>
      <c r="M242" s="1">
        <v>7.0</v>
      </c>
      <c r="N242" s="1" t="s">
        <v>114</v>
      </c>
      <c r="O242" s="1" t="s">
        <v>206</v>
      </c>
      <c r="P242" s="1">
        <v>1.0</v>
      </c>
      <c r="Q242" s="1" t="s">
        <v>95</v>
      </c>
      <c r="R242" s="1" t="s">
        <v>95</v>
      </c>
      <c r="S242" s="1" t="s">
        <v>69</v>
      </c>
      <c r="T242" s="1" t="s">
        <v>945</v>
      </c>
    </row>
    <row r="243">
      <c r="A243" s="2">
        <v>43639.75851344907</v>
      </c>
      <c r="B243" s="1" t="s">
        <v>189</v>
      </c>
      <c r="C243" s="1" t="s">
        <v>84</v>
      </c>
      <c r="D243" s="1" t="s">
        <v>85</v>
      </c>
      <c r="E243" s="1">
        <v>1.0</v>
      </c>
      <c r="F243" s="1" t="s">
        <v>946</v>
      </c>
      <c r="G243" s="1" t="s">
        <v>947</v>
      </c>
      <c r="H243" s="1" t="s">
        <v>209</v>
      </c>
      <c r="I243" s="1" t="s">
        <v>209</v>
      </c>
      <c r="J243" s="1" t="s">
        <v>112</v>
      </c>
      <c r="K243" s="1" t="s">
        <v>948</v>
      </c>
      <c r="L243" s="1" t="s">
        <v>92</v>
      </c>
      <c r="M243" s="1">
        <v>9.0</v>
      </c>
      <c r="N243" s="1" t="s">
        <v>93</v>
      </c>
      <c r="O243" s="1" t="s">
        <v>106</v>
      </c>
      <c r="P243" s="1">
        <v>4.0</v>
      </c>
      <c r="Q243" s="1" t="s">
        <v>115</v>
      </c>
      <c r="R243" s="1" t="s">
        <v>95</v>
      </c>
      <c r="S243" s="1" t="s">
        <v>70</v>
      </c>
      <c r="T243" s="1" t="s">
        <v>949</v>
      </c>
    </row>
    <row r="244">
      <c r="A244" s="2">
        <v>43639.7613859375</v>
      </c>
      <c r="B244" s="1" t="s">
        <v>267</v>
      </c>
      <c r="C244" s="1" t="s">
        <v>166</v>
      </c>
      <c r="D244" s="1" t="s">
        <v>85</v>
      </c>
      <c r="E244" s="1">
        <v>2.0</v>
      </c>
      <c r="F244" s="1" t="s">
        <v>632</v>
      </c>
      <c r="G244" s="1" t="s">
        <v>100</v>
      </c>
      <c r="H244" s="1" t="s">
        <v>88</v>
      </c>
      <c r="I244" s="1" t="s">
        <v>93</v>
      </c>
      <c r="J244" s="1" t="s">
        <v>112</v>
      </c>
      <c r="K244" s="1" t="s">
        <v>205</v>
      </c>
      <c r="L244" s="1" t="s">
        <v>122</v>
      </c>
      <c r="M244" s="1">
        <v>8.0</v>
      </c>
      <c r="N244" s="1" t="s">
        <v>93</v>
      </c>
      <c r="O244" s="1" t="s">
        <v>106</v>
      </c>
      <c r="P244" s="1">
        <v>3.0</v>
      </c>
      <c r="Q244" s="1" t="s">
        <v>95</v>
      </c>
      <c r="R244" s="1" t="s">
        <v>95</v>
      </c>
      <c r="S244" s="1" t="s">
        <v>950</v>
      </c>
      <c r="T244" s="1" t="s">
        <v>951</v>
      </c>
    </row>
    <row r="245">
      <c r="A245" s="2">
        <v>43639.81917097222</v>
      </c>
      <c r="B245" s="1" t="s">
        <v>190</v>
      </c>
      <c r="C245" s="1" t="s">
        <v>84</v>
      </c>
      <c r="D245" s="1" t="s">
        <v>98</v>
      </c>
      <c r="E245" s="1">
        <v>4.0</v>
      </c>
      <c r="F245" s="1" t="s">
        <v>782</v>
      </c>
      <c r="G245" s="1" t="s">
        <v>657</v>
      </c>
      <c r="H245" s="1" t="s">
        <v>102</v>
      </c>
      <c r="I245" s="1" t="s">
        <v>114</v>
      </c>
      <c r="J245" s="1" t="s">
        <v>90</v>
      </c>
      <c r="K245" s="1" t="s">
        <v>952</v>
      </c>
      <c r="L245" s="1" t="s">
        <v>92</v>
      </c>
      <c r="M245" s="1">
        <v>5.0</v>
      </c>
      <c r="N245" s="1" t="s">
        <v>114</v>
      </c>
      <c r="O245" s="1" t="s">
        <v>206</v>
      </c>
      <c r="P245" s="1">
        <v>1.0</v>
      </c>
      <c r="Q245" s="1" t="s">
        <v>95</v>
      </c>
      <c r="R245" s="1" t="s">
        <v>95</v>
      </c>
      <c r="S245" s="1" t="s">
        <v>71</v>
      </c>
      <c r="T245" s="1" t="s">
        <v>953</v>
      </c>
    </row>
    <row r="246">
      <c r="A246" s="2">
        <v>43639.84579472222</v>
      </c>
      <c r="B246" s="1" t="s">
        <v>238</v>
      </c>
      <c r="C246" s="1" t="s">
        <v>166</v>
      </c>
      <c r="D246" s="1" t="s">
        <v>98</v>
      </c>
      <c r="E246" s="1">
        <v>4.0</v>
      </c>
      <c r="F246" s="1" t="s">
        <v>954</v>
      </c>
      <c r="G246" s="1" t="s">
        <v>955</v>
      </c>
      <c r="H246" s="1" t="s">
        <v>111</v>
      </c>
      <c r="I246" s="1" t="s">
        <v>93</v>
      </c>
      <c r="J246" s="1" t="s">
        <v>90</v>
      </c>
      <c r="K246" s="1" t="s">
        <v>956</v>
      </c>
      <c r="L246" s="1" t="s">
        <v>104</v>
      </c>
      <c r="M246" s="1">
        <v>8.0</v>
      </c>
      <c r="N246" s="1" t="s">
        <v>114</v>
      </c>
      <c r="O246" s="1" t="s">
        <v>106</v>
      </c>
      <c r="P246" s="1">
        <v>4.0</v>
      </c>
      <c r="Q246" s="1" t="s">
        <v>115</v>
      </c>
      <c r="R246" s="1" t="s">
        <v>95</v>
      </c>
      <c r="S246" s="1" t="s">
        <v>957</v>
      </c>
      <c r="T246" s="1" t="s">
        <v>958</v>
      </c>
    </row>
    <row r="247">
      <c r="A247" s="2">
        <v>43639.858838263885</v>
      </c>
      <c r="B247" s="1" t="s">
        <v>192</v>
      </c>
      <c r="C247" s="1" t="s">
        <v>84</v>
      </c>
      <c r="D247" s="1" t="s">
        <v>522</v>
      </c>
      <c r="E247" s="1">
        <v>3.0</v>
      </c>
      <c r="F247" s="1" t="s">
        <v>959</v>
      </c>
      <c r="G247" s="1" t="s">
        <v>87</v>
      </c>
      <c r="H247" s="1" t="s">
        <v>88</v>
      </c>
      <c r="I247" s="1" t="s">
        <v>93</v>
      </c>
      <c r="J247" s="1" t="s">
        <v>127</v>
      </c>
      <c r="K247" s="1" t="s">
        <v>103</v>
      </c>
      <c r="L247" s="1" t="s">
        <v>152</v>
      </c>
      <c r="M247" s="1">
        <v>1.0</v>
      </c>
      <c r="N247" s="1" t="s">
        <v>114</v>
      </c>
      <c r="O247" s="1" t="s">
        <v>206</v>
      </c>
      <c r="P247" s="1">
        <v>3.0</v>
      </c>
      <c r="Q247" s="1" t="s">
        <v>95</v>
      </c>
      <c r="R247" s="1" t="s">
        <v>95</v>
      </c>
      <c r="S247" s="1" t="s">
        <v>72</v>
      </c>
      <c r="T247" s="1" t="s">
        <v>179</v>
      </c>
    </row>
    <row r="248">
      <c r="A248" s="2">
        <v>43639.86250728009</v>
      </c>
      <c r="B248" s="1" t="s">
        <v>268</v>
      </c>
      <c r="C248" s="1" t="s">
        <v>166</v>
      </c>
      <c r="D248" s="1" t="s">
        <v>98</v>
      </c>
      <c r="E248" s="1">
        <v>4.0</v>
      </c>
      <c r="F248" s="1" t="s">
        <v>960</v>
      </c>
      <c r="G248" s="1" t="s">
        <v>120</v>
      </c>
      <c r="H248" s="1" t="s">
        <v>102</v>
      </c>
      <c r="I248" s="1" t="s">
        <v>93</v>
      </c>
      <c r="J248" s="1" t="s">
        <v>112</v>
      </c>
      <c r="K248" s="1" t="s">
        <v>952</v>
      </c>
      <c r="L248" s="1" t="s">
        <v>122</v>
      </c>
      <c r="M248" s="1">
        <v>3.0</v>
      </c>
      <c r="N248" s="1" t="s">
        <v>130</v>
      </c>
      <c r="O248" s="1" t="s">
        <v>206</v>
      </c>
      <c r="P248" s="1">
        <v>1.0</v>
      </c>
      <c r="Q248" s="1" t="s">
        <v>95</v>
      </c>
      <c r="R248" s="1" t="s">
        <v>95</v>
      </c>
      <c r="S248" s="1" t="s">
        <v>961</v>
      </c>
      <c r="T248" s="1" t="s">
        <v>962</v>
      </c>
    </row>
    <row r="249">
      <c r="A249" s="2">
        <v>43639.86736200232</v>
      </c>
      <c r="B249" s="1" t="s">
        <v>193</v>
      </c>
      <c r="C249" s="1" t="s">
        <v>166</v>
      </c>
      <c r="D249" s="1" t="s">
        <v>85</v>
      </c>
      <c r="E249" s="1">
        <v>4.0</v>
      </c>
      <c r="F249" s="1" t="s">
        <v>963</v>
      </c>
      <c r="G249" s="1" t="s">
        <v>558</v>
      </c>
      <c r="H249" s="1" t="s">
        <v>102</v>
      </c>
      <c r="I249" s="1" t="s">
        <v>93</v>
      </c>
      <c r="J249" s="1" t="s">
        <v>112</v>
      </c>
      <c r="K249" s="1" t="s">
        <v>964</v>
      </c>
      <c r="L249" s="1" t="s">
        <v>92</v>
      </c>
      <c r="M249" s="1">
        <v>10.0</v>
      </c>
      <c r="N249" s="1" t="s">
        <v>105</v>
      </c>
      <c r="O249" s="1" t="s">
        <v>94</v>
      </c>
      <c r="P249" s="1">
        <v>2.0</v>
      </c>
      <c r="Q249" s="1" t="s">
        <v>95</v>
      </c>
      <c r="R249" s="1" t="s">
        <v>95</v>
      </c>
      <c r="S249" s="1" t="s">
        <v>73</v>
      </c>
      <c r="T249" s="1" t="s">
        <v>965</v>
      </c>
    </row>
    <row r="250">
      <c r="A250" s="2">
        <v>43639.87094641203</v>
      </c>
      <c r="B250" s="1" t="s">
        <v>270</v>
      </c>
      <c r="C250" s="1" t="s">
        <v>225</v>
      </c>
      <c r="D250" s="1" t="s">
        <v>85</v>
      </c>
      <c r="E250" s="1">
        <v>5.0</v>
      </c>
      <c r="F250" s="1" t="s">
        <v>734</v>
      </c>
      <c r="G250" s="1" t="s">
        <v>966</v>
      </c>
      <c r="H250" s="1" t="s">
        <v>102</v>
      </c>
      <c r="I250" s="1" t="s">
        <v>93</v>
      </c>
      <c r="J250" s="1" t="s">
        <v>127</v>
      </c>
      <c r="K250" s="1" t="s">
        <v>967</v>
      </c>
      <c r="L250" s="1" t="s">
        <v>104</v>
      </c>
      <c r="M250" s="1">
        <v>10.0</v>
      </c>
      <c r="N250" s="1" t="s">
        <v>93</v>
      </c>
      <c r="O250" s="1" t="s">
        <v>94</v>
      </c>
      <c r="P250" s="1">
        <v>1.0</v>
      </c>
      <c r="Q250" s="1" t="s">
        <v>95</v>
      </c>
      <c r="R250" s="1" t="s">
        <v>95</v>
      </c>
      <c r="S250" s="1" t="s">
        <v>73</v>
      </c>
      <c r="T250" s="1" t="s">
        <v>968</v>
      </c>
    </row>
    <row r="251">
      <c r="A251" s="2">
        <v>43639.87511503472</v>
      </c>
      <c r="B251" s="1" t="s">
        <v>345</v>
      </c>
      <c r="C251" s="1" t="s">
        <v>225</v>
      </c>
      <c r="D251" s="1" t="s">
        <v>522</v>
      </c>
      <c r="E251" s="1">
        <v>5.0</v>
      </c>
      <c r="F251" s="1" t="s">
        <v>481</v>
      </c>
      <c r="G251" s="1" t="s">
        <v>126</v>
      </c>
      <c r="H251" s="1" t="s">
        <v>88</v>
      </c>
      <c r="I251" s="1" t="s">
        <v>114</v>
      </c>
      <c r="J251" s="1" t="s">
        <v>90</v>
      </c>
      <c r="K251" s="1" t="s">
        <v>121</v>
      </c>
      <c r="L251" s="1" t="s">
        <v>152</v>
      </c>
      <c r="M251" s="1">
        <v>10.0</v>
      </c>
      <c r="N251" s="1" t="s">
        <v>93</v>
      </c>
      <c r="O251" s="1" t="s">
        <v>206</v>
      </c>
      <c r="P251" s="1">
        <v>2.0</v>
      </c>
      <c r="Q251" s="1" t="s">
        <v>95</v>
      </c>
      <c r="R251" s="1" t="s">
        <v>95</v>
      </c>
      <c r="S251" s="1" t="s">
        <v>73</v>
      </c>
      <c r="T251" s="1" t="s">
        <v>969</v>
      </c>
    </row>
    <row r="252">
      <c r="A252" s="2">
        <v>43639.87703296296</v>
      </c>
      <c r="B252" s="1" t="s">
        <v>315</v>
      </c>
      <c r="C252" s="1" t="s">
        <v>84</v>
      </c>
      <c r="D252" s="1" t="s">
        <v>98</v>
      </c>
      <c r="E252" s="1">
        <v>3.0</v>
      </c>
      <c r="F252" s="1" t="s">
        <v>970</v>
      </c>
      <c r="G252" s="1" t="s">
        <v>126</v>
      </c>
      <c r="H252" s="1" t="s">
        <v>111</v>
      </c>
      <c r="I252" s="1" t="s">
        <v>93</v>
      </c>
      <c r="J252" s="1" t="s">
        <v>127</v>
      </c>
      <c r="K252" s="1" t="s">
        <v>103</v>
      </c>
      <c r="L252" s="1" t="s">
        <v>92</v>
      </c>
      <c r="M252" s="1">
        <v>7.0</v>
      </c>
      <c r="N252" s="1" t="s">
        <v>93</v>
      </c>
      <c r="O252" s="1" t="s">
        <v>106</v>
      </c>
      <c r="P252" s="1">
        <v>1.0</v>
      </c>
      <c r="Q252" s="1" t="s">
        <v>115</v>
      </c>
      <c r="R252" s="1" t="s">
        <v>95</v>
      </c>
      <c r="S252" s="1" t="s">
        <v>971</v>
      </c>
      <c r="T252" s="1" t="s">
        <v>972</v>
      </c>
    </row>
    <row r="253">
      <c r="A253" s="2">
        <v>43639.8786335301</v>
      </c>
      <c r="B253" s="1" t="s">
        <v>269</v>
      </c>
      <c r="C253" s="1" t="s">
        <v>84</v>
      </c>
      <c r="D253" s="1" t="s">
        <v>522</v>
      </c>
      <c r="E253" s="1">
        <v>5.0</v>
      </c>
      <c r="F253" s="1" t="s">
        <v>973</v>
      </c>
      <c r="G253" s="1" t="s">
        <v>966</v>
      </c>
      <c r="H253" s="1" t="s">
        <v>88</v>
      </c>
      <c r="I253" s="1" t="s">
        <v>93</v>
      </c>
      <c r="J253" s="1" t="s">
        <v>127</v>
      </c>
      <c r="K253" s="1" t="s">
        <v>974</v>
      </c>
      <c r="L253" s="1" t="s">
        <v>104</v>
      </c>
      <c r="M253" s="1">
        <v>10.0</v>
      </c>
      <c r="N253" s="1" t="s">
        <v>93</v>
      </c>
      <c r="O253" s="1" t="s">
        <v>106</v>
      </c>
      <c r="P253" s="1">
        <v>1.0</v>
      </c>
      <c r="Q253" s="1" t="s">
        <v>95</v>
      </c>
      <c r="R253" s="1" t="s">
        <v>95</v>
      </c>
      <c r="S253" s="1" t="s">
        <v>72</v>
      </c>
      <c r="T253" s="1" t="s">
        <v>975</v>
      </c>
    </row>
    <row r="254">
      <c r="A254" s="2">
        <v>43639.88379490741</v>
      </c>
      <c r="B254" s="1" t="s">
        <v>378</v>
      </c>
      <c r="C254" s="1" t="s">
        <v>84</v>
      </c>
      <c r="D254" s="1" t="s">
        <v>98</v>
      </c>
      <c r="E254" s="1">
        <v>5.0</v>
      </c>
      <c r="F254" s="1" t="s">
        <v>782</v>
      </c>
      <c r="G254" s="1" t="s">
        <v>944</v>
      </c>
      <c r="H254" s="1" t="s">
        <v>111</v>
      </c>
      <c r="I254" s="1" t="s">
        <v>93</v>
      </c>
      <c r="J254" s="1" t="s">
        <v>127</v>
      </c>
      <c r="K254" s="1" t="s">
        <v>205</v>
      </c>
      <c r="L254" s="1" t="s">
        <v>92</v>
      </c>
      <c r="M254" s="1">
        <v>7.0</v>
      </c>
      <c r="N254" s="1" t="s">
        <v>114</v>
      </c>
      <c r="O254" s="1" t="s">
        <v>206</v>
      </c>
      <c r="P254" s="1">
        <v>1.0</v>
      </c>
      <c r="Q254" s="1" t="s">
        <v>115</v>
      </c>
      <c r="R254" s="1" t="s">
        <v>95</v>
      </c>
      <c r="S254" s="1" t="s">
        <v>957</v>
      </c>
      <c r="T254" s="1" t="s">
        <v>976</v>
      </c>
    </row>
    <row r="255">
      <c r="A255" s="2">
        <v>43639.88474631944</v>
      </c>
      <c r="B255" s="1" t="s">
        <v>343</v>
      </c>
      <c r="C255" s="1" t="s">
        <v>84</v>
      </c>
      <c r="D255" s="1" t="s">
        <v>98</v>
      </c>
      <c r="E255" s="1">
        <v>3.0</v>
      </c>
      <c r="F255" s="1" t="s">
        <v>977</v>
      </c>
      <c r="G255" s="1" t="s">
        <v>172</v>
      </c>
      <c r="H255" s="1" t="s">
        <v>102</v>
      </c>
      <c r="I255" s="1" t="s">
        <v>93</v>
      </c>
      <c r="J255" s="1" t="s">
        <v>127</v>
      </c>
      <c r="K255" s="1" t="s">
        <v>978</v>
      </c>
      <c r="L255" s="1" t="s">
        <v>92</v>
      </c>
      <c r="M255" s="1">
        <v>3.0</v>
      </c>
      <c r="N255" s="1" t="s">
        <v>130</v>
      </c>
      <c r="O255" s="1" t="s">
        <v>206</v>
      </c>
      <c r="P255" s="1">
        <v>1.0</v>
      </c>
      <c r="Q255" s="1" t="s">
        <v>95</v>
      </c>
      <c r="R255" s="1" t="s">
        <v>95</v>
      </c>
      <c r="S255" s="1" t="s">
        <v>961</v>
      </c>
      <c r="T255" s="1" t="s">
        <v>979</v>
      </c>
    </row>
    <row r="256">
      <c r="A256" s="2"/>
    </row>
    <row r="257">
      <c r="A257" s="2">
        <v>43639.8928028125</v>
      </c>
      <c r="B257" s="1" t="s">
        <v>344</v>
      </c>
      <c r="C257" s="1" t="s">
        <v>84</v>
      </c>
      <c r="D257" s="1" t="s">
        <v>522</v>
      </c>
      <c r="E257" s="1">
        <v>2.0</v>
      </c>
      <c r="F257" s="1" t="s">
        <v>980</v>
      </c>
      <c r="G257" s="1" t="s">
        <v>539</v>
      </c>
      <c r="H257" s="1" t="s">
        <v>88</v>
      </c>
      <c r="I257" s="1" t="s">
        <v>209</v>
      </c>
      <c r="J257" s="1" t="s">
        <v>112</v>
      </c>
      <c r="K257" s="1" t="s">
        <v>103</v>
      </c>
      <c r="L257" s="1" t="s">
        <v>152</v>
      </c>
      <c r="M257" s="1">
        <v>7.0</v>
      </c>
      <c r="N257" s="1" t="s">
        <v>114</v>
      </c>
      <c r="O257" s="1" t="s">
        <v>206</v>
      </c>
      <c r="P257" s="1">
        <v>4.0</v>
      </c>
      <c r="Q257" s="1" t="s">
        <v>115</v>
      </c>
      <c r="R257" s="1" t="s">
        <v>95</v>
      </c>
      <c r="S257" s="1" t="s">
        <v>981</v>
      </c>
      <c r="T257" s="1" t="s">
        <v>982</v>
      </c>
    </row>
    <row r="258">
      <c r="A258" s="2">
        <v>43639.893405717594</v>
      </c>
      <c r="B258" s="1" t="s">
        <v>405</v>
      </c>
      <c r="C258" s="1" t="s">
        <v>84</v>
      </c>
      <c r="D258" s="1" t="s">
        <v>98</v>
      </c>
      <c r="E258" s="1">
        <v>3.0</v>
      </c>
      <c r="F258" s="1" t="s">
        <v>632</v>
      </c>
      <c r="G258" s="1" t="s">
        <v>87</v>
      </c>
      <c r="H258" s="1" t="s">
        <v>102</v>
      </c>
      <c r="I258" s="1" t="s">
        <v>93</v>
      </c>
      <c r="J258" s="1" t="s">
        <v>112</v>
      </c>
      <c r="K258" s="1" t="s">
        <v>952</v>
      </c>
      <c r="L258" s="1" t="s">
        <v>92</v>
      </c>
      <c r="M258" s="1">
        <v>4.0</v>
      </c>
      <c r="N258" s="1" t="s">
        <v>114</v>
      </c>
      <c r="O258" s="1" t="s">
        <v>206</v>
      </c>
      <c r="P258" s="1">
        <v>1.0</v>
      </c>
      <c r="Q258" s="1" t="s">
        <v>95</v>
      </c>
      <c r="R258" s="1" t="s">
        <v>95</v>
      </c>
      <c r="S258" s="1" t="s">
        <v>71</v>
      </c>
      <c r="T258" s="1" t="s">
        <v>983</v>
      </c>
    </row>
    <row r="259">
      <c r="A259" s="2">
        <v>43639.90584327547</v>
      </c>
      <c r="B259" s="1" t="s">
        <v>437</v>
      </c>
      <c r="C259" s="1" t="s">
        <v>84</v>
      </c>
      <c r="D259" s="1" t="s">
        <v>98</v>
      </c>
      <c r="E259" s="1">
        <v>3.0</v>
      </c>
      <c r="F259" s="1" t="s">
        <v>648</v>
      </c>
      <c r="G259" s="1" t="s">
        <v>539</v>
      </c>
      <c r="H259" s="1" t="s">
        <v>111</v>
      </c>
      <c r="I259" s="1" t="s">
        <v>93</v>
      </c>
      <c r="J259" s="1" t="s">
        <v>127</v>
      </c>
      <c r="K259" s="1" t="s">
        <v>103</v>
      </c>
      <c r="L259" s="1" t="s">
        <v>152</v>
      </c>
      <c r="M259" s="1">
        <v>9.0</v>
      </c>
      <c r="N259" s="1" t="s">
        <v>114</v>
      </c>
      <c r="O259" s="1" t="s">
        <v>106</v>
      </c>
      <c r="P259" s="1">
        <v>5.0</v>
      </c>
      <c r="Q259" s="1" t="s">
        <v>115</v>
      </c>
      <c r="R259" s="1" t="s">
        <v>95</v>
      </c>
      <c r="S259" s="1" t="s">
        <v>984</v>
      </c>
      <c r="T259" s="1" t="s">
        <v>985</v>
      </c>
    </row>
    <row r="260">
      <c r="A260" s="2">
        <v>43639.93415981482</v>
      </c>
      <c r="B260" s="1" t="s">
        <v>453</v>
      </c>
      <c r="C260" s="1" t="s">
        <v>84</v>
      </c>
      <c r="D260" s="1" t="s">
        <v>98</v>
      </c>
      <c r="E260" s="1">
        <v>5.0</v>
      </c>
      <c r="F260" s="1" t="s">
        <v>170</v>
      </c>
      <c r="G260" s="1" t="s">
        <v>431</v>
      </c>
      <c r="H260" s="1" t="s">
        <v>111</v>
      </c>
      <c r="I260" s="1" t="s">
        <v>93</v>
      </c>
      <c r="J260" s="1" t="s">
        <v>127</v>
      </c>
      <c r="K260" s="1" t="s">
        <v>103</v>
      </c>
      <c r="L260" s="1" t="s">
        <v>92</v>
      </c>
      <c r="M260" s="1">
        <v>1.0</v>
      </c>
      <c r="N260" s="1" t="s">
        <v>93</v>
      </c>
      <c r="O260" s="1" t="s">
        <v>106</v>
      </c>
      <c r="P260" s="1">
        <v>1.0</v>
      </c>
      <c r="Q260" s="1" t="s">
        <v>115</v>
      </c>
      <c r="R260" s="1" t="s">
        <v>95</v>
      </c>
      <c r="S260" s="1" t="s">
        <v>986</v>
      </c>
      <c r="T260" s="1" t="s">
        <v>846</v>
      </c>
    </row>
    <row r="261">
      <c r="A261" s="2">
        <v>43639.950168923606</v>
      </c>
      <c r="B261" s="1" t="s">
        <v>403</v>
      </c>
      <c r="C261" s="1" t="s">
        <v>84</v>
      </c>
      <c r="D261" s="1" t="s">
        <v>85</v>
      </c>
      <c r="E261" s="1">
        <v>3.0</v>
      </c>
      <c r="F261" s="1" t="s">
        <v>922</v>
      </c>
      <c r="G261" s="1" t="s">
        <v>464</v>
      </c>
      <c r="H261" s="1" t="s">
        <v>102</v>
      </c>
      <c r="I261" s="1" t="s">
        <v>114</v>
      </c>
      <c r="J261" s="1" t="s">
        <v>90</v>
      </c>
      <c r="K261" s="1" t="s">
        <v>987</v>
      </c>
      <c r="L261" s="1" t="s">
        <v>92</v>
      </c>
      <c r="M261" s="1">
        <v>6.0</v>
      </c>
      <c r="N261" s="1" t="s">
        <v>114</v>
      </c>
      <c r="O261" s="1" t="s">
        <v>94</v>
      </c>
      <c r="P261" s="1">
        <v>1.0</v>
      </c>
      <c r="Q261" s="1" t="s">
        <v>95</v>
      </c>
      <c r="R261" s="1" t="s">
        <v>95</v>
      </c>
      <c r="S261" s="1" t="s">
        <v>69</v>
      </c>
      <c r="T261" s="1" t="s">
        <v>988</v>
      </c>
    </row>
    <row r="262">
      <c r="A262" s="2">
        <v>43640.22223347222</v>
      </c>
      <c r="B262" s="1" t="s">
        <v>195</v>
      </c>
      <c r="C262" s="1" t="s">
        <v>84</v>
      </c>
      <c r="D262" s="1" t="s">
        <v>522</v>
      </c>
      <c r="E262" s="1">
        <v>5.0</v>
      </c>
      <c r="F262" s="1" t="s">
        <v>989</v>
      </c>
      <c r="G262" s="1" t="s">
        <v>792</v>
      </c>
      <c r="H262" s="1" t="s">
        <v>111</v>
      </c>
      <c r="I262" s="1" t="s">
        <v>114</v>
      </c>
      <c r="J262" s="1" t="s">
        <v>90</v>
      </c>
      <c r="K262" s="1" t="s">
        <v>625</v>
      </c>
      <c r="L262" s="1" t="s">
        <v>92</v>
      </c>
      <c r="M262" s="1">
        <v>8.0</v>
      </c>
      <c r="N262" s="1" t="s">
        <v>93</v>
      </c>
      <c r="O262" s="1" t="s">
        <v>206</v>
      </c>
      <c r="P262" s="1">
        <v>2.0</v>
      </c>
      <c r="Q262" s="1" t="s">
        <v>115</v>
      </c>
      <c r="R262" s="1" t="s">
        <v>95</v>
      </c>
      <c r="S262" s="1" t="s">
        <v>75</v>
      </c>
      <c r="T262" s="1" t="s">
        <v>990</v>
      </c>
    </row>
    <row r="263">
      <c r="A263" s="2">
        <v>43640.243552581014</v>
      </c>
      <c r="B263" s="1" t="s">
        <v>406</v>
      </c>
      <c r="C263" s="1" t="s">
        <v>166</v>
      </c>
      <c r="D263" s="1" t="s">
        <v>522</v>
      </c>
      <c r="E263" s="1">
        <v>4.0</v>
      </c>
      <c r="F263" s="1" t="s">
        <v>991</v>
      </c>
      <c r="G263" s="1" t="s">
        <v>992</v>
      </c>
      <c r="H263" s="1" t="s">
        <v>111</v>
      </c>
      <c r="I263" s="1" t="s">
        <v>114</v>
      </c>
      <c r="J263" s="1" t="s">
        <v>127</v>
      </c>
      <c r="K263" s="1" t="s">
        <v>668</v>
      </c>
      <c r="L263" s="1" t="s">
        <v>92</v>
      </c>
      <c r="M263" s="1">
        <v>4.0</v>
      </c>
      <c r="N263" s="1" t="s">
        <v>114</v>
      </c>
      <c r="O263" s="1" t="s">
        <v>206</v>
      </c>
      <c r="P263" s="1">
        <v>1.0</v>
      </c>
      <c r="Q263" s="1" t="s">
        <v>95</v>
      </c>
      <c r="R263" s="1" t="s">
        <v>95</v>
      </c>
      <c r="S263" s="1" t="s">
        <v>993</v>
      </c>
      <c r="T263" s="1" t="s">
        <v>994</v>
      </c>
    </row>
    <row r="264">
      <c r="A264" s="2">
        <v>43640.34241986111</v>
      </c>
      <c r="B264" s="1" t="s">
        <v>194</v>
      </c>
      <c r="C264" s="1" t="s">
        <v>84</v>
      </c>
      <c r="D264" s="1" t="s">
        <v>98</v>
      </c>
      <c r="E264" s="1">
        <v>3.0</v>
      </c>
      <c r="F264" s="1" t="s">
        <v>183</v>
      </c>
      <c r="G264" s="1" t="s">
        <v>995</v>
      </c>
      <c r="H264" s="1" t="s">
        <v>88</v>
      </c>
      <c r="I264" s="1" t="s">
        <v>114</v>
      </c>
      <c r="J264" s="1" t="s">
        <v>90</v>
      </c>
      <c r="K264" s="1" t="s">
        <v>91</v>
      </c>
      <c r="L264" s="1" t="s">
        <v>122</v>
      </c>
      <c r="M264" s="1">
        <v>5.0</v>
      </c>
      <c r="N264" s="1" t="s">
        <v>114</v>
      </c>
      <c r="O264" s="1" t="s">
        <v>94</v>
      </c>
      <c r="P264" s="1">
        <v>2.0</v>
      </c>
      <c r="Q264" s="1" t="s">
        <v>115</v>
      </c>
      <c r="R264" s="1" t="s">
        <v>95</v>
      </c>
      <c r="S264" s="1" t="s">
        <v>996</v>
      </c>
      <c r="T264" s="1" t="s">
        <v>997</v>
      </c>
    </row>
    <row r="265">
      <c r="A265" s="2">
        <v>43640.342758252315</v>
      </c>
      <c r="B265" s="1" t="s">
        <v>271</v>
      </c>
      <c r="C265" s="1" t="s">
        <v>84</v>
      </c>
      <c r="D265" s="1" t="s">
        <v>522</v>
      </c>
      <c r="E265" s="1">
        <v>3.0</v>
      </c>
      <c r="F265" s="1" t="s">
        <v>998</v>
      </c>
      <c r="G265" s="1" t="s">
        <v>201</v>
      </c>
      <c r="H265" s="1" t="s">
        <v>88</v>
      </c>
      <c r="I265" s="1" t="s">
        <v>89</v>
      </c>
      <c r="J265" s="1" t="s">
        <v>90</v>
      </c>
      <c r="K265" s="1" t="s">
        <v>524</v>
      </c>
      <c r="L265" s="1" t="s">
        <v>92</v>
      </c>
      <c r="M265" s="1">
        <v>7.0</v>
      </c>
      <c r="N265" s="1" t="s">
        <v>114</v>
      </c>
      <c r="O265" s="1" t="s">
        <v>206</v>
      </c>
      <c r="P265" s="1">
        <v>2.0</v>
      </c>
      <c r="Q265" s="1" t="s">
        <v>115</v>
      </c>
      <c r="R265" s="1" t="s">
        <v>95</v>
      </c>
      <c r="S265" s="1" t="s">
        <v>999</v>
      </c>
      <c r="T265" s="1" t="s">
        <v>1000</v>
      </c>
    </row>
    <row r="266">
      <c r="A266" s="2">
        <v>43640.34350744213</v>
      </c>
      <c r="B266" s="1" t="s">
        <v>273</v>
      </c>
      <c r="C266" s="1" t="s">
        <v>84</v>
      </c>
      <c r="D266" s="1" t="s">
        <v>532</v>
      </c>
      <c r="E266" s="1">
        <v>3.0</v>
      </c>
      <c r="F266" s="1" t="s">
        <v>144</v>
      </c>
      <c r="G266" s="1" t="s">
        <v>621</v>
      </c>
      <c r="H266" s="1" t="s">
        <v>88</v>
      </c>
      <c r="I266" s="1" t="s">
        <v>114</v>
      </c>
      <c r="J266" s="1" t="s">
        <v>90</v>
      </c>
      <c r="K266" s="1" t="s">
        <v>91</v>
      </c>
      <c r="L266" s="1" t="s">
        <v>92</v>
      </c>
      <c r="M266" s="1">
        <v>4.0</v>
      </c>
      <c r="N266" s="1" t="s">
        <v>130</v>
      </c>
      <c r="O266" s="1" t="s">
        <v>206</v>
      </c>
      <c r="P266" s="1">
        <v>1.0</v>
      </c>
      <c r="Q266" s="1" t="s">
        <v>95</v>
      </c>
      <c r="R266" s="1" t="s">
        <v>95</v>
      </c>
      <c r="S266" s="1" t="s">
        <v>75</v>
      </c>
      <c r="T266" s="1" t="s">
        <v>1001</v>
      </c>
    </row>
    <row r="267">
      <c r="A267" s="2">
        <v>43640.348276770834</v>
      </c>
      <c r="B267" s="1" t="s">
        <v>346</v>
      </c>
      <c r="C267" s="1" t="s">
        <v>225</v>
      </c>
      <c r="D267" s="1" t="s">
        <v>98</v>
      </c>
      <c r="E267" s="1">
        <v>2.0</v>
      </c>
      <c r="F267" s="1" t="s">
        <v>1002</v>
      </c>
      <c r="G267" s="1" t="s">
        <v>100</v>
      </c>
      <c r="H267" s="1" t="s">
        <v>102</v>
      </c>
      <c r="I267" s="1" t="s">
        <v>89</v>
      </c>
      <c r="J267" s="1" t="s">
        <v>127</v>
      </c>
      <c r="K267" s="1" t="s">
        <v>689</v>
      </c>
      <c r="L267" s="1" t="s">
        <v>92</v>
      </c>
      <c r="M267" s="1">
        <v>6.0</v>
      </c>
      <c r="N267" s="1" t="s">
        <v>93</v>
      </c>
      <c r="O267" s="1" t="s">
        <v>206</v>
      </c>
      <c r="P267" s="1">
        <v>2.0</v>
      </c>
      <c r="Q267" s="1" t="s">
        <v>115</v>
      </c>
      <c r="R267" s="1" t="s">
        <v>95</v>
      </c>
      <c r="S267" s="1" t="s">
        <v>1003</v>
      </c>
      <c r="T267" s="1" t="s">
        <v>1004</v>
      </c>
    </row>
    <row r="268">
      <c r="A268" s="2">
        <v>43640.35189751157</v>
      </c>
      <c r="B268" s="1" t="s">
        <v>408</v>
      </c>
      <c r="C268" s="1" t="s">
        <v>84</v>
      </c>
      <c r="D268" s="1" t="s">
        <v>522</v>
      </c>
      <c r="E268" s="1">
        <v>3.0</v>
      </c>
      <c r="F268" s="1" t="s">
        <v>777</v>
      </c>
      <c r="G268" s="1" t="s">
        <v>126</v>
      </c>
      <c r="H268" s="1" t="s">
        <v>102</v>
      </c>
      <c r="I268" s="1" t="s">
        <v>209</v>
      </c>
      <c r="J268" s="1" t="s">
        <v>127</v>
      </c>
      <c r="K268" s="1" t="s">
        <v>121</v>
      </c>
      <c r="L268" s="1" t="s">
        <v>104</v>
      </c>
      <c r="M268" s="1">
        <v>3.0</v>
      </c>
      <c r="N268" s="1" t="s">
        <v>114</v>
      </c>
      <c r="O268" s="1" t="s">
        <v>206</v>
      </c>
      <c r="P268" s="1">
        <v>1.0</v>
      </c>
      <c r="Q268" s="1" t="s">
        <v>115</v>
      </c>
      <c r="R268" s="1" t="s">
        <v>95</v>
      </c>
      <c r="S268" s="1" t="s">
        <v>74</v>
      </c>
      <c r="T268" s="1" t="s">
        <v>1005</v>
      </c>
    </row>
    <row r="269">
      <c r="A269" s="2">
        <v>43640.35460002314</v>
      </c>
      <c r="B269" s="1" t="s">
        <v>456</v>
      </c>
      <c r="C269" s="1" t="s">
        <v>225</v>
      </c>
      <c r="D269" s="1" t="s">
        <v>98</v>
      </c>
      <c r="E269" s="1">
        <v>2.0</v>
      </c>
      <c r="F269" s="1" t="s">
        <v>1006</v>
      </c>
      <c r="G269" s="1" t="s">
        <v>1007</v>
      </c>
      <c r="H269" s="1" t="s">
        <v>111</v>
      </c>
      <c r="I269" s="1" t="s">
        <v>114</v>
      </c>
      <c r="J269" s="1" t="s">
        <v>554</v>
      </c>
      <c r="K269" s="1" t="s">
        <v>509</v>
      </c>
      <c r="L269" s="1" t="s">
        <v>92</v>
      </c>
      <c r="M269" s="1">
        <v>7.0</v>
      </c>
      <c r="N269" s="1" t="s">
        <v>114</v>
      </c>
      <c r="O269" s="1" t="s">
        <v>106</v>
      </c>
      <c r="P269" s="1">
        <v>1.0</v>
      </c>
      <c r="Q269" s="1" t="s">
        <v>115</v>
      </c>
      <c r="R269" s="1" t="s">
        <v>95</v>
      </c>
      <c r="S269" s="1" t="s">
        <v>996</v>
      </c>
      <c r="T269" s="1" t="s">
        <v>1008</v>
      </c>
    </row>
    <row r="270">
      <c r="A270" s="2">
        <v>43640.37019681713</v>
      </c>
      <c r="B270" s="1" t="s">
        <v>196</v>
      </c>
      <c r="C270" s="1" t="s">
        <v>84</v>
      </c>
      <c r="D270" s="1" t="s">
        <v>85</v>
      </c>
      <c r="E270" s="1">
        <v>3.0</v>
      </c>
      <c r="F270" s="1" t="s">
        <v>245</v>
      </c>
      <c r="G270" s="1" t="s">
        <v>247</v>
      </c>
      <c r="H270" s="1" t="s">
        <v>88</v>
      </c>
      <c r="I270" s="1" t="s">
        <v>93</v>
      </c>
      <c r="J270" s="1" t="s">
        <v>90</v>
      </c>
      <c r="K270" s="1" t="s">
        <v>103</v>
      </c>
      <c r="L270" s="1" t="s">
        <v>152</v>
      </c>
      <c r="M270" s="1">
        <v>7.0</v>
      </c>
      <c r="N270" s="1" t="s">
        <v>114</v>
      </c>
      <c r="O270" s="1" t="s">
        <v>106</v>
      </c>
      <c r="P270" s="1">
        <v>1.0</v>
      </c>
      <c r="Q270" s="1" t="s">
        <v>95</v>
      </c>
      <c r="R270" s="1" t="s">
        <v>95</v>
      </c>
      <c r="S270" s="1" t="s">
        <v>1009</v>
      </c>
      <c r="T270" s="1" t="s">
        <v>1010</v>
      </c>
    </row>
    <row r="271">
      <c r="A271" s="2">
        <v>43640.382526828704</v>
      </c>
      <c r="B271" s="1" t="s">
        <v>274</v>
      </c>
      <c r="C271" s="1" t="s">
        <v>84</v>
      </c>
      <c r="D271" s="1" t="s">
        <v>85</v>
      </c>
      <c r="E271" s="1">
        <v>3.0</v>
      </c>
      <c r="F271" s="1" t="s">
        <v>1011</v>
      </c>
      <c r="G271" s="1" t="s">
        <v>1012</v>
      </c>
      <c r="H271" s="1" t="s">
        <v>111</v>
      </c>
      <c r="I271" s="1" t="s">
        <v>114</v>
      </c>
      <c r="J271" s="1" t="s">
        <v>90</v>
      </c>
      <c r="K271" s="1" t="s">
        <v>707</v>
      </c>
      <c r="L271" s="1" t="s">
        <v>122</v>
      </c>
      <c r="M271" s="1">
        <v>8.0</v>
      </c>
      <c r="N271" s="1" t="s">
        <v>93</v>
      </c>
      <c r="O271" s="1" t="s">
        <v>106</v>
      </c>
      <c r="P271" s="1">
        <v>4.0</v>
      </c>
      <c r="Q271" s="1" t="s">
        <v>115</v>
      </c>
      <c r="R271" s="1" t="s">
        <v>95</v>
      </c>
      <c r="S271" s="1" t="s">
        <v>76</v>
      </c>
      <c r="T271" s="1" t="s">
        <v>1013</v>
      </c>
    </row>
    <row r="272">
      <c r="A272" s="2"/>
    </row>
    <row r="273">
      <c r="A273" s="2">
        <v>43640.427162141204</v>
      </c>
      <c r="B273" s="1" t="s">
        <v>348</v>
      </c>
      <c r="C273" s="1" t="s">
        <v>84</v>
      </c>
      <c r="D273" s="1" t="s">
        <v>85</v>
      </c>
      <c r="E273" s="1">
        <v>2.0</v>
      </c>
      <c r="F273" s="1" t="s">
        <v>632</v>
      </c>
      <c r="G273" s="1" t="s">
        <v>1012</v>
      </c>
      <c r="H273" s="1" t="s">
        <v>102</v>
      </c>
      <c r="I273" s="1" t="s">
        <v>93</v>
      </c>
      <c r="J273" s="1" t="s">
        <v>127</v>
      </c>
      <c r="K273" s="1" t="s">
        <v>743</v>
      </c>
      <c r="L273" s="1" t="s">
        <v>104</v>
      </c>
      <c r="M273" s="1">
        <v>6.0</v>
      </c>
      <c r="N273" s="1" t="s">
        <v>114</v>
      </c>
      <c r="O273" s="1" t="s">
        <v>106</v>
      </c>
      <c r="P273" s="1">
        <v>1.0</v>
      </c>
      <c r="Q273" s="1" t="s">
        <v>115</v>
      </c>
      <c r="R273" s="1" t="s">
        <v>95</v>
      </c>
      <c r="S273" s="1" t="s">
        <v>76</v>
      </c>
      <c r="T273" s="1" t="s">
        <v>1014</v>
      </c>
    </row>
    <row r="274">
      <c r="A274" s="2"/>
    </row>
    <row r="275">
      <c r="A275" s="2">
        <v>43640.48103715278</v>
      </c>
      <c r="B275" s="1" t="s">
        <v>370</v>
      </c>
      <c r="C275" s="1" t="s">
        <v>84</v>
      </c>
      <c r="D275" s="1" t="s">
        <v>522</v>
      </c>
      <c r="E275" s="1">
        <v>3.0</v>
      </c>
      <c r="F275" s="1" t="s">
        <v>929</v>
      </c>
      <c r="G275" s="1" t="s">
        <v>1015</v>
      </c>
      <c r="H275" s="1" t="s">
        <v>209</v>
      </c>
      <c r="I275" s="1" t="s">
        <v>89</v>
      </c>
      <c r="J275" s="1" t="s">
        <v>90</v>
      </c>
      <c r="K275" s="1" t="s">
        <v>1016</v>
      </c>
      <c r="L275" s="1" t="s">
        <v>92</v>
      </c>
      <c r="M275" s="1">
        <v>10.0</v>
      </c>
      <c r="N275" s="1" t="s">
        <v>93</v>
      </c>
      <c r="O275" s="1" t="s">
        <v>206</v>
      </c>
      <c r="P275" s="1">
        <v>1.0</v>
      </c>
      <c r="Q275" s="1" t="s">
        <v>95</v>
      </c>
      <c r="R275" s="1" t="s">
        <v>95</v>
      </c>
      <c r="S275" s="1" t="s">
        <v>1017</v>
      </c>
      <c r="T275" s="1" t="s">
        <v>1018</v>
      </c>
    </row>
    <row r="276">
      <c r="A276" s="2">
        <v>43640.513903969906</v>
      </c>
      <c r="B276" s="1" t="s">
        <v>347</v>
      </c>
      <c r="C276" s="1" t="s">
        <v>84</v>
      </c>
      <c r="D276" s="1" t="s">
        <v>1019</v>
      </c>
      <c r="E276" s="1">
        <v>5.0</v>
      </c>
      <c r="F276" s="1" t="s">
        <v>582</v>
      </c>
      <c r="G276" s="1" t="s">
        <v>944</v>
      </c>
      <c r="H276" s="1" t="s">
        <v>111</v>
      </c>
      <c r="I276" s="1" t="s">
        <v>93</v>
      </c>
      <c r="J276" s="1" t="s">
        <v>112</v>
      </c>
      <c r="K276" s="1" t="s">
        <v>386</v>
      </c>
      <c r="L276" s="1" t="s">
        <v>104</v>
      </c>
      <c r="M276" s="1">
        <v>8.0</v>
      </c>
      <c r="N276" s="1" t="s">
        <v>93</v>
      </c>
      <c r="O276" s="1" t="s">
        <v>206</v>
      </c>
      <c r="P276" s="1">
        <v>3.0</v>
      </c>
      <c r="Q276" s="1" t="s">
        <v>95</v>
      </c>
      <c r="R276" s="1" t="s">
        <v>95</v>
      </c>
      <c r="S276" s="1" t="s">
        <v>75</v>
      </c>
      <c r="T276" s="1" t="s">
        <v>496</v>
      </c>
    </row>
    <row r="277">
      <c r="A277" s="2">
        <v>43640.60860706019</v>
      </c>
      <c r="B277" s="1" t="s">
        <v>197</v>
      </c>
      <c r="C277" s="1" t="s">
        <v>166</v>
      </c>
      <c r="D277" s="1" t="s">
        <v>532</v>
      </c>
      <c r="E277" s="1">
        <v>3.0</v>
      </c>
      <c r="F277" s="1" t="s">
        <v>1020</v>
      </c>
      <c r="G277" s="1" t="s">
        <v>1021</v>
      </c>
      <c r="H277" s="1" t="s">
        <v>102</v>
      </c>
      <c r="I277" s="1" t="s">
        <v>89</v>
      </c>
      <c r="J277" s="1" t="s">
        <v>127</v>
      </c>
      <c r="K277" s="1" t="s">
        <v>524</v>
      </c>
      <c r="L277" s="1" t="s">
        <v>104</v>
      </c>
      <c r="M277" s="1">
        <v>3.0</v>
      </c>
      <c r="N277" s="1" t="s">
        <v>114</v>
      </c>
      <c r="O277" s="1" t="s">
        <v>789</v>
      </c>
      <c r="P277" s="1">
        <v>1.0</v>
      </c>
      <c r="Q277" s="1" t="s">
        <v>115</v>
      </c>
      <c r="R277" s="1" t="s">
        <v>115</v>
      </c>
      <c r="S277" s="1" t="s">
        <v>77</v>
      </c>
      <c r="T277" s="1" t="s">
        <v>1022</v>
      </c>
    </row>
    <row r="278">
      <c r="A278" s="2">
        <v>43640.65656351852</v>
      </c>
      <c r="B278" s="1" t="s">
        <v>497</v>
      </c>
      <c r="C278" s="1" t="s">
        <v>84</v>
      </c>
      <c r="D278" s="1" t="s">
        <v>98</v>
      </c>
      <c r="E278" s="1">
        <v>2.0</v>
      </c>
      <c r="F278" s="1" t="s">
        <v>1023</v>
      </c>
      <c r="G278" s="1" t="s">
        <v>792</v>
      </c>
      <c r="H278" s="1" t="s">
        <v>111</v>
      </c>
      <c r="I278" s="1" t="s">
        <v>93</v>
      </c>
      <c r="J278" s="1" t="s">
        <v>90</v>
      </c>
      <c r="K278" s="1" t="s">
        <v>668</v>
      </c>
      <c r="L278" s="1" t="s">
        <v>92</v>
      </c>
      <c r="M278" s="1">
        <v>7.0</v>
      </c>
      <c r="N278" s="1" t="s">
        <v>105</v>
      </c>
      <c r="O278" s="1" t="s">
        <v>106</v>
      </c>
      <c r="P278" s="1">
        <v>2.0</v>
      </c>
      <c r="Q278" s="1" t="s">
        <v>115</v>
      </c>
      <c r="R278" s="1" t="s">
        <v>95</v>
      </c>
      <c r="S278" s="1" t="s">
        <v>1024</v>
      </c>
      <c r="T278" s="1" t="s">
        <v>806</v>
      </c>
    </row>
    <row r="279">
      <c r="A279" s="2">
        <v>43640.68965564815</v>
      </c>
      <c r="B279" s="1" t="s">
        <v>199</v>
      </c>
      <c r="C279" s="1" t="s">
        <v>84</v>
      </c>
      <c r="D279" s="1" t="s">
        <v>522</v>
      </c>
      <c r="E279" s="1">
        <v>3.0</v>
      </c>
      <c r="F279" s="1" t="s">
        <v>1025</v>
      </c>
      <c r="G279" s="1" t="s">
        <v>1012</v>
      </c>
      <c r="H279" s="1" t="s">
        <v>88</v>
      </c>
      <c r="I279" s="1" t="s">
        <v>114</v>
      </c>
      <c r="J279" s="1" t="s">
        <v>90</v>
      </c>
      <c r="K279" s="1" t="s">
        <v>689</v>
      </c>
      <c r="L279" s="1" t="s">
        <v>92</v>
      </c>
      <c r="M279" s="1">
        <v>5.0</v>
      </c>
      <c r="N279" s="1" t="s">
        <v>114</v>
      </c>
      <c r="O279" s="1" t="s">
        <v>206</v>
      </c>
      <c r="P279" s="1">
        <v>1.0</v>
      </c>
      <c r="Q279" s="1" t="s">
        <v>115</v>
      </c>
      <c r="R279" s="1" t="s">
        <v>95</v>
      </c>
      <c r="S279" s="1" t="s">
        <v>78</v>
      </c>
      <c r="T279" s="1" t="s">
        <v>1026</v>
      </c>
    </row>
    <row r="280">
      <c r="A280" s="2">
        <v>43640.79962011574</v>
      </c>
      <c r="B280" s="1" t="s">
        <v>200</v>
      </c>
      <c r="C280" s="1" t="s">
        <v>84</v>
      </c>
      <c r="D280" s="1" t="s">
        <v>98</v>
      </c>
      <c r="E280" s="1">
        <v>2.0</v>
      </c>
      <c r="F280" s="1" t="s">
        <v>125</v>
      </c>
      <c r="G280" s="1" t="s">
        <v>464</v>
      </c>
      <c r="H280" s="1" t="s">
        <v>102</v>
      </c>
      <c r="I280" s="1" t="s">
        <v>93</v>
      </c>
      <c r="J280" s="1" t="s">
        <v>90</v>
      </c>
      <c r="K280" s="1" t="s">
        <v>1027</v>
      </c>
      <c r="L280" s="1" t="s">
        <v>92</v>
      </c>
      <c r="M280" s="1">
        <v>5.0</v>
      </c>
      <c r="N280" s="1" t="s">
        <v>130</v>
      </c>
      <c r="O280" s="1" t="s">
        <v>206</v>
      </c>
      <c r="P280" s="1">
        <v>1.0</v>
      </c>
      <c r="Q280" s="1" t="s">
        <v>95</v>
      </c>
      <c r="R280" s="1" t="s">
        <v>95</v>
      </c>
      <c r="S280" s="1" t="s">
        <v>79</v>
      </c>
      <c r="T280" s="1" t="s">
        <v>1028</v>
      </c>
    </row>
    <row r="281">
      <c r="A281" s="2">
        <v>43640.80076049769</v>
      </c>
      <c r="B281" s="1" t="s">
        <v>277</v>
      </c>
      <c r="C281" s="1" t="s">
        <v>84</v>
      </c>
      <c r="D281" s="1" t="s">
        <v>532</v>
      </c>
      <c r="E281" s="1">
        <v>1.0</v>
      </c>
      <c r="F281" s="1" t="s">
        <v>1029</v>
      </c>
      <c r="G281" s="1" t="s">
        <v>172</v>
      </c>
      <c r="H281" s="1" t="s">
        <v>102</v>
      </c>
      <c r="I281" s="1" t="s">
        <v>209</v>
      </c>
      <c r="J281" s="1" t="s">
        <v>127</v>
      </c>
      <c r="K281" s="1" t="s">
        <v>509</v>
      </c>
      <c r="L281" s="1" t="s">
        <v>122</v>
      </c>
      <c r="M281" s="1">
        <v>7.0</v>
      </c>
      <c r="N281" s="1" t="s">
        <v>130</v>
      </c>
      <c r="O281" s="1" t="s">
        <v>206</v>
      </c>
      <c r="P281" s="1">
        <v>1.0</v>
      </c>
      <c r="Q281" s="1" t="s">
        <v>95</v>
      </c>
      <c r="R281" s="1" t="s">
        <v>95</v>
      </c>
      <c r="S281" s="1" t="s">
        <v>79</v>
      </c>
      <c r="T281" s="1" t="s">
        <v>1030</v>
      </c>
    </row>
    <row r="282">
      <c r="A282" s="2">
        <v>43640.801789895835</v>
      </c>
      <c r="B282" s="1" t="s">
        <v>351</v>
      </c>
      <c r="C282" s="1" t="s">
        <v>84</v>
      </c>
      <c r="D282" s="1" t="s">
        <v>532</v>
      </c>
      <c r="E282" s="1">
        <v>1.0</v>
      </c>
      <c r="F282" s="1" t="s">
        <v>125</v>
      </c>
      <c r="G282" s="1" t="s">
        <v>857</v>
      </c>
      <c r="H282" s="1" t="s">
        <v>102</v>
      </c>
      <c r="I282" s="1" t="s">
        <v>93</v>
      </c>
      <c r="J282" s="1" t="s">
        <v>90</v>
      </c>
      <c r="K282" s="1" t="s">
        <v>103</v>
      </c>
      <c r="L282" s="1" t="s">
        <v>92</v>
      </c>
      <c r="M282" s="1">
        <v>6.0</v>
      </c>
      <c r="N282" s="1" t="s">
        <v>130</v>
      </c>
      <c r="O282" s="1" t="s">
        <v>106</v>
      </c>
      <c r="P282" s="1">
        <v>1.0</v>
      </c>
      <c r="Q282" s="1" t="s">
        <v>95</v>
      </c>
      <c r="R282" s="1" t="s">
        <v>95</v>
      </c>
      <c r="S282" s="1" t="s">
        <v>79</v>
      </c>
      <c r="T282" s="1" t="s">
        <v>1031</v>
      </c>
    </row>
    <row r="283">
      <c r="A283" s="2">
        <v>43640.812475115745</v>
      </c>
      <c r="B283" s="1" t="s">
        <v>411</v>
      </c>
      <c r="C283" s="1" t="s">
        <v>166</v>
      </c>
      <c r="D283" s="1" t="s">
        <v>98</v>
      </c>
      <c r="E283" s="1">
        <v>2.0</v>
      </c>
      <c r="F283" s="1" t="s">
        <v>1032</v>
      </c>
      <c r="G283" s="1" t="s">
        <v>172</v>
      </c>
      <c r="H283" s="1" t="s">
        <v>102</v>
      </c>
      <c r="I283" s="1" t="s">
        <v>93</v>
      </c>
      <c r="J283" s="1" t="s">
        <v>127</v>
      </c>
      <c r="K283" s="1" t="s">
        <v>512</v>
      </c>
      <c r="L283" s="1" t="s">
        <v>104</v>
      </c>
      <c r="M283" s="1">
        <v>3.0</v>
      </c>
      <c r="N283" s="1" t="s">
        <v>114</v>
      </c>
      <c r="O283" s="1" t="s">
        <v>789</v>
      </c>
      <c r="P283" s="1">
        <v>1.0</v>
      </c>
      <c r="Q283" s="1" t="s">
        <v>95</v>
      </c>
      <c r="R283" s="1" t="s">
        <v>95</v>
      </c>
      <c r="S283" s="1" t="s">
        <v>1033</v>
      </c>
      <c r="T283" s="1" t="s">
        <v>1034</v>
      </c>
    </row>
    <row r="284">
      <c r="A284" s="2">
        <v>43640.863026817126</v>
      </c>
      <c r="B284" s="1" t="s">
        <v>276</v>
      </c>
      <c r="C284" s="1" t="s">
        <v>84</v>
      </c>
      <c r="D284" s="1" t="s">
        <v>522</v>
      </c>
      <c r="E284" s="1">
        <v>3.0</v>
      </c>
      <c r="F284" s="1" t="s">
        <v>121</v>
      </c>
      <c r="G284" s="1" t="s">
        <v>1035</v>
      </c>
      <c r="H284" s="1" t="s">
        <v>88</v>
      </c>
      <c r="I284" s="1" t="s">
        <v>93</v>
      </c>
      <c r="J284" s="1" t="s">
        <v>127</v>
      </c>
      <c r="K284" s="1" t="s">
        <v>121</v>
      </c>
      <c r="L284" s="1" t="s">
        <v>104</v>
      </c>
      <c r="M284" s="1">
        <v>2.0</v>
      </c>
      <c r="N284" s="1" t="s">
        <v>130</v>
      </c>
      <c r="O284" s="1" t="s">
        <v>206</v>
      </c>
      <c r="P284" s="1">
        <v>1.0</v>
      </c>
      <c r="Q284" s="1" t="s">
        <v>95</v>
      </c>
      <c r="R284" s="1" t="s">
        <v>95</v>
      </c>
      <c r="S284" s="1" t="s">
        <v>1036</v>
      </c>
      <c r="T284" s="1" t="s">
        <v>107</v>
      </c>
    </row>
    <row r="285">
      <c r="A285" s="2">
        <v>43640.87831598379</v>
      </c>
      <c r="B285" s="1" t="s">
        <v>459</v>
      </c>
      <c r="C285" s="1" t="s">
        <v>166</v>
      </c>
      <c r="D285" s="1" t="s">
        <v>532</v>
      </c>
      <c r="E285" s="1">
        <v>4.0</v>
      </c>
      <c r="F285" s="1" t="s">
        <v>842</v>
      </c>
      <c r="G285" s="1" t="s">
        <v>1037</v>
      </c>
      <c r="H285" s="1" t="s">
        <v>88</v>
      </c>
      <c r="I285" s="1" t="s">
        <v>89</v>
      </c>
      <c r="J285" s="1" t="s">
        <v>127</v>
      </c>
      <c r="K285" s="1" t="s">
        <v>509</v>
      </c>
      <c r="L285" s="1" t="s">
        <v>122</v>
      </c>
      <c r="M285" s="1">
        <v>8.0</v>
      </c>
      <c r="N285" s="1" t="s">
        <v>130</v>
      </c>
      <c r="O285" s="1" t="s">
        <v>206</v>
      </c>
      <c r="P285" s="1">
        <v>1.0</v>
      </c>
      <c r="Q285" s="1" t="s">
        <v>95</v>
      </c>
      <c r="R285" s="1" t="s">
        <v>95</v>
      </c>
      <c r="S285" s="1" t="s">
        <v>1038</v>
      </c>
      <c r="T285" s="1" t="s">
        <v>1039</v>
      </c>
    </row>
    <row r="286">
      <c r="A286" s="2">
        <v>43640.906111006945</v>
      </c>
      <c r="B286" s="1" t="s">
        <v>499</v>
      </c>
      <c r="C286" s="1" t="s">
        <v>84</v>
      </c>
      <c r="D286" s="1" t="s">
        <v>532</v>
      </c>
      <c r="E286" s="1">
        <v>1.0</v>
      </c>
      <c r="F286" s="1" t="s">
        <v>1040</v>
      </c>
      <c r="G286" s="1" t="s">
        <v>1041</v>
      </c>
      <c r="H286" s="1" t="s">
        <v>102</v>
      </c>
      <c r="I286" s="1" t="s">
        <v>114</v>
      </c>
      <c r="J286" s="1" t="s">
        <v>127</v>
      </c>
      <c r="K286" s="1" t="s">
        <v>121</v>
      </c>
      <c r="L286" s="1" t="s">
        <v>104</v>
      </c>
      <c r="M286" s="1">
        <v>4.0</v>
      </c>
      <c r="N286" s="1" t="s">
        <v>114</v>
      </c>
      <c r="O286" s="1" t="s">
        <v>106</v>
      </c>
      <c r="P286" s="1">
        <v>1.0</v>
      </c>
      <c r="Q286" s="1" t="s">
        <v>95</v>
      </c>
      <c r="R286" s="1" t="s">
        <v>95</v>
      </c>
      <c r="S286" s="1" t="s">
        <v>1042</v>
      </c>
      <c r="T286" s="1" t="s">
        <v>1043</v>
      </c>
    </row>
    <row r="287">
      <c r="A287" s="2">
        <v>43641.24131498842</v>
      </c>
      <c r="B287" s="1" t="s">
        <v>275</v>
      </c>
      <c r="C287" s="1" t="s">
        <v>84</v>
      </c>
      <c r="D287" s="1" t="s">
        <v>522</v>
      </c>
      <c r="E287" s="1">
        <v>2.0</v>
      </c>
      <c r="F287" s="1" t="s">
        <v>1044</v>
      </c>
      <c r="G287" s="1" t="s">
        <v>724</v>
      </c>
      <c r="H287" s="1" t="s">
        <v>102</v>
      </c>
      <c r="I287" s="1" t="s">
        <v>114</v>
      </c>
      <c r="J287" s="1" t="s">
        <v>554</v>
      </c>
      <c r="K287" s="1" t="s">
        <v>288</v>
      </c>
      <c r="L287" s="1" t="s">
        <v>92</v>
      </c>
      <c r="M287" s="1">
        <v>3.0</v>
      </c>
      <c r="N287" s="1" t="s">
        <v>130</v>
      </c>
      <c r="O287" s="1" t="s">
        <v>206</v>
      </c>
      <c r="P287" s="1">
        <v>1.0</v>
      </c>
      <c r="Q287" s="1" t="s">
        <v>115</v>
      </c>
      <c r="R287" s="1" t="s">
        <v>95</v>
      </c>
      <c r="S287" s="1" t="s">
        <v>1045</v>
      </c>
      <c r="T287" s="1" t="s">
        <v>1046</v>
      </c>
    </row>
    <row r="288">
      <c r="A288" s="2">
        <v>43641.279112372686</v>
      </c>
      <c r="B288" s="1" t="s">
        <v>417</v>
      </c>
      <c r="C288" s="1" t="s">
        <v>225</v>
      </c>
      <c r="D288" s="1" t="s">
        <v>98</v>
      </c>
      <c r="E288" s="1">
        <v>2.0</v>
      </c>
      <c r="F288" s="1" t="s">
        <v>1047</v>
      </c>
      <c r="G288" s="1" t="s">
        <v>87</v>
      </c>
      <c r="H288" s="1" t="s">
        <v>111</v>
      </c>
      <c r="I288" s="1" t="s">
        <v>209</v>
      </c>
      <c r="J288" s="1" t="s">
        <v>127</v>
      </c>
      <c r="K288" s="1" t="s">
        <v>1048</v>
      </c>
      <c r="L288" s="1" t="s">
        <v>122</v>
      </c>
      <c r="M288" s="1">
        <v>8.0</v>
      </c>
      <c r="N288" s="1" t="s">
        <v>114</v>
      </c>
      <c r="O288" s="1" t="s">
        <v>106</v>
      </c>
      <c r="P288" s="1">
        <v>2.0</v>
      </c>
      <c r="Q288" s="1" t="s">
        <v>95</v>
      </c>
      <c r="R288" s="1" t="s">
        <v>95</v>
      </c>
      <c r="S288" s="1" t="s">
        <v>674</v>
      </c>
      <c r="T288" s="1" t="s">
        <v>1049</v>
      </c>
    </row>
    <row r="289">
      <c r="A289" s="2">
        <v>43641.330440000005</v>
      </c>
      <c r="B289" s="1" t="s">
        <v>202</v>
      </c>
      <c r="C289" s="1" t="s">
        <v>84</v>
      </c>
      <c r="D289" s="1" t="s">
        <v>85</v>
      </c>
      <c r="E289" s="1">
        <v>3.0</v>
      </c>
      <c r="F289" s="1" t="s">
        <v>661</v>
      </c>
      <c r="G289" s="1" t="s">
        <v>1050</v>
      </c>
      <c r="H289" s="1" t="s">
        <v>111</v>
      </c>
      <c r="I289" s="1" t="s">
        <v>93</v>
      </c>
      <c r="J289" s="1" t="s">
        <v>90</v>
      </c>
      <c r="K289" s="1" t="s">
        <v>103</v>
      </c>
      <c r="L289" s="1" t="s">
        <v>122</v>
      </c>
      <c r="M289" s="1">
        <v>8.0</v>
      </c>
      <c r="N289" s="1" t="s">
        <v>93</v>
      </c>
      <c r="O289" s="1" t="s">
        <v>206</v>
      </c>
      <c r="P289" s="1">
        <v>2.0</v>
      </c>
      <c r="Q289" s="1" t="s">
        <v>115</v>
      </c>
      <c r="R289" s="1" t="s">
        <v>95</v>
      </c>
      <c r="S289" s="1" t="s">
        <v>80</v>
      </c>
      <c r="T289" s="1" t="s">
        <v>1051</v>
      </c>
    </row>
    <row r="290">
      <c r="A290" s="2">
        <v>43641.6062071412</v>
      </c>
      <c r="B290" s="1" t="s">
        <v>342</v>
      </c>
      <c r="C290" s="1" t="s">
        <v>166</v>
      </c>
      <c r="D290" s="1" t="s">
        <v>85</v>
      </c>
      <c r="E290" s="1">
        <v>1.0</v>
      </c>
      <c r="F290" s="1" t="s">
        <v>1052</v>
      </c>
      <c r="G290" s="1" t="s">
        <v>1053</v>
      </c>
      <c r="H290" s="1" t="s">
        <v>209</v>
      </c>
      <c r="I290" s="1" t="s">
        <v>114</v>
      </c>
      <c r="J290" s="1" t="s">
        <v>90</v>
      </c>
      <c r="K290" s="1" t="s">
        <v>91</v>
      </c>
      <c r="L290" s="1" t="s">
        <v>92</v>
      </c>
      <c r="M290" s="1">
        <v>3.0</v>
      </c>
      <c r="N290" s="1" t="s">
        <v>114</v>
      </c>
      <c r="O290" s="1" t="s">
        <v>206</v>
      </c>
      <c r="P290" s="1">
        <v>2.0</v>
      </c>
      <c r="Q290" s="1" t="s">
        <v>95</v>
      </c>
      <c r="R290" s="1" t="s">
        <v>95</v>
      </c>
      <c r="S290" s="1" t="s">
        <v>1054</v>
      </c>
      <c r="T290" s="1" t="s">
        <v>1055</v>
      </c>
    </row>
    <row r="291">
      <c r="A291" s="2">
        <v>43641.61028055556</v>
      </c>
      <c r="B291" s="1" t="s">
        <v>432</v>
      </c>
      <c r="C291" s="1" t="s">
        <v>225</v>
      </c>
      <c r="D291" s="1" t="s">
        <v>522</v>
      </c>
      <c r="E291" s="1">
        <v>4.0</v>
      </c>
      <c r="F291" s="1" t="s">
        <v>448</v>
      </c>
      <c r="G291" s="1" t="s">
        <v>1056</v>
      </c>
      <c r="H291" s="1" t="s">
        <v>209</v>
      </c>
      <c r="I291" s="1" t="s">
        <v>89</v>
      </c>
      <c r="J291" s="1" t="s">
        <v>554</v>
      </c>
      <c r="K291" s="1" t="s">
        <v>524</v>
      </c>
      <c r="L291" s="1" t="s">
        <v>122</v>
      </c>
      <c r="M291" s="1">
        <v>7.0</v>
      </c>
      <c r="N291" s="1" t="s">
        <v>114</v>
      </c>
      <c r="O291" s="1" t="s">
        <v>206</v>
      </c>
      <c r="P291" s="1">
        <v>3.0</v>
      </c>
      <c r="Q291" s="1" t="s">
        <v>115</v>
      </c>
      <c r="R291" s="1" t="s">
        <v>95</v>
      </c>
      <c r="S291" s="1" t="s">
        <v>701</v>
      </c>
      <c r="T291" s="1" t="s">
        <v>1057</v>
      </c>
    </row>
    <row r="292">
      <c r="A292" s="2">
        <v>43641.90321755787</v>
      </c>
      <c r="B292" s="1" t="s">
        <v>279</v>
      </c>
      <c r="C292" s="1" t="s">
        <v>84</v>
      </c>
      <c r="D292" s="1" t="s">
        <v>85</v>
      </c>
      <c r="E292" s="1">
        <v>3.0</v>
      </c>
      <c r="F292" s="1" t="s">
        <v>582</v>
      </c>
      <c r="G292" s="1" t="s">
        <v>247</v>
      </c>
      <c r="H292" s="1" t="s">
        <v>111</v>
      </c>
      <c r="I292" s="1" t="s">
        <v>93</v>
      </c>
      <c r="J292" s="1" t="s">
        <v>90</v>
      </c>
      <c r="K292" s="1" t="s">
        <v>103</v>
      </c>
      <c r="L292" s="1" t="s">
        <v>152</v>
      </c>
      <c r="M292" s="1">
        <v>6.0</v>
      </c>
      <c r="N292" s="1" t="s">
        <v>114</v>
      </c>
      <c r="O292" s="1" t="s">
        <v>206</v>
      </c>
      <c r="P292" s="1">
        <v>1.0</v>
      </c>
      <c r="Q292" s="1" t="s">
        <v>115</v>
      </c>
      <c r="R292" s="1" t="s">
        <v>95</v>
      </c>
      <c r="S292" s="1" t="s">
        <v>80</v>
      </c>
      <c r="T292" s="1" t="s">
        <v>1058</v>
      </c>
    </row>
    <row r="293">
      <c r="A293" s="2">
        <v>43642.370825694445</v>
      </c>
      <c r="B293" s="1" t="s">
        <v>352</v>
      </c>
      <c r="C293" s="1" t="s">
        <v>84</v>
      </c>
      <c r="D293" s="1" t="s">
        <v>98</v>
      </c>
      <c r="E293" s="1">
        <v>2.0</v>
      </c>
      <c r="F293" s="1" t="s">
        <v>777</v>
      </c>
      <c r="G293" s="1" t="s">
        <v>657</v>
      </c>
      <c r="H293" s="1" t="s">
        <v>102</v>
      </c>
      <c r="I293" s="1" t="s">
        <v>93</v>
      </c>
      <c r="J293" s="1" t="s">
        <v>90</v>
      </c>
      <c r="K293" s="1" t="s">
        <v>121</v>
      </c>
      <c r="L293" s="1" t="s">
        <v>104</v>
      </c>
      <c r="M293" s="1">
        <v>5.0</v>
      </c>
      <c r="N293" s="1" t="s">
        <v>114</v>
      </c>
      <c r="O293" s="1" t="s">
        <v>106</v>
      </c>
      <c r="P293" s="1">
        <v>1.0</v>
      </c>
      <c r="Q293" s="1" t="s">
        <v>95</v>
      </c>
      <c r="R293" s="1" t="s">
        <v>95</v>
      </c>
      <c r="S293" s="1" t="s">
        <v>80</v>
      </c>
      <c r="T293" s="1" t="s">
        <v>1059</v>
      </c>
    </row>
    <row r="294">
      <c r="A294" s="2">
        <v>43642.91262120371</v>
      </c>
      <c r="B294" s="1" t="s">
        <v>412</v>
      </c>
      <c r="C294" s="1" t="s">
        <v>166</v>
      </c>
      <c r="D294" s="1" t="s">
        <v>98</v>
      </c>
      <c r="E294" s="1">
        <v>5.0</v>
      </c>
      <c r="F294" s="1" t="s">
        <v>1060</v>
      </c>
      <c r="G294" s="1" t="s">
        <v>1061</v>
      </c>
      <c r="H294" s="1" t="s">
        <v>111</v>
      </c>
      <c r="I294" s="1" t="s">
        <v>114</v>
      </c>
      <c r="J294" s="1" t="s">
        <v>90</v>
      </c>
      <c r="K294" s="1" t="s">
        <v>1062</v>
      </c>
      <c r="L294" s="1" t="s">
        <v>152</v>
      </c>
      <c r="M294" s="1">
        <v>10.0</v>
      </c>
      <c r="N294" s="1" t="s">
        <v>93</v>
      </c>
      <c r="O294" s="1" t="s">
        <v>106</v>
      </c>
      <c r="P294" s="1">
        <v>2.0</v>
      </c>
      <c r="Q294" s="1" t="s">
        <v>115</v>
      </c>
      <c r="R294" s="1" t="s">
        <v>95</v>
      </c>
      <c r="S294" s="1" t="s">
        <v>80</v>
      </c>
      <c r="T294" s="1" t="s">
        <v>1063</v>
      </c>
    </row>
    <row r="295">
      <c r="A295" s="2">
        <v>43643.2750428588</v>
      </c>
      <c r="B295" s="1" t="s">
        <v>443</v>
      </c>
      <c r="C295" s="1" t="s">
        <v>84</v>
      </c>
      <c r="D295" s="1" t="s">
        <v>85</v>
      </c>
      <c r="E295" s="1">
        <v>5.0</v>
      </c>
      <c r="F295" s="1" t="s">
        <v>1064</v>
      </c>
      <c r="G295" s="1" t="s">
        <v>1065</v>
      </c>
      <c r="H295" s="1" t="s">
        <v>102</v>
      </c>
      <c r="I295" s="1" t="s">
        <v>93</v>
      </c>
      <c r="J295" s="1" t="s">
        <v>127</v>
      </c>
      <c r="K295" s="1" t="s">
        <v>1066</v>
      </c>
      <c r="L295" s="1" t="s">
        <v>104</v>
      </c>
      <c r="M295" s="1">
        <v>4.0</v>
      </c>
      <c r="N295" s="1" t="s">
        <v>114</v>
      </c>
      <c r="O295" s="1" t="s">
        <v>106</v>
      </c>
      <c r="P295" s="1">
        <v>3.0</v>
      </c>
      <c r="Q295" s="1" t="s">
        <v>115</v>
      </c>
      <c r="R295" s="1" t="s">
        <v>95</v>
      </c>
      <c r="S295" s="1" t="s">
        <v>872</v>
      </c>
      <c r="T295" s="1" t="s">
        <v>1067</v>
      </c>
    </row>
    <row r="296">
      <c r="A296" s="2">
        <v>43647.85176201389</v>
      </c>
      <c r="B296" s="1" t="s">
        <v>203</v>
      </c>
      <c r="C296" s="1" t="s">
        <v>166</v>
      </c>
      <c r="D296" s="1" t="s">
        <v>98</v>
      </c>
      <c r="E296" s="1">
        <v>5.0</v>
      </c>
      <c r="F296" s="1" t="s">
        <v>384</v>
      </c>
      <c r="G296" s="1" t="s">
        <v>172</v>
      </c>
      <c r="H296" s="1" t="s">
        <v>102</v>
      </c>
      <c r="I296" s="1" t="s">
        <v>93</v>
      </c>
      <c r="J296" s="1" t="s">
        <v>90</v>
      </c>
      <c r="K296" s="1" t="s">
        <v>103</v>
      </c>
      <c r="L296" s="1" t="s">
        <v>92</v>
      </c>
      <c r="M296" s="1">
        <v>7.0</v>
      </c>
      <c r="N296" s="1" t="s">
        <v>114</v>
      </c>
      <c r="O296" s="1" t="s">
        <v>106</v>
      </c>
      <c r="P296" s="1">
        <v>1.0</v>
      </c>
      <c r="Q296" s="1" t="s">
        <v>115</v>
      </c>
      <c r="R296" s="1" t="s">
        <v>95</v>
      </c>
      <c r="S296" s="1" t="s">
        <v>1068</v>
      </c>
      <c r="T296" s="1" t="s">
        <v>1069</v>
      </c>
    </row>
    <row r="297">
      <c r="A297" s="2">
        <v>43647.87916188657</v>
      </c>
      <c r="B297" s="1" t="s">
        <v>280</v>
      </c>
      <c r="C297" s="1" t="s">
        <v>84</v>
      </c>
      <c r="D297" s="1" t="s">
        <v>98</v>
      </c>
      <c r="E297" s="1">
        <v>1.0</v>
      </c>
      <c r="F297" s="1" t="s">
        <v>1070</v>
      </c>
      <c r="G297" s="1" t="s">
        <v>87</v>
      </c>
      <c r="H297" s="1" t="s">
        <v>111</v>
      </c>
      <c r="I297" s="1" t="s">
        <v>114</v>
      </c>
      <c r="J297" s="1" t="s">
        <v>90</v>
      </c>
      <c r="K297" s="1" t="s">
        <v>1071</v>
      </c>
      <c r="L297" s="1" t="s">
        <v>104</v>
      </c>
      <c r="M297" s="1">
        <v>4.0</v>
      </c>
      <c r="N297" s="1" t="s">
        <v>114</v>
      </c>
      <c r="O297" s="1" t="s">
        <v>206</v>
      </c>
      <c r="P297" s="1">
        <v>1.0</v>
      </c>
      <c r="Q297" s="1" t="s">
        <v>95</v>
      </c>
      <c r="R297" s="1" t="s">
        <v>95</v>
      </c>
      <c r="S297" s="1" t="s">
        <v>1068</v>
      </c>
      <c r="T297" s="1" t="s">
        <v>1072</v>
      </c>
    </row>
    <row r="298">
      <c r="A298" s="2">
        <v>43647.88387853009</v>
      </c>
      <c r="B298" s="1" t="s">
        <v>353</v>
      </c>
      <c r="C298" s="1" t="s">
        <v>84</v>
      </c>
      <c r="D298" s="1" t="s">
        <v>98</v>
      </c>
      <c r="E298" s="1">
        <v>5.0</v>
      </c>
      <c r="F298" s="1" t="s">
        <v>121</v>
      </c>
      <c r="G298" s="1" t="s">
        <v>539</v>
      </c>
      <c r="H298" s="1" t="s">
        <v>102</v>
      </c>
      <c r="I298" s="1" t="s">
        <v>209</v>
      </c>
      <c r="J298" s="1" t="s">
        <v>127</v>
      </c>
      <c r="K298" s="1" t="s">
        <v>205</v>
      </c>
      <c r="L298" s="1" t="s">
        <v>92</v>
      </c>
      <c r="M298" s="1">
        <v>7.0</v>
      </c>
      <c r="N298" s="1" t="s">
        <v>93</v>
      </c>
      <c r="O298" s="1" t="s">
        <v>206</v>
      </c>
      <c r="P298" s="1">
        <v>2.0</v>
      </c>
      <c r="Q298" s="1" t="s">
        <v>95</v>
      </c>
      <c r="R298" s="1" t="s">
        <v>95</v>
      </c>
      <c r="S298" s="1" t="s">
        <v>1073</v>
      </c>
      <c r="T298" s="1" t="s">
        <v>1074</v>
      </c>
    </row>
    <row r="299">
      <c r="A299" s="2">
        <v>43647.96907653935</v>
      </c>
      <c r="B299" s="1" t="s">
        <v>413</v>
      </c>
      <c r="C299" s="1" t="s">
        <v>166</v>
      </c>
      <c r="D299" s="1" t="s">
        <v>98</v>
      </c>
      <c r="E299" s="1">
        <v>5.0</v>
      </c>
      <c r="F299" s="1" t="s">
        <v>1075</v>
      </c>
      <c r="G299" s="1" t="s">
        <v>1076</v>
      </c>
      <c r="H299" s="1" t="s">
        <v>102</v>
      </c>
      <c r="I299" s="1" t="s">
        <v>209</v>
      </c>
      <c r="J299" s="1" t="s">
        <v>90</v>
      </c>
      <c r="K299" s="1" t="s">
        <v>1077</v>
      </c>
      <c r="L299" s="1" t="s">
        <v>122</v>
      </c>
      <c r="M299" s="1">
        <v>7.0</v>
      </c>
      <c r="N299" s="1" t="s">
        <v>114</v>
      </c>
      <c r="O299" s="1" t="s">
        <v>106</v>
      </c>
      <c r="P299" s="1">
        <v>3.0</v>
      </c>
      <c r="Q299" s="1" t="s">
        <v>95</v>
      </c>
      <c r="R299" s="1" t="s">
        <v>95</v>
      </c>
      <c r="S299" s="1" t="s">
        <v>81</v>
      </c>
      <c r="T299" s="1" t="s">
        <v>1078</v>
      </c>
    </row>
    <row r="300">
      <c r="A300" s="2">
        <v>43650.68595248843</v>
      </c>
      <c r="B300" s="1" t="s">
        <v>446</v>
      </c>
      <c r="C300" s="1" t="s">
        <v>84</v>
      </c>
      <c r="D300" s="1" t="s">
        <v>98</v>
      </c>
      <c r="E300" s="1">
        <v>3.0</v>
      </c>
      <c r="F300" s="1" t="s">
        <v>1079</v>
      </c>
      <c r="G300" s="1" t="s">
        <v>742</v>
      </c>
      <c r="H300" s="1" t="s">
        <v>102</v>
      </c>
      <c r="I300" s="1" t="s">
        <v>93</v>
      </c>
      <c r="J300" s="1" t="s">
        <v>90</v>
      </c>
      <c r="K300" s="1" t="s">
        <v>1080</v>
      </c>
      <c r="L300" s="1" t="s">
        <v>104</v>
      </c>
      <c r="M300" s="1">
        <v>7.0</v>
      </c>
      <c r="N300" s="1" t="s">
        <v>114</v>
      </c>
      <c r="O300" s="1" t="s">
        <v>106</v>
      </c>
      <c r="P300" s="1">
        <v>3.0</v>
      </c>
      <c r="Q300" s="1" t="s">
        <v>115</v>
      </c>
      <c r="R300" s="1" t="s">
        <v>95</v>
      </c>
      <c r="S300" s="1" t="s">
        <v>812</v>
      </c>
      <c r="T300" s="1" t="s">
        <v>1081</v>
      </c>
    </row>
    <row r="301">
      <c r="A301" s="2">
        <v>43661.52326943287</v>
      </c>
      <c r="B301" s="1" t="s">
        <v>387</v>
      </c>
      <c r="C301" s="1" t="s">
        <v>84</v>
      </c>
      <c r="D301" s="1" t="s">
        <v>532</v>
      </c>
      <c r="E301" s="1">
        <v>3.0</v>
      </c>
      <c r="F301" s="1" t="s">
        <v>1082</v>
      </c>
      <c r="G301" s="1" t="s">
        <v>1083</v>
      </c>
      <c r="H301" s="1" t="s">
        <v>111</v>
      </c>
      <c r="I301" s="1" t="s">
        <v>89</v>
      </c>
      <c r="J301" s="1" t="s">
        <v>127</v>
      </c>
      <c r="K301" s="1" t="s">
        <v>121</v>
      </c>
      <c r="L301" s="1" t="s">
        <v>104</v>
      </c>
      <c r="M301" s="1">
        <v>8.0</v>
      </c>
      <c r="N301" s="1" t="s">
        <v>93</v>
      </c>
      <c r="O301" s="1" t="s">
        <v>106</v>
      </c>
      <c r="P301" s="1">
        <v>4.0</v>
      </c>
      <c r="Q301" s="1" t="s">
        <v>115</v>
      </c>
      <c r="R301" s="1" t="s">
        <v>115</v>
      </c>
      <c r="S301" s="1" t="s">
        <v>1084</v>
      </c>
      <c r="T301" s="1" t="s">
        <v>1085</v>
      </c>
    </row>
    <row r="302">
      <c r="A302" s="2">
        <v>43673.75279628472</v>
      </c>
      <c r="B302" s="1" t="s">
        <v>204</v>
      </c>
      <c r="C302" s="1" t="s">
        <v>84</v>
      </c>
      <c r="D302" s="1" t="s">
        <v>522</v>
      </c>
      <c r="E302" s="1">
        <v>3.0</v>
      </c>
      <c r="F302" s="1" t="s">
        <v>1086</v>
      </c>
      <c r="G302" s="1" t="s">
        <v>247</v>
      </c>
      <c r="H302" s="1" t="s">
        <v>111</v>
      </c>
      <c r="I302" s="1" t="s">
        <v>93</v>
      </c>
      <c r="J302" s="1" t="s">
        <v>127</v>
      </c>
      <c r="K302" s="1" t="s">
        <v>1087</v>
      </c>
      <c r="L302" s="1" t="s">
        <v>152</v>
      </c>
      <c r="M302" s="1">
        <v>6.0</v>
      </c>
      <c r="N302" s="1" t="s">
        <v>93</v>
      </c>
      <c r="O302" s="1" t="s">
        <v>206</v>
      </c>
      <c r="P302" s="1">
        <v>1.0</v>
      </c>
      <c r="Q302" s="1" t="s">
        <v>115</v>
      </c>
      <c r="R302" s="1" t="s">
        <v>95</v>
      </c>
      <c r="S302" s="1" t="s">
        <v>82</v>
      </c>
      <c r="T302" s="1" t="s">
        <v>1088</v>
      </c>
    </row>
    <row r="303">
      <c r="A303" s="2">
        <v>43673.75761376157</v>
      </c>
      <c r="B303" s="1" t="s">
        <v>281</v>
      </c>
      <c r="C303" s="1" t="s">
        <v>166</v>
      </c>
      <c r="D303" s="1" t="s">
        <v>98</v>
      </c>
      <c r="E303" s="1">
        <v>5.0</v>
      </c>
      <c r="F303" s="1" t="s">
        <v>492</v>
      </c>
      <c r="G303" s="1" t="s">
        <v>742</v>
      </c>
      <c r="H303" s="1" t="s">
        <v>111</v>
      </c>
      <c r="I303" s="1" t="s">
        <v>114</v>
      </c>
      <c r="J303" s="1" t="s">
        <v>90</v>
      </c>
      <c r="K303" s="1" t="s">
        <v>760</v>
      </c>
      <c r="L303" s="1" t="s">
        <v>92</v>
      </c>
      <c r="M303" s="1">
        <v>6.0</v>
      </c>
      <c r="N303" s="1" t="s">
        <v>93</v>
      </c>
      <c r="O303" s="1" t="s">
        <v>206</v>
      </c>
      <c r="P303" s="1">
        <v>1.0</v>
      </c>
      <c r="Q303" s="1" t="s">
        <v>95</v>
      </c>
      <c r="R303" s="1" t="s">
        <v>95</v>
      </c>
      <c r="S303" s="1" t="s">
        <v>1089</v>
      </c>
      <c r="T303" s="1" t="s">
        <v>1090</v>
      </c>
    </row>
    <row r="304">
      <c r="A304" s="2">
        <v>43673.76412979167</v>
      </c>
      <c r="B304" s="1" t="s">
        <v>354</v>
      </c>
      <c r="C304" s="1" t="s">
        <v>84</v>
      </c>
      <c r="D304" s="1" t="s">
        <v>522</v>
      </c>
      <c r="E304" s="1">
        <v>4.0</v>
      </c>
      <c r="F304" s="1" t="s">
        <v>99</v>
      </c>
      <c r="G304" s="1" t="s">
        <v>247</v>
      </c>
      <c r="H304" s="1" t="s">
        <v>88</v>
      </c>
      <c r="I304" s="1" t="s">
        <v>114</v>
      </c>
      <c r="J304" s="1" t="s">
        <v>90</v>
      </c>
      <c r="K304" s="1" t="s">
        <v>603</v>
      </c>
      <c r="L304" s="1" t="s">
        <v>92</v>
      </c>
      <c r="M304" s="1">
        <v>10.0</v>
      </c>
      <c r="N304" s="1" t="s">
        <v>114</v>
      </c>
      <c r="O304" s="1" t="s">
        <v>206</v>
      </c>
      <c r="P304" s="1">
        <v>1.0</v>
      </c>
      <c r="Q304" s="1" t="s">
        <v>95</v>
      </c>
      <c r="R304" s="1" t="s">
        <v>95</v>
      </c>
      <c r="S304" s="1" t="s">
        <v>1089</v>
      </c>
      <c r="T304" s="1" t="s">
        <v>1091</v>
      </c>
    </row>
    <row r="305">
      <c r="A305" s="2">
        <v>43673.778571793984</v>
      </c>
      <c r="B305" s="1" t="s">
        <v>415</v>
      </c>
      <c r="C305" s="1" t="s">
        <v>84</v>
      </c>
      <c r="D305" s="1" t="s">
        <v>98</v>
      </c>
      <c r="E305" s="1">
        <v>4.0</v>
      </c>
      <c r="F305" s="1" t="s">
        <v>1092</v>
      </c>
      <c r="G305" s="1" t="s">
        <v>815</v>
      </c>
      <c r="H305" s="1" t="s">
        <v>209</v>
      </c>
      <c r="I305" s="1" t="s">
        <v>93</v>
      </c>
      <c r="J305" s="1" t="s">
        <v>127</v>
      </c>
      <c r="K305" s="1" t="s">
        <v>1093</v>
      </c>
      <c r="L305" s="1" t="s">
        <v>122</v>
      </c>
      <c r="M305" s="1">
        <v>8.0</v>
      </c>
      <c r="N305" s="1" t="s">
        <v>114</v>
      </c>
      <c r="O305" s="1" t="s">
        <v>206</v>
      </c>
      <c r="P305" s="1">
        <v>1.0</v>
      </c>
      <c r="Q305" s="1" t="s">
        <v>95</v>
      </c>
      <c r="R305" s="1" t="s">
        <v>95</v>
      </c>
      <c r="S305" s="1" t="s">
        <v>1089</v>
      </c>
      <c r="T305" s="1" t="s">
        <v>1094</v>
      </c>
    </row>
    <row r="306">
      <c r="A306" s="2">
        <v>43674.46223366898</v>
      </c>
      <c r="B306" s="1" t="s">
        <v>461</v>
      </c>
      <c r="C306" s="1" t="s">
        <v>84</v>
      </c>
      <c r="D306" s="1" t="s">
        <v>98</v>
      </c>
      <c r="E306" s="1">
        <v>2.0</v>
      </c>
      <c r="F306" s="1" t="s">
        <v>644</v>
      </c>
      <c r="G306" s="1" t="s">
        <v>784</v>
      </c>
      <c r="H306" s="1" t="s">
        <v>111</v>
      </c>
      <c r="I306" s="1" t="s">
        <v>89</v>
      </c>
      <c r="J306" s="1" t="s">
        <v>554</v>
      </c>
      <c r="K306" s="1" t="s">
        <v>288</v>
      </c>
      <c r="L306" s="1" t="s">
        <v>152</v>
      </c>
      <c r="M306" s="1">
        <v>6.0</v>
      </c>
      <c r="N306" s="1" t="s">
        <v>114</v>
      </c>
      <c r="O306" s="1" t="s">
        <v>106</v>
      </c>
      <c r="P306" s="1">
        <v>1.0</v>
      </c>
      <c r="Q306" s="1" t="s">
        <v>95</v>
      </c>
      <c r="R306" s="1" t="s">
        <v>95</v>
      </c>
      <c r="S306" s="1" t="s">
        <v>1095</v>
      </c>
      <c r="T306" s="1" t="s">
        <v>1096</v>
      </c>
    </row>
    <row r="307">
      <c r="A307" s="2">
        <v>43682.40807978009</v>
      </c>
      <c r="B307" s="1" t="s">
        <v>494</v>
      </c>
      <c r="C307" s="1" t="s">
        <v>225</v>
      </c>
      <c r="D307" s="1" t="s">
        <v>98</v>
      </c>
      <c r="E307" s="1">
        <v>2.0</v>
      </c>
      <c r="F307" s="1" t="s">
        <v>582</v>
      </c>
      <c r="G307" s="1" t="s">
        <v>172</v>
      </c>
      <c r="H307" s="1" t="s">
        <v>88</v>
      </c>
      <c r="I307" s="1" t="s">
        <v>93</v>
      </c>
      <c r="J307" s="1" t="s">
        <v>90</v>
      </c>
      <c r="K307" s="1" t="s">
        <v>509</v>
      </c>
      <c r="L307" s="1" t="s">
        <v>152</v>
      </c>
      <c r="M307" s="1">
        <v>10.0</v>
      </c>
      <c r="N307" s="1" t="s">
        <v>93</v>
      </c>
      <c r="O307" s="1" t="s">
        <v>206</v>
      </c>
      <c r="P307" s="1">
        <v>1.0</v>
      </c>
      <c r="Q307" s="1" t="s">
        <v>115</v>
      </c>
      <c r="R307" s="1" t="s">
        <v>95</v>
      </c>
      <c r="S307" s="1" t="s">
        <v>67</v>
      </c>
      <c r="T307" s="1" t="s">
        <v>1097</v>
      </c>
    </row>
    <row r="308">
      <c r="A308" s="2">
        <v>43705.85507016204</v>
      </c>
      <c r="B308" s="1" t="s">
        <v>350</v>
      </c>
      <c r="C308" s="1" t="s">
        <v>84</v>
      </c>
      <c r="D308" s="1" t="s">
        <v>98</v>
      </c>
      <c r="E308" s="1">
        <v>4.0</v>
      </c>
      <c r="F308" s="1" t="s">
        <v>1098</v>
      </c>
      <c r="G308" s="1" t="s">
        <v>995</v>
      </c>
      <c r="H308" s="1" t="s">
        <v>88</v>
      </c>
      <c r="I308" s="1" t="s">
        <v>93</v>
      </c>
      <c r="J308" s="1" t="s">
        <v>90</v>
      </c>
      <c r="K308" s="1" t="s">
        <v>694</v>
      </c>
      <c r="L308" s="1" t="s">
        <v>92</v>
      </c>
      <c r="M308" s="1">
        <v>7.0</v>
      </c>
      <c r="N308" s="1" t="s">
        <v>130</v>
      </c>
      <c r="O308" s="1" t="s">
        <v>206</v>
      </c>
      <c r="P308" s="1">
        <v>1.0</v>
      </c>
      <c r="Q308" s="1" t="s">
        <v>115</v>
      </c>
      <c r="R308" s="1" t="s">
        <v>95</v>
      </c>
      <c r="S308" s="1" t="s">
        <v>1099</v>
      </c>
      <c r="T308" s="1" t="s">
        <v>1100</v>
      </c>
    </row>
    <row r="309">
      <c r="A309" s="2">
        <v>43705.869723842596</v>
      </c>
      <c r="B309" s="1" t="s">
        <v>349</v>
      </c>
      <c r="C309" s="1" t="s">
        <v>84</v>
      </c>
      <c r="D309" s="1" t="s">
        <v>532</v>
      </c>
      <c r="E309" s="1">
        <v>2.0</v>
      </c>
      <c r="F309" s="1" t="s">
        <v>1101</v>
      </c>
      <c r="G309" s="1" t="s">
        <v>126</v>
      </c>
      <c r="H309" s="1" t="s">
        <v>111</v>
      </c>
      <c r="I309" s="1" t="s">
        <v>114</v>
      </c>
      <c r="J309" s="1" t="s">
        <v>127</v>
      </c>
      <c r="K309" s="1" t="s">
        <v>103</v>
      </c>
      <c r="L309" s="1" t="s">
        <v>92</v>
      </c>
      <c r="M309" s="1">
        <v>2.0</v>
      </c>
      <c r="N309" s="1" t="s">
        <v>114</v>
      </c>
      <c r="O309" s="1" t="s">
        <v>206</v>
      </c>
      <c r="P309" s="1">
        <v>1.0</v>
      </c>
      <c r="Q309" s="1" t="s">
        <v>115</v>
      </c>
      <c r="R309" s="1" t="s">
        <v>95</v>
      </c>
      <c r="S309" s="1" t="s">
        <v>1102</v>
      </c>
      <c r="T309" s="1" t="s">
        <v>1103</v>
      </c>
    </row>
    <row r="310">
      <c r="A310" s="2">
        <v>43709.839877997685</v>
      </c>
      <c r="B310" s="1" t="s">
        <v>439</v>
      </c>
      <c r="C310" s="1" t="s">
        <v>84</v>
      </c>
      <c r="D310" s="1" t="s">
        <v>98</v>
      </c>
      <c r="E310" s="1">
        <v>5.0</v>
      </c>
      <c r="F310" s="1" t="s">
        <v>582</v>
      </c>
      <c r="G310" s="1" t="s">
        <v>172</v>
      </c>
      <c r="H310" s="1" t="s">
        <v>111</v>
      </c>
      <c r="I310" s="1" t="s">
        <v>93</v>
      </c>
      <c r="J310" s="1" t="s">
        <v>127</v>
      </c>
      <c r="K310" s="1" t="s">
        <v>121</v>
      </c>
      <c r="L310" s="1" t="s">
        <v>104</v>
      </c>
      <c r="M310" s="1">
        <v>6.0</v>
      </c>
      <c r="N310" s="1" t="s">
        <v>114</v>
      </c>
      <c r="O310" s="1" t="s">
        <v>206</v>
      </c>
      <c r="P310" s="1">
        <v>1.0</v>
      </c>
      <c r="Q310" s="1" t="s">
        <v>115</v>
      </c>
      <c r="R310" s="1" t="s">
        <v>95</v>
      </c>
      <c r="S310" s="1" t="s">
        <v>1104</v>
      </c>
      <c r="T310" s="1" t="s">
        <v>1105</v>
      </c>
    </row>
    <row r="311">
      <c r="A311" s="2">
        <v>43709.87812256944</v>
      </c>
      <c r="B311" s="1" t="s">
        <v>367</v>
      </c>
      <c r="C311" s="1" t="s">
        <v>84</v>
      </c>
      <c r="D311" s="1" t="s">
        <v>98</v>
      </c>
      <c r="E311" s="1">
        <v>3.0</v>
      </c>
      <c r="F311" s="1" t="s">
        <v>638</v>
      </c>
      <c r="G311" s="1" t="s">
        <v>247</v>
      </c>
      <c r="H311" s="1" t="s">
        <v>111</v>
      </c>
      <c r="I311" s="1" t="s">
        <v>93</v>
      </c>
      <c r="J311" s="1" t="s">
        <v>112</v>
      </c>
      <c r="K311" s="1" t="s">
        <v>91</v>
      </c>
      <c r="L311" s="1" t="s">
        <v>122</v>
      </c>
      <c r="M311" s="1">
        <v>8.0</v>
      </c>
      <c r="N311" s="1" t="s">
        <v>93</v>
      </c>
      <c r="O311" s="1" t="s">
        <v>206</v>
      </c>
      <c r="P311" s="1">
        <v>2.0</v>
      </c>
      <c r="Q311" s="1" t="s">
        <v>95</v>
      </c>
      <c r="R311" s="1" t="s">
        <v>95</v>
      </c>
      <c r="S311" s="1" t="s">
        <v>640</v>
      </c>
      <c r="T311" s="1" t="s">
        <v>1106</v>
      </c>
    </row>
    <row r="312">
      <c r="A312" s="2">
        <v>43710.061569502315</v>
      </c>
      <c r="B312" s="1" t="s">
        <v>428</v>
      </c>
      <c r="C312" s="1" t="s">
        <v>225</v>
      </c>
      <c r="D312" s="1" t="s">
        <v>98</v>
      </c>
      <c r="E312" s="1">
        <v>2.0</v>
      </c>
      <c r="F312" s="1" t="s">
        <v>384</v>
      </c>
      <c r="G312" s="1" t="s">
        <v>126</v>
      </c>
      <c r="H312" s="1" t="s">
        <v>102</v>
      </c>
      <c r="I312" s="1" t="s">
        <v>93</v>
      </c>
      <c r="J312" s="1" t="s">
        <v>90</v>
      </c>
      <c r="K312" s="1" t="s">
        <v>694</v>
      </c>
      <c r="L312" s="1" t="s">
        <v>104</v>
      </c>
      <c r="M312" s="1">
        <v>7.0</v>
      </c>
      <c r="N312" s="1" t="s">
        <v>93</v>
      </c>
      <c r="O312" s="1" t="s">
        <v>106</v>
      </c>
      <c r="P312" s="1">
        <v>2.0</v>
      </c>
      <c r="Q312" s="1" t="s">
        <v>95</v>
      </c>
      <c r="R312" s="1" t="s">
        <v>95</v>
      </c>
      <c r="S312" s="1" t="s">
        <v>36</v>
      </c>
      <c r="T312" s="1" t="s">
        <v>1107</v>
      </c>
    </row>
    <row r="313">
      <c r="A313" s="2">
        <v>43710.24096303241</v>
      </c>
      <c r="B313" s="1" t="s">
        <v>474</v>
      </c>
      <c r="C313" s="1" t="s">
        <v>225</v>
      </c>
      <c r="D313" s="1" t="s">
        <v>98</v>
      </c>
      <c r="E313" s="1">
        <v>4.0</v>
      </c>
      <c r="F313" s="1" t="s">
        <v>1108</v>
      </c>
      <c r="G313" s="1" t="s">
        <v>172</v>
      </c>
      <c r="H313" s="1" t="s">
        <v>111</v>
      </c>
      <c r="I313" s="1" t="s">
        <v>89</v>
      </c>
      <c r="J313" s="1" t="s">
        <v>90</v>
      </c>
      <c r="K313" s="1" t="s">
        <v>91</v>
      </c>
      <c r="L313" s="1" t="s">
        <v>122</v>
      </c>
      <c r="M313" s="1">
        <v>9.0</v>
      </c>
      <c r="N313" s="1" t="s">
        <v>105</v>
      </c>
      <c r="O313" s="1" t="s">
        <v>106</v>
      </c>
      <c r="P313" s="1">
        <v>3.0</v>
      </c>
      <c r="Q313" s="1" t="s">
        <v>95</v>
      </c>
      <c r="R313" s="1" t="s">
        <v>95</v>
      </c>
      <c r="S313" s="1" t="s">
        <v>36</v>
      </c>
      <c r="T313" s="1" t="s">
        <v>1109</v>
      </c>
    </row>
    <row r="314">
      <c r="A314" s="2">
        <v>43710.441701006945</v>
      </c>
      <c r="B314" s="1" t="s">
        <v>404</v>
      </c>
      <c r="C314" s="1" t="s">
        <v>84</v>
      </c>
      <c r="D314" s="1" t="s">
        <v>85</v>
      </c>
      <c r="E314" s="1">
        <v>2.0</v>
      </c>
      <c r="F314" s="1" t="s">
        <v>1110</v>
      </c>
      <c r="G314" s="1" t="s">
        <v>100</v>
      </c>
      <c r="H314" s="1" t="s">
        <v>88</v>
      </c>
      <c r="I314" s="1" t="s">
        <v>93</v>
      </c>
      <c r="J314" s="1" t="s">
        <v>127</v>
      </c>
      <c r="K314" s="1" t="s">
        <v>1111</v>
      </c>
      <c r="L314" s="1" t="s">
        <v>104</v>
      </c>
      <c r="M314" s="1">
        <v>6.0</v>
      </c>
      <c r="N314" s="1" t="s">
        <v>114</v>
      </c>
      <c r="O314" s="1" t="s">
        <v>106</v>
      </c>
      <c r="P314" s="1">
        <v>3.0</v>
      </c>
      <c r="Q314" s="1" t="s">
        <v>95</v>
      </c>
      <c r="R314" s="1" t="s">
        <v>95</v>
      </c>
      <c r="S314" s="1" t="s">
        <v>1112</v>
      </c>
      <c r="T314" s="1" t="s">
        <v>1113</v>
      </c>
    </row>
    <row r="315">
      <c r="A315" s="2">
        <v>43710.72685601852</v>
      </c>
      <c r="B315" s="1" t="s">
        <v>410</v>
      </c>
      <c r="C315" s="1" t="s">
        <v>84</v>
      </c>
      <c r="D315" s="1" t="s">
        <v>532</v>
      </c>
      <c r="E315" s="1">
        <v>3.0</v>
      </c>
      <c r="F315" s="1" t="s">
        <v>960</v>
      </c>
      <c r="G315" s="1" t="s">
        <v>126</v>
      </c>
      <c r="H315" s="1" t="s">
        <v>209</v>
      </c>
      <c r="I315" s="1" t="s">
        <v>93</v>
      </c>
      <c r="J315" s="1" t="s">
        <v>127</v>
      </c>
      <c r="K315" s="1" t="s">
        <v>689</v>
      </c>
      <c r="L315" s="1" t="s">
        <v>92</v>
      </c>
      <c r="M315" s="1">
        <v>3.0</v>
      </c>
      <c r="N315" s="1" t="s">
        <v>130</v>
      </c>
      <c r="O315" s="1" t="s">
        <v>789</v>
      </c>
      <c r="P315" s="1">
        <v>1.0</v>
      </c>
      <c r="Q315" s="1" t="s">
        <v>95</v>
      </c>
      <c r="R315" s="1" t="s">
        <v>95</v>
      </c>
      <c r="S315" s="1" t="s">
        <v>1099</v>
      </c>
      <c r="T315" s="1" t="s">
        <v>827</v>
      </c>
    </row>
    <row r="316">
      <c r="A316" s="2">
        <v>43711.6139424537</v>
      </c>
      <c r="B316" s="1" t="s">
        <v>484</v>
      </c>
      <c r="C316" s="1" t="s">
        <v>166</v>
      </c>
      <c r="D316" s="1" t="s">
        <v>98</v>
      </c>
      <c r="E316" s="1">
        <v>1.0</v>
      </c>
      <c r="F316" s="1" t="s">
        <v>245</v>
      </c>
      <c r="G316" s="1" t="s">
        <v>172</v>
      </c>
      <c r="H316" s="1" t="s">
        <v>111</v>
      </c>
      <c r="I316" s="1" t="s">
        <v>209</v>
      </c>
      <c r="J316" s="1" t="s">
        <v>112</v>
      </c>
      <c r="K316" s="1" t="s">
        <v>103</v>
      </c>
      <c r="L316" s="1" t="s">
        <v>104</v>
      </c>
      <c r="M316" s="1">
        <v>7.0</v>
      </c>
      <c r="N316" s="1" t="s">
        <v>114</v>
      </c>
      <c r="O316" s="1" t="s">
        <v>106</v>
      </c>
      <c r="P316" s="1">
        <v>1.0</v>
      </c>
      <c r="Q316" s="1" t="s">
        <v>115</v>
      </c>
      <c r="R316" s="1" t="s">
        <v>95</v>
      </c>
      <c r="S316" s="1" t="s">
        <v>1114</v>
      </c>
      <c r="T316" s="1" t="s">
        <v>1115</v>
      </c>
    </row>
    <row r="317">
      <c r="A317" s="2">
        <v>43711.752836631946</v>
      </c>
      <c r="B317" s="1" t="s">
        <v>425</v>
      </c>
      <c r="C317" s="1" t="s">
        <v>84</v>
      </c>
      <c r="D317" s="1" t="s">
        <v>522</v>
      </c>
      <c r="E317" s="1">
        <v>1.0</v>
      </c>
      <c r="F317" s="1" t="s">
        <v>125</v>
      </c>
      <c r="G317" s="1" t="s">
        <v>464</v>
      </c>
      <c r="H317" s="1" t="s">
        <v>209</v>
      </c>
      <c r="I317" s="1" t="s">
        <v>93</v>
      </c>
      <c r="J317" s="1" t="s">
        <v>90</v>
      </c>
      <c r="K317" s="1" t="s">
        <v>600</v>
      </c>
      <c r="L317" s="1" t="s">
        <v>92</v>
      </c>
      <c r="M317" s="1">
        <v>6.0</v>
      </c>
      <c r="N317" s="1" t="s">
        <v>93</v>
      </c>
      <c r="O317" s="1" t="s">
        <v>206</v>
      </c>
      <c r="P317" s="1">
        <v>1.0</v>
      </c>
      <c r="Q317" s="1" t="s">
        <v>115</v>
      </c>
      <c r="R317" s="1" t="s">
        <v>95</v>
      </c>
      <c r="S317" s="1" t="s">
        <v>33</v>
      </c>
      <c r="T317" s="1" t="s">
        <v>1116</v>
      </c>
    </row>
    <row r="318">
      <c r="A318" s="2">
        <v>43711.75391381944</v>
      </c>
      <c r="B318" s="1" t="s">
        <v>385</v>
      </c>
      <c r="C318" s="1" t="s">
        <v>84</v>
      </c>
      <c r="D318" s="1" t="s">
        <v>85</v>
      </c>
      <c r="E318" s="1">
        <v>4.0</v>
      </c>
      <c r="F318" s="1" t="s">
        <v>1047</v>
      </c>
      <c r="G318" s="1" t="s">
        <v>172</v>
      </c>
      <c r="H318" s="1" t="s">
        <v>88</v>
      </c>
      <c r="I318" s="1" t="s">
        <v>114</v>
      </c>
      <c r="J318" s="1" t="s">
        <v>112</v>
      </c>
      <c r="K318" s="1" t="s">
        <v>1117</v>
      </c>
      <c r="L318" s="1" t="s">
        <v>92</v>
      </c>
      <c r="M318" s="1">
        <v>8.0</v>
      </c>
      <c r="N318" s="1" t="s">
        <v>93</v>
      </c>
      <c r="O318" s="1" t="s">
        <v>206</v>
      </c>
      <c r="P318" s="1">
        <v>1.0</v>
      </c>
      <c r="Q318" s="1" t="s">
        <v>95</v>
      </c>
      <c r="R318" s="1" t="s">
        <v>95</v>
      </c>
      <c r="S318" s="1" t="s">
        <v>1118</v>
      </c>
      <c r="T318" s="1" t="s">
        <v>1119</v>
      </c>
    </row>
    <row r="319">
      <c r="A319" s="2">
        <v>43711.75501349537</v>
      </c>
      <c r="B319" s="1" t="s">
        <v>440</v>
      </c>
      <c r="C319" s="1" t="s">
        <v>84</v>
      </c>
      <c r="D319" s="1" t="s">
        <v>85</v>
      </c>
      <c r="E319" s="1">
        <v>4.0</v>
      </c>
      <c r="F319" s="1" t="s">
        <v>693</v>
      </c>
      <c r="G319" s="1" t="s">
        <v>1120</v>
      </c>
      <c r="H319" s="1" t="s">
        <v>111</v>
      </c>
      <c r="I319" s="1" t="s">
        <v>93</v>
      </c>
      <c r="J319" s="1" t="s">
        <v>127</v>
      </c>
      <c r="K319" s="1" t="s">
        <v>113</v>
      </c>
      <c r="L319" s="1" t="s">
        <v>104</v>
      </c>
      <c r="M319" s="1">
        <v>9.0</v>
      </c>
      <c r="N319" s="1" t="s">
        <v>93</v>
      </c>
      <c r="O319" s="1" t="s">
        <v>206</v>
      </c>
      <c r="P319" s="1">
        <v>4.0</v>
      </c>
      <c r="Q319" s="1" t="s">
        <v>95</v>
      </c>
      <c r="R319" s="1" t="s">
        <v>95</v>
      </c>
      <c r="S319" s="1" t="s">
        <v>52</v>
      </c>
      <c r="T319" s="1" t="s">
        <v>1121</v>
      </c>
    </row>
    <row r="320">
      <c r="A320" s="2">
        <v>43711.76551474537</v>
      </c>
      <c r="B320" s="1" t="s">
        <v>457</v>
      </c>
      <c r="C320" s="1" t="s">
        <v>84</v>
      </c>
      <c r="D320" s="1" t="s">
        <v>85</v>
      </c>
      <c r="E320" s="1">
        <v>4.0</v>
      </c>
      <c r="F320" s="1" t="s">
        <v>1122</v>
      </c>
      <c r="G320" s="1" t="s">
        <v>201</v>
      </c>
      <c r="H320" s="1" t="s">
        <v>88</v>
      </c>
      <c r="I320" s="1" t="s">
        <v>93</v>
      </c>
      <c r="J320" s="1" t="s">
        <v>127</v>
      </c>
      <c r="K320" s="1" t="s">
        <v>1123</v>
      </c>
      <c r="L320" s="1" t="s">
        <v>104</v>
      </c>
      <c r="M320" s="1">
        <v>8.0</v>
      </c>
      <c r="N320" s="1" t="s">
        <v>93</v>
      </c>
      <c r="O320" s="1" t="s">
        <v>206</v>
      </c>
      <c r="P320" s="1">
        <v>5.0</v>
      </c>
      <c r="Q320" s="1" t="s">
        <v>115</v>
      </c>
      <c r="R320" s="1" t="s">
        <v>95</v>
      </c>
      <c r="S320" s="1" t="s">
        <v>1124</v>
      </c>
      <c r="T320" s="1" t="s">
        <v>1125</v>
      </c>
    </row>
    <row r="321">
      <c r="A321" s="2"/>
    </row>
    <row r="322">
      <c r="A322" s="2">
        <v>43711.76913006944</v>
      </c>
      <c r="B322" s="1" t="s">
        <v>487</v>
      </c>
      <c r="C322" s="1" t="s">
        <v>166</v>
      </c>
      <c r="D322" s="1" t="s">
        <v>98</v>
      </c>
      <c r="E322" s="1">
        <v>4.0</v>
      </c>
      <c r="F322" s="1" t="s">
        <v>1126</v>
      </c>
      <c r="G322" s="1" t="s">
        <v>792</v>
      </c>
      <c r="H322" s="1" t="s">
        <v>111</v>
      </c>
      <c r="I322" s="1" t="s">
        <v>209</v>
      </c>
      <c r="J322" s="1" t="s">
        <v>112</v>
      </c>
      <c r="K322" s="1" t="s">
        <v>1127</v>
      </c>
      <c r="L322" s="1" t="s">
        <v>92</v>
      </c>
      <c r="M322" s="1">
        <v>1.0</v>
      </c>
      <c r="N322" s="1" t="s">
        <v>93</v>
      </c>
      <c r="O322" s="1" t="s">
        <v>106</v>
      </c>
      <c r="P322" s="1">
        <v>1.0</v>
      </c>
      <c r="Q322" s="1" t="s">
        <v>95</v>
      </c>
      <c r="R322" s="1" t="s">
        <v>95</v>
      </c>
      <c r="S322" s="1" t="s">
        <v>1128</v>
      </c>
      <c r="T322" s="1" t="s">
        <v>1129</v>
      </c>
    </row>
    <row r="323">
      <c r="A323" s="2">
        <v>43711.77545311343</v>
      </c>
      <c r="B323" s="1" t="s">
        <v>449</v>
      </c>
      <c r="C323" s="1" t="s">
        <v>166</v>
      </c>
      <c r="D323" s="1" t="s">
        <v>98</v>
      </c>
      <c r="E323" s="1">
        <v>2.0</v>
      </c>
      <c r="F323" s="1" t="s">
        <v>121</v>
      </c>
      <c r="G323" s="1" t="s">
        <v>890</v>
      </c>
      <c r="H323" s="1" t="s">
        <v>88</v>
      </c>
      <c r="I323" s="1" t="s">
        <v>93</v>
      </c>
      <c r="J323" s="1" t="s">
        <v>90</v>
      </c>
      <c r="K323" s="1" t="s">
        <v>103</v>
      </c>
      <c r="L323" s="1" t="s">
        <v>92</v>
      </c>
      <c r="M323" s="1">
        <v>7.0</v>
      </c>
      <c r="N323" s="1" t="s">
        <v>114</v>
      </c>
      <c r="O323" s="1" t="s">
        <v>106</v>
      </c>
      <c r="P323" s="1">
        <v>2.0</v>
      </c>
      <c r="Q323" s="1" t="s">
        <v>95</v>
      </c>
      <c r="R323" s="1" t="s">
        <v>95</v>
      </c>
      <c r="S323" s="1" t="s">
        <v>62</v>
      </c>
      <c r="T323" s="1" t="s">
        <v>1130</v>
      </c>
    </row>
    <row r="324">
      <c r="A324" s="2"/>
    </row>
    <row r="325">
      <c r="A325" s="2"/>
    </row>
    <row r="326">
      <c r="A326" s="2">
        <v>43711.85146293981</v>
      </c>
      <c r="B326" s="1" t="s">
        <v>383</v>
      </c>
      <c r="C326" s="1" t="s">
        <v>84</v>
      </c>
      <c r="D326" s="1" t="s">
        <v>85</v>
      </c>
      <c r="E326" s="1">
        <v>3.0</v>
      </c>
      <c r="F326" s="1" t="s">
        <v>511</v>
      </c>
      <c r="G326" s="1" t="s">
        <v>1131</v>
      </c>
      <c r="H326" s="1" t="s">
        <v>102</v>
      </c>
      <c r="I326" s="1" t="s">
        <v>114</v>
      </c>
      <c r="J326" s="1" t="s">
        <v>127</v>
      </c>
      <c r="K326" s="1" t="s">
        <v>858</v>
      </c>
      <c r="L326" s="1" t="s">
        <v>104</v>
      </c>
      <c r="M326" s="1">
        <v>6.0</v>
      </c>
      <c r="N326" s="1" t="s">
        <v>93</v>
      </c>
      <c r="O326" s="1" t="s">
        <v>106</v>
      </c>
      <c r="P326" s="1">
        <v>2.0</v>
      </c>
      <c r="Q326" s="1" t="s">
        <v>95</v>
      </c>
      <c r="R326" s="1" t="s">
        <v>95</v>
      </c>
      <c r="S326" s="1" t="s">
        <v>51</v>
      </c>
      <c r="T326" s="1" t="s">
        <v>1132</v>
      </c>
    </row>
    <row r="327">
      <c r="A327" s="2">
        <v>43711.890276921295</v>
      </c>
      <c r="B327" s="1" t="s">
        <v>460</v>
      </c>
      <c r="C327" s="1" t="s">
        <v>84</v>
      </c>
      <c r="D327" s="1" t="s">
        <v>85</v>
      </c>
      <c r="E327" s="1">
        <v>3.0</v>
      </c>
      <c r="F327" s="1" t="s">
        <v>567</v>
      </c>
      <c r="G327" s="1" t="s">
        <v>172</v>
      </c>
      <c r="H327" s="1" t="s">
        <v>102</v>
      </c>
      <c r="I327" s="1" t="s">
        <v>93</v>
      </c>
      <c r="J327" s="1" t="s">
        <v>90</v>
      </c>
      <c r="K327" s="1" t="s">
        <v>91</v>
      </c>
      <c r="L327" s="1" t="s">
        <v>122</v>
      </c>
      <c r="M327" s="1">
        <v>8.0</v>
      </c>
      <c r="N327" s="1" t="s">
        <v>93</v>
      </c>
      <c r="O327" s="1" t="s">
        <v>206</v>
      </c>
      <c r="P327" s="1">
        <v>1.0</v>
      </c>
      <c r="Q327" s="1" t="s">
        <v>115</v>
      </c>
      <c r="R327" s="1" t="s">
        <v>95</v>
      </c>
      <c r="S327" s="1" t="s">
        <v>80</v>
      </c>
      <c r="T327" s="1" t="s">
        <v>1133</v>
      </c>
    </row>
    <row r="328">
      <c r="A328" s="2">
        <v>43711.913661388884</v>
      </c>
      <c r="B328" s="1" t="s">
        <v>409</v>
      </c>
      <c r="C328" s="1" t="s">
        <v>225</v>
      </c>
      <c r="D328" s="1" t="s">
        <v>85</v>
      </c>
      <c r="E328" s="1">
        <v>1.0</v>
      </c>
      <c r="F328" s="1" t="s">
        <v>1134</v>
      </c>
      <c r="G328" s="1" t="s">
        <v>1135</v>
      </c>
      <c r="H328" s="1" t="s">
        <v>102</v>
      </c>
      <c r="I328" s="1" t="s">
        <v>89</v>
      </c>
      <c r="J328" s="1" t="s">
        <v>554</v>
      </c>
      <c r="K328" s="1" t="s">
        <v>729</v>
      </c>
      <c r="L328" s="1" t="s">
        <v>152</v>
      </c>
      <c r="M328" s="1">
        <v>1.0</v>
      </c>
      <c r="N328" s="1" t="s">
        <v>105</v>
      </c>
      <c r="O328" s="1" t="s">
        <v>94</v>
      </c>
      <c r="P328" s="1">
        <v>1.0</v>
      </c>
      <c r="Q328" s="1" t="s">
        <v>95</v>
      </c>
      <c r="R328" s="1" t="s">
        <v>95</v>
      </c>
      <c r="S328" s="1" t="s">
        <v>76</v>
      </c>
      <c r="T328" s="1" t="s">
        <v>1136</v>
      </c>
    </row>
    <row r="329">
      <c r="A329" s="2">
        <v>43712.24018807871</v>
      </c>
      <c r="B329" s="1" t="s">
        <v>454</v>
      </c>
      <c r="C329" s="1" t="s">
        <v>225</v>
      </c>
      <c r="D329" s="1" t="s">
        <v>85</v>
      </c>
      <c r="E329" s="1">
        <v>2.0</v>
      </c>
      <c r="F329" s="1" t="s">
        <v>1137</v>
      </c>
      <c r="G329" s="1" t="s">
        <v>1138</v>
      </c>
      <c r="H329" s="1" t="s">
        <v>88</v>
      </c>
      <c r="I329" s="1" t="s">
        <v>93</v>
      </c>
      <c r="J329" s="1" t="s">
        <v>127</v>
      </c>
      <c r="K329" s="1" t="s">
        <v>113</v>
      </c>
      <c r="L329" s="1" t="s">
        <v>104</v>
      </c>
      <c r="M329" s="1">
        <v>7.0</v>
      </c>
      <c r="N329" s="1" t="s">
        <v>114</v>
      </c>
      <c r="O329" s="1" t="s">
        <v>206</v>
      </c>
      <c r="P329" s="1">
        <v>2.0</v>
      </c>
      <c r="Q329" s="1" t="s">
        <v>115</v>
      </c>
      <c r="R329" s="1" t="s">
        <v>95</v>
      </c>
      <c r="S329" s="1" t="s">
        <v>1139</v>
      </c>
      <c r="T329" s="1" t="s">
        <v>1140</v>
      </c>
    </row>
    <row r="330">
      <c r="A330" s="2">
        <v>43712.48356732639</v>
      </c>
      <c r="B330" s="1" t="s">
        <v>455</v>
      </c>
      <c r="C330" s="1" t="s">
        <v>84</v>
      </c>
      <c r="D330" s="1" t="s">
        <v>85</v>
      </c>
      <c r="E330" s="1">
        <v>4.0</v>
      </c>
      <c r="F330" s="1" t="s">
        <v>170</v>
      </c>
      <c r="G330" s="1" t="s">
        <v>1141</v>
      </c>
      <c r="H330" s="1" t="s">
        <v>111</v>
      </c>
      <c r="I330" s="1" t="s">
        <v>93</v>
      </c>
      <c r="J330" s="1" t="s">
        <v>127</v>
      </c>
      <c r="K330" s="1" t="s">
        <v>103</v>
      </c>
      <c r="L330" s="1" t="s">
        <v>92</v>
      </c>
      <c r="M330" s="1">
        <v>3.0</v>
      </c>
      <c r="N330" s="1" t="s">
        <v>114</v>
      </c>
      <c r="O330" s="1" t="s">
        <v>206</v>
      </c>
      <c r="P330" s="1">
        <v>1.0</v>
      </c>
      <c r="Q330" s="1" t="s">
        <v>95</v>
      </c>
      <c r="R330" s="1" t="s">
        <v>95</v>
      </c>
      <c r="S330" s="1" t="s">
        <v>71</v>
      </c>
      <c r="T330" s="1" t="s">
        <v>1142</v>
      </c>
    </row>
    <row r="331">
      <c r="A331" s="2">
        <v>43712.81148842593</v>
      </c>
      <c r="B331" s="1" t="s">
        <v>396</v>
      </c>
      <c r="C331" s="1" t="s">
        <v>166</v>
      </c>
      <c r="D331" s="1" t="s">
        <v>85</v>
      </c>
      <c r="E331" s="1">
        <v>3.0</v>
      </c>
      <c r="F331" s="1" t="s">
        <v>109</v>
      </c>
      <c r="G331" s="1" t="s">
        <v>247</v>
      </c>
      <c r="H331" s="1" t="s">
        <v>111</v>
      </c>
      <c r="I331" s="1" t="s">
        <v>209</v>
      </c>
      <c r="J331" s="1" t="s">
        <v>112</v>
      </c>
      <c r="K331" s="1" t="s">
        <v>1143</v>
      </c>
      <c r="L331" s="1" t="s">
        <v>122</v>
      </c>
      <c r="M331" s="1">
        <v>7.0</v>
      </c>
      <c r="N331" s="1" t="s">
        <v>93</v>
      </c>
      <c r="O331" s="1" t="s">
        <v>106</v>
      </c>
      <c r="P331" s="1">
        <v>1.0</v>
      </c>
      <c r="Q331" s="1" t="s">
        <v>115</v>
      </c>
      <c r="R331" s="1" t="s">
        <v>95</v>
      </c>
      <c r="S331" s="1" t="s">
        <v>1144</v>
      </c>
      <c r="T331" s="1" t="s">
        <v>1145</v>
      </c>
    </row>
    <row r="332">
      <c r="A332" s="2">
        <v>43713.841121122685</v>
      </c>
      <c r="B332" s="1" t="s">
        <v>490</v>
      </c>
      <c r="C332" s="1" t="s">
        <v>225</v>
      </c>
      <c r="D332" s="1" t="s">
        <v>85</v>
      </c>
      <c r="E332" s="1">
        <v>1.0</v>
      </c>
      <c r="F332" s="1" t="s">
        <v>125</v>
      </c>
      <c r="G332" s="1" t="s">
        <v>172</v>
      </c>
      <c r="H332" s="1" t="s">
        <v>102</v>
      </c>
      <c r="I332" s="1" t="s">
        <v>93</v>
      </c>
      <c r="J332" s="1" t="s">
        <v>127</v>
      </c>
      <c r="K332" s="1" t="s">
        <v>509</v>
      </c>
      <c r="L332" s="1" t="s">
        <v>104</v>
      </c>
      <c r="M332" s="1">
        <v>5.0</v>
      </c>
      <c r="N332" s="1" t="s">
        <v>114</v>
      </c>
      <c r="O332" s="1" t="s">
        <v>789</v>
      </c>
      <c r="P332" s="1">
        <v>3.0</v>
      </c>
      <c r="Q332" s="1" t="s">
        <v>115</v>
      </c>
      <c r="R332" s="1" t="s">
        <v>95</v>
      </c>
      <c r="S332" s="1" t="s">
        <v>57</v>
      </c>
      <c r="T332" s="1" t="s">
        <v>1146</v>
      </c>
    </row>
    <row r="333">
      <c r="A333" s="2">
        <v>43714.44398149305</v>
      </c>
      <c r="B333" s="1" t="s">
        <v>500</v>
      </c>
      <c r="C333" s="1" t="s">
        <v>84</v>
      </c>
      <c r="D333" s="1" t="s">
        <v>98</v>
      </c>
      <c r="E333" s="1">
        <v>3.0</v>
      </c>
      <c r="F333" s="1" t="s">
        <v>638</v>
      </c>
      <c r="G333" s="1" t="s">
        <v>1147</v>
      </c>
      <c r="H333" s="1" t="s">
        <v>102</v>
      </c>
      <c r="I333" s="1" t="s">
        <v>93</v>
      </c>
      <c r="J333" s="1" t="s">
        <v>90</v>
      </c>
      <c r="K333" s="1" t="s">
        <v>509</v>
      </c>
      <c r="L333" s="1" t="s">
        <v>104</v>
      </c>
      <c r="M333" s="1">
        <v>1.0</v>
      </c>
      <c r="N333" s="1" t="s">
        <v>114</v>
      </c>
      <c r="O333" s="1" t="s">
        <v>206</v>
      </c>
      <c r="P333" s="1">
        <v>1.0</v>
      </c>
      <c r="Q333" s="1" t="s">
        <v>115</v>
      </c>
      <c r="R333" s="1" t="s">
        <v>95</v>
      </c>
      <c r="S333" s="1" t="s">
        <v>80</v>
      </c>
      <c r="T333" s="1" t="s">
        <v>1148</v>
      </c>
    </row>
    <row r="334">
      <c r="A334" s="2"/>
    </row>
    <row r="335">
      <c r="A335" s="2"/>
    </row>
  </sheetData>
  <conditionalFormatting sqref="A1:AB431">
    <cfRule type="endsWith" dxfId="0" priority="1" operator="endsWith" text=" ">
      <formula>RIGHT((A1),LEN(" "))=(" ")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1.57"/>
    <col customWidth="1" min="6" max="6" width="25.57"/>
    <col customWidth="1" min="7" max="28" width="21.57"/>
  </cols>
  <sheetData>
    <row r="1">
      <c r="A1" t="str">
        <f>IFERROR(__xludf.DUMMYFUNCTION("filter( 'Réponses au formulaire 1'!1:431, 'Réponses au formulaire 1'!B:B&gt;0)"),"Horodateur")</f>
        <v>Horodateur</v>
      </c>
      <c r="B1" t="str">
        <f>IFERROR(__xludf.DUMMYFUNCTION("""COMPUTED_VALUE"""),"Prénom NOM ")</f>
        <v>Prénom NOM </v>
      </c>
      <c r="C1" t="str">
        <f>IFERROR(__xludf.DUMMYFUNCTION("""COMPUTED_VALUE"""),"Que vois-tu sur cette photo ?")</f>
        <v>Que vois-tu sur cette photo ?</v>
      </c>
      <c r="D1" s="1" t="str">
        <f>IFERROR(__xludf.DUMMYFUNCTION("""COMPUTED_VALUE"""),"Tu as listé ?")</f>
        <v>Tu as listé ?</v>
      </c>
      <c r="E1" s="1" t="str">
        <f>IFERROR(__xludf.DUMMYFUNCTION("""COMPUTED_VALUE"""),"Tu t'investis dans l'associatif ?")</f>
        <v>Tu t'investis dans l'associatif ?</v>
      </c>
      <c r="F1" t="str">
        <f>IFERROR(__xludf.DUMMYFUNCTION("""COMPUTED_VALUE"""),"Goûts musicaux ?")</f>
        <v>Goûts musicaux ?</v>
      </c>
      <c r="G1" s="1" t="str">
        <f>IFERROR(__xludf.DUMMYFUNCTION("""COMPUTED_VALUE"""),"Amateur d'art (artiste ou spectateur) ?")</f>
        <v>Amateur d'art (artiste ou spectateur) ?</v>
      </c>
      <c r="H1" t="str">
        <f>IFERROR(__xludf.DUMMYFUNCTION("""COMPUTED_VALUE"""),"Tu joues aux jeux vidéo ?")</f>
        <v>Tu joues aux jeux vidéo ?</v>
      </c>
      <c r="I1" t="str">
        <f>IFERROR(__xludf.DUMMYFUNCTION("""COMPUTED_VALUE"""),"Tu fais du sport ?")</f>
        <v>Tu fais du sport ?</v>
      </c>
      <c r="J1" t="str">
        <f>IFERROR(__xludf.DUMMYFUNCTION("""COMPUTED_VALUE"""),"Le sport c'est .....")</f>
        <v>Le sport c'est .....</v>
      </c>
      <c r="K1" s="1" t="str">
        <f>IFERROR(__xludf.DUMMYFUNCTION("""COMPUTED_VALUE"""),"Quel sport (pratique ou amateur) ?")</f>
        <v>Quel sport (pratique ou amateur) ?</v>
      </c>
      <c r="L1" t="str">
        <f>IFERROR(__xludf.DUMMYFUNCTION("""COMPUTED_VALUE"""),"Tu aimes te faire des bons petits plats et bien manger  ?")</f>
        <v>Tu aimes te faire des bons petits plats et bien manger  ?</v>
      </c>
      <c r="M1" s="1" t="str">
        <f>IFERROR(__xludf.DUMMYFUNCTION("""COMPUTED_VALUE"""),"Maintenant on passe aux choses sérieuses, tu bois ? ")</f>
        <v>Maintenant on passe aux choses sérieuses, tu bois ? </v>
      </c>
      <c r="N1" s="1" t="str">
        <f>IFERROR(__xludf.DUMMYFUNCTION("""COMPUTED_VALUE"""),"Tu sors souvent ?")</f>
        <v>Tu sors souvent ?</v>
      </c>
      <c r="O1" t="str">
        <f>IFERROR(__xludf.DUMMYFUNCTION("""COMPUTED_VALUE"""),"En soirée ......")</f>
        <v>En soirée ......</v>
      </c>
      <c r="P1" t="str">
        <f>IFERROR(__xludf.DUMMYFUNCTION("""COMPUTED_VALUE"""),"Tu fumes des gros ter ?")</f>
        <v>Tu fumes des gros ter ?</v>
      </c>
      <c r="Q1" s="1" t="str">
        <f>IFERROR(__xludf.DUMMYFUNCTION("""COMPUTED_VALUE"""),"Chaud pour avoir un fillot ITII ?")</f>
        <v>Chaud pour avoir un fillot ITII ?</v>
      </c>
      <c r="R1" s="1" t="str">
        <f>IFERROR(__xludf.DUMMYFUNCTION("""COMPUTED_VALUE"""),"Es-tu un ITII ?")</f>
        <v>Es-tu un ITII ?</v>
      </c>
      <c r="S1" s="1" t="str">
        <f>IFERROR(__xludf.DUMMYFUNCTION("""COMPUTED_VALUE"""),"Quel est le nom de ta famille de parrains ?")</f>
        <v>Quel est le nom de ta famille de parrains ?</v>
      </c>
      <c r="T1" s="1" t="str">
        <f>IFERROR(__xludf.DUMMYFUNCTION("""COMPUTED_VALUE"""),"Quel objet donneras-tu à ton fillot pour la soirée de parrainage ?")</f>
        <v>Quel objet donneras-tu à ton fillot pour la soirée de parrainage ?</v>
      </c>
      <c r="U1" s="1" t="str">
        <f>IFERROR(__xludf.DUMMYFUNCTION("""COMPUTED_VALUE"""),"Quelles cultures veux tu découvrir ?")</f>
        <v>Quelles cultures veux tu découvrir ?</v>
      </c>
      <c r="V1" s="1" t="str">
        <f>IFERROR(__xludf.DUMMYFUNCTION("""COMPUTED_VALUE"""),"Quelles langues connaît tu déjà (même un peu) ?")</f>
        <v>Quelles langues connaît tu déjà (même un peu) ?</v>
      </c>
      <c r="W1" t="str">
        <f>IFERROR(__xludf.DUMMYFUNCTION("""COMPUTED_VALUE"""),"")</f>
        <v/>
      </c>
      <c r="X1" t="str">
        <f>IFERROR(__xludf.DUMMYFUNCTION("""COMPUTED_VALUE"""),"")</f>
        <v/>
      </c>
      <c r="Y1" t="str">
        <f>IFERROR(__xludf.DUMMYFUNCTION("""COMPUTED_VALUE"""),"")</f>
        <v/>
      </c>
      <c r="Z1" t="str">
        <f>IFERROR(__xludf.DUMMYFUNCTION("""COMPUTED_VALUE"""),"")</f>
        <v/>
      </c>
      <c r="AA1" t="str">
        <f>IFERROR(__xludf.DUMMYFUNCTION("""COMPUTED_VALUE"""),"")</f>
        <v/>
      </c>
      <c r="AB1" t="str">
        <f>IFERROR(__xludf.DUMMYFUNCTION("""COMPUTED_VALUE"""),"")</f>
        <v/>
      </c>
    </row>
    <row r="2">
      <c r="A2" s="2">
        <f>IFERROR(__xludf.DUMMYFUNCTION("""COMPUTED_VALUE"""),43626.6363156713)</f>
        <v>43626.63632</v>
      </c>
      <c r="B2" t="str">
        <f>IFERROR(__xludf.DUMMYFUNCTION("""COMPUTED_VALUE"""),"Michel Qu")</f>
        <v>Michel Qu</v>
      </c>
      <c r="C2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" t="str">
        <f>IFERROR(__xludf.DUMMYFUNCTION("""COMPUTED_VALUE"""),"BDS")</f>
        <v>BDS</v>
      </c>
      <c r="E2">
        <f>IFERROR(__xludf.DUMMYFUNCTION("""COMPUTED_VALUE"""),2.0)</f>
        <v>2</v>
      </c>
      <c r="F2" t="str">
        <f>IFERROR(__xludf.DUMMYFUNCTION("""COMPUTED_VALUE"""),"Rock, Electro posée, Electro hard, Musique fançaise, Musique classique")</f>
        <v>Rock, Electro posée, Electro hard, Musique fançaise, Musique classique</v>
      </c>
      <c r="G2" t="str">
        <f>IFERROR(__xludf.DUMMYFUNCTION("""COMPUTED_VALUE"""),"Musique")</f>
        <v>Musique</v>
      </c>
      <c r="H2" t="str">
        <f>IFERROR(__xludf.DUMMYFUNCTION("""COMPUTED_VALUE"""),"Quelques fois par semaine")</f>
        <v>Quelques fois par semaine</v>
      </c>
      <c r="I2" t="str">
        <f>IFERROR(__xludf.DUMMYFUNCTION("""COMPUTED_VALUE"""),"Le dimanche à 15h32 s'il fait beau")</f>
        <v>Le dimanche à 15h32 s'il fait beau</v>
      </c>
      <c r="J2" t="str">
        <f>IFERROR(__xludf.DUMMYFUNCTION("""COMPUTED_VALUE"""),"Pour le fun")</f>
        <v>Pour le fun</v>
      </c>
      <c r="K2" t="str">
        <f>IFERROR(__xludf.DUMMYFUNCTION("""COMPUTED_VALUE"""),"Sports de raquette")</f>
        <v>Sports de raquette</v>
      </c>
      <c r="L2" t="str">
        <f>IFERROR(__xludf.DUMMYFUNCTION("""COMPUTED_VALUE"""),"J'aime cuisiner le WE ou quand j'ai le temps")</f>
        <v>J'aime cuisiner le WE ou quand j'ai le temps</v>
      </c>
      <c r="M2">
        <f>IFERROR(__xludf.DUMMYFUNCTION("""COMPUTED_VALUE"""),8.0)</f>
        <v>8</v>
      </c>
      <c r="N2" t="str">
        <f>IFERROR(__xludf.DUMMYFUNCTION("""COMPUTED_VALUE"""),"Plusieurs fois par semaine")</f>
        <v>Plusieurs fois par semaine</v>
      </c>
      <c r="O2" t="str">
        <f>IFERROR(__xludf.DUMMYFUNCTION("""COMPUTED_VALUE"""),"Objectif grosse défonce")</f>
        <v>Objectif grosse défonce</v>
      </c>
      <c r="P2">
        <f>IFERROR(__xludf.DUMMYFUNCTION("""COMPUTED_VALUE"""),4.0)</f>
        <v>4</v>
      </c>
      <c r="Q2" t="str">
        <f>IFERROR(__xludf.DUMMYFUNCTION("""COMPUTED_VALUE"""),"Non")</f>
        <v>Non</v>
      </c>
      <c r="R2" t="str">
        <f>IFERROR(__xludf.DUMMYFUNCTION("""COMPUTED_VALUE"""),"Non")</f>
        <v>Non</v>
      </c>
      <c r="S2" t="str">
        <f>IFERROR(__xludf.DUMMYFUNCTION("""COMPUTED_VALUE"""),"DPSU")</f>
        <v>DPSU</v>
      </c>
      <c r="T2" t="str">
        <f>IFERROR(__xludf.DUMMYFUNCTION("""COMPUTED_VALUE"""),"Du cidre")</f>
        <v>Du cidre</v>
      </c>
      <c r="U2" t="str">
        <f>IFERROR(__xludf.DUMMYFUNCTION("""COMPUTED_VALUE"""),"")</f>
        <v/>
      </c>
      <c r="V2" t="str">
        <f>IFERROR(__xludf.DUMMYFUNCTION("""COMPUTED_VALUE"""),"")</f>
        <v/>
      </c>
      <c r="W2" t="str">
        <f>IFERROR(__xludf.DUMMYFUNCTION("""COMPUTED_VALUE"""),"")</f>
        <v/>
      </c>
      <c r="X2" t="str">
        <f>IFERROR(__xludf.DUMMYFUNCTION("""COMPUTED_VALUE"""),"")</f>
        <v/>
      </c>
      <c r="Y2" t="str">
        <f>IFERROR(__xludf.DUMMYFUNCTION("""COMPUTED_VALUE"""),"")</f>
        <v/>
      </c>
      <c r="Z2" t="str">
        <f>IFERROR(__xludf.DUMMYFUNCTION("""COMPUTED_VALUE"""),"")</f>
        <v/>
      </c>
      <c r="AA2" t="str">
        <f>IFERROR(__xludf.DUMMYFUNCTION("""COMPUTED_VALUE"""),"")</f>
        <v/>
      </c>
      <c r="AB2" t="str">
        <f>IFERROR(__xludf.DUMMYFUNCTION("""COMPUTED_VALUE"""),"")</f>
        <v/>
      </c>
    </row>
    <row r="3">
      <c r="A3" s="2">
        <f>IFERROR(__xludf.DUMMYFUNCTION("""COMPUTED_VALUE"""),43626.6365815162)</f>
        <v>43626.63658</v>
      </c>
      <c r="B3" t="str">
        <f>IFERROR(__xludf.DUMMYFUNCTION("""COMPUTED_VALUE"""),"Marie BOUTROUX")</f>
        <v>Marie BOUTROUX</v>
      </c>
      <c r="C3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" t="str">
        <f>IFERROR(__xludf.DUMMYFUNCTION("""COMPUTED_VALUE"""),"BDE")</f>
        <v>BDE</v>
      </c>
      <c r="E3">
        <f>IFERROR(__xludf.DUMMYFUNCTION("""COMPUTED_VALUE"""),4.0)</f>
        <v>4</v>
      </c>
      <c r="F3" t="str">
        <f>IFERROR(__xludf.DUMMYFUNCTION("""COMPUTED_VALUE"""),"Rock, Electro posée, Pop, Musique fançaise")</f>
        <v>Rock, Electro posée, Pop, Musique fançaise</v>
      </c>
      <c r="G3" t="str">
        <f>IFERROR(__xludf.DUMMYFUNCTION("""COMPUTED_VALUE"""),"Littérature, Musique, Cinéma")</f>
        <v>Littérature, Musique, Cinéma</v>
      </c>
      <c r="H3" t="str">
        <f>IFERROR(__xludf.DUMMYFUNCTION("""COMPUTED_VALUE"""),"Seulement les soirs de pleine lune")</f>
        <v>Seulement les soirs de pleine lune</v>
      </c>
      <c r="I3" t="str">
        <f>IFERROR(__xludf.DUMMYFUNCTION("""COMPUTED_VALUE"""),"Plusieurs fois par semaine")</f>
        <v>Plusieurs fois par semaine</v>
      </c>
      <c r="J3" t="str">
        <f>IFERROR(__xludf.DUMMYFUNCTION("""COMPUTED_VALUE"""),"Pour le fun")</f>
        <v>Pour le fun</v>
      </c>
      <c r="K3" t="str">
        <f>IFERROR(__xludf.DUMMYFUNCTION("""COMPUTED_VALUE"""),"Sports collectifs")</f>
        <v>Sports collectifs</v>
      </c>
      <c r="L3" t="str">
        <f>IFERROR(__xludf.DUMMYFUNCTION("""COMPUTED_VALUE"""),"Je fais toujours attention à bien manger")</f>
        <v>Je fais toujours attention à bien manger</v>
      </c>
      <c r="M3">
        <f>IFERROR(__xludf.DUMMYFUNCTION("""COMPUTED_VALUE"""),10.0)</f>
        <v>10</v>
      </c>
      <c r="N3" t="str">
        <f>IFERROR(__xludf.DUMMYFUNCTION("""COMPUTED_VALUE"""),"Une fois par jour (voire plus)")</f>
        <v>Une fois par jour (voire plus)</v>
      </c>
      <c r="O3" t="str">
        <f>IFERROR(__xludf.DUMMYFUNCTION("""COMPUTED_VALUE"""),"T'enflammes le dancefloor")</f>
        <v>T'enflammes le dancefloor</v>
      </c>
      <c r="P3">
        <f>IFERROR(__xludf.DUMMYFUNCTION("""COMPUTED_VALUE"""),1.0)</f>
        <v>1</v>
      </c>
      <c r="Q3" t="str">
        <f>IFERROR(__xludf.DUMMYFUNCTION("""COMPUTED_VALUE"""),"Non")</f>
        <v>Non</v>
      </c>
      <c r="R3" t="str">
        <f>IFERROR(__xludf.DUMMYFUNCTION("""COMPUTED_VALUE"""),"Non")</f>
        <v>Non</v>
      </c>
      <c r="S3" t="str">
        <f>IFERROR(__xludf.DUMMYFUNCTION("""COMPUTED_VALUE"""),"DPSU")</f>
        <v>DPSU</v>
      </c>
      <c r="T3" t="str">
        <f>IFERROR(__xludf.DUMMYFUNCTION("""COMPUTED_VALUE"""),"Aucune idée")</f>
        <v>Aucune idée</v>
      </c>
      <c r="U3" t="str">
        <f>IFERROR(__xludf.DUMMYFUNCTION("""COMPUTED_VALUE"""),"")</f>
        <v/>
      </c>
      <c r="V3" t="str">
        <f>IFERROR(__xludf.DUMMYFUNCTION("""COMPUTED_VALUE"""),"")</f>
        <v/>
      </c>
      <c r="W3" t="str">
        <f>IFERROR(__xludf.DUMMYFUNCTION("""COMPUTED_VALUE"""),"")</f>
        <v/>
      </c>
      <c r="X3" t="str">
        <f>IFERROR(__xludf.DUMMYFUNCTION("""COMPUTED_VALUE"""),"")</f>
        <v/>
      </c>
      <c r="Y3" t="str">
        <f>IFERROR(__xludf.DUMMYFUNCTION("""COMPUTED_VALUE"""),"")</f>
        <v/>
      </c>
      <c r="Z3" t="str">
        <f>IFERROR(__xludf.DUMMYFUNCTION("""COMPUTED_VALUE"""),"")</f>
        <v/>
      </c>
      <c r="AA3" t="str">
        <f>IFERROR(__xludf.DUMMYFUNCTION("""COMPUTED_VALUE"""),"")</f>
        <v/>
      </c>
      <c r="AB3" t="str">
        <f>IFERROR(__xludf.DUMMYFUNCTION("""COMPUTED_VALUE"""),"")</f>
        <v/>
      </c>
    </row>
    <row r="4">
      <c r="A4" s="2">
        <f>IFERROR(__xludf.DUMMYFUNCTION("""COMPUTED_VALUE"""),43626.63840519676)</f>
        <v>43626.63841</v>
      </c>
      <c r="B4" t="str">
        <f>IFERROR(__xludf.DUMMYFUNCTION("""COMPUTED_VALUE"""),"Kheira POUVREAU")</f>
        <v>Kheira POUVREAU</v>
      </c>
      <c r="C4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" t="str">
        <f>IFERROR(__xludf.DUMMYFUNCTION("""COMPUTED_VALUE"""),"BDE")</f>
        <v>BDE</v>
      </c>
      <c r="E4">
        <f>IFERROR(__xludf.DUMMYFUNCTION("""COMPUTED_VALUE"""),4.0)</f>
        <v>4</v>
      </c>
      <c r="F4" t="str">
        <f>IFERROR(__xludf.DUMMYFUNCTION("""COMPUTED_VALUE"""),"Rock, Pop, Musique fançaise")</f>
        <v>Rock, Pop, Musique fançaise</v>
      </c>
      <c r="G4" t="str">
        <f>IFERROR(__xludf.DUMMYFUNCTION("""COMPUTED_VALUE"""),"Danse, Théâtre")</f>
        <v>Danse, Théâtre</v>
      </c>
      <c r="H4" t="str">
        <f>IFERROR(__xludf.DUMMYFUNCTION("""COMPUTED_VALUE"""),"Une fois de temps en temps")</f>
        <v>Une fois de temps en temps</v>
      </c>
      <c r="I4" t="str">
        <f>IFERROR(__xludf.DUMMYFUNCTION("""COMPUTED_VALUE"""),"Plusieurs fois par semaine")</f>
        <v>Plusieurs fois par semaine</v>
      </c>
      <c r="J4" t="str">
        <f>IFERROR(__xludf.DUMMYFUNCTION("""COMPUTED_VALUE"""),"Pour la compet")</f>
        <v>Pour la compet</v>
      </c>
      <c r="K4" t="str">
        <f>IFERROR(__xludf.DUMMYFUNCTION("""COMPUTED_VALUE"""),"Sports collectifs, Autre")</f>
        <v>Sports collectifs, Autre</v>
      </c>
      <c r="L4" t="str">
        <f>IFERROR(__xludf.DUMMYFUNCTION("""COMPUTED_VALUE"""),"Je fais toujours attention à bien manger")</f>
        <v>Je fais toujours attention à bien manger</v>
      </c>
      <c r="M4">
        <f>IFERROR(__xludf.DUMMYFUNCTION("""COMPUTED_VALUE"""),6.0)</f>
        <v>6</v>
      </c>
      <c r="N4" t="str">
        <f>IFERROR(__xludf.DUMMYFUNCTION("""COMPUTED_VALUE"""),"Une fois par semaine")</f>
        <v>Une fois par semaine</v>
      </c>
      <c r="O4" t="str">
        <f>IFERROR(__xludf.DUMMYFUNCTION("""COMPUTED_VALUE"""),"T'enflammes le dancefloor")</f>
        <v>T'enflammes le dancefloor</v>
      </c>
      <c r="P4">
        <f>IFERROR(__xludf.DUMMYFUNCTION("""COMPUTED_VALUE"""),1.0)</f>
        <v>1</v>
      </c>
      <c r="Q4" t="str">
        <f>IFERROR(__xludf.DUMMYFUNCTION("""COMPUTED_VALUE"""),"Oui")</f>
        <v>Oui</v>
      </c>
      <c r="R4" t="str">
        <f>IFERROR(__xludf.DUMMYFUNCTION("""COMPUTED_VALUE"""),"Non")</f>
        <v>Non</v>
      </c>
      <c r="S4" t="str">
        <f>IFERROR(__xludf.DUMMYFUNCTION("""COMPUTED_VALUE"""),"DPSU")</f>
        <v>DPSU</v>
      </c>
      <c r="T4" t="str">
        <f>IFERROR(__xludf.DUMMYFUNCTION("""COMPUTED_VALUE"""),".")</f>
        <v>.</v>
      </c>
      <c r="U4" t="str">
        <f>IFERROR(__xludf.DUMMYFUNCTION("""COMPUTED_VALUE"""),"")</f>
        <v/>
      </c>
      <c r="V4" t="str">
        <f>IFERROR(__xludf.DUMMYFUNCTION("""COMPUTED_VALUE"""),"")</f>
        <v/>
      </c>
      <c r="W4" t="str">
        <f>IFERROR(__xludf.DUMMYFUNCTION("""COMPUTED_VALUE"""),"")</f>
        <v/>
      </c>
      <c r="X4" t="str">
        <f>IFERROR(__xludf.DUMMYFUNCTION("""COMPUTED_VALUE"""),"")</f>
        <v/>
      </c>
      <c r="Y4" t="str">
        <f>IFERROR(__xludf.DUMMYFUNCTION("""COMPUTED_VALUE"""),"")</f>
        <v/>
      </c>
      <c r="Z4" t="str">
        <f>IFERROR(__xludf.DUMMYFUNCTION("""COMPUTED_VALUE"""),"")</f>
        <v/>
      </c>
      <c r="AA4" t="str">
        <f>IFERROR(__xludf.DUMMYFUNCTION("""COMPUTED_VALUE"""),"")</f>
        <v/>
      </c>
      <c r="AB4" t="str">
        <f>IFERROR(__xludf.DUMMYFUNCTION("""COMPUTED_VALUE"""),"")</f>
        <v/>
      </c>
    </row>
    <row r="5">
      <c r="A5" s="2">
        <f>IFERROR(__xludf.DUMMYFUNCTION("""COMPUTED_VALUE"""),43626.65830123842)</f>
        <v>43626.6583</v>
      </c>
      <c r="B5" t="str">
        <f>IFERROR(__xludf.DUMMYFUNCTION("""COMPUTED_VALUE"""),"Jean ROMAN")</f>
        <v>Jean ROMAN</v>
      </c>
      <c r="C5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" t="str">
        <f>IFERROR(__xludf.DUMMYFUNCTION("""COMPUTED_VALUE"""),"BDS")</f>
        <v>BDS</v>
      </c>
      <c r="E5">
        <f>IFERROR(__xludf.DUMMYFUNCTION("""COMPUTED_VALUE"""),4.0)</f>
        <v>4</v>
      </c>
      <c r="F5" t="str">
        <f>IFERROR(__xludf.DUMMYFUNCTION("""COMPUTED_VALUE"""),"Electro posée, Electro hard, Pop, Autre")</f>
        <v>Electro posée, Electro hard, Pop, Autre</v>
      </c>
      <c r="G5" t="str">
        <f>IFERROR(__xludf.DUMMYFUNCTION("""COMPUTED_VALUE"""),"Littérature, Cinéma")</f>
        <v>Littérature, Cinéma</v>
      </c>
      <c r="H5" t="str">
        <f>IFERROR(__xludf.DUMMYFUNCTION("""COMPUTED_VALUE"""),"Quelques fois par semaine")</f>
        <v>Quelques fois par semaine</v>
      </c>
      <c r="I5" t="str">
        <f>IFERROR(__xludf.DUMMYFUNCTION("""COMPUTED_VALUE"""),"Plusieurs fois par semaine")</f>
        <v>Plusieurs fois par semaine</v>
      </c>
      <c r="J5" t="str">
        <f>IFERROR(__xludf.DUMMYFUNCTION("""COMPUTED_VALUE"""),"Pour le fun")</f>
        <v>Pour le fun</v>
      </c>
      <c r="K5" t="str">
        <f>IFERROR(__xludf.DUMMYFUNCTION("""COMPUTED_VALUE"""),"Autre")</f>
        <v>Autre</v>
      </c>
      <c r="L5" t="str">
        <f>IFERROR(__xludf.DUMMYFUNCTION("""COMPUTED_VALUE"""),"Oh oui, et les trucs bien gras ça me connait !")</f>
        <v>Oh oui, et les trucs bien gras ça me connait !</v>
      </c>
      <c r="M5">
        <f>IFERROR(__xludf.DUMMYFUNCTION("""COMPUTED_VALUE"""),10.0)</f>
        <v>10</v>
      </c>
      <c r="N5" t="str">
        <f>IFERROR(__xludf.DUMMYFUNCTION("""COMPUTED_VALUE"""),"Une fois par jour (voire plus)")</f>
        <v>Une fois par jour (voire plus)</v>
      </c>
      <c r="O5" t="str">
        <f>IFERROR(__xludf.DUMMYFUNCTION("""COMPUTED_VALUE"""),"Objectif grosse défonce")</f>
        <v>Objectif grosse défonce</v>
      </c>
      <c r="P5">
        <f>IFERROR(__xludf.DUMMYFUNCTION("""COMPUTED_VALUE"""),2.0)</f>
        <v>2</v>
      </c>
      <c r="Q5" t="str">
        <f>IFERROR(__xludf.DUMMYFUNCTION("""COMPUTED_VALUE"""),"Oui")</f>
        <v>Oui</v>
      </c>
      <c r="R5" t="str">
        <f>IFERROR(__xludf.DUMMYFUNCTION("""COMPUTED_VALUE"""),"Non")</f>
        <v>Non</v>
      </c>
      <c r="S5" t="str">
        <f>IFERROR(__xludf.DUMMYFUNCTION("""COMPUTED_VALUE"""),"DPSU")</f>
        <v>DPSU</v>
      </c>
      <c r="T5" t="str">
        <f>IFERROR(__xludf.DUMMYFUNCTION("""COMPUTED_VALUE"""),"Un cubi de sangria (vide, évidement, pas d'alcool dans Centrale)")</f>
        <v>Un cubi de sangria (vide, évidement, pas d'alcool dans Centrale)</v>
      </c>
      <c r="U5" t="str">
        <f>IFERROR(__xludf.DUMMYFUNCTION("""COMPUTED_VALUE"""),"")</f>
        <v/>
      </c>
      <c r="V5" t="str">
        <f>IFERROR(__xludf.DUMMYFUNCTION("""COMPUTED_VALUE"""),"")</f>
        <v/>
      </c>
      <c r="W5" t="str">
        <f>IFERROR(__xludf.DUMMYFUNCTION("""COMPUTED_VALUE"""),"")</f>
        <v/>
      </c>
      <c r="X5" t="str">
        <f>IFERROR(__xludf.DUMMYFUNCTION("""COMPUTED_VALUE"""),"")</f>
        <v/>
      </c>
      <c r="Y5" t="str">
        <f>IFERROR(__xludf.DUMMYFUNCTION("""COMPUTED_VALUE"""),"")</f>
        <v/>
      </c>
      <c r="Z5" t="str">
        <f>IFERROR(__xludf.DUMMYFUNCTION("""COMPUTED_VALUE"""),"")</f>
        <v/>
      </c>
      <c r="AA5" t="str">
        <f>IFERROR(__xludf.DUMMYFUNCTION("""COMPUTED_VALUE"""),"")</f>
        <v/>
      </c>
      <c r="AB5" t="str">
        <f>IFERROR(__xludf.DUMMYFUNCTION("""COMPUTED_VALUE"""),"")</f>
        <v/>
      </c>
    </row>
    <row r="6">
      <c r="A6" s="2">
        <f>IFERROR(__xludf.DUMMYFUNCTION("""COMPUTED_VALUE"""),43626.6942934375)</f>
        <v>43626.69429</v>
      </c>
      <c r="B6" t="str">
        <f>IFERROR(__xludf.DUMMYFUNCTION("""COMPUTED_VALUE"""),"Alexis Birée")</f>
        <v>Alexis Birée</v>
      </c>
      <c r="C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" t="str">
        <f>IFERROR(__xludf.DUMMYFUNCTION("""COMPUTED_VALUE"""),"BDS")</f>
        <v>BDS</v>
      </c>
      <c r="E6">
        <f>IFERROR(__xludf.DUMMYFUNCTION("""COMPUTED_VALUE"""),2.0)</f>
        <v>2</v>
      </c>
      <c r="F6" t="str">
        <f>IFERROR(__xludf.DUMMYFUNCTION("""COMPUTED_VALUE"""),"Rock, Pop")</f>
        <v>Rock, Pop</v>
      </c>
      <c r="G6" t="str">
        <f>IFERROR(__xludf.DUMMYFUNCTION("""COMPUTED_VALUE"""),"Musique, Cinéma")</f>
        <v>Musique, Cinéma</v>
      </c>
      <c r="H6" t="str">
        <f>IFERROR(__xludf.DUMMYFUNCTION("""COMPUTED_VALUE"""),"Seulement les soirs de pleine lune")</f>
        <v>Seulement les soirs de pleine lune</v>
      </c>
      <c r="I6" t="str">
        <f>IFERROR(__xludf.DUMMYFUNCTION("""COMPUTED_VALUE"""),"Plusieurs fois par semaine")</f>
        <v>Plusieurs fois par semaine</v>
      </c>
      <c r="J6" t="str">
        <f>IFERROR(__xludf.DUMMYFUNCTION("""COMPUTED_VALUE"""),"Pour le développement perso et se dépasser")</f>
        <v>Pour le développement perso et se dépasser</v>
      </c>
      <c r="K6" t="str">
        <f>IFERROR(__xludf.DUMMYFUNCTION("""COMPUTED_VALUE"""),"Sports collectifs, Autre")</f>
        <v>Sports collectifs, Autre</v>
      </c>
      <c r="L6" t="str">
        <f>IFERROR(__xludf.DUMMYFUNCTION("""COMPUTED_VALUE"""),"Je fais toujours attention à bien manger")</f>
        <v>Je fais toujours attention à bien manger</v>
      </c>
      <c r="M6">
        <f>IFERROR(__xludf.DUMMYFUNCTION("""COMPUTED_VALUE"""),5.0)</f>
        <v>5</v>
      </c>
      <c r="N6" t="str">
        <f>IFERROR(__xludf.DUMMYFUNCTION("""COMPUTED_VALUE"""),"Une fois par mois")</f>
        <v>Une fois par mois</v>
      </c>
      <c r="O6" t="str">
        <f>IFERROR(__xludf.DUMMYFUNCTION("""COMPUTED_VALUE"""),"Objectif grosse défonce")</f>
        <v>Objectif grosse défonce</v>
      </c>
      <c r="P6">
        <f>IFERROR(__xludf.DUMMYFUNCTION("""COMPUTED_VALUE"""),1.0)</f>
        <v>1</v>
      </c>
      <c r="Q6" t="str">
        <f>IFERROR(__xludf.DUMMYFUNCTION("""COMPUTED_VALUE"""),"Oui")</f>
        <v>Oui</v>
      </c>
      <c r="R6" t="str">
        <f>IFERROR(__xludf.DUMMYFUNCTION("""COMPUTED_VALUE"""),"Non")</f>
        <v>Non</v>
      </c>
      <c r="S6" t="str">
        <f>IFERROR(__xludf.DUMMYFUNCTION("""COMPUTED_VALUE"""),"Le Bordel")</f>
        <v>Le Bordel</v>
      </c>
      <c r="T6" t="str">
        <f>IFERROR(__xludf.DUMMYFUNCTION("""COMPUTED_VALUE"""),"Surprise")</f>
        <v>Surprise</v>
      </c>
      <c r="U6" t="str">
        <f>IFERROR(__xludf.DUMMYFUNCTION("""COMPUTED_VALUE"""),"")</f>
        <v/>
      </c>
      <c r="V6" t="str">
        <f>IFERROR(__xludf.DUMMYFUNCTION("""COMPUTED_VALUE"""),"")</f>
        <v/>
      </c>
      <c r="W6" t="str">
        <f>IFERROR(__xludf.DUMMYFUNCTION("""COMPUTED_VALUE"""),"")</f>
        <v/>
      </c>
      <c r="X6" t="str">
        <f>IFERROR(__xludf.DUMMYFUNCTION("""COMPUTED_VALUE"""),"")</f>
        <v/>
      </c>
      <c r="Y6" t="str">
        <f>IFERROR(__xludf.DUMMYFUNCTION("""COMPUTED_VALUE"""),"")</f>
        <v/>
      </c>
      <c r="Z6" t="str">
        <f>IFERROR(__xludf.DUMMYFUNCTION("""COMPUTED_VALUE"""),"")</f>
        <v/>
      </c>
      <c r="AA6" t="str">
        <f>IFERROR(__xludf.DUMMYFUNCTION("""COMPUTED_VALUE"""),"")</f>
        <v/>
      </c>
      <c r="AB6" t="str">
        <f>IFERROR(__xludf.DUMMYFUNCTION("""COMPUTED_VALUE"""),"")</f>
        <v/>
      </c>
    </row>
    <row r="7">
      <c r="A7" s="2">
        <f>IFERROR(__xludf.DUMMYFUNCTION("""COMPUTED_VALUE"""),43626.72473332176)</f>
        <v>43626.72473</v>
      </c>
      <c r="B7" t="str">
        <f>IFERROR(__xludf.DUMMYFUNCTION("""COMPUTED_VALUE"""),"Jeanne SUDOUR")</f>
        <v>Jeanne SUDOUR</v>
      </c>
      <c r="C7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" t="str">
        <f>IFERROR(__xludf.DUMMYFUNCTION("""COMPUTED_VALUE"""),"BDS")</f>
        <v>BDS</v>
      </c>
      <c r="E7">
        <f>IFERROR(__xludf.DUMMYFUNCTION("""COMPUTED_VALUE"""),4.0)</f>
        <v>4</v>
      </c>
      <c r="F7" t="str">
        <f>IFERROR(__xludf.DUMMYFUNCTION("""COMPUTED_VALUE"""),"Rock, Electro posée, Rap, Pop")</f>
        <v>Rock, Electro posée, Rap, Pop</v>
      </c>
      <c r="G7" t="str">
        <f>IFERROR(__xludf.DUMMYFUNCTION("""COMPUTED_VALUE"""),"Littérature, Danse")</f>
        <v>Littérature, Danse</v>
      </c>
      <c r="H7" t="str">
        <f>IFERROR(__xludf.DUMMYFUNCTION("""COMPUTED_VALUE"""),"Seulement les soirs de pleine lune")</f>
        <v>Seulement les soirs de pleine lune</v>
      </c>
      <c r="I7" t="str">
        <f>IFERROR(__xludf.DUMMYFUNCTION("""COMPUTED_VALUE"""),"Une fois par semaine")</f>
        <v>Une fois par semaine</v>
      </c>
      <c r="J7" t="str">
        <f>IFERROR(__xludf.DUMMYFUNCTION("""COMPUTED_VALUE"""),"Pour le développement perso et se dépasser")</f>
        <v>Pour le développement perso et se dépasser</v>
      </c>
      <c r="K7" t="str">
        <f>IFERROR(__xludf.DUMMYFUNCTION("""COMPUTED_VALUE"""),"Autre")</f>
        <v>Autre</v>
      </c>
      <c r="L7" t="str">
        <f>IFERROR(__xludf.DUMMYFUNCTION("""COMPUTED_VALUE"""),"Alterner entre grec et coquillettes ça compte ?")</f>
        <v>Alterner entre grec et coquillettes ça compte ?</v>
      </c>
      <c r="M7">
        <f>IFERROR(__xludf.DUMMYFUNCTION("""COMPUTED_VALUE"""),9.0)</f>
        <v>9</v>
      </c>
      <c r="N7" t="str">
        <f>IFERROR(__xludf.DUMMYFUNCTION("""COMPUTED_VALUE"""),"Plusieurs fois par semaine")</f>
        <v>Plusieurs fois par semaine</v>
      </c>
      <c r="O7" t="str">
        <f>IFERROR(__xludf.DUMMYFUNCTION("""COMPUTED_VALUE"""),"Objectif grosse défonce")</f>
        <v>Objectif grosse défonce</v>
      </c>
      <c r="P7">
        <f>IFERROR(__xludf.DUMMYFUNCTION("""COMPUTED_VALUE"""),1.0)</f>
        <v>1</v>
      </c>
      <c r="Q7" t="str">
        <f>IFERROR(__xludf.DUMMYFUNCTION("""COMPUTED_VALUE"""),"Non")</f>
        <v>Non</v>
      </c>
      <c r="R7" t="str">
        <f>IFERROR(__xludf.DUMMYFUNCTION("""COMPUTED_VALUE"""),"Non")</f>
        <v>Non</v>
      </c>
      <c r="S7" t="str">
        <f>IFERROR(__xludf.DUMMYFUNCTION("""COMPUTED_VALUE"""),"DPSU")</f>
        <v>DPSU</v>
      </c>
      <c r="T7" t="str">
        <f>IFERROR(__xludf.DUMMYFUNCTION("""COMPUTED_VALUE"""),"Je ne sais pas encore")</f>
        <v>Je ne sais pas encore</v>
      </c>
      <c r="U7" t="str">
        <f>IFERROR(__xludf.DUMMYFUNCTION("""COMPUTED_VALUE"""),"")</f>
        <v/>
      </c>
      <c r="V7" t="str">
        <f>IFERROR(__xludf.DUMMYFUNCTION("""COMPUTED_VALUE"""),"")</f>
        <v/>
      </c>
      <c r="W7" t="str">
        <f>IFERROR(__xludf.DUMMYFUNCTION("""COMPUTED_VALUE"""),"")</f>
        <v/>
      </c>
      <c r="X7" t="str">
        <f>IFERROR(__xludf.DUMMYFUNCTION("""COMPUTED_VALUE"""),"")</f>
        <v/>
      </c>
      <c r="Y7" t="str">
        <f>IFERROR(__xludf.DUMMYFUNCTION("""COMPUTED_VALUE"""),"")</f>
        <v/>
      </c>
      <c r="Z7" t="str">
        <f>IFERROR(__xludf.DUMMYFUNCTION("""COMPUTED_VALUE"""),"")</f>
        <v/>
      </c>
      <c r="AA7" t="str">
        <f>IFERROR(__xludf.DUMMYFUNCTION("""COMPUTED_VALUE"""),"")</f>
        <v/>
      </c>
      <c r="AB7" t="str">
        <f>IFERROR(__xludf.DUMMYFUNCTION("""COMPUTED_VALUE"""),"")</f>
        <v/>
      </c>
    </row>
    <row r="8">
      <c r="A8" s="2">
        <f>IFERROR(__xludf.DUMMYFUNCTION("""COMPUTED_VALUE"""),43626.694934976855)</f>
        <v>43626.69493</v>
      </c>
      <c r="B8" t="str">
        <f>IFERROR(__xludf.DUMMYFUNCTION("""COMPUTED_VALUE"""),"Laura DRAUX")</f>
        <v>Laura DRAUX</v>
      </c>
      <c r="C8" t="str">
        <f>IFERROR(__xludf.DUMMYFUNCTION("""COMPUTED_VALUE"""),"Le président et un inconnu")</f>
        <v>Le président et un inconnu</v>
      </c>
      <c r="D8" t="str">
        <f>IFERROR(__xludf.DUMMYFUNCTION("""COMPUTED_VALUE"""),"BDS")</f>
        <v>BDS</v>
      </c>
      <c r="E8">
        <f>IFERROR(__xludf.DUMMYFUNCTION("""COMPUTED_VALUE"""),3.0)</f>
        <v>3</v>
      </c>
      <c r="F8" t="str">
        <f>IFERROR(__xludf.DUMMYFUNCTION("""COMPUTED_VALUE"""),"Rap, Pop")</f>
        <v>Rap, Pop</v>
      </c>
      <c r="G8" t="str">
        <f>IFERROR(__xludf.DUMMYFUNCTION("""COMPUTED_VALUE"""),"Pas du tout")</f>
        <v>Pas du tout</v>
      </c>
      <c r="H8" t="str">
        <f>IFERROR(__xludf.DUMMYFUNCTION("""COMPUTED_VALUE"""),"Seulement les soirs de pleine lune")</f>
        <v>Seulement les soirs de pleine lune</v>
      </c>
      <c r="I8" t="str">
        <f>IFERROR(__xludf.DUMMYFUNCTION("""COMPUTED_VALUE"""),"Plusieurs fois par semaine")</f>
        <v>Plusieurs fois par semaine</v>
      </c>
      <c r="J8" t="str">
        <f>IFERROR(__xludf.DUMMYFUNCTION("""COMPUTED_VALUE"""),"Pour le développement perso et se dépasser")</f>
        <v>Pour le développement perso et se dépasser</v>
      </c>
      <c r="K8" t="str">
        <f>IFERROR(__xludf.DUMMYFUNCTION("""COMPUTED_VALUE"""),"Equitation, Autre")</f>
        <v>Equitation, Autre</v>
      </c>
      <c r="L8" t="str">
        <f>IFERROR(__xludf.DUMMYFUNCTION("""COMPUTED_VALUE"""),"Je fais toujours attention à bien manger")</f>
        <v>Je fais toujours attention à bien manger</v>
      </c>
      <c r="M8">
        <f>IFERROR(__xludf.DUMMYFUNCTION("""COMPUTED_VALUE"""),5.0)</f>
        <v>5</v>
      </c>
      <c r="N8" t="str">
        <f>IFERROR(__xludf.DUMMYFUNCTION("""COMPUTED_VALUE"""),"Une fois par semaine")</f>
        <v>Une fois par semaine</v>
      </c>
      <c r="O8" t="str">
        <f>IFERROR(__xludf.DUMMYFUNCTION("""COMPUTED_VALUE"""),"Objectif grosse défonce")</f>
        <v>Objectif grosse défonce</v>
      </c>
      <c r="P8">
        <f>IFERROR(__xludf.DUMMYFUNCTION("""COMPUTED_VALUE"""),5.0)</f>
        <v>5</v>
      </c>
      <c r="Q8" t="str">
        <f>IFERROR(__xludf.DUMMYFUNCTION("""COMPUTED_VALUE"""),"Oui")</f>
        <v>Oui</v>
      </c>
      <c r="R8" t="str">
        <f>IFERROR(__xludf.DUMMYFUNCTION("""COMPUTED_VALUE"""),"Non")</f>
        <v>Non</v>
      </c>
      <c r="S8" t="str">
        <f>IFERROR(__xludf.DUMMYFUNCTION("""COMPUTED_VALUE"""),"Le Bordel")</f>
        <v>Le Bordel</v>
      </c>
      <c r="T8" t="str">
        <f>IFERROR(__xludf.DUMMYFUNCTION("""COMPUTED_VALUE"""),"Je sais pas")</f>
        <v>Je sais pas</v>
      </c>
      <c r="U8" t="str">
        <f>IFERROR(__xludf.DUMMYFUNCTION("""COMPUTED_VALUE"""),"")</f>
        <v/>
      </c>
      <c r="V8" t="str">
        <f>IFERROR(__xludf.DUMMYFUNCTION("""COMPUTED_VALUE"""),"")</f>
        <v/>
      </c>
      <c r="W8" t="str">
        <f>IFERROR(__xludf.DUMMYFUNCTION("""COMPUTED_VALUE"""),"")</f>
        <v/>
      </c>
      <c r="X8" t="str">
        <f>IFERROR(__xludf.DUMMYFUNCTION("""COMPUTED_VALUE"""),"")</f>
        <v/>
      </c>
      <c r="Y8" t="str">
        <f>IFERROR(__xludf.DUMMYFUNCTION("""COMPUTED_VALUE"""),"")</f>
        <v/>
      </c>
      <c r="Z8" t="str">
        <f>IFERROR(__xludf.DUMMYFUNCTION("""COMPUTED_VALUE"""),"")</f>
        <v/>
      </c>
      <c r="AA8" t="str">
        <f>IFERROR(__xludf.DUMMYFUNCTION("""COMPUTED_VALUE"""),"")</f>
        <v/>
      </c>
      <c r="AB8" t="str">
        <f>IFERROR(__xludf.DUMMYFUNCTION("""COMPUTED_VALUE"""),"")</f>
        <v/>
      </c>
    </row>
    <row r="9">
      <c r="A9" s="2">
        <f>IFERROR(__xludf.DUMMYFUNCTION("""COMPUTED_VALUE"""),43626.694981990746)</f>
        <v>43626.69498</v>
      </c>
      <c r="B9" t="str">
        <f>IFERROR(__xludf.DUMMYFUNCTION("""COMPUTED_VALUE"""),"Célia CHABRANT")</f>
        <v>Célia CHABRANT</v>
      </c>
      <c r="C9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" t="str">
        <f>IFERROR(__xludf.DUMMYFUNCTION("""COMPUTED_VALUE"""),"BDS")</f>
        <v>BDS</v>
      </c>
      <c r="E9">
        <f>IFERROR(__xludf.DUMMYFUNCTION("""COMPUTED_VALUE"""),4.0)</f>
        <v>4</v>
      </c>
      <c r="F9" t="str">
        <f>IFERROR(__xludf.DUMMYFUNCTION("""COMPUTED_VALUE"""),"Rock, Rap, Pop, Musique fançaise")</f>
        <v>Rock, Rap, Pop, Musique fançaise</v>
      </c>
      <c r="G9" t="str">
        <f>IFERROR(__xludf.DUMMYFUNCTION("""COMPUTED_VALUE"""),"Littérature, Danse, Musique, Cinéma")</f>
        <v>Littérature, Danse, Musique, Cinéma</v>
      </c>
      <c r="H9" t="str">
        <f>IFERROR(__xludf.DUMMYFUNCTION("""COMPUTED_VALUE"""),"Seulement les soirs de pleine lune")</f>
        <v>Seulement les soirs de pleine lune</v>
      </c>
      <c r="I9" t="str">
        <f>IFERROR(__xludf.DUMMYFUNCTION("""COMPUTED_VALUE"""),"Plusieurs fois par semaine")</f>
        <v>Plusieurs fois par semaine</v>
      </c>
      <c r="J9" t="str">
        <f>IFERROR(__xludf.DUMMYFUNCTION("""COMPUTED_VALUE"""),"Pour le fun")</f>
        <v>Pour le fun</v>
      </c>
      <c r="K9" t="str">
        <f>IFERROR(__xludf.DUMMYFUNCTION("""COMPUTED_VALUE"""),"Sports collectifs, Equitation, Escalade")</f>
        <v>Sports collectifs, Equitation, Escalade</v>
      </c>
      <c r="L9" t="str">
        <f>IFERROR(__xludf.DUMMYFUNCTION("""COMPUTED_VALUE"""),"J'aime cuisiner le WE ou quand j'ai le temps")</f>
        <v>J'aime cuisiner le WE ou quand j'ai le temps</v>
      </c>
      <c r="M9">
        <f>IFERROR(__xludf.DUMMYFUNCTION("""COMPUTED_VALUE"""),8.0)</f>
        <v>8</v>
      </c>
      <c r="N9" t="str">
        <f>IFERROR(__xludf.DUMMYFUNCTION("""COMPUTED_VALUE"""),"Plusieurs fois par semaine")</f>
        <v>Plusieurs fois par semaine</v>
      </c>
      <c r="O9" t="str">
        <f>IFERROR(__xludf.DUMMYFUNCTION("""COMPUTED_VALUE"""),"T'enflammes le dancefloor")</f>
        <v>T'enflammes le dancefloor</v>
      </c>
      <c r="P9">
        <f>IFERROR(__xludf.DUMMYFUNCTION("""COMPUTED_VALUE"""),1.0)</f>
        <v>1</v>
      </c>
      <c r="Q9" t="str">
        <f>IFERROR(__xludf.DUMMYFUNCTION("""COMPUTED_VALUE"""),"Oui")</f>
        <v>Oui</v>
      </c>
      <c r="R9" t="str">
        <f>IFERROR(__xludf.DUMMYFUNCTION("""COMPUTED_VALUE"""),"Non")</f>
        <v>Non</v>
      </c>
      <c r="S9" t="str">
        <f>IFERROR(__xludf.DUMMYFUNCTION("""COMPUTED_VALUE"""),"Le Bordel")</f>
        <v>Le Bordel</v>
      </c>
      <c r="T9" t="str">
        <f>IFERROR(__xludf.DUMMYFUNCTION("""COMPUTED_VALUE"""),"On verra")</f>
        <v>On verra</v>
      </c>
      <c r="U9" t="str">
        <f>IFERROR(__xludf.DUMMYFUNCTION("""COMPUTED_VALUE"""),"")</f>
        <v/>
      </c>
      <c r="V9" t="str">
        <f>IFERROR(__xludf.DUMMYFUNCTION("""COMPUTED_VALUE"""),"")</f>
        <v/>
      </c>
      <c r="W9" t="str">
        <f>IFERROR(__xludf.DUMMYFUNCTION("""COMPUTED_VALUE"""),"")</f>
        <v/>
      </c>
      <c r="X9" t="str">
        <f>IFERROR(__xludf.DUMMYFUNCTION("""COMPUTED_VALUE"""),"")</f>
        <v/>
      </c>
      <c r="Y9" t="str">
        <f>IFERROR(__xludf.DUMMYFUNCTION("""COMPUTED_VALUE"""),"")</f>
        <v/>
      </c>
      <c r="Z9" t="str">
        <f>IFERROR(__xludf.DUMMYFUNCTION("""COMPUTED_VALUE"""),"")</f>
        <v/>
      </c>
      <c r="AA9" t="str">
        <f>IFERROR(__xludf.DUMMYFUNCTION("""COMPUTED_VALUE"""),"")</f>
        <v/>
      </c>
      <c r="AB9" t="str">
        <f>IFERROR(__xludf.DUMMYFUNCTION("""COMPUTED_VALUE"""),"")</f>
        <v/>
      </c>
    </row>
    <row r="10">
      <c r="A10" s="2">
        <f>IFERROR(__xludf.DUMMYFUNCTION("""COMPUTED_VALUE"""),43626.699506006946)</f>
        <v>43626.69951</v>
      </c>
      <c r="B10" t="str">
        <f>IFERROR(__xludf.DUMMYFUNCTION("""COMPUTED_VALUE"""),"Pablo CARDONA ALVAREZ")</f>
        <v>Pablo CARDONA ALVAREZ</v>
      </c>
      <c r="C10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" t="str">
        <f>IFERROR(__xludf.DUMMYFUNCTION("""COMPUTED_VALUE"""),"BDS")</f>
        <v>BDS</v>
      </c>
      <c r="E10">
        <f>IFERROR(__xludf.DUMMYFUNCTION("""COMPUTED_VALUE"""),3.0)</f>
        <v>3</v>
      </c>
      <c r="F10" t="str">
        <f>IFERROR(__xludf.DUMMYFUNCTION("""COMPUTED_VALUE"""),"Rock, Electro posée, Pop")</f>
        <v>Rock, Electro posée, Pop</v>
      </c>
      <c r="G10" t="str">
        <f>IFERROR(__xludf.DUMMYFUNCTION("""COMPUTED_VALUE"""),"Peinture, Musique, Cinéma")</f>
        <v>Peinture, Musique, Cinéma</v>
      </c>
      <c r="H10" t="str">
        <f>IFERROR(__xludf.DUMMYFUNCTION("""COMPUTED_VALUE"""),"Une fois de temps en temps")</f>
        <v>Une fois de temps en temps</v>
      </c>
      <c r="I10" t="str">
        <f>IFERROR(__xludf.DUMMYFUNCTION("""COMPUTED_VALUE"""),"Plusieurs fois par semaine")</f>
        <v>Plusieurs fois par semaine</v>
      </c>
      <c r="J10" t="str">
        <f>IFERROR(__xludf.DUMMYFUNCTION("""COMPUTED_VALUE"""),"Pour la compet")</f>
        <v>Pour la compet</v>
      </c>
      <c r="K10" t="str">
        <f>IFERROR(__xludf.DUMMYFUNCTION("""COMPUTED_VALUE"""),"Sports collectifs, Sports de raquette")</f>
        <v>Sports collectifs, Sports de raquette</v>
      </c>
      <c r="L10" t="str">
        <f>IFERROR(__xludf.DUMMYFUNCTION("""COMPUTED_VALUE"""),"Je fais toujours attention à bien manger")</f>
        <v>Je fais toujours attention à bien manger</v>
      </c>
      <c r="M10">
        <f>IFERROR(__xludf.DUMMYFUNCTION("""COMPUTED_VALUE"""),7.0)</f>
        <v>7</v>
      </c>
      <c r="N10" t="str">
        <f>IFERROR(__xludf.DUMMYFUNCTION("""COMPUTED_VALUE"""),"Une fois par semaine")</f>
        <v>Une fois par semaine</v>
      </c>
      <c r="O10" t="str">
        <f>IFERROR(__xludf.DUMMYFUNCTION("""COMPUTED_VALUE"""),"Tu te poses dans un coin, chill !!")</f>
        <v>Tu te poses dans un coin, chill !!</v>
      </c>
      <c r="P10">
        <f>IFERROR(__xludf.DUMMYFUNCTION("""COMPUTED_VALUE"""),1.0)</f>
        <v>1</v>
      </c>
      <c r="Q10" t="str">
        <f>IFERROR(__xludf.DUMMYFUNCTION("""COMPUTED_VALUE"""),"Non")</f>
        <v>Non</v>
      </c>
      <c r="R10" t="str">
        <f>IFERROR(__xludf.DUMMYFUNCTION("""COMPUTED_VALUE"""),"Non")</f>
        <v>Non</v>
      </c>
      <c r="S10" t="str">
        <f>IFERROR(__xludf.DUMMYFUNCTION("""COMPUTED_VALUE"""),"La Glotte")</f>
        <v>La Glotte</v>
      </c>
      <c r="T10" t="str">
        <f>IFERROR(__xludf.DUMMYFUNCTION("""COMPUTED_VALUE"""),"Écharpe ( Valencia C.F. )")</f>
        <v>Écharpe ( Valencia C.F. )</v>
      </c>
      <c r="U10" t="str">
        <f>IFERROR(__xludf.DUMMYFUNCTION("""COMPUTED_VALUE"""),"")</f>
        <v/>
      </c>
      <c r="V10" t="str">
        <f>IFERROR(__xludf.DUMMYFUNCTION("""COMPUTED_VALUE"""),"")</f>
        <v/>
      </c>
      <c r="W10" t="str">
        <f>IFERROR(__xludf.DUMMYFUNCTION("""COMPUTED_VALUE"""),"")</f>
        <v/>
      </c>
      <c r="X10" t="str">
        <f>IFERROR(__xludf.DUMMYFUNCTION("""COMPUTED_VALUE"""),"")</f>
        <v/>
      </c>
      <c r="Y10" t="str">
        <f>IFERROR(__xludf.DUMMYFUNCTION("""COMPUTED_VALUE"""),"")</f>
        <v/>
      </c>
      <c r="Z10" t="str">
        <f>IFERROR(__xludf.DUMMYFUNCTION("""COMPUTED_VALUE"""),"")</f>
        <v/>
      </c>
      <c r="AA10" t="str">
        <f>IFERROR(__xludf.DUMMYFUNCTION("""COMPUTED_VALUE"""),"")</f>
        <v/>
      </c>
      <c r="AB10" t="str">
        <f>IFERROR(__xludf.DUMMYFUNCTION("""COMPUTED_VALUE"""),"")</f>
        <v/>
      </c>
    </row>
    <row r="11">
      <c r="A11" s="2">
        <f>IFERROR(__xludf.DUMMYFUNCTION("""COMPUTED_VALUE"""),43626.73847837963)</f>
        <v>43626.73848</v>
      </c>
      <c r="B11" t="str">
        <f>IFERROR(__xludf.DUMMYFUNCTION("""COMPUTED_VALUE"""),"Enzo MORI")</f>
        <v>Enzo MORI</v>
      </c>
      <c r="C1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" t="str">
        <f>IFERROR(__xludf.DUMMYFUNCTION("""COMPUTED_VALUE"""),"BDS")</f>
        <v>BDS</v>
      </c>
      <c r="E11">
        <f>IFERROR(__xludf.DUMMYFUNCTION("""COMPUTED_VALUE"""),3.0)</f>
        <v>3</v>
      </c>
      <c r="F11" t="str">
        <f>IFERROR(__xludf.DUMMYFUNCTION("""COMPUTED_VALUE"""),"Electro posée, Electro hard, Rap, Pop, Musique fançaise")</f>
        <v>Electro posée, Electro hard, Rap, Pop, Musique fançaise</v>
      </c>
      <c r="G11" t="str">
        <f>IFERROR(__xludf.DUMMYFUNCTION("""COMPUTED_VALUE"""),"Pas du tout")</f>
        <v>Pas du tout</v>
      </c>
      <c r="H11" t="str">
        <f>IFERROR(__xludf.DUMMYFUNCTION("""COMPUTED_VALUE"""),"Une fois de temps en temps")</f>
        <v>Une fois de temps en temps</v>
      </c>
      <c r="I11" t="str">
        <f>IFERROR(__xludf.DUMMYFUNCTION("""COMPUTED_VALUE"""),"Une fois par jour")</f>
        <v>Une fois par jour</v>
      </c>
      <c r="J11" t="str">
        <f>IFERROR(__xludf.DUMMYFUNCTION("""COMPUTED_VALUE"""),"Pour la compet")</f>
        <v>Pour la compet</v>
      </c>
      <c r="K11" t="str">
        <f>IFERROR(__xludf.DUMMYFUNCTION("""COMPUTED_VALUE"""),"Sports collectifs, Sports de raquette, Sports aquatiques")</f>
        <v>Sports collectifs, Sports de raquette, Sports aquatiques</v>
      </c>
      <c r="L11" t="str">
        <f>IFERROR(__xludf.DUMMYFUNCTION("""COMPUTED_VALUE"""),"J'aime cuisiner le WE ou quand j'ai le temps")</f>
        <v>J'aime cuisiner le WE ou quand j'ai le temps</v>
      </c>
      <c r="M11">
        <f>IFERROR(__xludf.DUMMYFUNCTION("""COMPUTED_VALUE"""),8.0)</f>
        <v>8</v>
      </c>
      <c r="N11" t="str">
        <f>IFERROR(__xludf.DUMMYFUNCTION("""COMPUTED_VALUE"""),"Une fois par jour (voire plus)")</f>
        <v>Une fois par jour (voire plus)</v>
      </c>
      <c r="O11" t="str">
        <f>IFERROR(__xludf.DUMMYFUNCTION("""COMPUTED_VALUE"""),"Objectif grosse défonce")</f>
        <v>Objectif grosse défonce</v>
      </c>
      <c r="P11">
        <f>IFERROR(__xludf.DUMMYFUNCTION("""COMPUTED_VALUE"""),2.0)</f>
        <v>2</v>
      </c>
      <c r="Q11" t="str">
        <f>IFERROR(__xludf.DUMMYFUNCTION("""COMPUTED_VALUE"""),"Non")</f>
        <v>Non</v>
      </c>
      <c r="R11" t="str">
        <f>IFERROR(__xludf.DUMMYFUNCTION("""COMPUTED_VALUE"""),"Non")</f>
        <v>Non</v>
      </c>
      <c r="S11" t="str">
        <f>IFERROR(__xludf.DUMMYFUNCTION("""COMPUTED_VALUE"""),"Consulm3ow")</f>
        <v>Consulm3ow</v>
      </c>
      <c r="T11" t="str">
        <f>IFERROR(__xludf.DUMMYFUNCTION("""COMPUTED_VALUE"""),"Une cuillère ")</f>
        <v>Une cuillère </v>
      </c>
      <c r="U11" t="str">
        <f>IFERROR(__xludf.DUMMYFUNCTION("""COMPUTED_VALUE"""),"")</f>
        <v/>
      </c>
      <c r="V11" t="str">
        <f>IFERROR(__xludf.DUMMYFUNCTION("""COMPUTED_VALUE"""),"")</f>
        <v/>
      </c>
      <c r="W11" t="str">
        <f>IFERROR(__xludf.DUMMYFUNCTION("""COMPUTED_VALUE"""),"")</f>
        <v/>
      </c>
      <c r="X11" t="str">
        <f>IFERROR(__xludf.DUMMYFUNCTION("""COMPUTED_VALUE"""),"")</f>
        <v/>
      </c>
      <c r="Y11" t="str">
        <f>IFERROR(__xludf.DUMMYFUNCTION("""COMPUTED_VALUE"""),"")</f>
        <v/>
      </c>
      <c r="Z11" t="str">
        <f>IFERROR(__xludf.DUMMYFUNCTION("""COMPUTED_VALUE"""),"")</f>
        <v/>
      </c>
      <c r="AA11" t="str">
        <f>IFERROR(__xludf.DUMMYFUNCTION("""COMPUTED_VALUE"""),"")</f>
        <v/>
      </c>
      <c r="AB11" t="str">
        <f>IFERROR(__xludf.DUMMYFUNCTION("""COMPUTED_VALUE"""),"")</f>
        <v/>
      </c>
    </row>
    <row r="12">
      <c r="A12" s="2">
        <f>IFERROR(__xludf.DUMMYFUNCTION("""COMPUTED_VALUE"""),43626.73280854167)</f>
        <v>43626.73281</v>
      </c>
      <c r="B12" t="str">
        <f>IFERROR(__xludf.DUMMYFUNCTION("""COMPUTED_VALUE"""),"Apolline Gorry")</f>
        <v>Apolline Gorry</v>
      </c>
      <c r="C12" t="str">
        <f>IFERROR(__xludf.DUMMYFUNCTION("""COMPUTED_VALUE"""),"Deux inconnus")</f>
        <v>Deux inconnus</v>
      </c>
      <c r="D12" t="str">
        <f>IFERROR(__xludf.DUMMYFUNCTION("""COMPUTED_VALUE"""),"BDE")</f>
        <v>BDE</v>
      </c>
      <c r="E12">
        <f>IFERROR(__xludf.DUMMYFUNCTION("""COMPUTED_VALUE"""),4.0)</f>
        <v>4</v>
      </c>
      <c r="F12" t="str">
        <f>IFERROR(__xludf.DUMMYFUNCTION("""COMPUTED_VALUE"""),"Rock, Pop, Musique fançaise, Jazz")</f>
        <v>Rock, Pop, Musique fançaise, Jazz</v>
      </c>
      <c r="G12" t="str">
        <f>IFERROR(__xludf.DUMMYFUNCTION("""COMPUTED_VALUE"""),"Littérature, Danse, Musique, Théâtre")</f>
        <v>Littérature, Danse, Musique, Théâtre</v>
      </c>
      <c r="H12" t="str">
        <f>IFERROR(__xludf.DUMMYFUNCTION("""COMPUTED_VALUE"""),"Seulement les soirs de pleine lune")</f>
        <v>Seulement les soirs de pleine lune</v>
      </c>
      <c r="I12" t="str">
        <f>IFERROR(__xludf.DUMMYFUNCTION("""COMPUTED_VALUE"""),"Plusieurs fois par semaine")</f>
        <v>Plusieurs fois par semaine</v>
      </c>
      <c r="J12" t="str">
        <f>IFERROR(__xludf.DUMMYFUNCTION("""COMPUTED_VALUE"""),"Pour le fun")</f>
        <v>Pour le fun</v>
      </c>
      <c r="K12" t="str">
        <f>IFERROR(__xludf.DUMMYFUNCTION("""COMPUTED_VALUE"""),"Sports collectifs")</f>
        <v>Sports collectifs</v>
      </c>
      <c r="L12" t="str">
        <f>IFERROR(__xludf.DUMMYFUNCTION("""COMPUTED_VALUE"""),"Je fais toujours attention à bien manger")</f>
        <v>Je fais toujours attention à bien manger</v>
      </c>
      <c r="M12">
        <f>IFERROR(__xludf.DUMMYFUNCTION("""COMPUTED_VALUE"""),7.0)</f>
        <v>7</v>
      </c>
      <c r="N12" t="str">
        <f>IFERROR(__xludf.DUMMYFUNCTION("""COMPUTED_VALUE"""),"Plusieurs fois par semaine")</f>
        <v>Plusieurs fois par semaine</v>
      </c>
      <c r="O12" t="str">
        <f>IFERROR(__xludf.DUMMYFUNCTION("""COMPUTED_VALUE"""),"T'enflammes le dancefloor")</f>
        <v>T'enflammes le dancefloor</v>
      </c>
      <c r="P12">
        <f>IFERROR(__xludf.DUMMYFUNCTION("""COMPUTED_VALUE"""),1.0)</f>
        <v>1</v>
      </c>
      <c r="Q12" t="str">
        <f>IFERROR(__xludf.DUMMYFUNCTION("""COMPUTED_VALUE"""),"Non")</f>
        <v>Non</v>
      </c>
      <c r="R12" t="str">
        <f>IFERROR(__xludf.DUMMYFUNCTION("""COMPUTED_VALUE"""),"Non")</f>
        <v>Non</v>
      </c>
      <c r="S12" t="str">
        <f>IFERROR(__xludf.DUMMYFUNCTION("""COMPUTED_VALUE"""),"DPSU")</f>
        <v>DPSU</v>
      </c>
      <c r="T12" t="str">
        <f>IFERROR(__xludf.DUMMYFUNCTION("""COMPUTED_VALUE"""),"Pompon de cheerleading ou souvenir du Népal ")</f>
        <v>Pompon de cheerleading ou souvenir du Népal </v>
      </c>
      <c r="U12" t="str">
        <f>IFERROR(__xludf.DUMMYFUNCTION("""COMPUTED_VALUE"""),"")</f>
        <v/>
      </c>
      <c r="V12" t="str">
        <f>IFERROR(__xludf.DUMMYFUNCTION("""COMPUTED_VALUE"""),"")</f>
        <v/>
      </c>
      <c r="W12" t="str">
        <f>IFERROR(__xludf.DUMMYFUNCTION("""COMPUTED_VALUE"""),"")</f>
        <v/>
      </c>
      <c r="X12" t="str">
        <f>IFERROR(__xludf.DUMMYFUNCTION("""COMPUTED_VALUE"""),"")</f>
        <v/>
      </c>
      <c r="Y12" t="str">
        <f>IFERROR(__xludf.DUMMYFUNCTION("""COMPUTED_VALUE"""),"")</f>
        <v/>
      </c>
      <c r="Z12" t="str">
        <f>IFERROR(__xludf.DUMMYFUNCTION("""COMPUTED_VALUE"""),"")</f>
        <v/>
      </c>
      <c r="AA12" t="str">
        <f>IFERROR(__xludf.DUMMYFUNCTION("""COMPUTED_VALUE"""),"")</f>
        <v/>
      </c>
      <c r="AB12" t="str">
        <f>IFERROR(__xludf.DUMMYFUNCTION("""COMPUTED_VALUE"""),"")</f>
        <v/>
      </c>
    </row>
    <row r="13">
      <c r="A13" s="2">
        <f>IFERROR(__xludf.DUMMYFUNCTION("""COMPUTED_VALUE"""),43626.74010767361)</f>
        <v>43626.74011</v>
      </c>
      <c r="B13" t="str">
        <f>IFERROR(__xludf.DUMMYFUNCTION("""COMPUTED_VALUE"""),"Victor VINCENT DE LESTRADE")</f>
        <v>Victor VINCENT DE LESTRADE</v>
      </c>
      <c r="C13" t="str">
        <f>IFERROR(__xludf.DUMMYFUNCTION("""COMPUTED_VALUE"""),"Deux inconnus")</f>
        <v>Deux inconnus</v>
      </c>
      <c r="D13" t="str">
        <f>IFERROR(__xludf.DUMMYFUNCTION("""COMPUTED_VALUE"""),"BDS")</f>
        <v>BDS</v>
      </c>
      <c r="E13">
        <f>IFERROR(__xludf.DUMMYFUNCTION("""COMPUTED_VALUE"""),3.0)</f>
        <v>3</v>
      </c>
      <c r="F13" t="str">
        <f>IFERROR(__xludf.DUMMYFUNCTION("""COMPUTED_VALUE"""),"Electro posée, Rap, Pop")</f>
        <v>Electro posée, Rap, Pop</v>
      </c>
      <c r="G13" t="str">
        <f>IFERROR(__xludf.DUMMYFUNCTION("""COMPUTED_VALUE"""),"Cinéma")</f>
        <v>Cinéma</v>
      </c>
      <c r="H13" t="str">
        <f>IFERROR(__xludf.DUMMYFUNCTION("""COMPUTED_VALUE"""),"Seulement les soirs de pleine lune")</f>
        <v>Seulement les soirs de pleine lune</v>
      </c>
      <c r="I13" t="str">
        <f>IFERROR(__xludf.DUMMYFUNCTION("""COMPUTED_VALUE"""),"Une fois par jour")</f>
        <v>Une fois par jour</v>
      </c>
      <c r="J13" t="str">
        <f>IFERROR(__xludf.DUMMYFUNCTION("""COMPUTED_VALUE"""),"Pour le développement perso et se dépasser")</f>
        <v>Pour le développement perso et se dépasser</v>
      </c>
      <c r="K13" t="str">
        <f>IFERROR(__xludf.DUMMYFUNCTION("""COMPUTED_VALUE"""),"Sports collectifs, Sports de raquette")</f>
        <v>Sports collectifs, Sports de raquette</v>
      </c>
      <c r="L13" t="str">
        <f>IFERROR(__xludf.DUMMYFUNCTION("""COMPUTED_VALUE"""),"Je fais toujours attention à bien manger")</f>
        <v>Je fais toujours attention à bien manger</v>
      </c>
      <c r="M13">
        <f>IFERROR(__xludf.DUMMYFUNCTION("""COMPUTED_VALUE"""),8.0)</f>
        <v>8</v>
      </c>
      <c r="N13" t="str">
        <f>IFERROR(__xludf.DUMMYFUNCTION("""COMPUTED_VALUE"""),"Plusieurs fois par semaine")</f>
        <v>Plusieurs fois par semaine</v>
      </c>
      <c r="O13" t="str">
        <f>IFERROR(__xludf.DUMMYFUNCTION("""COMPUTED_VALUE"""),"Objectif grosse défonce")</f>
        <v>Objectif grosse défonce</v>
      </c>
      <c r="P13">
        <f>IFERROR(__xludf.DUMMYFUNCTION("""COMPUTED_VALUE"""),3.0)</f>
        <v>3</v>
      </c>
      <c r="Q13" t="str">
        <f>IFERROR(__xludf.DUMMYFUNCTION("""COMPUTED_VALUE"""),"Non")</f>
        <v>Non</v>
      </c>
      <c r="R13" t="str">
        <f>IFERROR(__xludf.DUMMYFUNCTION("""COMPUTED_VALUE"""),"Non")</f>
        <v>Non</v>
      </c>
      <c r="S13" t="str">
        <f>IFERROR(__xludf.DUMMYFUNCTION("""COMPUTED_VALUE"""),"Consulm3ow")</f>
        <v>Consulm3ow</v>
      </c>
      <c r="T13" t="str">
        <f>IFERROR(__xludf.DUMMYFUNCTION("""COMPUTED_VALUE"""),"Palme de la plus grosse PLS Nemo 2019")</f>
        <v>Palme de la plus grosse PLS Nemo 2019</v>
      </c>
      <c r="U13" t="str">
        <f>IFERROR(__xludf.DUMMYFUNCTION("""COMPUTED_VALUE"""),"")</f>
        <v/>
      </c>
      <c r="V13" t="str">
        <f>IFERROR(__xludf.DUMMYFUNCTION("""COMPUTED_VALUE"""),"")</f>
        <v/>
      </c>
      <c r="W13" t="str">
        <f>IFERROR(__xludf.DUMMYFUNCTION("""COMPUTED_VALUE"""),"")</f>
        <v/>
      </c>
      <c r="X13" t="str">
        <f>IFERROR(__xludf.DUMMYFUNCTION("""COMPUTED_VALUE"""),"")</f>
        <v/>
      </c>
      <c r="Y13" t="str">
        <f>IFERROR(__xludf.DUMMYFUNCTION("""COMPUTED_VALUE"""),"")</f>
        <v/>
      </c>
      <c r="Z13" t="str">
        <f>IFERROR(__xludf.DUMMYFUNCTION("""COMPUTED_VALUE"""),"")</f>
        <v/>
      </c>
      <c r="AA13" t="str">
        <f>IFERROR(__xludf.DUMMYFUNCTION("""COMPUTED_VALUE"""),"")</f>
        <v/>
      </c>
      <c r="AB13" t="str">
        <f>IFERROR(__xludf.DUMMYFUNCTION("""COMPUTED_VALUE"""),"")</f>
        <v/>
      </c>
    </row>
    <row r="14">
      <c r="A14" s="2">
        <f>IFERROR(__xludf.DUMMYFUNCTION("""COMPUTED_VALUE"""),43626.74516305556)</f>
        <v>43626.74516</v>
      </c>
      <c r="B14" t="str">
        <f>IFERROR(__xludf.DUMMYFUNCTION("""COMPUTED_VALUE"""),"Mathis BARTHERE")</f>
        <v>Mathis BARTHERE</v>
      </c>
      <c r="C14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" t="str">
        <f>IFERROR(__xludf.DUMMYFUNCTION("""COMPUTED_VALUE"""),"BDS")</f>
        <v>BDS</v>
      </c>
      <c r="E14">
        <f>IFERROR(__xludf.DUMMYFUNCTION("""COMPUTED_VALUE"""),4.0)</f>
        <v>4</v>
      </c>
      <c r="F14" t="str">
        <f>IFERROR(__xludf.DUMMYFUNCTION("""COMPUTED_VALUE"""),"Electro posée, Electro hard, Rap, Musique fançaise")</f>
        <v>Electro posée, Electro hard, Rap, Musique fançaise</v>
      </c>
      <c r="G14" t="str">
        <f>IFERROR(__xludf.DUMMYFUNCTION("""COMPUTED_VALUE"""),"Pas du tout")</f>
        <v>Pas du tout</v>
      </c>
      <c r="H14" t="str">
        <f>IFERROR(__xludf.DUMMYFUNCTION("""COMPUTED_VALUE"""),"Une fois de temps en temps")</f>
        <v>Une fois de temps en temps</v>
      </c>
      <c r="I14" t="str">
        <f>IFERROR(__xludf.DUMMYFUNCTION("""COMPUTED_VALUE"""),"Plusieurs fois par semaine")</f>
        <v>Plusieurs fois par semaine</v>
      </c>
      <c r="J14" t="str">
        <f>IFERROR(__xludf.DUMMYFUNCTION("""COMPUTED_VALUE"""),"Pour la compet")</f>
        <v>Pour la compet</v>
      </c>
      <c r="K14" t="str">
        <f>IFERROR(__xludf.DUMMYFUNCTION("""COMPUTED_VALUE"""),"Sports collectifs, Sports de raquette")</f>
        <v>Sports collectifs, Sports de raquette</v>
      </c>
      <c r="L14" t="str">
        <f>IFERROR(__xludf.DUMMYFUNCTION("""COMPUTED_VALUE"""),"J'aime cuisiner le WE ou quand j'ai le temps")</f>
        <v>J'aime cuisiner le WE ou quand j'ai le temps</v>
      </c>
      <c r="M14">
        <f>IFERROR(__xludf.DUMMYFUNCTION("""COMPUTED_VALUE"""),9.0)</f>
        <v>9</v>
      </c>
      <c r="N14" t="str">
        <f>IFERROR(__xludf.DUMMYFUNCTION("""COMPUTED_VALUE"""),"Plusieurs fois par semaine")</f>
        <v>Plusieurs fois par semaine</v>
      </c>
      <c r="O14" t="str">
        <f>IFERROR(__xludf.DUMMYFUNCTION("""COMPUTED_VALUE"""),"T'enflammes le dancefloor")</f>
        <v>T'enflammes le dancefloor</v>
      </c>
      <c r="P14">
        <f>IFERROR(__xludf.DUMMYFUNCTION("""COMPUTED_VALUE"""),3.0)</f>
        <v>3</v>
      </c>
      <c r="Q14" t="str">
        <f>IFERROR(__xludf.DUMMYFUNCTION("""COMPUTED_VALUE"""),"Non")</f>
        <v>Non</v>
      </c>
      <c r="R14" t="str">
        <f>IFERROR(__xludf.DUMMYFUNCTION("""COMPUTED_VALUE"""),"Non")</f>
        <v>Non</v>
      </c>
      <c r="S14" t="str">
        <f>IFERROR(__xludf.DUMMYFUNCTION("""COMPUTED_VALUE"""),"Consulm3ow")</f>
        <v>Consulm3ow</v>
      </c>
      <c r="T14" t="str">
        <f>IFERROR(__xludf.DUMMYFUNCTION("""COMPUTED_VALUE"""),"Planche caspor")</f>
        <v>Planche caspor</v>
      </c>
      <c r="U14" t="str">
        <f>IFERROR(__xludf.DUMMYFUNCTION("""COMPUTED_VALUE"""),"")</f>
        <v/>
      </c>
      <c r="V14" t="str">
        <f>IFERROR(__xludf.DUMMYFUNCTION("""COMPUTED_VALUE"""),"")</f>
        <v/>
      </c>
      <c r="W14" t="str">
        <f>IFERROR(__xludf.DUMMYFUNCTION("""COMPUTED_VALUE"""),"")</f>
        <v/>
      </c>
      <c r="X14" t="str">
        <f>IFERROR(__xludf.DUMMYFUNCTION("""COMPUTED_VALUE"""),"")</f>
        <v/>
      </c>
      <c r="Y14" t="str">
        <f>IFERROR(__xludf.DUMMYFUNCTION("""COMPUTED_VALUE"""),"")</f>
        <v/>
      </c>
      <c r="Z14" t="str">
        <f>IFERROR(__xludf.DUMMYFUNCTION("""COMPUTED_VALUE"""),"")</f>
        <v/>
      </c>
      <c r="AA14" t="str">
        <f>IFERROR(__xludf.DUMMYFUNCTION("""COMPUTED_VALUE"""),"")</f>
        <v/>
      </c>
      <c r="AB14" t="str">
        <f>IFERROR(__xludf.DUMMYFUNCTION("""COMPUTED_VALUE"""),"")</f>
        <v/>
      </c>
    </row>
    <row r="15">
      <c r="A15" s="2">
        <f>IFERROR(__xludf.DUMMYFUNCTION("""COMPUTED_VALUE"""),43626.745479930556)</f>
        <v>43626.74548</v>
      </c>
      <c r="B15" t="str">
        <f>IFERROR(__xludf.DUMMYFUNCTION("""COMPUTED_VALUE"""),"Andrew FONDJO")</f>
        <v>Andrew FONDJO</v>
      </c>
      <c r="C15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" t="str">
        <f>IFERROR(__xludf.DUMMYFUNCTION("""COMPUTED_VALUE"""),"BDS")</f>
        <v>BDS</v>
      </c>
      <c r="E15">
        <f>IFERROR(__xludf.DUMMYFUNCTION("""COMPUTED_VALUE"""),4.0)</f>
        <v>4</v>
      </c>
      <c r="F15" t="str">
        <f>IFERROR(__xludf.DUMMYFUNCTION("""COMPUTED_VALUE"""),"Rap, Autre")</f>
        <v>Rap, Autre</v>
      </c>
      <c r="G15" t="str">
        <f>IFERROR(__xludf.DUMMYFUNCTION("""COMPUTED_VALUE"""),"Peinture, Danse, Musique")</f>
        <v>Peinture, Danse, Musique</v>
      </c>
      <c r="H15" t="str">
        <f>IFERROR(__xludf.DUMMYFUNCTION("""COMPUTED_VALUE"""),"Une fois de temps en temps")</f>
        <v>Une fois de temps en temps</v>
      </c>
      <c r="I15" t="str">
        <f>IFERROR(__xludf.DUMMYFUNCTION("""COMPUTED_VALUE"""),"Une fois par jour")</f>
        <v>Une fois par jour</v>
      </c>
      <c r="J15" t="str">
        <f>IFERROR(__xludf.DUMMYFUNCTION("""COMPUTED_VALUE"""),"Pour le développement perso et se dépasser")</f>
        <v>Pour le développement perso et se dépasser</v>
      </c>
      <c r="K15" t="str">
        <f>IFERROR(__xludf.DUMMYFUNCTION("""COMPUTED_VALUE"""),"Sports collectifs, Sports de raquette")</f>
        <v>Sports collectifs, Sports de raquette</v>
      </c>
      <c r="L15" t="str">
        <f>IFERROR(__xludf.DUMMYFUNCTION("""COMPUTED_VALUE"""),"J'aime cuisiner le WE ou quand j'ai le temps")</f>
        <v>J'aime cuisiner le WE ou quand j'ai le temps</v>
      </c>
      <c r="M15">
        <f>IFERROR(__xludf.DUMMYFUNCTION("""COMPUTED_VALUE"""),2.0)</f>
        <v>2</v>
      </c>
      <c r="N15" t="str">
        <f>IFERROR(__xludf.DUMMYFUNCTION("""COMPUTED_VALUE"""),"Plusieurs fois par semaine")</f>
        <v>Plusieurs fois par semaine</v>
      </c>
      <c r="O15" t="str">
        <f>IFERROR(__xludf.DUMMYFUNCTION("""COMPUTED_VALUE"""),"T'enflammes le dancefloor")</f>
        <v>T'enflammes le dancefloor</v>
      </c>
      <c r="P15">
        <f>IFERROR(__xludf.DUMMYFUNCTION("""COMPUTED_VALUE"""),1.0)</f>
        <v>1</v>
      </c>
      <c r="Q15" t="str">
        <f>IFERROR(__xludf.DUMMYFUNCTION("""COMPUTED_VALUE"""),"Non")</f>
        <v>Non</v>
      </c>
      <c r="R15" t="str">
        <f>IFERROR(__xludf.DUMMYFUNCTION("""COMPUTED_VALUE"""),"Non")</f>
        <v>Non</v>
      </c>
      <c r="S15" t="str">
        <f>IFERROR(__xludf.DUMMYFUNCTION("""COMPUTED_VALUE"""),"Le CONSULM3OW")</f>
        <v>Le CONSULM3OW</v>
      </c>
      <c r="T15" t="str">
        <f>IFERROR(__xludf.DUMMYFUNCTION("""COMPUTED_VALUE"""),"Manette de play/table caspor")</f>
        <v>Manette de play/table caspor</v>
      </c>
      <c r="U15" t="str">
        <f>IFERROR(__xludf.DUMMYFUNCTION("""COMPUTED_VALUE"""),"")</f>
        <v/>
      </c>
      <c r="V15" t="str">
        <f>IFERROR(__xludf.DUMMYFUNCTION("""COMPUTED_VALUE"""),"")</f>
        <v/>
      </c>
      <c r="W15" t="str">
        <f>IFERROR(__xludf.DUMMYFUNCTION("""COMPUTED_VALUE"""),"")</f>
        <v/>
      </c>
      <c r="X15" t="str">
        <f>IFERROR(__xludf.DUMMYFUNCTION("""COMPUTED_VALUE"""),"")</f>
        <v/>
      </c>
      <c r="Y15" t="str">
        <f>IFERROR(__xludf.DUMMYFUNCTION("""COMPUTED_VALUE"""),"")</f>
        <v/>
      </c>
      <c r="Z15" t="str">
        <f>IFERROR(__xludf.DUMMYFUNCTION("""COMPUTED_VALUE"""),"")</f>
        <v/>
      </c>
      <c r="AA15" t="str">
        <f>IFERROR(__xludf.DUMMYFUNCTION("""COMPUTED_VALUE"""),"")</f>
        <v/>
      </c>
      <c r="AB15" t="str">
        <f>IFERROR(__xludf.DUMMYFUNCTION("""COMPUTED_VALUE"""),"")</f>
        <v/>
      </c>
    </row>
    <row r="16">
      <c r="A16" s="2">
        <f>IFERROR(__xludf.DUMMYFUNCTION("""COMPUTED_VALUE"""),43626.771276307874)</f>
        <v>43626.77128</v>
      </c>
      <c r="B16" t="str">
        <f>IFERROR(__xludf.DUMMYFUNCTION("""COMPUTED_VALUE"""),"Laura BOIS")</f>
        <v>Laura BOIS</v>
      </c>
      <c r="C1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" t="str">
        <f>IFERROR(__xludf.DUMMYFUNCTION("""COMPUTED_VALUE"""),"BDS")</f>
        <v>BDS</v>
      </c>
      <c r="E16">
        <f>IFERROR(__xludf.DUMMYFUNCTION("""COMPUTED_VALUE"""),2.0)</f>
        <v>2</v>
      </c>
      <c r="F16" t="str">
        <f>IFERROR(__xludf.DUMMYFUNCTION("""COMPUTED_VALUE"""),"Electro posée")</f>
        <v>Electro posée</v>
      </c>
      <c r="G16" t="str">
        <f>IFERROR(__xludf.DUMMYFUNCTION("""COMPUTED_VALUE"""),"Peinture, Littérature, Musique, Graphisme")</f>
        <v>Peinture, Littérature, Musique, Graphisme</v>
      </c>
      <c r="H16" t="str">
        <f>IFERROR(__xludf.DUMMYFUNCTION("""COMPUTED_VALUE"""),"Seulement les soirs de pleine lune")</f>
        <v>Seulement les soirs de pleine lune</v>
      </c>
      <c r="I16" t="str">
        <f>IFERROR(__xludf.DUMMYFUNCTION("""COMPUTED_VALUE"""),"Une fois par semaine")</f>
        <v>Une fois par semaine</v>
      </c>
      <c r="J16" t="str">
        <f>IFERROR(__xludf.DUMMYFUNCTION("""COMPUTED_VALUE"""),"Pour le fun")</f>
        <v>Pour le fun</v>
      </c>
      <c r="K16" t="str">
        <f>IFERROR(__xludf.DUMMYFUNCTION("""COMPUTED_VALUE"""),"Sports de combat")</f>
        <v>Sports de combat</v>
      </c>
      <c r="L16" t="str">
        <f>IFERROR(__xludf.DUMMYFUNCTION("""COMPUTED_VALUE"""),"J'aime cuisiner le WE ou quand j'ai le temps")</f>
        <v>J'aime cuisiner le WE ou quand j'ai le temps</v>
      </c>
      <c r="M16">
        <f>IFERROR(__xludf.DUMMYFUNCTION("""COMPUTED_VALUE"""),9.0)</f>
        <v>9</v>
      </c>
      <c r="N16" t="str">
        <f>IFERROR(__xludf.DUMMYFUNCTION("""COMPUTED_VALUE"""),"Plusieurs fois par semaine")</f>
        <v>Plusieurs fois par semaine</v>
      </c>
      <c r="O16" t="str">
        <f>IFERROR(__xludf.DUMMYFUNCTION("""COMPUTED_VALUE"""),"T'enflammes le dancefloor")</f>
        <v>T'enflammes le dancefloor</v>
      </c>
      <c r="P16">
        <f>IFERROR(__xludf.DUMMYFUNCTION("""COMPUTED_VALUE"""),1.0)</f>
        <v>1</v>
      </c>
      <c r="Q16" t="str">
        <f>IFERROR(__xludf.DUMMYFUNCTION("""COMPUTED_VALUE"""),"Non")</f>
        <v>Non</v>
      </c>
      <c r="R16" t="str">
        <f>IFERROR(__xludf.DUMMYFUNCTION("""COMPUTED_VALUE"""),"Non")</f>
        <v>Non</v>
      </c>
      <c r="S16" t="str">
        <f>IFERROR(__xludf.DUMMYFUNCTION("""COMPUTED_VALUE"""),"Le Zoo ")</f>
        <v>Le Zoo </v>
      </c>
      <c r="T16" t="str">
        <f>IFERROR(__xludf.DUMMYFUNCTION("""COMPUTED_VALUE"""),"sifflet ")</f>
        <v>sifflet </v>
      </c>
      <c r="U16" t="str">
        <f>IFERROR(__xludf.DUMMYFUNCTION("""COMPUTED_VALUE"""),"")</f>
        <v/>
      </c>
      <c r="V16" t="str">
        <f>IFERROR(__xludf.DUMMYFUNCTION("""COMPUTED_VALUE"""),"")</f>
        <v/>
      </c>
      <c r="W16" t="str">
        <f>IFERROR(__xludf.DUMMYFUNCTION("""COMPUTED_VALUE"""),"")</f>
        <v/>
      </c>
      <c r="X16" t="str">
        <f>IFERROR(__xludf.DUMMYFUNCTION("""COMPUTED_VALUE"""),"")</f>
        <v/>
      </c>
      <c r="Y16" t="str">
        <f>IFERROR(__xludf.DUMMYFUNCTION("""COMPUTED_VALUE"""),"")</f>
        <v/>
      </c>
      <c r="Z16" t="str">
        <f>IFERROR(__xludf.DUMMYFUNCTION("""COMPUTED_VALUE"""),"")</f>
        <v/>
      </c>
      <c r="AA16" t="str">
        <f>IFERROR(__xludf.DUMMYFUNCTION("""COMPUTED_VALUE"""),"")</f>
        <v/>
      </c>
      <c r="AB16" t="str">
        <f>IFERROR(__xludf.DUMMYFUNCTION("""COMPUTED_VALUE"""),"")</f>
        <v/>
      </c>
    </row>
    <row r="17">
      <c r="A17" s="2">
        <f>IFERROR(__xludf.DUMMYFUNCTION("""COMPUTED_VALUE"""),43626.85503413195)</f>
        <v>43626.85503</v>
      </c>
      <c r="B17" t="str">
        <f>IFERROR(__xludf.DUMMYFUNCTION("""COMPUTED_VALUE"""),"Guillaume SALUDEN")</f>
        <v>Guillaume SALUDEN</v>
      </c>
      <c r="C17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" t="str">
        <f>IFERROR(__xludf.DUMMYFUNCTION("""COMPUTED_VALUE"""),"BDS")</f>
        <v>BDS</v>
      </c>
      <c r="E17">
        <f>IFERROR(__xludf.DUMMYFUNCTION("""COMPUTED_VALUE"""),4.0)</f>
        <v>4</v>
      </c>
      <c r="F17" t="str">
        <f>IFERROR(__xludf.DUMMYFUNCTION("""COMPUTED_VALUE"""),"Pop, Musique fançaise, Jazz")</f>
        <v>Pop, Musique fançaise, Jazz</v>
      </c>
      <c r="G17" t="str">
        <f>IFERROR(__xludf.DUMMYFUNCTION("""COMPUTED_VALUE"""),"Peinture, Littérature, Sculpture, Danse, Musique, Théâtre, Cinéma, Graphisme, Autre")</f>
        <v>Peinture, Littérature, Sculpture, Danse, Musique, Théâtre, Cinéma, Graphisme, Autre</v>
      </c>
      <c r="H17" t="str">
        <f>IFERROR(__xludf.DUMMYFUNCTION("""COMPUTED_VALUE"""),"Seulement les soirs de pleine lune")</f>
        <v>Seulement les soirs de pleine lune</v>
      </c>
      <c r="I17" t="str">
        <f>IFERROR(__xludf.DUMMYFUNCTION("""COMPUTED_VALUE"""),"Une fois par jour")</f>
        <v>Une fois par jour</v>
      </c>
      <c r="J17" t="str">
        <f>IFERROR(__xludf.DUMMYFUNCTION("""COMPUTED_VALUE"""),"Pour le développement perso et se dépasser")</f>
        <v>Pour le développement perso et se dépasser</v>
      </c>
      <c r="K17" t="str">
        <f>IFERROR(__xludf.DUMMYFUNCTION("""COMPUTED_VALUE"""),"Sports collectifs, Athlétisme, Sports aquatiques, Equitation")</f>
        <v>Sports collectifs, Athlétisme, Sports aquatiques, Equitation</v>
      </c>
      <c r="L17" t="str">
        <f>IFERROR(__xludf.DUMMYFUNCTION("""COMPUTED_VALUE"""),"J'aime cuisiner le WE ou quand j'ai le temps")</f>
        <v>J'aime cuisiner le WE ou quand j'ai le temps</v>
      </c>
      <c r="M17">
        <f>IFERROR(__xludf.DUMMYFUNCTION("""COMPUTED_VALUE"""),6.0)</f>
        <v>6</v>
      </c>
      <c r="N17" t="str">
        <f>IFERROR(__xludf.DUMMYFUNCTION("""COMPUTED_VALUE"""),"Plusieurs fois par semaine")</f>
        <v>Plusieurs fois par semaine</v>
      </c>
      <c r="O17" t="str">
        <f>IFERROR(__xludf.DUMMYFUNCTION("""COMPUTED_VALUE"""),"T'enflammes le dancefloor")</f>
        <v>T'enflammes le dancefloor</v>
      </c>
      <c r="P17">
        <f>IFERROR(__xludf.DUMMYFUNCTION("""COMPUTED_VALUE"""),5.0)</f>
        <v>5</v>
      </c>
      <c r="Q17" t="str">
        <f>IFERROR(__xludf.DUMMYFUNCTION("""COMPUTED_VALUE"""),"Non")</f>
        <v>Non</v>
      </c>
      <c r="R17" t="str">
        <f>IFERROR(__xludf.DUMMYFUNCTION("""COMPUTED_VALUE"""),"Non")</f>
        <v>Non</v>
      </c>
      <c r="S17" t="str">
        <f>IFERROR(__xludf.DUMMYFUNCTION("""COMPUTED_VALUE"""),"Beurre salé &amp; chocolatine")</f>
        <v>Beurre salé &amp; chocolatine</v>
      </c>
      <c r="T17" t="str">
        <f>IFERROR(__xludf.DUMMYFUNCTION("""COMPUTED_VALUE"""),"Drapeau ")</f>
        <v>Drapeau </v>
      </c>
      <c r="U17" t="str">
        <f>IFERROR(__xludf.DUMMYFUNCTION("""COMPUTED_VALUE"""),"")</f>
        <v/>
      </c>
      <c r="V17" t="str">
        <f>IFERROR(__xludf.DUMMYFUNCTION("""COMPUTED_VALUE"""),"")</f>
        <v/>
      </c>
      <c r="W17" t="str">
        <f>IFERROR(__xludf.DUMMYFUNCTION("""COMPUTED_VALUE"""),"")</f>
        <v/>
      </c>
      <c r="X17" t="str">
        <f>IFERROR(__xludf.DUMMYFUNCTION("""COMPUTED_VALUE"""),"")</f>
        <v/>
      </c>
      <c r="Y17" t="str">
        <f>IFERROR(__xludf.DUMMYFUNCTION("""COMPUTED_VALUE"""),"")</f>
        <v/>
      </c>
      <c r="Z17" t="str">
        <f>IFERROR(__xludf.DUMMYFUNCTION("""COMPUTED_VALUE"""),"")</f>
        <v/>
      </c>
      <c r="AA17" t="str">
        <f>IFERROR(__xludf.DUMMYFUNCTION("""COMPUTED_VALUE"""),"")</f>
        <v/>
      </c>
      <c r="AB17" t="str">
        <f>IFERROR(__xludf.DUMMYFUNCTION("""COMPUTED_VALUE"""),"")</f>
        <v/>
      </c>
    </row>
    <row r="18">
      <c r="A18" s="2">
        <f>IFERROR(__xludf.DUMMYFUNCTION("""COMPUTED_VALUE"""),43626.7757149074)</f>
        <v>43626.77571</v>
      </c>
      <c r="B18" t="str">
        <f>IFERROR(__xludf.DUMMYFUNCTION("""COMPUTED_VALUE"""),"Dimitri DEGONHIER")</f>
        <v>Dimitri DEGONHIER</v>
      </c>
      <c r="C18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" t="str">
        <f>IFERROR(__xludf.DUMMYFUNCTION("""COMPUTED_VALUE"""),"BDS")</f>
        <v>BDS</v>
      </c>
      <c r="E18">
        <f>IFERROR(__xludf.DUMMYFUNCTION("""COMPUTED_VALUE"""),2.0)</f>
        <v>2</v>
      </c>
      <c r="F18" t="str">
        <f>IFERROR(__xludf.DUMMYFUNCTION("""COMPUTED_VALUE"""),"Rock, Electro posée, Electro hard, Pop")</f>
        <v>Rock, Electro posée, Electro hard, Pop</v>
      </c>
      <c r="G18" t="str">
        <f>IFERROR(__xludf.DUMMYFUNCTION("""COMPUTED_VALUE"""),"Pas du tout")</f>
        <v>Pas du tout</v>
      </c>
      <c r="H18" t="str">
        <f>IFERROR(__xludf.DUMMYFUNCTION("""COMPUTED_VALUE"""),"Une fois de temps en temps")</f>
        <v>Une fois de temps en temps</v>
      </c>
      <c r="I18" t="str">
        <f>IFERROR(__xludf.DUMMYFUNCTION("""COMPUTED_VALUE"""),"Plusieurs fois par semaine")</f>
        <v>Plusieurs fois par semaine</v>
      </c>
      <c r="J18" t="str">
        <f>IFERROR(__xludf.DUMMYFUNCTION("""COMPUTED_VALUE"""),"Pour la compet")</f>
        <v>Pour la compet</v>
      </c>
      <c r="K18" t="str">
        <f>IFERROR(__xludf.DUMMYFUNCTION("""COMPUTED_VALUE"""),"Sports collectifs, Sports de raquette")</f>
        <v>Sports collectifs, Sports de raquette</v>
      </c>
      <c r="L18" t="str">
        <f>IFERROR(__xludf.DUMMYFUNCTION("""COMPUTED_VALUE"""),"Alterner entre grec et coquillettes ça compte ?")</f>
        <v>Alterner entre grec et coquillettes ça compte ?</v>
      </c>
      <c r="M18">
        <f>IFERROR(__xludf.DUMMYFUNCTION("""COMPUTED_VALUE"""),9.0)</f>
        <v>9</v>
      </c>
      <c r="N18" t="str">
        <f>IFERROR(__xludf.DUMMYFUNCTION("""COMPUTED_VALUE"""),"Plusieurs fois par semaine")</f>
        <v>Plusieurs fois par semaine</v>
      </c>
      <c r="O18" t="str">
        <f>IFERROR(__xludf.DUMMYFUNCTION("""COMPUTED_VALUE"""),"T'enflammes le dancefloor")</f>
        <v>T'enflammes le dancefloor</v>
      </c>
      <c r="P18">
        <f>IFERROR(__xludf.DUMMYFUNCTION("""COMPUTED_VALUE"""),2.0)</f>
        <v>2</v>
      </c>
      <c r="Q18" t="str">
        <f>IFERROR(__xludf.DUMMYFUNCTION("""COMPUTED_VALUE"""),"Non")</f>
        <v>Non</v>
      </c>
      <c r="R18" t="str">
        <f>IFERROR(__xludf.DUMMYFUNCTION("""COMPUTED_VALUE"""),"Non")</f>
        <v>Non</v>
      </c>
      <c r="S18" t="str">
        <f>IFERROR(__xludf.DUMMYFUNCTION("""COMPUTED_VALUE"""),"Le Zoo")</f>
        <v>Le Zoo</v>
      </c>
      <c r="T18" t="str">
        <f>IFERROR(__xludf.DUMMYFUNCTION("""COMPUTED_VALUE"""),"Un meme imprimé (nantral gag  rpz)")</f>
        <v>Un meme imprimé (nantral gag  rpz)</v>
      </c>
      <c r="U18" t="str">
        <f>IFERROR(__xludf.DUMMYFUNCTION("""COMPUTED_VALUE"""),"")</f>
        <v/>
      </c>
      <c r="V18" t="str">
        <f>IFERROR(__xludf.DUMMYFUNCTION("""COMPUTED_VALUE"""),"")</f>
        <v/>
      </c>
      <c r="W18" t="str">
        <f>IFERROR(__xludf.DUMMYFUNCTION("""COMPUTED_VALUE"""),"")</f>
        <v/>
      </c>
      <c r="X18" t="str">
        <f>IFERROR(__xludf.DUMMYFUNCTION("""COMPUTED_VALUE"""),"")</f>
        <v/>
      </c>
      <c r="Y18" t="str">
        <f>IFERROR(__xludf.DUMMYFUNCTION("""COMPUTED_VALUE"""),"")</f>
        <v/>
      </c>
      <c r="Z18" t="str">
        <f>IFERROR(__xludf.DUMMYFUNCTION("""COMPUTED_VALUE"""),"")</f>
        <v/>
      </c>
      <c r="AA18" t="str">
        <f>IFERROR(__xludf.DUMMYFUNCTION("""COMPUTED_VALUE"""),"")</f>
        <v/>
      </c>
      <c r="AB18" t="str">
        <f>IFERROR(__xludf.DUMMYFUNCTION("""COMPUTED_VALUE"""),"")</f>
        <v/>
      </c>
    </row>
    <row r="19">
      <c r="A19" s="2">
        <f>IFERROR(__xludf.DUMMYFUNCTION("""COMPUTED_VALUE"""),43626.77583162037)</f>
        <v>43626.77583</v>
      </c>
      <c r="B19" s="1" t="str">
        <f>IFERROR(__xludf.DUMMYFUNCTION("""COMPUTED_VALUE"""),"André D'ELBREIL")</f>
        <v>André D'ELBREIL</v>
      </c>
      <c r="C1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" s="1" t="str">
        <f>IFERROR(__xludf.DUMMYFUNCTION("""COMPUTED_VALUE"""),"BDS")</f>
        <v>BDS</v>
      </c>
      <c r="E19" s="1">
        <f>IFERROR(__xludf.DUMMYFUNCTION("""COMPUTED_VALUE"""),2.0)</f>
        <v>2</v>
      </c>
      <c r="F19" s="1" t="str">
        <f>IFERROR(__xludf.DUMMYFUNCTION("""COMPUTED_VALUE"""),"Rock, Electro posée, Rap, Pop, Jazz")</f>
        <v>Rock, Electro posée, Rap, Pop, Jazz</v>
      </c>
      <c r="G19" s="1" t="str">
        <f>IFERROR(__xludf.DUMMYFUNCTION("""COMPUTED_VALUE"""),"Musique")</f>
        <v>Musique</v>
      </c>
      <c r="H19" s="1" t="str">
        <f>IFERROR(__xludf.DUMMYFUNCTION("""COMPUTED_VALUE"""),"Quelques fois par semaine")</f>
        <v>Quelques fois par semaine</v>
      </c>
      <c r="I19" s="1" t="str">
        <f>IFERROR(__xludf.DUMMYFUNCTION("""COMPUTED_VALUE"""),"Plusieurs fois par semaine")</f>
        <v>Plusieurs fois par semaine</v>
      </c>
      <c r="J19" s="1" t="str">
        <f>IFERROR(__xludf.DUMMYFUNCTION("""COMPUTED_VALUE"""),"Pour la compet")</f>
        <v>Pour la compet</v>
      </c>
      <c r="K19" s="1" t="str">
        <f>IFERROR(__xludf.DUMMYFUNCTION("""COMPUTED_VALUE"""),"Sports collectifs, Sports de raquette")</f>
        <v>Sports collectifs, Sports de raquette</v>
      </c>
      <c r="L19" s="1" t="str">
        <f>IFERROR(__xludf.DUMMYFUNCTION("""COMPUTED_VALUE"""),"J'aime cuisiner le WE ou quand j'ai le temps")</f>
        <v>J'aime cuisiner le WE ou quand j'ai le temps</v>
      </c>
      <c r="M19" s="1">
        <f>IFERROR(__xludf.DUMMYFUNCTION("""COMPUTED_VALUE"""),9.0)</f>
        <v>9</v>
      </c>
      <c r="N19" s="1" t="str">
        <f>IFERROR(__xludf.DUMMYFUNCTION("""COMPUTED_VALUE"""),"Plusieurs fois par semaine")</f>
        <v>Plusieurs fois par semaine</v>
      </c>
      <c r="O19" s="1" t="str">
        <f>IFERROR(__xludf.DUMMYFUNCTION("""COMPUTED_VALUE"""),"T'enflammes le dancefloor")</f>
        <v>T'enflammes le dancefloor</v>
      </c>
      <c r="P19" s="1">
        <f>IFERROR(__xludf.DUMMYFUNCTION("""COMPUTED_VALUE"""),2.0)</f>
        <v>2</v>
      </c>
      <c r="Q19" s="1" t="str">
        <f>IFERROR(__xludf.DUMMYFUNCTION("""COMPUTED_VALUE"""),"Non")</f>
        <v>Non</v>
      </c>
      <c r="R19" s="1" t="str">
        <f>IFERROR(__xludf.DUMMYFUNCTION("""COMPUTED_VALUE"""),"Non")</f>
        <v>Non</v>
      </c>
      <c r="S19" s="1" t="str">
        <f>IFERROR(__xludf.DUMMYFUNCTION("""COMPUTED_VALUE"""),"Le Zoo")</f>
        <v>Le Zoo</v>
      </c>
      <c r="T19" s="1" t="str">
        <f>IFERROR(__xludf.DUMMYFUNCTION("""COMPUTED_VALUE"""),"Un bout de verre (la fontaine tmtc)")</f>
        <v>Un bout de verre (la fontaine tmtc)</v>
      </c>
      <c r="U19" t="str">
        <f>IFERROR(__xludf.DUMMYFUNCTION("""COMPUTED_VALUE"""),"")</f>
        <v/>
      </c>
      <c r="V19" t="str">
        <f>IFERROR(__xludf.DUMMYFUNCTION("""COMPUTED_VALUE"""),"")</f>
        <v/>
      </c>
      <c r="W19" t="str">
        <f>IFERROR(__xludf.DUMMYFUNCTION("""COMPUTED_VALUE"""),"")</f>
        <v/>
      </c>
      <c r="X19" t="str">
        <f>IFERROR(__xludf.DUMMYFUNCTION("""COMPUTED_VALUE"""),"")</f>
        <v/>
      </c>
      <c r="Y19" t="str">
        <f>IFERROR(__xludf.DUMMYFUNCTION("""COMPUTED_VALUE"""),"")</f>
        <v/>
      </c>
      <c r="Z19" t="str">
        <f>IFERROR(__xludf.DUMMYFUNCTION("""COMPUTED_VALUE"""),"")</f>
        <v/>
      </c>
      <c r="AA19" t="str">
        <f>IFERROR(__xludf.DUMMYFUNCTION("""COMPUTED_VALUE"""),"")</f>
        <v/>
      </c>
      <c r="AB19" t="str">
        <f>IFERROR(__xludf.DUMMYFUNCTION("""COMPUTED_VALUE"""),"")</f>
        <v/>
      </c>
    </row>
    <row r="20">
      <c r="A20" s="2">
        <f>IFERROR(__xludf.DUMMYFUNCTION("""COMPUTED_VALUE"""),43626.826662499996)</f>
        <v>43626.82666</v>
      </c>
      <c r="B20" s="1" t="str">
        <f>IFERROR(__xludf.DUMMYFUNCTION("""COMPUTED_VALUE"""),"Louis Duhem")</f>
        <v>Louis Duhem</v>
      </c>
      <c r="C20" s="1" t="str">
        <f>IFERROR(__xludf.DUMMYFUNCTION("""COMPUTED_VALUE"""),"Deux inconnus")</f>
        <v>Deux inconnus</v>
      </c>
      <c r="D20" s="1" t="str">
        <f>IFERROR(__xludf.DUMMYFUNCTION("""COMPUTED_VALUE"""),"BDE")</f>
        <v>BDE</v>
      </c>
      <c r="E20" s="1">
        <f>IFERROR(__xludf.DUMMYFUNCTION("""COMPUTED_VALUE"""),5.0)</f>
        <v>5</v>
      </c>
      <c r="F20" s="1" t="str">
        <f>IFERROR(__xludf.DUMMYFUNCTION("""COMPUTED_VALUE"""),"Rock, Rap, Pop, Musique fançaise, Jazz")</f>
        <v>Rock, Rap, Pop, Musique fançaise, Jazz</v>
      </c>
      <c r="G20" s="1" t="str">
        <f>IFERROR(__xludf.DUMMYFUNCTION("""COMPUTED_VALUE"""),"Musique, Cinéma")</f>
        <v>Musique, Cinéma</v>
      </c>
      <c r="H20" s="1" t="str">
        <f>IFERROR(__xludf.DUMMYFUNCTION("""COMPUTED_VALUE"""),"Une fois de temps en temps")</f>
        <v>Une fois de temps en temps</v>
      </c>
      <c r="I20" s="1" t="str">
        <f>IFERROR(__xludf.DUMMYFUNCTION("""COMPUTED_VALUE"""),"Une fois par semaine")</f>
        <v>Une fois par semaine</v>
      </c>
      <c r="J20" s="1" t="str">
        <f>IFERROR(__xludf.DUMMYFUNCTION("""COMPUTED_VALUE"""),"Pour le développement perso et se dépasser")</f>
        <v>Pour le développement perso et se dépasser</v>
      </c>
      <c r="K20" s="1" t="str">
        <f>IFERROR(__xludf.DUMMYFUNCTION("""COMPUTED_VALUE"""),"Sports collectifs")</f>
        <v>Sports collectifs</v>
      </c>
      <c r="L20" s="1" t="str">
        <f>IFERROR(__xludf.DUMMYFUNCTION("""COMPUTED_VALUE"""),"Alterner entre grec et coquillettes ça compte ?")</f>
        <v>Alterner entre grec et coquillettes ça compte ?</v>
      </c>
      <c r="M20" s="1">
        <f>IFERROR(__xludf.DUMMYFUNCTION("""COMPUTED_VALUE"""),9.0)</f>
        <v>9</v>
      </c>
      <c r="N20" s="1" t="str">
        <f>IFERROR(__xludf.DUMMYFUNCTION("""COMPUTED_VALUE"""),"Plusieurs fois par semaine")</f>
        <v>Plusieurs fois par semaine</v>
      </c>
      <c r="O20" s="1" t="str">
        <f>IFERROR(__xludf.DUMMYFUNCTION("""COMPUTED_VALUE"""),"Objectif grosse défonce")</f>
        <v>Objectif grosse défonce</v>
      </c>
      <c r="P20" s="1">
        <f>IFERROR(__xludf.DUMMYFUNCTION("""COMPUTED_VALUE"""),3.0)</f>
        <v>3</v>
      </c>
      <c r="Q20" s="1" t="str">
        <f>IFERROR(__xludf.DUMMYFUNCTION("""COMPUTED_VALUE"""),"Non")</f>
        <v>Non</v>
      </c>
      <c r="R20" s="1" t="str">
        <f>IFERROR(__xludf.DUMMYFUNCTION("""COMPUTED_VALUE"""),"Non")</f>
        <v>Non</v>
      </c>
      <c r="S20" s="1" t="str">
        <f>IFERROR(__xludf.DUMMYFUNCTION("""COMPUTED_VALUE"""),"Les domineurs")</f>
        <v>Les domineurs</v>
      </c>
      <c r="T20" s="1" t="str">
        <f>IFERROR(__xludf.DUMMYFUNCTION("""COMPUTED_VALUE"""),"Du houmous")</f>
        <v>Du houmous</v>
      </c>
      <c r="U20" t="str">
        <f>IFERROR(__xludf.DUMMYFUNCTION("""COMPUTED_VALUE"""),"")</f>
        <v/>
      </c>
      <c r="V20" t="str">
        <f>IFERROR(__xludf.DUMMYFUNCTION("""COMPUTED_VALUE"""),"")</f>
        <v/>
      </c>
      <c r="W20" t="str">
        <f>IFERROR(__xludf.DUMMYFUNCTION("""COMPUTED_VALUE"""),"")</f>
        <v/>
      </c>
      <c r="X20" t="str">
        <f>IFERROR(__xludf.DUMMYFUNCTION("""COMPUTED_VALUE"""),"")</f>
        <v/>
      </c>
      <c r="Y20" t="str">
        <f>IFERROR(__xludf.DUMMYFUNCTION("""COMPUTED_VALUE"""),"")</f>
        <v/>
      </c>
      <c r="Z20" t="str">
        <f>IFERROR(__xludf.DUMMYFUNCTION("""COMPUTED_VALUE"""),"")</f>
        <v/>
      </c>
      <c r="AA20" t="str">
        <f>IFERROR(__xludf.DUMMYFUNCTION("""COMPUTED_VALUE"""),"")</f>
        <v/>
      </c>
      <c r="AB20" t="str">
        <f>IFERROR(__xludf.DUMMYFUNCTION("""COMPUTED_VALUE"""),"")</f>
        <v/>
      </c>
    </row>
    <row r="21">
      <c r="A21" s="2">
        <f>IFERROR(__xludf.DUMMYFUNCTION("""COMPUTED_VALUE"""),43626.829889375)</f>
        <v>43626.82989</v>
      </c>
      <c r="B21" s="1" t="str">
        <f>IFERROR(__xludf.DUMMYFUNCTION("""COMPUTED_VALUE"""),"Maximin TOURAILLE")</f>
        <v>Maximin TOURAILLE</v>
      </c>
      <c r="C2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" s="1" t="str">
        <f>IFERROR(__xludf.DUMMYFUNCTION("""COMPUTED_VALUE"""),"BDS")</f>
        <v>BDS</v>
      </c>
      <c r="E21" s="1">
        <f>IFERROR(__xludf.DUMMYFUNCTION("""COMPUTED_VALUE"""),5.0)</f>
        <v>5</v>
      </c>
      <c r="F21" s="1" t="str">
        <f>IFERROR(__xludf.DUMMYFUNCTION("""COMPUTED_VALUE"""),"Electro posée, Pop, Musique fançaise")</f>
        <v>Electro posée, Pop, Musique fançaise</v>
      </c>
      <c r="G21" s="1" t="str">
        <f>IFERROR(__xludf.DUMMYFUNCTION("""COMPUTED_VALUE"""),"Pas du tout")</f>
        <v>Pas du tout</v>
      </c>
      <c r="H21" s="1" t="str">
        <f>IFERROR(__xludf.DUMMYFUNCTION("""COMPUTED_VALUE"""),"Quelques fois par semaine")</f>
        <v>Quelques fois par semaine</v>
      </c>
      <c r="I21" s="1" t="str">
        <f>IFERROR(__xludf.DUMMYFUNCTION("""COMPUTED_VALUE"""),"Plusieurs fois par semaine")</f>
        <v>Plusieurs fois par semaine</v>
      </c>
      <c r="J21" s="1" t="str">
        <f>IFERROR(__xludf.DUMMYFUNCTION("""COMPUTED_VALUE"""),"Pour le fun")</f>
        <v>Pour le fun</v>
      </c>
      <c r="K21" s="1" t="str">
        <f>IFERROR(__xludf.DUMMYFUNCTION("""COMPUTED_VALUE"""),"Sports collectifs, Sports de combat")</f>
        <v>Sports collectifs, Sports de combat</v>
      </c>
      <c r="L21" s="1" t="str">
        <f>IFERROR(__xludf.DUMMYFUNCTION("""COMPUTED_VALUE"""),"J'aime cuisiner le WE ou quand j'ai le temps")</f>
        <v>J'aime cuisiner le WE ou quand j'ai le temps</v>
      </c>
      <c r="M21" s="1">
        <f>IFERROR(__xludf.DUMMYFUNCTION("""COMPUTED_VALUE"""),7.0)</f>
        <v>7</v>
      </c>
      <c r="N21" s="1" t="str">
        <f>IFERROR(__xludf.DUMMYFUNCTION("""COMPUTED_VALUE"""),"Une fois par semaine")</f>
        <v>Une fois par semaine</v>
      </c>
      <c r="O21" s="1" t="str">
        <f>IFERROR(__xludf.DUMMYFUNCTION("""COMPUTED_VALUE"""),"Tu te poses dans un coin, chill !!")</f>
        <v>Tu te poses dans un coin, chill !!</v>
      </c>
      <c r="P21" s="1">
        <f>IFERROR(__xludf.DUMMYFUNCTION("""COMPUTED_VALUE"""),1.0)</f>
        <v>1</v>
      </c>
      <c r="Q21" s="1" t="str">
        <f>IFERROR(__xludf.DUMMYFUNCTION("""COMPUTED_VALUE"""),"Non")</f>
        <v>Non</v>
      </c>
      <c r="R21" s="1" t="str">
        <f>IFERROR(__xludf.DUMMYFUNCTION("""COMPUTED_VALUE"""),"Non")</f>
        <v>Non</v>
      </c>
      <c r="S21" s="1" t="str">
        <f>IFERROR(__xludf.DUMMYFUNCTION("""COMPUTED_VALUE"""),"Le Zoo")</f>
        <v>Le Zoo</v>
      </c>
      <c r="T21" s="1" t="str">
        <f>IFERROR(__xludf.DUMMYFUNCTION("""COMPUTED_VALUE"""),"costume de nain + lunettes ")</f>
        <v>costume de nain + lunettes </v>
      </c>
      <c r="U21" t="str">
        <f>IFERROR(__xludf.DUMMYFUNCTION("""COMPUTED_VALUE"""),"")</f>
        <v/>
      </c>
      <c r="V21" t="str">
        <f>IFERROR(__xludf.DUMMYFUNCTION("""COMPUTED_VALUE"""),"")</f>
        <v/>
      </c>
      <c r="W21" t="str">
        <f>IFERROR(__xludf.DUMMYFUNCTION("""COMPUTED_VALUE"""),"")</f>
        <v/>
      </c>
      <c r="X21" t="str">
        <f>IFERROR(__xludf.DUMMYFUNCTION("""COMPUTED_VALUE"""),"")</f>
        <v/>
      </c>
      <c r="Y21" t="str">
        <f>IFERROR(__xludf.DUMMYFUNCTION("""COMPUTED_VALUE"""),"")</f>
        <v/>
      </c>
      <c r="Z21" t="str">
        <f>IFERROR(__xludf.DUMMYFUNCTION("""COMPUTED_VALUE"""),"")</f>
        <v/>
      </c>
      <c r="AA21" t="str">
        <f>IFERROR(__xludf.DUMMYFUNCTION("""COMPUTED_VALUE"""),"")</f>
        <v/>
      </c>
      <c r="AB21" t="str">
        <f>IFERROR(__xludf.DUMMYFUNCTION("""COMPUTED_VALUE"""),"")</f>
        <v/>
      </c>
    </row>
    <row r="22">
      <c r="A22" s="2">
        <f>IFERROR(__xludf.DUMMYFUNCTION("""COMPUTED_VALUE"""),43626.85551424768)</f>
        <v>43626.85551</v>
      </c>
      <c r="B22" s="1" t="str">
        <f>IFERROR(__xludf.DUMMYFUNCTION("""COMPUTED_VALUE"""),"Gonzalez JoseRi 😇")</f>
        <v>Gonzalez JoseRi 😇</v>
      </c>
      <c r="C2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" s="1" t="str">
        <f>IFERROR(__xludf.DUMMYFUNCTION("""COMPUTED_VALUE"""),"BDS")</f>
        <v>BDS</v>
      </c>
      <c r="E22" s="1">
        <f>IFERROR(__xludf.DUMMYFUNCTION("""COMPUTED_VALUE"""),5.0)</f>
        <v>5</v>
      </c>
      <c r="F22" s="1" t="str">
        <f>IFERROR(__xludf.DUMMYFUNCTION("""COMPUTED_VALUE"""),"Rock, Metal, Electro posée, Electro hard, Rap, Pop, Musique fançaise, Jazz, Musique classique, Kpop, Autre")</f>
        <v>Rock, Metal, Electro posée, Electro hard, Rap, Pop, Musique fançaise, Jazz, Musique classique, Kpop, Autre</v>
      </c>
      <c r="G22" s="1" t="str">
        <f>IFERROR(__xludf.DUMMYFUNCTION("""COMPUTED_VALUE"""),"Peinture, Littérature, Sculpture, Danse, Musique, Théâtre, Cinéma, Graphisme, Autre")</f>
        <v>Peinture, Littérature, Sculpture, Danse, Musique, Théâtre, Cinéma, Graphisme, Autre</v>
      </c>
      <c r="H22" s="1" t="str">
        <f>IFERROR(__xludf.DUMMYFUNCTION("""COMPUTED_VALUE"""),"Seulement les soirs de pleine lune")</f>
        <v>Seulement les soirs de pleine lune</v>
      </c>
      <c r="I22" s="1" t="str">
        <f>IFERROR(__xludf.DUMMYFUNCTION("""COMPUTED_VALUE"""),"Une fois par jour")</f>
        <v>Une fois par jour</v>
      </c>
      <c r="J22" s="1" t="str">
        <f>IFERROR(__xludf.DUMMYFUNCTION("""COMPUTED_VALUE"""),"Pour le développement perso et se dépasser")</f>
        <v>Pour le développement perso et se dépasser</v>
      </c>
      <c r="K22" s="1" t="str">
        <f>IFERROR(__xludf.DUMMYFUNCTION("""COMPUTED_VALUE"""),"Sports collectifs, Sports de raquette, Athlétisme, Voile, Sports de rames, Sports aquatiques, Sports de combat, Equitation, Escalade, Autre")</f>
        <v>Sports collectifs, Sports de raquette, Athlétisme, Voile, Sports de rames, Sports aquatiques, Sports de combat, Equitation, Escalade, Autre</v>
      </c>
      <c r="L22" s="1" t="str">
        <f>IFERROR(__xludf.DUMMYFUNCTION("""COMPUTED_VALUE"""),"Oh oui, et les trucs bien gras ça me connait !")</f>
        <v>Oh oui, et les trucs bien gras ça me connait !</v>
      </c>
      <c r="M22" s="1">
        <f>IFERROR(__xludf.DUMMYFUNCTION("""COMPUTED_VALUE"""),1.0)</f>
        <v>1</v>
      </c>
      <c r="N22" s="1" t="str">
        <f>IFERROR(__xludf.DUMMYFUNCTION("""COMPUTED_VALUE"""),"Une fois par jour (voire plus)")</f>
        <v>Une fois par jour (voire plus)</v>
      </c>
      <c r="O22" s="1" t="str">
        <f>IFERROR(__xludf.DUMMYFUNCTION("""COMPUTED_VALUE"""),"T'enflammes le dancefloor")</f>
        <v>T'enflammes le dancefloor</v>
      </c>
      <c r="P22" s="1">
        <f>IFERROR(__xludf.DUMMYFUNCTION("""COMPUTED_VALUE"""),3.0)</f>
        <v>3</v>
      </c>
      <c r="Q22" s="1" t="str">
        <f>IFERROR(__xludf.DUMMYFUNCTION("""COMPUTED_VALUE"""),"Non")</f>
        <v>Non</v>
      </c>
      <c r="R22" s="1" t="str">
        <f>IFERROR(__xludf.DUMMYFUNCTION("""COMPUTED_VALUE"""),"Non")</f>
        <v>Non</v>
      </c>
      <c r="S22" s="1" t="str">
        <f>IFERROR(__xludf.DUMMYFUNCTION("""COMPUTED_VALUE"""),"Beurre salé &amp; chocolatine")</f>
        <v>Beurre salé &amp; chocolatine</v>
      </c>
      <c r="T22" s="1" t="str">
        <f>IFERROR(__xludf.DUMMYFUNCTION("""COMPUTED_VALUE"""),"Mouton")</f>
        <v>Mouton</v>
      </c>
      <c r="U22" t="str">
        <f>IFERROR(__xludf.DUMMYFUNCTION("""COMPUTED_VALUE"""),"")</f>
        <v/>
      </c>
      <c r="V22" t="str">
        <f>IFERROR(__xludf.DUMMYFUNCTION("""COMPUTED_VALUE"""),"")</f>
        <v/>
      </c>
      <c r="W22" t="str">
        <f>IFERROR(__xludf.DUMMYFUNCTION("""COMPUTED_VALUE"""),"")</f>
        <v/>
      </c>
      <c r="X22" t="str">
        <f>IFERROR(__xludf.DUMMYFUNCTION("""COMPUTED_VALUE"""),"")</f>
        <v/>
      </c>
      <c r="Y22" t="str">
        <f>IFERROR(__xludf.DUMMYFUNCTION("""COMPUTED_VALUE"""),"")</f>
        <v/>
      </c>
      <c r="Z22" t="str">
        <f>IFERROR(__xludf.DUMMYFUNCTION("""COMPUTED_VALUE"""),"")</f>
        <v/>
      </c>
      <c r="AA22" t="str">
        <f>IFERROR(__xludf.DUMMYFUNCTION("""COMPUTED_VALUE"""),"")</f>
        <v/>
      </c>
      <c r="AB22" t="str">
        <f>IFERROR(__xludf.DUMMYFUNCTION("""COMPUTED_VALUE"""),"")</f>
        <v/>
      </c>
    </row>
    <row r="23">
      <c r="A23" s="2">
        <f>IFERROR(__xludf.DUMMYFUNCTION("""COMPUTED_VALUE"""),43626.85548158565)</f>
        <v>43626.85548</v>
      </c>
      <c r="B23" s="1" t="str">
        <f>IFERROR(__xludf.DUMMYFUNCTION("""COMPUTED_VALUE"""),"Jeremy Garcia")</f>
        <v>Jeremy Garcia</v>
      </c>
      <c r="C2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" s="1" t="str">
        <f>IFERROR(__xludf.DUMMYFUNCTION("""COMPUTED_VALUE"""),"BDS")</f>
        <v>BDS</v>
      </c>
      <c r="E23" s="1">
        <f>IFERROR(__xludf.DUMMYFUNCTION("""COMPUTED_VALUE"""),4.0)</f>
        <v>4</v>
      </c>
      <c r="F23" s="1" t="str">
        <f>IFERROR(__xludf.DUMMYFUNCTION("""COMPUTED_VALUE"""),"Rap, Pop")</f>
        <v>Rap, Pop</v>
      </c>
      <c r="G23" s="1" t="str">
        <f>IFERROR(__xludf.DUMMYFUNCTION("""COMPUTED_VALUE"""),"Autre")</f>
        <v>Autre</v>
      </c>
      <c r="H23" s="1" t="str">
        <f>IFERROR(__xludf.DUMMYFUNCTION("""COMPUTED_VALUE"""),"Une fois de temps en temps")</f>
        <v>Une fois de temps en temps</v>
      </c>
      <c r="I23" s="1" t="str">
        <f>IFERROR(__xludf.DUMMYFUNCTION("""COMPUTED_VALUE"""),"Une fois par jour")</f>
        <v>Une fois par jour</v>
      </c>
      <c r="J23" s="1" t="str">
        <f>IFERROR(__xludf.DUMMYFUNCTION("""COMPUTED_VALUE"""),"Pour la compet")</f>
        <v>Pour la compet</v>
      </c>
      <c r="K23" s="1" t="str">
        <f>IFERROR(__xludf.DUMMYFUNCTION("""COMPUTED_VALUE"""),"Sports collectifs, Athlétisme, Sports de rames, Equitation")</f>
        <v>Sports collectifs, Athlétisme, Sports de rames, Equitation</v>
      </c>
      <c r="L23" s="1" t="str">
        <f>IFERROR(__xludf.DUMMYFUNCTION("""COMPUTED_VALUE"""),"J'aime cuisiner le WE ou quand j'ai le temps")</f>
        <v>J'aime cuisiner le WE ou quand j'ai le temps</v>
      </c>
      <c r="M23" s="1">
        <f>IFERROR(__xludf.DUMMYFUNCTION("""COMPUTED_VALUE"""),7.0)</f>
        <v>7</v>
      </c>
      <c r="N23" s="1" t="str">
        <f>IFERROR(__xludf.DUMMYFUNCTION("""COMPUTED_VALUE"""),"Une fois par semaine")</f>
        <v>Une fois par semaine</v>
      </c>
      <c r="O23" s="1" t="str">
        <f>IFERROR(__xludf.DUMMYFUNCTION("""COMPUTED_VALUE"""),"T'enflammes le dancefloor")</f>
        <v>T'enflammes le dancefloor</v>
      </c>
      <c r="P23" s="1">
        <f>IFERROR(__xludf.DUMMYFUNCTION("""COMPUTED_VALUE"""),1.0)</f>
        <v>1</v>
      </c>
      <c r="Q23" s="1" t="str">
        <f>IFERROR(__xludf.DUMMYFUNCTION("""COMPUTED_VALUE"""),"Non")</f>
        <v>Non</v>
      </c>
      <c r="R23" s="1" t="str">
        <f>IFERROR(__xludf.DUMMYFUNCTION("""COMPUTED_VALUE"""),"Non")</f>
        <v>Non</v>
      </c>
      <c r="S23" s="1" t="str">
        <f>IFERROR(__xludf.DUMMYFUNCTION("""COMPUTED_VALUE"""),"Beurre Salé &amp; Chocolatine  ")</f>
        <v>Beurre Salé &amp; Chocolatine  </v>
      </c>
      <c r="T23" s="1" t="str">
        <f>IFERROR(__xludf.DUMMYFUNCTION("""COMPUTED_VALUE"""),"Puzzle")</f>
        <v>Puzzle</v>
      </c>
      <c r="U23" t="str">
        <f>IFERROR(__xludf.DUMMYFUNCTION("""COMPUTED_VALUE"""),"")</f>
        <v/>
      </c>
      <c r="V23" t="str">
        <f>IFERROR(__xludf.DUMMYFUNCTION("""COMPUTED_VALUE"""),"")</f>
        <v/>
      </c>
      <c r="W23" t="str">
        <f>IFERROR(__xludf.DUMMYFUNCTION("""COMPUTED_VALUE"""),"")</f>
        <v/>
      </c>
      <c r="X23" t="str">
        <f>IFERROR(__xludf.DUMMYFUNCTION("""COMPUTED_VALUE"""),"")</f>
        <v/>
      </c>
      <c r="Y23" t="str">
        <f>IFERROR(__xludf.DUMMYFUNCTION("""COMPUTED_VALUE"""),"")</f>
        <v/>
      </c>
      <c r="Z23" t="str">
        <f>IFERROR(__xludf.DUMMYFUNCTION("""COMPUTED_VALUE"""),"")</f>
        <v/>
      </c>
      <c r="AA23" t="str">
        <f>IFERROR(__xludf.DUMMYFUNCTION("""COMPUTED_VALUE"""),"")</f>
        <v/>
      </c>
      <c r="AB23" t="str">
        <f>IFERROR(__xludf.DUMMYFUNCTION("""COMPUTED_VALUE"""),"")</f>
        <v/>
      </c>
    </row>
    <row r="24">
      <c r="A24" s="2">
        <f>IFERROR(__xludf.DUMMYFUNCTION("""COMPUTED_VALUE"""),43626.855497592594)</f>
        <v>43626.8555</v>
      </c>
      <c r="B24" s="1" t="str">
        <f>IFERROR(__xludf.DUMMYFUNCTION("""COMPUTED_VALUE"""),"Maxence FORT")</f>
        <v>Maxence FORT</v>
      </c>
      <c r="C24" s="1" t="str">
        <f>IFERROR(__xludf.DUMMYFUNCTION("""COMPUTED_VALUE"""),"Deux inconnus")</f>
        <v>Deux inconnus</v>
      </c>
      <c r="D24" s="1" t="str">
        <f>IFERROR(__xludf.DUMMYFUNCTION("""COMPUTED_VALUE"""),"BDS")</f>
        <v>BDS</v>
      </c>
      <c r="E24" s="1">
        <f>IFERROR(__xludf.DUMMYFUNCTION("""COMPUTED_VALUE"""),5.0)</f>
        <v>5</v>
      </c>
      <c r="F24" s="1" t="str">
        <f>IFERROR(__xludf.DUMMYFUNCTION("""COMPUTED_VALUE"""),"Rock, Electro posée, Electro hard, Rap, Autre")</f>
        <v>Rock, Electro posée, Electro hard, Rap, Autre</v>
      </c>
      <c r="G24" s="1" t="str">
        <f>IFERROR(__xludf.DUMMYFUNCTION("""COMPUTED_VALUE"""),"Danse, Musique, Cinéma, Graphisme")</f>
        <v>Danse, Musique, Cinéma, Graphisme</v>
      </c>
      <c r="H24" s="1" t="str">
        <f>IFERROR(__xludf.DUMMYFUNCTION("""COMPUTED_VALUE"""),"Seulement les soirs de pleine lune")</f>
        <v>Seulement les soirs de pleine lune</v>
      </c>
      <c r="I24" s="1" t="str">
        <f>IFERROR(__xludf.DUMMYFUNCTION("""COMPUTED_VALUE"""),"Plusieurs fois par semaine")</f>
        <v>Plusieurs fois par semaine</v>
      </c>
      <c r="J24" s="1" t="str">
        <f>IFERROR(__xludf.DUMMYFUNCTION("""COMPUTED_VALUE"""),"Pour le fun")</f>
        <v>Pour le fun</v>
      </c>
      <c r="K24" s="1" t="str">
        <f>IFERROR(__xludf.DUMMYFUNCTION("""COMPUTED_VALUE"""),"Sports collectifs, Athlétisme, Sports de rames, Equitation, Autre")</f>
        <v>Sports collectifs, Athlétisme, Sports de rames, Equitation, Autre</v>
      </c>
      <c r="L24" s="1" t="str">
        <f>IFERROR(__xludf.DUMMYFUNCTION("""COMPUTED_VALUE"""),"Alterner entre grec et coquillettes ça compte ?")</f>
        <v>Alterner entre grec et coquillettes ça compte ?</v>
      </c>
      <c r="M24" s="1">
        <f>IFERROR(__xludf.DUMMYFUNCTION("""COMPUTED_VALUE"""),7.0)</f>
        <v>7</v>
      </c>
      <c r="N24" s="1" t="str">
        <f>IFERROR(__xludf.DUMMYFUNCTION("""COMPUTED_VALUE"""),"Plusieurs fois par semaine")</f>
        <v>Plusieurs fois par semaine</v>
      </c>
      <c r="O24" s="1" t="str">
        <f>IFERROR(__xludf.DUMMYFUNCTION("""COMPUTED_VALUE"""),"Tu te poses dans un coin, chill !!")</f>
        <v>Tu te poses dans un coin, chill !!</v>
      </c>
      <c r="P24" s="1">
        <f>IFERROR(__xludf.DUMMYFUNCTION("""COMPUTED_VALUE"""),1.0)</f>
        <v>1</v>
      </c>
      <c r="Q24" s="1" t="str">
        <f>IFERROR(__xludf.DUMMYFUNCTION("""COMPUTED_VALUE"""),"Non")</f>
        <v>Non</v>
      </c>
      <c r="R24" s="1" t="str">
        <f>IFERROR(__xludf.DUMMYFUNCTION("""COMPUTED_VALUE"""),"Non")</f>
        <v>Non</v>
      </c>
      <c r="S24" s="1" t="str">
        <f>IFERROR(__xludf.DUMMYFUNCTION("""COMPUTED_VALUE"""),"Beurre salé &amp; chocolatine")</f>
        <v>Beurre salé &amp; chocolatine</v>
      </c>
      <c r="T24" s="1" t="str">
        <f>IFERROR(__xludf.DUMMYFUNCTION("""COMPUTED_VALUE"""),"Puzzle hyper stylé")</f>
        <v>Puzzle hyper stylé</v>
      </c>
      <c r="U24" t="str">
        <f>IFERROR(__xludf.DUMMYFUNCTION("""COMPUTED_VALUE"""),"")</f>
        <v/>
      </c>
      <c r="V24" t="str">
        <f>IFERROR(__xludf.DUMMYFUNCTION("""COMPUTED_VALUE"""),"")</f>
        <v/>
      </c>
      <c r="W24" t="str">
        <f>IFERROR(__xludf.DUMMYFUNCTION("""COMPUTED_VALUE"""),"")</f>
        <v/>
      </c>
      <c r="X24" t="str">
        <f>IFERROR(__xludf.DUMMYFUNCTION("""COMPUTED_VALUE"""),"")</f>
        <v/>
      </c>
      <c r="Y24" t="str">
        <f>IFERROR(__xludf.DUMMYFUNCTION("""COMPUTED_VALUE"""),"")</f>
        <v/>
      </c>
      <c r="Z24" t="str">
        <f>IFERROR(__xludf.DUMMYFUNCTION("""COMPUTED_VALUE"""),"")</f>
        <v/>
      </c>
      <c r="AA24" t="str">
        <f>IFERROR(__xludf.DUMMYFUNCTION("""COMPUTED_VALUE"""),"")</f>
        <v/>
      </c>
      <c r="AB24" t="str">
        <f>IFERROR(__xludf.DUMMYFUNCTION("""COMPUTED_VALUE"""),"")</f>
        <v/>
      </c>
    </row>
    <row r="25">
      <c r="A25" s="2">
        <f>IFERROR(__xludf.DUMMYFUNCTION("""COMPUTED_VALUE"""),43626.859164629626)</f>
        <v>43626.85916</v>
      </c>
      <c r="B25" s="1" t="str">
        <f>IFERROR(__xludf.DUMMYFUNCTION("""COMPUTED_VALUE"""),"Adrien COCHARD")</f>
        <v>Adrien COCHARD</v>
      </c>
      <c r="C25" s="1" t="str">
        <f>IFERROR(__xludf.DUMMYFUNCTION("""COMPUTED_VALUE"""),"Deux inconnus")</f>
        <v>Deux inconnus</v>
      </c>
      <c r="D25" s="1" t="str">
        <f>IFERROR(__xludf.DUMMYFUNCTION("""COMPUTED_VALUE"""),"BDE")</f>
        <v>BDE</v>
      </c>
      <c r="E25" s="1">
        <f>IFERROR(__xludf.DUMMYFUNCTION("""COMPUTED_VALUE"""),3.0)</f>
        <v>3</v>
      </c>
      <c r="F25" s="1" t="str">
        <f>IFERROR(__xludf.DUMMYFUNCTION("""COMPUTED_VALUE"""),"Metal")</f>
        <v>Metal</v>
      </c>
      <c r="G25" s="1" t="str">
        <f>IFERROR(__xludf.DUMMYFUNCTION("""COMPUTED_VALUE"""),"Musique, Théâtre")</f>
        <v>Musique, Théâtre</v>
      </c>
      <c r="H25" s="1" t="str">
        <f>IFERROR(__xludf.DUMMYFUNCTION("""COMPUTED_VALUE"""),"Quelques fois par semaine")</f>
        <v>Quelques fois par semaine</v>
      </c>
      <c r="I25" s="1" t="str">
        <f>IFERROR(__xludf.DUMMYFUNCTION("""COMPUTED_VALUE"""),"Une fois par semaine")</f>
        <v>Une fois par semaine</v>
      </c>
      <c r="J25" s="1" t="str">
        <f>IFERROR(__xludf.DUMMYFUNCTION("""COMPUTED_VALUE"""),"Pour le développement perso et se dépasser")</f>
        <v>Pour le développement perso et se dépasser</v>
      </c>
      <c r="K25" s="1" t="str">
        <f>IFERROR(__xludf.DUMMYFUNCTION("""COMPUTED_VALUE"""),"Autre")</f>
        <v>Autre</v>
      </c>
      <c r="L25" s="1" t="str">
        <f>IFERROR(__xludf.DUMMYFUNCTION("""COMPUTED_VALUE"""),"J'aime cuisiner le WE ou quand j'ai le temps")</f>
        <v>J'aime cuisiner le WE ou quand j'ai le temps</v>
      </c>
      <c r="M25" s="1">
        <f>IFERROR(__xludf.DUMMYFUNCTION("""COMPUTED_VALUE"""),6.0)</f>
        <v>6</v>
      </c>
      <c r="N25" s="1" t="str">
        <f>IFERROR(__xludf.DUMMYFUNCTION("""COMPUTED_VALUE"""),"Plusieurs fois par semaine")</f>
        <v>Plusieurs fois par semaine</v>
      </c>
      <c r="O25" s="1" t="str">
        <f>IFERROR(__xludf.DUMMYFUNCTION("""COMPUTED_VALUE"""),"Tu te poses dans un coin, chill !!")</f>
        <v>Tu te poses dans un coin, chill !!</v>
      </c>
      <c r="P25" s="1">
        <f>IFERROR(__xludf.DUMMYFUNCTION("""COMPUTED_VALUE"""),1.0)</f>
        <v>1</v>
      </c>
      <c r="Q25" s="1" t="str">
        <f>IFERROR(__xludf.DUMMYFUNCTION("""COMPUTED_VALUE"""),"Non")</f>
        <v>Non</v>
      </c>
      <c r="R25" s="1" t="str">
        <f>IFERROR(__xludf.DUMMYFUNCTION("""COMPUTED_VALUE"""),"Non")</f>
        <v>Non</v>
      </c>
      <c r="S25" s="1" t="str">
        <f>IFERROR(__xludf.DUMMYFUNCTION("""COMPUTED_VALUE"""),"La Comté")</f>
        <v>La Comté</v>
      </c>
      <c r="T25" s="1" t="str">
        <f>IFERROR(__xludf.DUMMYFUNCTION("""COMPUTED_VALUE"""),"D120")</f>
        <v>D120</v>
      </c>
      <c r="U25" t="str">
        <f>IFERROR(__xludf.DUMMYFUNCTION("""COMPUTED_VALUE"""),"")</f>
        <v/>
      </c>
      <c r="V25" t="str">
        <f>IFERROR(__xludf.DUMMYFUNCTION("""COMPUTED_VALUE"""),"")</f>
        <v/>
      </c>
      <c r="W25" t="str">
        <f>IFERROR(__xludf.DUMMYFUNCTION("""COMPUTED_VALUE"""),"")</f>
        <v/>
      </c>
      <c r="X25" t="str">
        <f>IFERROR(__xludf.DUMMYFUNCTION("""COMPUTED_VALUE"""),"")</f>
        <v/>
      </c>
      <c r="Y25" t="str">
        <f>IFERROR(__xludf.DUMMYFUNCTION("""COMPUTED_VALUE"""),"")</f>
        <v/>
      </c>
      <c r="Z25" t="str">
        <f>IFERROR(__xludf.DUMMYFUNCTION("""COMPUTED_VALUE"""),"")</f>
        <v/>
      </c>
      <c r="AA25" t="str">
        <f>IFERROR(__xludf.DUMMYFUNCTION("""COMPUTED_VALUE"""),"")</f>
        <v/>
      </c>
      <c r="AB25" t="str">
        <f>IFERROR(__xludf.DUMMYFUNCTION("""COMPUTED_VALUE"""),"")</f>
        <v/>
      </c>
    </row>
    <row r="26">
      <c r="A26" s="2">
        <f>IFERROR(__xludf.DUMMYFUNCTION("""COMPUTED_VALUE"""),43626.865117615744)</f>
        <v>43626.86512</v>
      </c>
      <c r="B26" s="1" t="str">
        <f>IFERROR(__xludf.DUMMYFUNCTION("""COMPUTED_VALUE"""),"Tom Aubelle")</f>
        <v>Tom Aubelle</v>
      </c>
      <c r="C2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" s="1" t="str">
        <f>IFERROR(__xludf.DUMMYFUNCTION("""COMPUTED_VALUE"""),"BDS")</f>
        <v>BDS</v>
      </c>
      <c r="E26" s="1">
        <f>IFERROR(__xludf.DUMMYFUNCTION("""COMPUTED_VALUE"""),5.0)</f>
        <v>5</v>
      </c>
      <c r="F26" s="1" t="str">
        <f>IFERROR(__xludf.DUMMYFUNCTION("""COMPUTED_VALUE"""),"Electro posée")</f>
        <v>Electro posée</v>
      </c>
      <c r="G26" s="1" t="str">
        <f>IFERROR(__xludf.DUMMYFUNCTION("""COMPUTED_VALUE"""),"Cinéma")</f>
        <v>Cinéma</v>
      </c>
      <c r="H26" s="1" t="str">
        <f>IFERROR(__xludf.DUMMYFUNCTION("""COMPUTED_VALUE"""),"Une fois de temps en temps")</f>
        <v>Une fois de temps en temps</v>
      </c>
      <c r="I26" s="1" t="str">
        <f>IFERROR(__xludf.DUMMYFUNCTION("""COMPUTED_VALUE"""),"Plusieurs fois par semaine")</f>
        <v>Plusieurs fois par semaine</v>
      </c>
      <c r="J26" s="1" t="str">
        <f>IFERROR(__xludf.DUMMYFUNCTION("""COMPUTED_VALUE"""),"Pour la compet")</f>
        <v>Pour la compet</v>
      </c>
      <c r="K26" s="1" t="str">
        <f>IFERROR(__xludf.DUMMYFUNCTION("""COMPUTED_VALUE"""),"Sports collectifs")</f>
        <v>Sports collectifs</v>
      </c>
      <c r="L26" s="1" t="str">
        <f>IFERROR(__xludf.DUMMYFUNCTION("""COMPUTED_VALUE"""),"Alterner entre grec et coquillettes ça compte ?")</f>
        <v>Alterner entre grec et coquillettes ça compte ?</v>
      </c>
      <c r="M26" s="1">
        <f>IFERROR(__xludf.DUMMYFUNCTION("""COMPUTED_VALUE"""),7.0)</f>
        <v>7</v>
      </c>
      <c r="N26" s="1" t="str">
        <f>IFERROR(__xludf.DUMMYFUNCTION("""COMPUTED_VALUE"""),"Une fois par semaine")</f>
        <v>Une fois par semaine</v>
      </c>
      <c r="O26" s="1" t="str">
        <f>IFERROR(__xludf.DUMMYFUNCTION("""COMPUTED_VALUE"""),"T'enflammes le dancefloor")</f>
        <v>T'enflammes le dancefloor</v>
      </c>
      <c r="P26" s="1">
        <f>IFERROR(__xludf.DUMMYFUNCTION("""COMPUTED_VALUE"""),1.0)</f>
        <v>1</v>
      </c>
      <c r="Q26" s="1" t="str">
        <f>IFERROR(__xludf.DUMMYFUNCTION("""COMPUTED_VALUE"""),"Oui")</f>
        <v>Oui</v>
      </c>
      <c r="R26" s="1" t="str">
        <f>IFERROR(__xludf.DUMMYFUNCTION("""COMPUTED_VALUE"""),"Non")</f>
        <v>Non</v>
      </c>
      <c r="S26" s="1" t="str">
        <f>IFERROR(__xludf.DUMMYFUNCTION("""COMPUTED_VALUE"""),"La chevroll's ")</f>
        <v>La chevroll's </v>
      </c>
      <c r="T26" s="1" t="str">
        <f>IFERROR(__xludf.DUMMYFUNCTION("""COMPUTED_VALUE"""),"Pas encore trouvé ")</f>
        <v>Pas encore trouvé </v>
      </c>
      <c r="U26" t="str">
        <f>IFERROR(__xludf.DUMMYFUNCTION("""COMPUTED_VALUE"""),"")</f>
        <v/>
      </c>
      <c r="V26" t="str">
        <f>IFERROR(__xludf.DUMMYFUNCTION("""COMPUTED_VALUE"""),"")</f>
        <v/>
      </c>
      <c r="W26" t="str">
        <f>IFERROR(__xludf.DUMMYFUNCTION("""COMPUTED_VALUE"""),"")</f>
        <v/>
      </c>
      <c r="X26" t="str">
        <f>IFERROR(__xludf.DUMMYFUNCTION("""COMPUTED_VALUE"""),"")</f>
        <v/>
      </c>
      <c r="Y26" t="str">
        <f>IFERROR(__xludf.DUMMYFUNCTION("""COMPUTED_VALUE"""),"")</f>
        <v/>
      </c>
      <c r="Z26" t="str">
        <f>IFERROR(__xludf.DUMMYFUNCTION("""COMPUTED_VALUE"""),"")</f>
        <v/>
      </c>
      <c r="AA26" t="str">
        <f>IFERROR(__xludf.DUMMYFUNCTION("""COMPUTED_VALUE"""),"")</f>
        <v/>
      </c>
      <c r="AB26" t="str">
        <f>IFERROR(__xludf.DUMMYFUNCTION("""COMPUTED_VALUE"""),"")</f>
        <v/>
      </c>
    </row>
    <row r="27">
      <c r="A27" s="2">
        <f>IFERROR(__xludf.DUMMYFUNCTION("""COMPUTED_VALUE"""),43626.86996127314)</f>
        <v>43626.86996</v>
      </c>
      <c r="B27" s="1" t="str">
        <f>IFERROR(__xludf.DUMMYFUNCTION("""COMPUTED_VALUE"""),"Joanna MARTIN")</f>
        <v>Joanna MARTIN</v>
      </c>
      <c r="C2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" s="1" t="str">
        <f>IFERROR(__xludf.DUMMYFUNCTION("""COMPUTED_VALUE"""),"BDS")</f>
        <v>BDS</v>
      </c>
      <c r="E27" s="1">
        <f>IFERROR(__xludf.DUMMYFUNCTION("""COMPUTED_VALUE"""),5.0)</f>
        <v>5</v>
      </c>
      <c r="F27" s="1" t="str">
        <f>IFERROR(__xludf.DUMMYFUNCTION("""COMPUTED_VALUE"""),"Electro posée, Pop")</f>
        <v>Electro posée, Pop</v>
      </c>
      <c r="G27" s="1" t="str">
        <f>IFERROR(__xludf.DUMMYFUNCTION("""COMPUTED_VALUE"""),"Littérature, Musique")</f>
        <v>Littérature, Musique</v>
      </c>
      <c r="H27" s="1" t="str">
        <f>IFERROR(__xludf.DUMMYFUNCTION("""COMPUTED_VALUE"""),"Seulement les soirs de pleine lune")</f>
        <v>Seulement les soirs de pleine lune</v>
      </c>
      <c r="I27" s="1" t="str">
        <f>IFERROR(__xludf.DUMMYFUNCTION("""COMPUTED_VALUE"""),"Une fois par semaine")</f>
        <v>Une fois par semaine</v>
      </c>
      <c r="J27" s="1" t="str">
        <f>IFERROR(__xludf.DUMMYFUNCTION("""COMPUTED_VALUE"""),"Pour le fun")</f>
        <v>Pour le fun</v>
      </c>
      <c r="K27" s="1" t="str">
        <f>IFERROR(__xludf.DUMMYFUNCTION("""COMPUTED_VALUE"""),"Sports collectifs")</f>
        <v>Sports collectifs</v>
      </c>
      <c r="L27" s="1" t="str">
        <f>IFERROR(__xludf.DUMMYFUNCTION("""COMPUTED_VALUE"""),"J'aime cuisiner le WE ou quand j'ai le temps")</f>
        <v>J'aime cuisiner le WE ou quand j'ai le temps</v>
      </c>
      <c r="M27" s="1">
        <f>IFERROR(__xludf.DUMMYFUNCTION("""COMPUTED_VALUE"""),7.0)</f>
        <v>7</v>
      </c>
      <c r="N27" s="1" t="str">
        <f>IFERROR(__xludf.DUMMYFUNCTION("""COMPUTED_VALUE"""),"Une fois par semaine")</f>
        <v>Une fois par semaine</v>
      </c>
      <c r="O27" s="1" t="str">
        <f>IFERROR(__xludf.DUMMYFUNCTION("""COMPUTED_VALUE"""),"T'enflammes le dancefloor")</f>
        <v>T'enflammes le dancefloor</v>
      </c>
      <c r="P27" s="1">
        <f>IFERROR(__xludf.DUMMYFUNCTION("""COMPUTED_VALUE"""),1.0)</f>
        <v>1</v>
      </c>
      <c r="Q27" s="1" t="str">
        <f>IFERROR(__xludf.DUMMYFUNCTION("""COMPUTED_VALUE"""),"Oui")</f>
        <v>Oui</v>
      </c>
      <c r="R27" s="1" t="str">
        <f>IFERROR(__xludf.DUMMYFUNCTION("""COMPUTED_VALUE"""),"Non")</f>
        <v>Non</v>
      </c>
      <c r="S27" s="1" t="str">
        <f>IFERROR(__xludf.DUMMYFUNCTION("""COMPUTED_VALUE"""),"La Chevroll’s")</f>
        <v>La Chevroll’s</v>
      </c>
      <c r="T27" s="1" t="str">
        <f>IFERROR(__xludf.DUMMYFUNCTION("""COMPUTED_VALUE"""),"Un éléphant")</f>
        <v>Un éléphant</v>
      </c>
      <c r="U27" t="str">
        <f>IFERROR(__xludf.DUMMYFUNCTION("""COMPUTED_VALUE"""),"")</f>
        <v/>
      </c>
      <c r="V27" t="str">
        <f>IFERROR(__xludf.DUMMYFUNCTION("""COMPUTED_VALUE"""),"")</f>
        <v/>
      </c>
      <c r="W27" t="str">
        <f>IFERROR(__xludf.DUMMYFUNCTION("""COMPUTED_VALUE"""),"")</f>
        <v/>
      </c>
      <c r="X27" t="str">
        <f>IFERROR(__xludf.DUMMYFUNCTION("""COMPUTED_VALUE"""),"")</f>
        <v/>
      </c>
      <c r="Y27" t="str">
        <f>IFERROR(__xludf.DUMMYFUNCTION("""COMPUTED_VALUE"""),"")</f>
        <v/>
      </c>
      <c r="Z27" t="str">
        <f>IFERROR(__xludf.DUMMYFUNCTION("""COMPUTED_VALUE"""),"")</f>
        <v/>
      </c>
      <c r="AA27" t="str">
        <f>IFERROR(__xludf.DUMMYFUNCTION("""COMPUTED_VALUE"""),"")</f>
        <v/>
      </c>
      <c r="AB27" t="str">
        <f>IFERROR(__xludf.DUMMYFUNCTION("""COMPUTED_VALUE"""),"")</f>
        <v/>
      </c>
    </row>
    <row r="28">
      <c r="A28" s="2">
        <f>IFERROR(__xludf.DUMMYFUNCTION("""COMPUTED_VALUE"""),43626.87357668982)</f>
        <v>43626.87358</v>
      </c>
      <c r="B28" s="1" t="str">
        <f>IFERROR(__xludf.DUMMYFUNCTION("""COMPUTED_VALUE"""),"Pauline Viault")</f>
        <v>Pauline Viault</v>
      </c>
      <c r="C28" s="1" t="str">
        <f>IFERROR(__xludf.DUMMYFUNCTION("""COMPUTED_VALUE"""),"Le président et un inconnu")</f>
        <v>Le président et un inconnu</v>
      </c>
      <c r="D28" s="1" t="str">
        <f>IFERROR(__xludf.DUMMYFUNCTION("""COMPUTED_VALUE"""),"BDE")</f>
        <v>BDE</v>
      </c>
      <c r="E28" s="1">
        <f>IFERROR(__xludf.DUMMYFUNCTION("""COMPUTED_VALUE"""),4.0)</f>
        <v>4</v>
      </c>
      <c r="F28" s="1" t="str">
        <f>IFERROR(__xludf.DUMMYFUNCTION("""COMPUTED_VALUE"""),"Rock, Pop, Musique fançaise")</f>
        <v>Rock, Pop, Musique fançaise</v>
      </c>
      <c r="G28" s="1" t="str">
        <f>IFERROR(__xludf.DUMMYFUNCTION("""COMPUTED_VALUE"""),"Danse, Théâtre")</f>
        <v>Danse, Théâtre</v>
      </c>
      <c r="H28" s="1" t="str">
        <f>IFERROR(__xludf.DUMMYFUNCTION("""COMPUTED_VALUE"""),"Seulement les soirs de pleine lune")</f>
        <v>Seulement les soirs de pleine lune</v>
      </c>
      <c r="I28" s="1" t="str">
        <f>IFERROR(__xludf.DUMMYFUNCTION("""COMPUTED_VALUE"""),"Plusieurs fois par semaine")</f>
        <v>Plusieurs fois par semaine</v>
      </c>
      <c r="J28" s="1" t="str">
        <f>IFERROR(__xludf.DUMMYFUNCTION("""COMPUTED_VALUE"""),"Pour le développement perso et se dépasser")</f>
        <v>Pour le développement perso et se dépasser</v>
      </c>
      <c r="K28" s="1" t="str">
        <f>IFERROR(__xludf.DUMMYFUNCTION("""COMPUTED_VALUE"""),"Sports collectifs, Sports aquatiques")</f>
        <v>Sports collectifs, Sports aquatiques</v>
      </c>
      <c r="L28" s="1" t="str">
        <f>IFERROR(__xludf.DUMMYFUNCTION("""COMPUTED_VALUE"""),"Je fais toujours attention à bien manger")</f>
        <v>Je fais toujours attention à bien manger</v>
      </c>
      <c r="M28" s="1">
        <f>IFERROR(__xludf.DUMMYFUNCTION("""COMPUTED_VALUE"""),6.0)</f>
        <v>6</v>
      </c>
      <c r="N28" s="1" t="str">
        <f>IFERROR(__xludf.DUMMYFUNCTION("""COMPUTED_VALUE"""),"Une fois par semaine")</f>
        <v>Une fois par semaine</v>
      </c>
      <c r="O28" s="1" t="str">
        <f>IFERROR(__xludf.DUMMYFUNCTION("""COMPUTED_VALUE"""),"T'enflammes le dancefloor")</f>
        <v>T'enflammes le dancefloor</v>
      </c>
      <c r="P28" s="1">
        <f>IFERROR(__xludf.DUMMYFUNCTION("""COMPUTED_VALUE"""),1.0)</f>
        <v>1</v>
      </c>
      <c r="Q28" s="1" t="str">
        <f>IFERROR(__xludf.DUMMYFUNCTION("""COMPUTED_VALUE"""),"Non")</f>
        <v>Non</v>
      </c>
      <c r="R28" s="1" t="str">
        <f>IFERROR(__xludf.DUMMYFUNCTION("""COMPUTED_VALUE"""),"Non")</f>
        <v>Non</v>
      </c>
      <c r="S28" s="1" t="str">
        <f>IFERROR(__xludf.DUMMYFUNCTION("""COMPUTED_VALUE"""),"La Comté ")</f>
        <v>La Comté </v>
      </c>
      <c r="T28" s="1" t="str">
        <f>IFERROR(__xludf.DUMMYFUNCTION("""COMPUTED_VALUE"""),"Un tutu rose ")</f>
        <v>Un tutu rose </v>
      </c>
      <c r="U28" t="str">
        <f>IFERROR(__xludf.DUMMYFUNCTION("""COMPUTED_VALUE"""),"")</f>
        <v/>
      </c>
      <c r="V28" t="str">
        <f>IFERROR(__xludf.DUMMYFUNCTION("""COMPUTED_VALUE"""),"")</f>
        <v/>
      </c>
      <c r="W28" t="str">
        <f>IFERROR(__xludf.DUMMYFUNCTION("""COMPUTED_VALUE"""),"")</f>
        <v/>
      </c>
      <c r="X28" t="str">
        <f>IFERROR(__xludf.DUMMYFUNCTION("""COMPUTED_VALUE"""),"")</f>
        <v/>
      </c>
      <c r="Y28" t="str">
        <f>IFERROR(__xludf.DUMMYFUNCTION("""COMPUTED_VALUE"""),"")</f>
        <v/>
      </c>
      <c r="Z28" t="str">
        <f>IFERROR(__xludf.DUMMYFUNCTION("""COMPUTED_VALUE"""),"")</f>
        <v/>
      </c>
      <c r="AA28" t="str">
        <f>IFERROR(__xludf.DUMMYFUNCTION("""COMPUTED_VALUE"""),"")</f>
        <v/>
      </c>
      <c r="AB28" t="str">
        <f>IFERROR(__xludf.DUMMYFUNCTION("""COMPUTED_VALUE"""),"")</f>
        <v/>
      </c>
    </row>
    <row r="29">
      <c r="A29" s="2">
        <f>IFERROR(__xludf.DUMMYFUNCTION("""COMPUTED_VALUE"""),43626.87433665509)</f>
        <v>43626.87434</v>
      </c>
      <c r="B29" s="1" t="str">
        <f>IFERROR(__xludf.DUMMYFUNCTION("""COMPUTED_VALUE"""),"Laurine DECROS")</f>
        <v>Laurine DECROS</v>
      </c>
      <c r="C29" s="1" t="str">
        <f>IFERROR(__xludf.DUMMYFUNCTION("""COMPUTED_VALUE"""),"Le président et un inconnu")</f>
        <v>Le président et un inconnu</v>
      </c>
      <c r="D29" s="1" t="str">
        <f>IFERROR(__xludf.DUMMYFUNCTION("""COMPUTED_VALUE"""),"BDE")</f>
        <v>BDE</v>
      </c>
      <c r="E29" s="1">
        <f>IFERROR(__xludf.DUMMYFUNCTION("""COMPUTED_VALUE"""),5.0)</f>
        <v>5</v>
      </c>
      <c r="F29" s="1" t="str">
        <f>IFERROR(__xludf.DUMMYFUNCTION("""COMPUTED_VALUE"""),"Rock, Rap, Pop, Musique fançaise, Jazz")</f>
        <v>Rock, Rap, Pop, Musique fançaise, Jazz</v>
      </c>
      <c r="G29" s="1" t="str">
        <f>IFERROR(__xludf.DUMMYFUNCTION("""COMPUTED_VALUE"""),"Littérature, Danse, Musique, Théâtre, Cinéma, Graphisme")</f>
        <v>Littérature, Danse, Musique, Théâtre, Cinéma, Graphisme</v>
      </c>
      <c r="H29" s="1" t="str">
        <f>IFERROR(__xludf.DUMMYFUNCTION("""COMPUTED_VALUE"""),"Seulement les soirs de pleine lune")</f>
        <v>Seulement les soirs de pleine lune</v>
      </c>
      <c r="I29" s="1" t="str">
        <f>IFERROR(__xludf.DUMMYFUNCTION("""COMPUTED_VALUE"""),"Une fois par semaine")</f>
        <v>Une fois par semaine</v>
      </c>
      <c r="J29" s="1" t="str">
        <f>IFERROR(__xludf.DUMMYFUNCTION("""COMPUTED_VALUE"""),"Pour le développement perso et se dépasser")</f>
        <v>Pour le développement perso et se dépasser</v>
      </c>
      <c r="K29" s="1" t="str">
        <f>IFERROR(__xludf.DUMMYFUNCTION("""COMPUTED_VALUE"""),"Sports de raquette")</f>
        <v>Sports de raquette</v>
      </c>
      <c r="L29" s="1" t="str">
        <f>IFERROR(__xludf.DUMMYFUNCTION("""COMPUTED_VALUE"""),"J'aime cuisiner le WE ou quand j'ai le temps")</f>
        <v>J'aime cuisiner le WE ou quand j'ai le temps</v>
      </c>
      <c r="M29" s="1">
        <f>IFERROR(__xludf.DUMMYFUNCTION("""COMPUTED_VALUE"""),5.0)</f>
        <v>5</v>
      </c>
      <c r="N29" s="1" t="str">
        <f>IFERROR(__xludf.DUMMYFUNCTION("""COMPUTED_VALUE"""),"Une fois par semaine")</f>
        <v>Une fois par semaine</v>
      </c>
      <c r="O29" s="1" t="str">
        <f>IFERROR(__xludf.DUMMYFUNCTION("""COMPUTED_VALUE"""),"T'enflammes le dancefloor")</f>
        <v>T'enflammes le dancefloor</v>
      </c>
      <c r="P29" s="1">
        <f>IFERROR(__xludf.DUMMYFUNCTION("""COMPUTED_VALUE"""),1.0)</f>
        <v>1</v>
      </c>
      <c r="Q29" s="1" t="str">
        <f>IFERROR(__xludf.DUMMYFUNCTION("""COMPUTED_VALUE"""),"Non")</f>
        <v>Non</v>
      </c>
      <c r="R29" s="1" t="str">
        <f>IFERROR(__xludf.DUMMYFUNCTION("""COMPUTED_VALUE"""),"Non")</f>
        <v>Non</v>
      </c>
      <c r="S29" s="1" t="str">
        <f>IFERROR(__xludf.DUMMYFUNCTION("""COMPUTED_VALUE"""),"La Comté")</f>
        <v>La Comté</v>
      </c>
      <c r="T29" s="1" t="str">
        <f>IFERROR(__xludf.DUMMYFUNCTION("""COMPUTED_VALUE"""),"Une partition de musique ")</f>
        <v>Une partition de musique </v>
      </c>
      <c r="U29" t="str">
        <f>IFERROR(__xludf.DUMMYFUNCTION("""COMPUTED_VALUE"""),"")</f>
        <v/>
      </c>
      <c r="V29" t="str">
        <f>IFERROR(__xludf.DUMMYFUNCTION("""COMPUTED_VALUE"""),"")</f>
        <v/>
      </c>
      <c r="W29" t="str">
        <f>IFERROR(__xludf.DUMMYFUNCTION("""COMPUTED_VALUE"""),"")</f>
        <v/>
      </c>
      <c r="X29" t="str">
        <f>IFERROR(__xludf.DUMMYFUNCTION("""COMPUTED_VALUE"""),"")</f>
        <v/>
      </c>
      <c r="Y29" t="str">
        <f>IFERROR(__xludf.DUMMYFUNCTION("""COMPUTED_VALUE"""),"")</f>
        <v/>
      </c>
      <c r="Z29" t="str">
        <f>IFERROR(__xludf.DUMMYFUNCTION("""COMPUTED_VALUE"""),"")</f>
        <v/>
      </c>
      <c r="AA29" t="str">
        <f>IFERROR(__xludf.DUMMYFUNCTION("""COMPUTED_VALUE"""),"")</f>
        <v/>
      </c>
      <c r="AB29" t="str">
        <f>IFERROR(__xludf.DUMMYFUNCTION("""COMPUTED_VALUE"""),"")</f>
        <v/>
      </c>
    </row>
    <row r="30">
      <c r="A30" s="2">
        <f>IFERROR(__xludf.DUMMYFUNCTION("""COMPUTED_VALUE"""),43626.87478618056)</f>
        <v>43626.87479</v>
      </c>
      <c r="B30" s="1" t="str">
        <f>IFERROR(__xludf.DUMMYFUNCTION("""COMPUTED_VALUE"""),"Suzanne COUTELOU")</f>
        <v>Suzanne COUTELOU</v>
      </c>
      <c r="C30" s="1" t="str">
        <f>IFERROR(__xludf.DUMMYFUNCTION("""COMPUTED_VALUE"""),"Deux inconnus")</f>
        <v>Deux inconnus</v>
      </c>
      <c r="D30" s="1" t="str">
        <f>IFERROR(__xludf.DUMMYFUNCTION("""COMPUTED_VALUE"""),"BDA, BDE")</f>
        <v>BDA, BDE</v>
      </c>
      <c r="E30" s="1">
        <f>IFERROR(__xludf.DUMMYFUNCTION("""COMPUTED_VALUE"""),5.0)</f>
        <v>5</v>
      </c>
      <c r="F30" s="1" t="str">
        <f>IFERROR(__xludf.DUMMYFUNCTION("""COMPUTED_VALUE"""),"Rock, Electro posée, Pop, Jazz, Musique classique")</f>
        <v>Rock, Electro posée, Pop, Jazz, Musique classique</v>
      </c>
      <c r="G30" s="1" t="str">
        <f>IFERROR(__xludf.DUMMYFUNCTION("""COMPUTED_VALUE"""),"Danse, Musique, Théâtre, Cinéma")</f>
        <v>Danse, Musique, Théâtre, Cinéma</v>
      </c>
      <c r="H30" s="1" t="str">
        <f>IFERROR(__xludf.DUMMYFUNCTION("""COMPUTED_VALUE"""),"Une fois de temps en temps")</f>
        <v>Une fois de temps en temps</v>
      </c>
      <c r="I30" s="1" t="str">
        <f>IFERROR(__xludf.DUMMYFUNCTION("""COMPUTED_VALUE"""),"Plusieurs fois par semaine")</f>
        <v>Plusieurs fois par semaine</v>
      </c>
      <c r="J30" s="1" t="str">
        <f>IFERROR(__xludf.DUMMYFUNCTION("""COMPUTED_VALUE"""),"Pour le fun")</f>
        <v>Pour le fun</v>
      </c>
      <c r="K30" s="1" t="str">
        <f>IFERROR(__xludf.DUMMYFUNCTION("""COMPUTED_VALUE"""),"Sports collectifs, Voile, Sports de combat, Escalade, Autre")</f>
        <v>Sports collectifs, Voile, Sports de combat, Escalade, Autre</v>
      </c>
      <c r="L30" s="1" t="str">
        <f>IFERROR(__xludf.DUMMYFUNCTION("""COMPUTED_VALUE"""),"Je fais toujours attention à bien manger")</f>
        <v>Je fais toujours attention à bien manger</v>
      </c>
      <c r="M30" s="1">
        <f>IFERROR(__xludf.DUMMYFUNCTION("""COMPUTED_VALUE"""),8.0)</f>
        <v>8</v>
      </c>
      <c r="N30" s="1" t="str">
        <f>IFERROR(__xludf.DUMMYFUNCTION("""COMPUTED_VALUE"""),"Une fois par semaine")</f>
        <v>Une fois par semaine</v>
      </c>
      <c r="O30" s="1" t="str">
        <f>IFERROR(__xludf.DUMMYFUNCTION("""COMPUTED_VALUE"""),"Tu te poses dans un coin, chill !!")</f>
        <v>Tu te poses dans un coin, chill !!</v>
      </c>
      <c r="P30" s="1">
        <f>IFERROR(__xludf.DUMMYFUNCTION("""COMPUTED_VALUE"""),1.0)</f>
        <v>1</v>
      </c>
      <c r="Q30" s="1" t="str">
        <f>IFERROR(__xludf.DUMMYFUNCTION("""COMPUTED_VALUE"""),"Oui")</f>
        <v>Oui</v>
      </c>
      <c r="R30" s="1" t="str">
        <f>IFERROR(__xludf.DUMMYFUNCTION("""COMPUTED_VALUE"""),"Non")</f>
        <v>Non</v>
      </c>
      <c r="S30" s="1" t="str">
        <f>IFERROR(__xludf.DUMMYFUNCTION("""COMPUTED_VALUE"""),"La Comté")</f>
        <v>La Comté</v>
      </c>
      <c r="T30" s="1" t="str">
        <f>IFERROR(__xludf.DUMMYFUNCTION("""COMPUTED_VALUE"""),"Une salopette rayée bleue et blanche")</f>
        <v>Une salopette rayée bleue et blanche</v>
      </c>
      <c r="U30" t="str">
        <f>IFERROR(__xludf.DUMMYFUNCTION("""COMPUTED_VALUE"""),"")</f>
        <v/>
      </c>
      <c r="V30" t="str">
        <f>IFERROR(__xludf.DUMMYFUNCTION("""COMPUTED_VALUE"""),"")</f>
        <v/>
      </c>
      <c r="W30" t="str">
        <f>IFERROR(__xludf.DUMMYFUNCTION("""COMPUTED_VALUE"""),"")</f>
        <v/>
      </c>
      <c r="X30" t="str">
        <f>IFERROR(__xludf.DUMMYFUNCTION("""COMPUTED_VALUE"""),"")</f>
        <v/>
      </c>
      <c r="Y30" t="str">
        <f>IFERROR(__xludf.DUMMYFUNCTION("""COMPUTED_VALUE"""),"")</f>
        <v/>
      </c>
      <c r="Z30" t="str">
        <f>IFERROR(__xludf.DUMMYFUNCTION("""COMPUTED_VALUE"""),"")</f>
        <v/>
      </c>
      <c r="AA30" t="str">
        <f>IFERROR(__xludf.DUMMYFUNCTION("""COMPUTED_VALUE"""),"")</f>
        <v/>
      </c>
      <c r="AB30" t="str">
        <f>IFERROR(__xludf.DUMMYFUNCTION("""COMPUTED_VALUE"""),"")</f>
        <v/>
      </c>
    </row>
    <row r="31">
      <c r="A31" s="2">
        <f>IFERROR(__xludf.DUMMYFUNCTION("""COMPUTED_VALUE"""),43626.876842233796)</f>
        <v>43626.87684</v>
      </c>
      <c r="B31" s="1" t="str">
        <f>IFERROR(__xludf.DUMMYFUNCTION("""COMPUTED_VALUE"""),"Hugo DOUX")</f>
        <v>Hugo DOUX</v>
      </c>
      <c r="C31" s="1" t="str">
        <f>IFERROR(__xludf.DUMMYFUNCTION("""COMPUTED_VALUE"""),"Deux inconnus")</f>
        <v>Deux inconnus</v>
      </c>
      <c r="D31" s="1" t="str">
        <f>IFERROR(__xludf.DUMMYFUNCTION("""COMPUTED_VALUE"""),"BDE")</f>
        <v>BDE</v>
      </c>
      <c r="E31" s="1">
        <f>IFERROR(__xludf.DUMMYFUNCTION("""COMPUTED_VALUE"""),5.0)</f>
        <v>5</v>
      </c>
      <c r="F31" s="1" t="str">
        <f>IFERROR(__xludf.DUMMYFUNCTION("""COMPUTED_VALUE"""),"Rock, Electro posée, Electro hard, Rap, Pop, Musique fançaise, Jazz, Musique classique, Autre")</f>
        <v>Rock, Electro posée, Electro hard, Rap, Pop, Musique fançaise, Jazz, Musique classique, Autre</v>
      </c>
      <c r="G31" s="1" t="str">
        <f>IFERROR(__xludf.DUMMYFUNCTION("""COMPUTED_VALUE"""),"Peinture, Danse, Musique, Théâtre, Cinéma, Graphisme, Autre")</f>
        <v>Peinture, Danse, Musique, Théâtre, Cinéma, Graphisme, Autre</v>
      </c>
      <c r="H31" s="1" t="str">
        <f>IFERROR(__xludf.DUMMYFUNCTION("""COMPUTED_VALUE"""),"Une fois de temps en temps")</f>
        <v>Une fois de temps en temps</v>
      </c>
      <c r="I31" s="1" t="str">
        <f>IFERROR(__xludf.DUMMYFUNCTION("""COMPUTED_VALUE"""),"Le dimanche à 15h32 s'il fait beau")</f>
        <v>Le dimanche à 15h32 s'il fait beau</v>
      </c>
      <c r="J31" s="1" t="str">
        <f>IFERROR(__xludf.DUMMYFUNCTION("""COMPUTED_VALUE"""),"Pour le fun")</f>
        <v>Pour le fun</v>
      </c>
      <c r="K31" s="1" t="str">
        <f>IFERROR(__xludf.DUMMYFUNCTION("""COMPUTED_VALUE"""),"Sports collectifs, Sports de rames, Sports aquatiques, Autre")</f>
        <v>Sports collectifs, Sports de rames, Sports aquatiques, Autre</v>
      </c>
      <c r="L31" s="1" t="str">
        <f>IFERROR(__xludf.DUMMYFUNCTION("""COMPUTED_VALUE"""),"Je fais toujours attention à bien manger")</f>
        <v>Je fais toujours attention à bien manger</v>
      </c>
      <c r="M31" s="1">
        <f>IFERROR(__xludf.DUMMYFUNCTION("""COMPUTED_VALUE"""),8.0)</f>
        <v>8</v>
      </c>
      <c r="N31" s="1" t="str">
        <f>IFERROR(__xludf.DUMMYFUNCTION("""COMPUTED_VALUE"""),"Une fois par semaine")</f>
        <v>Une fois par semaine</v>
      </c>
      <c r="O31" s="1" t="str">
        <f>IFERROR(__xludf.DUMMYFUNCTION("""COMPUTED_VALUE"""),"T'enflammes le dancefloor")</f>
        <v>T'enflammes le dancefloor</v>
      </c>
      <c r="P31" s="1">
        <f>IFERROR(__xludf.DUMMYFUNCTION("""COMPUTED_VALUE"""),3.0)</f>
        <v>3</v>
      </c>
      <c r="Q31" s="1" t="str">
        <f>IFERROR(__xludf.DUMMYFUNCTION("""COMPUTED_VALUE"""),"Oui")</f>
        <v>Oui</v>
      </c>
      <c r="R31" s="1" t="str">
        <f>IFERROR(__xludf.DUMMYFUNCTION("""COMPUTED_VALUE"""),"Non")</f>
        <v>Non</v>
      </c>
      <c r="S31" s="1" t="str">
        <f>IFERROR(__xludf.DUMMYFUNCTION("""COMPUTED_VALUE"""),"La Comté ")</f>
        <v>La Comté </v>
      </c>
      <c r="T31" s="1" t="str">
        <f>IFERROR(__xludf.DUMMYFUNCTION("""COMPUTED_VALUE"""),"Un bandana")</f>
        <v>Un bandana</v>
      </c>
      <c r="U31" t="str">
        <f>IFERROR(__xludf.DUMMYFUNCTION("""COMPUTED_VALUE"""),"")</f>
        <v/>
      </c>
      <c r="V31" t="str">
        <f>IFERROR(__xludf.DUMMYFUNCTION("""COMPUTED_VALUE"""),"")</f>
        <v/>
      </c>
      <c r="W31" t="str">
        <f>IFERROR(__xludf.DUMMYFUNCTION("""COMPUTED_VALUE"""),"")</f>
        <v/>
      </c>
      <c r="X31" t="str">
        <f>IFERROR(__xludf.DUMMYFUNCTION("""COMPUTED_VALUE"""),"")</f>
        <v/>
      </c>
      <c r="Y31" t="str">
        <f>IFERROR(__xludf.DUMMYFUNCTION("""COMPUTED_VALUE"""),"")</f>
        <v/>
      </c>
      <c r="Z31" t="str">
        <f>IFERROR(__xludf.DUMMYFUNCTION("""COMPUTED_VALUE"""),"")</f>
        <v/>
      </c>
      <c r="AA31" t="str">
        <f>IFERROR(__xludf.DUMMYFUNCTION("""COMPUTED_VALUE"""),"")</f>
        <v/>
      </c>
      <c r="AB31" t="str">
        <f>IFERROR(__xludf.DUMMYFUNCTION("""COMPUTED_VALUE"""),"")</f>
        <v/>
      </c>
    </row>
    <row r="32">
      <c r="A32" s="2">
        <f>IFERROR(__xludf.DUMMYFUNCTION("""COMPUTED_VALUE"""),43626.899203125)</f>
        <v>43626.8992</v>
      </c>
      <c r="B32" s="1" t="str">
        <f>IFERROR(__xludf.DUMMYFUNCTION("""COMPUTED_VALUE"""),"Alexandre VURLOD")</f>
        <v>Alexandre VURLOD</v>
      </c>
      <c r="C3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2" s="1" t="str">
        <f>IFERROR(__xludf.DUMMYFUNCTION("""COMPUTED_VALUE"""),"BDS")</f>
        <v>BDS</v>
      </c>
      <c r="E32" s="1">
        <f>IFERROR(__xludf.DUMMYFUNCTION("""COMPUTED_VALUE"""),5.0)</f>
        <v>5</v>
      </c>
      <c r="F32" s="1" t="str">
        <f>IFERROR(__xludf.DUMMYFUNCTION("""COMPUTED_VALUE"""),"Electro posée")</f>
        <v>Electro posée</v>
      </c>
      <c r="G32" s="1" t="str">
        <f>IFERROR(__xludf.DUMMYFUNCTION("""COMPUTED_VALUE"""),"Littérature, Cinéma")</f>
        <v>Littérature, Cinéma</v>
      </c>
      <c r="H32" s="1" t="str">
        <f>IFERROR(__xludf.DUMMYFUNCTION("""COMPUTED_VALUE"""),"Une fois de temps en temps")</f>
        <v>Une fois de temps en temps</v>
      </c>
      <c r="I32" s="1" t="str">
        <f>IFERROR(__xludf.DUMMYFUNCTION("""COMPUTED_VALUE"""),"Une fois par semaine")</f>
        <v>Une fois par semaine</v>
      </c>
      <c r="J32" s="1" t="str">
        <f>IFERROR(__xludf.DUMMYFUNCTION("""COMPUTED_VALUE"""),"Pour le développement perso et se dépasser")</f>
        <v>Pour le développement perso et se dépasser</v>
      </c>
      <c r="K32" s="1" t="str">
        <f>IFERROR(__xludf.DUMMYFUNCTION("""COMPUTED_VALUE"""),"Sports collectifs, Sports de raquette, Sports de combat")</f>
        <v>Sports collectifs, Sports de raquette, Sports de combat</v>
      </c>
      <c r="L32" s="1" t="str">
        <f>IFERROR(__xludf.DUMMYFUNCTION("""COMPUTED_VALUE"""),"Je fais toujours attention à bien manger")</f>
        <v>Je fais toujours attention à bien manger</v>
      </c>
      <c r="M32" s="1">
        <f>IFERROR(__xludf.DUMMYFUNCTION("""COMPUTED_VALUE"""),4.0)</f>
        <v>4</v>
      </c>
      <c r="N32" s="1" t="str">
        <f>IFERROR(__xludf.DUMMYFUNCTION("""COMPUTED_VALUE"""),"Une fois par mois")</f>
        <v>Une fois par mois</v>
      </c>
      <c r="O32" s="1" t="str">
        <f>IFERROR(__xludf.DUMMYFUNCTION("""COMPUTED_VALUE"""),"Tu te poses dans un coin, chill !!")</f>
        <v>Tu te poses dans un coin, chill !!</v>
      </c>
      <c r="P32" s="1">
        <f>IFERROR(__xludf.DUMMYFUNCTION("""COMPUTED_VALUE"""),1.0)</f>
        <v>1</v>
      </c>
      <c r="Q32" s="1" t="str">
        <f>IFERROR(__xludf.DUMMYFUNCTION("""COMPUTED_VALUE"""),"Oui")</f>
        <v>Oui</v>
      </c>
      <c r="R32" s="1" t="str">
        <f>IFERROR(__xludf.DUMMYFUNCTION("""COMPUTED_VALUE"""),"Non")</f>
        <v>Non</v>
      </c>
      <c r="S32" s="1" t="str">
        <f>IFERROR(__xludf.DUMMYFUNCTION("""COMPUTED_VALUE"""),"La Chevroll's")</f>
        <v>La Chevroll's</v>
      </c>
      <c r="T32" s="1" t="str">
        <f>IFERROR(__xludf.DUMMYFUNCTION("""COMPUTED_VALUE"""),"Ce choix n'est encore défini")</f>
        <v>Ce choix n'est encore défini</v>
      </c>
      <c r="U32" t="str">
        <f>IFERROR(__xludf.DUMMYFUNCTION("""COMPUTED_VALUE"""),"")</f>
        <v/>
      </c>
      <c r="V32" t="str">
        <f>IFERROR(__xludf.DUMMYFUNCTION("""COMPUTED_VALUE"""),"")</f>
        <v/>
      </c>
      <c r="W32" t="str">
        <f>IFERROR(__xludf.DUMMYFUNCTION("""COMPUTED_VALUE"""),"")</f>
        <v/>
      </c>
      <c r="X32" t="str">
        <f>IFERROR(__xludf.DUMMYFUNCTION("""COMPUTED_VALUE"""),"")</f>
        <v/>
      </c>
      <c r="Y32" t="str">
        <f>IFERROR(__xludf.DUMMYFUNCTION("""COMPUTED_VALUE"""),"")</f>
        <v/>
      </c>
      <c r="Z32" t="str">
        <f>IFERROR(__xludf.DUMMYFUNCTION("""COMPUTED_VALUE"""),"")</f>
        <v/>
      </c>
      <c r="AA32" t="str">
        <f>IFERROR(__xludf.DUMMYFUNCTION("""COMPUTED_VALUE"""),"")</f>
        <v/>
      </c>
      <c r="AB32" t="str">
        <f>IFERROR(__xludf.DUMMYFUNCTION("""COMPUTED_VALUE"""),"")</f>
        <v/>
      </c>
    </row>
    <row r="33">
      <c r="A33" s="2">
        <f>IFERROR(__xludf.DUMMYFUNCTION("""COMPUTED_VALUE"""),43627.26248320602)</f>
        <v>43627.26248</v>
      </c>
      <c r="B33" s="1" t="str">
        <f>IFERROR(__xludf.DUMMYFUNCTION("""COMPUTED_VALUE"""),"Julie Ugolini")</f>
        <v>Julie Ugolini</v>
      </c>
      <c r="C3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3" s="1" t="str">
        <f>IFERROR(__xludf.DUMMYFUNCTION("""COMPUTED_VALUE"""),"BDA, BDE")</f>
        <v>BDA, BDE</v>
      </c>
      <c r="E33" s="1">
        <f>IFERROR(__xludf.DUMMYFUNCTION("""COMPUTED_VALUE"""),3.0)</f>
        <v>3</v>
      </c>
      <c r="F33" s="1" t="str">
        <f>IFERROR(__xludf.DUMMYFUNCTION("""COMPUTED_VALUE"""),"Electro hard, Rap")</f>
        <v>Electro hard, Rap</v>
      </c>
      <c r="G33" s="1" t="str">
        <f>IFERROR(__xludf.DUMMYFUNCTION("""COMPUTED_VALUE"""),"Peinture, Musique, Cinéma")</f>
        <v>Peinture, Musique, Cinéma</v>
      </c>
      <c r="H33" s="1" t="str">
        <f>IFERROR(__xludf.DUMMYFUNCTION("""COMPUTED_VALUE"""),"Seulement les soirs de pleine lune")</f>
        <v>Seulement les soirs de pleine lune</v>
      </c>
      <c r="I33" s="1" t="str">
        <f>IFERROR(__xludf.DUMMYFUNCTION("""COMPUTED_VALUE"""),"Une fois par semaine")</f>
        <v>Une fois par semaine</v>
      </c>
      <c r="J33" s="1" t="str">
        <f>IFERROR(__xludf.DUMMYFUNCTION("""COMPUTED_VALUE"""),"Pour le fun")</f>
        <v>Pour le fun</v>
      </c>
      <c r="K33" s="1" t="str">
        <f>IFERROR(__xludf.DUMMYFUNCTION("""COMPUTED_VALUE"""),"Autre")</f>
        <v>Autre</v>
      </c>
      <c r="L33" s="1" t="str">
        <f>IFERROR(__xludf.DUMMYFUNCTION("""COMPUTED_VALUE"""),"Oh oui, et les trucs bien gras ça me connait !")</f>
        <v>Oh oui, et les trucs bien gras ça me connait !</v>
      </c>
      <c r="M33" s="1">
        <f>IFERROR(__xludf.DUMMYFUNCTION("""COMPUTED_VALUE"""),10.0)</f>
        <v>10</v>
      </c>
      <c r="N33" s="1" t="str">
        <f>IFERROR(__xludf.DUMMYFUNCTION("""COMPUTED_VALUE"""),"Une fois par jour (voire plus)")</f>
        <v>Une fois par jour (voire plus)</v>
      </c>
      <c r="O33" s="1" t="str">
        <f>IFERROR(__xludf.DUMMYFUNCTION("""COMPUTED_VALUE"""),"Objectif grosse défonce")</f>
        <v>Objectif grosse défonce</v>
      </c>
      <c r="P33" s="1">
        <f>IFERROR(__xludf.DUMMYFUNCTION("""COMPUTED_VALUE"""),4.0)</f>
        <v>4</v>
      </c>
      <c r="Q33" s="1" t="str">
        <f>IFERROR(__xludf.DUMMYFUNCTION("""COMPUTED_VALUE"""),"Non")</f>
        <v>Non</v>
      </c>
      <c r="R33" s="1" t="str">
        <f>IFERROR(__xludf.DUMMYFUNCTION("""COMPUTED_VALUE"""),"Non")</f>
        <v>Non</v>
      </c>
      <c r="S33" s="1" t="str">
        <f>IFERROR(__xludf.DUMMYFUNCTION("""COMPUTED_VALUE"""),"La tracharnasse ")</f>
        <v>La tracharnasse </v>
      </c>
      <c r="T33" s="1" t="str">
        <f>IFERROR(__xludf.DUMMYFUNCTION("""COMPUTED_VALUE"""),"Sûrement une connerie ")</f>
        <v>Sûrement une connerie </v>
      </c>
      <c r="U33" t="str">
        <f>IFERROR(__xludf.DUMMYFUNCTION("""COMPUTED_VALUE"""),"")</f>
        <v/>
      </c>
      <c r="V33" t="str">
        <f>IFERROR(__xludf.DUMMYFUNCTION("""COMPUTED_VALUE"""),"")</f>
        <v/>
      </c>
      <c r="W33" t="str">
        <f>IFERROR(__xludf.DUMMYFUNCTION("""COMPUTED_VALUE"""),"")</f>
        <v/>
      </c>
      <c r="X33" t="str">
        <f>IFERROR(__xludf.DUMMYFUNCTION("""COMPUTED_VALUE"""),"")</f>
        <v/>
      </c>
      <c r="Y33" t="str">
        <f>IFERROR(__xludf.DUMMYFUNCTION("""COMPUTED_VALUE"""),"")</f>
        <v/>
      </c>
      <c r="Z33" t="str">
        <f>IFERROR(__xludf.DUMMYFUNCTION("""COMPUTED_VALUE"""),"")</f>
        <v/>
      </c>
      <c r="AA33" t="str">
        <f>IFERROR(__xludf.DUMMYFUNCTION("""COMPUTED_VALUE"""),"")</f>
        <v/>
      </c>
      <c r="AB33" t="str">
        <f>IFERROR(__xludf.DUMMYFUNCTION("""COMPUTED_VALUE"""),"")</f>
        <v/>
      </c>
    </row>
    <row r="34">
      <c r="A34" s="2">
        <f>IFERROR(__xludf.DUMMYFUNCTION("""COMPUTED_VALUE"""),43627.26767769676)</f>
        <v>43627.26768</v>
      </c>
      <c r="B34" s="1" t="str">
        <f>IFERROR(__xludf.DUMMYFUNCTION("""COMPUTED_VALUE"""),"Marie POIRIER")</f>
        <v>Marie POIRIER</v>
      </c>
      <c r="C34" s="1" t="str">
        <f>IFERROR(__xludf.DUMMYFUNCTION("""COMPUTED_VALUE"""),"Deux inconnus")</f>
        <v>Deux inconnus</v>
      </c>
      <c r="D34" s="1" t="str">
        <f>IFERROR(__xludf.DUMMYFUNCTION("""COMPUTED_VALUE"""),"BDE, BDS")</f>
        <v>BDE, BDS</v>
      </c>
      <c r="E34" s="1">
        <f>IFERROR(__xludf.DUMMYFUNCTION("""COMPUTED_VALUE"""),4.0)</f>
        <v>4</v>
      </c>
      <c r="F34" s="1" t="str">
        <f>IFERROR(__xludf.DUMMYFUNCTION("""COMPUTED_VALUE"""),"Rock, Electro posée, Rap, Pop, Jazz")</f>
        <v>Rock, Electro posée, Rap, Pop, Jazz</v>
      </c>
      <c r="G34" s="1" t="str">
        <f>IFERROR(__xludf.DUMMYFUNCTION("""COMPUTED_VALUE"""),"Littérature, Musique, Cinéma")</f>
        <v>Littérature, Musique, Cinéma</v>
      </c>
      <c r="H34" s="1" t="str">
        <f>IFERROR(__xludf.DUMMYFUNCTION("""COMPUTED_VALUE"""),"Seulement les soirs de pleine lune")</f>
        <v>Seulement les soirs de pleine lune</v>
      </c>
      <c r="I34" s="1" t="str">
        <f>IFERROR(__xludf.DUMMYFUNCTION("""COMPUTED_VALUE"""),"Une fois par semaine")</f>
        <v>Une fois par semaine</v>
      </c>
      <c r="J34" s="1" t="str">
        <f>IFERROR(__xludf.DUMMYFUNCTION("""COMPUTED_VALUE"""),"Pour le fun")</f>
        <v>Pour le fun</v>
      </c>
      <c r="K34" s="1" t="str">
        <f>IFERROR(__xludf.DUMMYFUNCTION("""COMPUTED_VALUE"""),"Sports collectifs, Sports de raquette, Sports aquatiques")</f>
        <v>Sports collectifs, Sports de raquette, Sports aquatiques</v>
      </c>
      <c r="L34" s="1" t="str">
        <f>IFERROR(__xludf.DUMMYFUNCTION("""COMPUTED_VALUE"""),"Oh oui, et les trucs bien gras ça me connait !")</f>
        <v>Oh oui, et les trucs bien gras ça me connait !</v>
      </c>
      <c r="M34" s="1">
        <f>IFERROR(__xludf.DUMMYFUNCTION("""COMPUTED_VALUE"""),9.0)</f>
        <v>9</v>
      </c>
      <c r="N34" s="1" t="str">
        <f>IFERROR(__xludf.DUMMYFUNCTION("""COMPUTED_VALUE"""),"Plusieurs fois par semaine")</f>
        <v>Plusieurs fois par semaine</v>
      </c>
      <c r="O34" s="1" t="str">
        <f>IFERROR(__xludf.DUMMYFUNCTION("""COMPUTED_VALUE"""),"Objectif grosse défonce")</f>
        <v>Objectif grosse défonce</v>
      </c>
      <c r="P34" s="1">
        <f>IFERROR(__xludf.DUMMYFUNCTION("""COMPUTED_VALUE"""),4.0)</f>
        <v>4</v>
      </c>
      <c r="Q34" s="1" t="str">
        <f>IFERROR(__xludf.DUMMYFUNCTION("""COMPUTED_VALUE"""),"Non")</f>
        <v>Non</v>
      </c>
      <c r="R34" s="1" t="str">
        <f>IFERROR(__xludf.DUMMYFUNCTION("""COMPUTED_VALUE"""),"Non")</f>
        <v>Non</v>
      </c>
      <c r="S34" s="1" t="str">
        <f>IFERROR(__xludf.DUMMYFUNCTION("""COMPUTED_VALUE"""),"La Tracharnasse")</f>
        <v>La Tracharnasse</v>
      </c>
      <c r="T34" s="1" t="str">
        <f>IFERROR(__xludf.DUMMYFUNCTION("""COMPUTED_VALUE"""),"Un skate ou un trotinnette")</f>
        <v>Un skate ou un trotinnette</v>
      </c>
      <c r="U34" t="str">
        <f>IFERROR(__xludf.DUMMYFUNCTION("""COMPUTED_VALUE"""),"")</f>
        <v/>
      </c>
      <c r="V34" t="str">
        <f>IFERROR(__xludf.DUMMYFUNCTION("""COMPUTED_VALUE"""),"")</f>
        <v/>
      </c>
      <c r="W34" t="str">
        <f>IFERROR(__xludf.DUMMYFUNCTION("""COMPUTED_VALUE"""),"")</f>
        <v/>
      </c>
      <c r="X34" t="str">
        <f>IFERROR(__xludf.DUMMYFUNCTION("""COMPUTED_VALUE"""),"")</f>
        <v/>
      </c>
      <c r="Y34" t="str">
        <f>IFERROR(__xludf.DUMMYFUNCTION("""COMPUTED_VALUE"""),"")</f>
        <v/>
      </c>
      <c r="Z34" t="str">
        <f>IFERROR(__xludf.DUMMYFUNCTION("""COMPUTED_VALUE"""),"")</f>
        <v/>
      </c>
      <c r="AA34" t="str">
        <f>IFERROR(__xludf.DUMMYFUNCTION("""COMPUTED_VALUE"""),"")</f>
        <v/>
      </c>
      <c r="AB34" t="str">
        <f>IFERROR(__xludf.DUMMYFUNCTION("""COMPUTED_VALUE"""),"")</f>
        <v/>
      </c>
    </row>
    <row r="35">
      <c r="A35" s="2">
        <f>IFERROR(__xludf.DUMMYFUNCTION("""COMPUTED_VALUE"""),43627.309355370366)</f>
        <v>43627.30936</v>
      </c>
      <c r="B35" s="1" t="str">
        <f>IFERROR(__xludf.DUMMYFUNCTION("""COMPUTED_VALUE"""),"Tony MARTINEAU")</f>
        <v>Tony MARTINEAU</v>
      </c>
      <c r="C3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5" s="1" t="str">
        <f>IFERROR(__xludf.DUMMYFUNCTION("""COMPUTED_VALUE"""),"BDS")</f>
        <v>BDS</v>
      </c>
      <c r="E35" s="1">
        <f>IFERROR(__xludf.DUMMYFUNCTION("""COMPUTED_VALUE"""),5.0)</f>
        <v>5</v>
      </c>
      <c r="F35" s="1" t="str">
        <f>IFERROR(__xludf.DUMMYFUNCTION("""COMPUTED_VALUE"""),"Pop, Musique fançaise, Musique classique")</f>
        <v>Pop, Musique fançaise, Musique classique</v>
      </c>
      <c r="G35" s="1" t="str">
        <f>IFERROR(__xludf.DUMMYFUNCTION("""COMPUTED_VALUE"""),"Pas du tout")</f>
        <v>Pas du tout</v>
      </c>
      <c r="H35" s="1" t="str">
        <f>IFERROR(__xludf.DUMMYFUNCTION("""COMPUTED_VALUE"""),"Seulement les soirs de pleine lune")</f>
        <v>Seulement les soirs de pleine lune</v>
      </c>
      <c r="I35" s="1" t="str">
        <f>IFERROR(__xludf.DUMMYFUNCTION("""COMPUTED_VALUE"""),"Une fois par jour")</f>
        <v>Une fois par jour</v>
      </c>
      <c r="J35" s="1" t="str">
        <f>IFERROR(__xludf.DUMMYFUNCTION("""COMPUTED_VALUE"""),"Pour le développement perso et se dépasser")</f>
        <v>Pour le développement perso et se dépasser</v>
      </c>
      <c r="K35" s="1" t="str">
        <f>IFERROR(__xludf.DUMMYFUNCTION("""COMPUTED_VALUE"""),"Athlétisme")</f>
        <v>Athlétisme</v>
      </c>
      <c r="L35" s="1" t="str">
        <f>IFERROR(__xludf.DUMMYFUNCTION("""COMPUTED_VALUE"""),"J'aime cuisiner le WE ou quand j'ai le temps")</f>
        <v>J'aime cuisiner le WE ou quand j'ai le temps</v>
      </c>
      <c r="M35" s="1">
        <f>IFERROR(__xludf.DUMMYFUNCTION("""COMPUTED_VALUE"""),1.0)</f>
        <v>1</v>
      </c>
      <c r="N35" s="1" t="str">
        <f>IFERROR(__xludf.DUMMYFUNCTION("""COMPUTED_VALUE"""),"Une fois par mois")</f>
        <v>Une fois par mois</v>
      </c>
      <c r="O35" s="1" t="str">
        <f>IFERROR(__xludf.DUMMYFUNCTION("""COMPUTED_VALUE"""),"T'enflammes le dancefloor")</f>
        <v>T'enflammes le dancefloor</v>
      </c>
      <c r="P35" s="1">
        <f>IFERROR(__xludf.DUMMYFUNCTION("""COMPUTED_VALUE"""),1.0)</f>
        <v>1</v>
      </c>
      <c r="Q35" s="1" t="str">
        <f>IFERROR(__xludf.DUMMYFUNCTION("""COMPUTED_VALUE"""),"Non")</f>
        <v>Non</v>
      </c>
      <c r="R35" s="1" t="str">
        <f>IFERROR(__xludf.DUMMYFUNCTION("""COMPUTED_VALUE"""),"Non")</f>
        <v>Non</v>
      </c>
      <c r="S35" s="1" t="str">
        <f>IFERROR(__xludf.DUMMYFUNCTION("""COMPUTED_VALUE"""),"La Chevroll's")</f>
        <v>La Chevroll's</v>
      </c>
      <c r="T35" s="1" t="str">
        <f>IFERROR(__xludf.DUMMYFUNCTION("""COMPUTED_VALUE"""),"pas encore d'idée")</f>
        <v>pas encore d'idée</v>
      </c>
      <c r="U35" t="str">
        <f>IFERROR(__xludf.DUMMYFUNCTION("""COMPUTED_VALUE"""),"")</f>
        <v/>
      </c>
      <c r="V35" t="str">
        <f>IFERROR(__xludf.DUMMYFUNCTION("""COMPUTED_VALUE"""),"")</f>
        <v/>
      </c>
      <c r="W35" t="str">
        <f>IFERROR(__xludf.DUMMYFUNCTION("""COMPUTED_VALUE"""),"")</f>
        <v/>
      </c>
      <c r="X35" t="str">
        <f>IFERROR(__xludf.DUMMYFUNCTION("""COMPUTED_VALUE"""),"")</f>
        <v/>
      </c>
      <c r="Y35" t="str">
        <f>IFERROR(__xludf.DUMMYFUNCTION("""COMPUTED_VALUE"""),"")</f>
        <v/>
      </c>
      <c r="Z35" t="str">
        <f>IFERROR(__xludf.DUMMYFUNCTION("""COMPUTED_VALUE"""),"")</f>
        <v/>
      </c>
      <c r="AA35" t="str">
        <f>IFERROR(__xludf.DUMMYFUNCTION("""COMPUTED_VALUE"""),"")</f>
        <v/>
      </c>
      <c r="AB35" t="str">
        <f>IFERROR(__xludf.DUMMYFUNCTION("""COMPUTED_VALUE"""),"")</f>
        <v/>
      </c>
    </row>
    <row r="36">
      <c r="A36" s="2">
        <f>IFERROR(__xludf.DUMMYFUNCTION("""COMPUTED_VALUE"""),43627.34503298611)</f>
        <v>43627.34503</v>
      </c>
      <c r="B36" s="1" t="str">
        <f>IFERROR(__xludf.DUMMYFUNCTION("""COMPUTED_VALUE"""),"Maelig GABORIEAU")</f>
        <v>Maelig GABORIEAU</v>
      </c>
      <c r="C3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6" s="1" t="str">
        <f>IFERROR(__xludf.DUMMYFUNCTION("""COMPUTED_VALUE"""),"BDS")</f>
        <v>BDS</v>
      </c>
      <c r="E36" s="1">
        <f>IFERROR(__xludf.DUMMYFUNCTION("""COMPUTED_VALUE"""),4.0)</f>
        <v>4</v>
      </c>
      <c r="F36" s="1" t="str">
        <f>IFERROR(__xludf.DUMMYFUNCTION("""COMPUTED_VALUE"""),"Electro posée, Rap, Pop, Musique fançaise")</f>
        <v>Electro posée, Rap, Pop, Musique fançaise</v>
      </c>
      <c r="G36" s="1" t="str">
        <f>IFERROR(__xludf.DUMMYFUNCTION("""COMPUTED_VALUE"""),"Musique, Cinéma")</f>
        <v>Musique, Cinéma</v>
      </c>
      <c r="H36" s="1" t="str">
        <f>IFERROR(__xludf.DUMMYFUNCTION("""COMPUTED_VALUE"""),"Seulement les soirs de pleine lune")</f>
        <v>Seulement les soirs de pleine lune</v>
      </c>
      <c r="I36" s="1" t="str">
        <f>IFERROR(__xludf.DUMMYFUNCTION("""COMPUTED_VALUE"""),"Plusieurs fois par semaine")</f>
        <v>Plusieurs fois par semaine</v>
      </c>
      <c r="J36" s="1" t="str">
        <f>IFERROR(__xludf.DUMMYFUNCTION("""COMPUTED_VALUE"""),"Pour le développement perso et se dépasser")</f>
        <v>Pour le développement perso et se dépasser</v>
      </c>
      <c r="K36" s="1" t="str">
        <f>IFERROR(__xludf.DUMMYFUNCTION("""COMPUTED_VALUE"""),"Sports collectifs, Sports de raquette, Athlétisme")</f>
        <v>Sports collectifs, Sports de raquette, Athlétisme</v>
      </c>
      <c r="L36" s="1" t="str">
        <f>IFERROR(__xludf.DUMMYFUNCTION("""COMPUTED_VALUE"""),"Oh oui, et les trucs bien gras ça me connait !")</f>
        <v>Oh oui, et les trucs bien gras ça me connait !</v>
      </c>
      <c r="M36" s="1">
        <f>IFERROR(__xludf.DUMMYFUNCTION("""COMPUTED_VALUE"""),8.0)</f>
        <v>8</v>
      </c>
      <c r="N36" s="1" t="str">
        <f>IFERROR(__xludf.DUMMYFUNCTION("""COMPUTED_VALUE"""),"Plusieurs fois par semaine")</f>
        <v>Plusieurs fois par semaine</v>
      </c>
      <c r="O36" s="1" t="str">
        <f>IFERROR(__xludf.DUMMYFUNCTION("""COMPUTED_VALUE"""),"T'enflammes le dancefloor")</f>
        <v>T'enflammes le dancefloor</v>
      </c>
      <c r="P36" s="1">
        <f>IFERROR(__xludf.DUMMYFUNCTION("""COMPUTED_VALUE"""),1.0)</f>
        <v>1</v>
      </c>
      <c r="Q36" s="1" t="str">
        <f>IFERROR(__xludf.DUMMYFUNCTION("""COMPUTED_VALUE"""),"Non")</f>
        <v>Non</v>
      </c>
      <c r="R36" s="1" t="str">
        <f>IFERROR(__xludf.DUMMYFUNCTION("""COMPUTED_VALUE"""),"Non")</f>
        <v>Non</v>
      </c>
      <c r="S36" s="1" t="str">
        <f>IFERROR(__xludf.DUMMYFUNCTION("""COMPUTED_VALUE"""),"La Glotte ")</f>
        <v>La Glotte </v>
      </c>
      <c r="T36" s="1" t="str">
        <f>IFERROR(__xludf.DUMMYFUNCTION("""COMPUTED_VALUE"""),"Une casquette ")</f>
        <v>Une casquette </v>
      </c>
      <c r="U36" t="str">
        <f>IFERROR(__xludf.DUMMYFUNCTION("""COMPUTED_VALUE"""),"")</f>
        <v/>
      </c>
      <c r="V36" t="str">
        <f>IFERROR(__xludf.DUMMYFUNCTION("""COMPUTED_VALUE"""),"")</f>
        <v/>
      </c>
      <c r="W36" t="str">
        <f>IFERROR(__xludf.DUMMYFUNCTION("""COMPUTED_VALUE"""),"")</f>
        <v/>
      </c>
      <c r="X36" t="str">
        <f>IFERROR(__xludf.DUMMYFUNCTION("""COMPUTED_VALUE"""),"")</f>
        <v/>
      </c>
      <c r="Y36" t="str">
        <f>IFERROR(__xludf.DUMMYFUNCTION("""COMPUTED_VALUE"""),"")</f>
        <v/>
      </c>
      <c r="Z36" t="str">
        <f>IFERROR(__xludf.DUMMYFUNCTION("""COMPUTED_VALUE"""),"")</f>
        <v/>
      </c>
      <c r="AA36" t="str">
        <f>IFERROR(__xludf.DUMMYFUNCTION("""COMPUTED_VALUE"""),"")</f>
        <v/>
      </c>
      <c r="AB36" t="str">
        <f>IFERROR(__xludf.DUMMYFUNCTION("""COMPUTED_VALUE"""),"")</f>
        <v/>
      </c>
    </row>
    <row r="37">
      <c r="A37" s="2">
        <f>IFERROR(__xludf.DUMMYFUNCTION("""COMPUTED_VALUE"""),43627.35016127315)</f>
        <v>43627.35016</v>
      </c>
      <c r="B37" s="1" t="str">
        <f>IFERROR(__xludf.DUMMYFUNCTION("""COMPUTED_VALUE"""),"Marc de Ponnat")</f>
        <v>Marc de Ponnat</v>
      </c>
      <c r="C3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7" s="1" t="str">
        <f>IFERROR(__xludf.DUMMYFUNCTION("""COMPUTED_VALUE"""),"BDS")</f>
        <v>BDS</v>
      </c>
      <c r="E37" s="1">
        <f>IFERROR(__xludf.DUMMYFUNCTION("""COMPUTED_VALUE"""),5.0)</f>
        <v>5</v>
      </c>
      <c r="F37" s="1" t="str">
        <f>IFERROR(__xludf.DUMMYFUNCTION("""COMPUTED_VALUE"""),"Rock, Metal, Musique fançaise")</f>
        <v>Rock, Metal, Musique fançaise</v>
      </c>
      <c r="G37" s="1" t="str">
        <f>IFERROR(__xludf.DUMMYFUNCTION("""COMPUTED_VALUE"""),"Musique, Cinéma")</f>
        <v>Musique, Cinéma</v>
      </c>
      <c r="H37" s="1" t="str">
        <f>IFERROR(__xludf.DUMMYFUNCTION("""COMPUTED_VALUE"""),"Quelques fois par semaine")</f>
        <v>Quelques fois par semaine</v>
      </c>
      <c r="I37" s="1" t="str">
        <f>IFERROR(__xludf.DUMMYFUNCTION("""COMPUTED_VALUE"""),"Une fois par semaine")</f>
        <v>Une fois par semaine</v>
      </c>
      <c r="J37" s="1" t="str">
        <f>IFERROR(__xludf.DUMMYFUNCTION("""COMPUTED_VALUE"""),"Pour le développement perso et se dépasser")</f>
        <v>Pour le développement perso et se dépasser</v>
      </c>
      <c r="K37" s="1" t="str">
        <f>IFERROR(__xludf.DUMMYFUNCTION("""COMPUTED_VALUE"""),"Sports collectifs, Sports de raquette")</f>
        <v>Sports collectifs, Sports de raquette</v>
      </c>
      <c r="L37" s="1" t="str">
        <f>IFERROR(__xludf.DUMMYFUNCTION("""COMPUTED_VALUE"""),"J'aime cuisiner le WE ou quand j'ai le temps")</f>
        <v>J'aime cuisiner le WE ou quand j'ai le temps</v>
      </c>
      <c r="M37" s="1">
        <f>IFERROR(__xludf.DUMMYFUNCTION("""COMPUTED_VALUE"""),9.0)</f>
        <v>9</v>
      </c>
      <c r="N37" s="1" t="str">
        <f>IFERROR(__xludf.DUMMYFUNCTION("""COMPUTED_VALUE"""),"Plusieurs fois par semaine")</f>
        <v>Plusieurs fois par semaine</v>
      </c>
      <c r="O37" s="1" t="str">
        <f>IFERROR(__xludf.DUMMYFUNCTION("""COMPUTED_VALUE"""),"Objectif grosse défonce")</f>
        <v>Objectif grosse défonce</v>
      </c>
      <c r="P37" s="1">
        <f>IFERROR(__xludf.DUMMYFUNCTION("""COMPUTED_VALUE"""),3.0)</f>
        <v>3</v>
      </c>
      <c r="Q37" s="1" t="str">
        <f>IFERROR(__xludf.DUMMYFUNCTION("""COMPUTED_VALUE"""),"Oui")</f>
        <v>Oui</v>
      </c>
      <c r="R37" s="1" t="str">
        <f>IFERROR(__xludf.DUMMYFUNCTION("""COMPUTED_VALUE"""),"Non")</f>
        <v>Non</v>
      </c>
      <c r="S37" s="1" t="str">
        <f>IFERROR(__xludf.DUMMYFUNCTION("""COMPUTED_VALUE"""),"La Tracharnasse")</f>
        <v>La Tracharnasse</v>
      </c>
      <c r="T37" s="1" t="str">
        <f>IFERROR(__xludf.DUMMYFUNCTION("""COMPUTED_VALUE"""),"Une table ou un micro")</f>
        <v>Une table ou un micro</v>
      </c>
      <c r="U37" t="str">
        <f>IFERROR(__xludf.DUMMYFUNCTION("""COMPUTED_VALUE"""),"")</f>
        <v/>
      </c>
      <c r="V37" t="str">
        <f>IFERROR(__xludf.DUMMYFUNCTION("""COMPUTED_VALUE"""),"")</f>
        <v/>
      </c>
      <c r="W37" t="str">
        <f>IFERROR(__xludf.DUMMYFUNCTION("""COMPUTED_VALUE"""),"")</f>
        <v/>
      </c>
      <c r="X37" t="str">
        <f>IFERROR(__xludf.DUMMYFUNCTION("""COMPUTED_VALUE"""),"")</f>
        <v/>
      </c>
      <c r="Y37" t="str">
        <f>IFERROR(__xludf.DUMMYFUNCTION("""COMPUTED_VALUE"""),"")</f>
        <v/>
      </c>
      <c r="Z37" t="str">
        <f>IFERROR(__xludf.DUMMYFUNCTION("""COMPUTED_VALUE"""),"")</f>
        <v/>
      </c>
      <c r="AA37" t="str">
        <f>IFERROR(__xludf.DUMMYFUNCTION("""COMPUTED_VALUE"""),"")</f>
        <v/>
      </c>
      <c r="AB37" t="str">
        <f>IFERROR(__xludf.DUMMYFUNCTION("""COMPUTED_VALUE"""),"")</f>
        <v/>
      </c>
    </row>
    <row r="38">
      <c r="A38" s="2">
        <f>IFERROR(__xludf.DUMMYFUNCTION("""COMPUTED_VALUE"""),43627.360717187505)</f>
        <v>43627.36072</v>
      </c>
      <c r="B38" s="1" t="str">
        <f>IFERROR(__xludf.DUMMYFUNCTION("""COMPUTED_VALUE"""),"Vincent PASCAT")</f>
        <v>Vincent PASCAT</v>
      </c>
      <c r="C3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8" s="1" t="str">
        <f>IFERROR(__xludf.DUMMYFUNCTION("""COMPUTED_VALUE"""),"BDE")</f>
        <v>BDE</v>
      </c>
      <c r="E38" s="1">
        <f>IFERROR(__xludf.DUMMYFUNCTION("""COMPUTED_VALUE"""),4.0)</f>
        <v>4</v>
      </c>
      <c r="F38" s="1" t="str">
        <f>IFERROR(__xludf.DUMMYFUNCTION("""COMPUTED_VALUE"""),"Electro posée, Electro hard")</f>
        <v>Electro posée, Electro hard</v>
      </c>
      <c r="G38" s="1" t="str">
        <f>IFERROR(__xludf.DUMMYFUNCTION("""COMPUTED_VALUE"""),"Musique")</f>
        <v>Musique</v>
      </c>
      <c r="H38" s="1" t="str">
        <f>IFERROR(__xludf.DUMMYFUNCTION("""COMPUTED_VALUE"""),"Quelques fois par semaine")</f>
        <v>Quelques fois par semaine</v>
      </c>
      <c r="I38" s="1" t="str">
        <f>IFERROR(__xludf.DUMMYFUNCTION("""COMPUTED_VALUE"""),"Une fois par semaine")</f>
        <v>Une fois par semaine</v>
      </c>
      <c r="J38" s="1" t="str">
        <f>IFERROR(__xludf.DUMMYFUNCTION("""COMPUTED_VALUE"""),"Pour le fun")</f>
        <v>Pour le fun</v>
      </c>
      <c r="K38" s="1" t="str">
        <f>IFERROR(__xludf.DUMMYFUNCTION("""COMPUTED_VALUE"""),"Autre")</f>
        <v>Autre</v>
      </c>
      <c r="L38" s="1" t="str">
        <f>IFERROR(__xludf.DUMMYFUNCTION("""COMPUTED_VALUE"""),"J'aime cuisiner le WE ou quand j'ai le temps")</f>
        <v>J'aime cuisiner le WE ou quand j'ai le temps</v>
      </c>
      <c r="M38" s="1">
        <f>IFERROR(__xludf.DUMMYFUNCTION("""COMPUTED_VALUE"""),8.0)</f>
        <v>8</v>
      </c>
      <c r="N38" s="1" t="str">
        <f>IFERROR(__xludf.DUMMYFUNCTION("""COMPUTED_VALUE"""),"Une fois par jour (voire plus)")</f>
        <v>Une fois par jour (voire plus)</v>
      </c>
      <c r="O38" s="1" t="str">
        <f>IFERROR(__xludf.DUMMYFUNCTION("""COMPUTED_VALUE"""),"T'enflammes le dancefloor")</f>
        <v>T'enflammes le dancefloor</v>
      </c>
      <c r="P38" s="1">
        <f>IFERROR(__xludf.DUMMYFUNCTION("""COMPUTED_VALUE"""),3.0)</f>
        <v>3</v>
      </c>
      <c r="Q38" s="1" t="str">
        <f>IFERROR(__xludf.DUMMYFUNCTION("""COMPUTED_VALUE"""),"Non")</f>
        <v>Non</v>
      </c>
      <c r="R38" s="1" t="str">
        <f>IFERROR(__xludf.DUMMYFUNCTION("""COMPUTED_VALUE"""),"Non")</f>
        <v>Non</v>
      </c>
      <c r="S38" s="1" t="str">
        <f>IFERROR(__xludf.DUMMYFUNCTION("""COMPUTED_VALUE"""),"Les domineurs ")</f>
        <v>Les domineurs </v>
      </c>
      <c r="T38" s="1" t="str">
        <f>IFERROR(__xludf.DUMMYFUNCTION("""COMPUTED_VALUE"""),"Un vinyle?")</f>
        <v>Un vinyle?</v>
      </c>
      <c r="U38" t="str">
        <f>IFERROR(__xludf.DUMMYFUNCTION("""COMPUTED_VALUE"""),"")</f>
        <v/>
      </c>
      <c r="V38" t="str">
        <f>IFERROR(__xludf.DUMMYFUNCTION("""COMPUTED_VALUE"""),"")</f>
        <v/>
      </c>
      <c r="W38" t="str">
        <f>IFERROR(__xludf.DUMMYFUNCTION("""COMPUTED_VALUE"""),"")</f>
        <v/>
      </c>
      <c r="X38" t="str">
        <f>IFERROR(__xludf.DUMMYFUNCTION("""COMPUTED_VALUE"""),"")</f>
        <v/>
      </c>
      <c r="Y38" t="str">
        <f>IFERROR(__xludf.DUMMYFUNCTION("""COMPUTED_VALUE"""),"")</f>
        <v/>
      </c>
      <c r="Z38" t="str">
        <f>IFERROR(__xludf.DUMMYFUNCTION("""COMPUTED_VALUE"""),"")</f>
        <v/>
      </c>
      <c r="AA38" t="str">
        <f>IFERROR(__xludf.DUMMYFUNCTION("""COMPUTED_VALUE"""),"")</f>
        <v/>
      </c>
      <c r="AB38" t="str">
        <f>IFERROR(__xludf.DUMMYFUNCTION("""COMPUTED_VALUE"""),"")</f>
        <v/>
      </c>
    </row>
    <row r="39">
      <c r="A39" s="2">
        <f>IFERROR(__xludf.DUMMYFUNCTION("""COMPUTED_VALUE"""),43627.36140847222)</f>
        <v>43627.36141</v>
      </c>
      <c r="B39" s="1" t="str">
        <f>IFERROR(__xludf.DUMMYFUNCTION("""COMPUTED_VALUE"""),"Matthieu Brunot")</f>
        <v>Matthieu Brunot</v>
      </c>
      <c r="C3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39" s="1" t="str">
        <f>IFERROR(__xludf.DUMMYFUNCTION("""COMPUTED_VALUE"""),"BDS")</f>
        <v>BDS</v>
      </c>
      <c r="E39" s="1">
        <f>IFERROR(__xludf.DUMMYFUNCTION("""COMPUTED_VALUE"""),5.0)</f>
        <v>5</v>
      </c>
      <c r="F39" s="1" t="str">
        <f>IFERROR(__xludf.DUMMYFUNCTION("""COMPUTED_VALUE"""),"Rock, Metal, Musique fançaise")</f>
        <v>Rock, Metal, Musique fançaise</v>
      </c>
      <c r="G39" s="1" t="str">
        <f>IFERROR(__xludf.DUMMYFUNCTION("""COMPUTED_VALUE"""),"Musique, Cinéma")</f>
        <v>Musique, Cinéma</v>
      </c>
      <c r="H39" s="1" t="str">
        <f>IFERROR(__xludf.DUMMYFUNCTION("""COMPUTED_VALUE"""),"Quelques fois par semaine")</f>
        <v>Quelques fois par semaine</v>
      </c>
      <c r="I39" s="1" t="str">
        <f>IFERROR(__xludf.DUMMYFUNCTION("""COMPUTED_VALUE"""),"Une fois par semaine")</f>
        <v>Une fois par semaine</v>
      </c>
      <c r="J39" s="1" t="str">
        <f>IFERROR(__xludf.DUMMYFUNCTION("""COMPUTED_VALUE"""),"Pour le développement perso et se dépasser")</f>
        <v>Pour le développement perso et se dépasser</v>
      </c>
      <c r="K39" s="1" t="str">
        <f>IFERROR(__xludf.DUMMYFUNCTION("""COMPUTED_VALUE"""),"Sports collectifs, Sports de raquette")</f>
        <v>Sports collectifs, Sports de raquette</v>
      </c>
      <c r="L39" s="1" t="str">
        <f>IFERROR(__xludf.DUMMYFUNCTION("""COMPUTED_VALUE"""),"J'aime cuisiner le WE ou quand j'ai le temps")</f>
        <v>J'aime cuisiner le WE ou quand j'ai le temps</v>
      </c>
      <c r="M39" s="1">
        <f>IFERROR(__xludf.DUMMYFUNCTION("""COMPUTED_VALUE"""),9.0)</f>
        <v>9</v>
      </c>
      <c r="N39" s="1" t="str">
        <f>IFERROR(__xludf.DUMMYFUNCTION("""COMPUTED_VALUE"""),"Plusieurs fois par semaine")</f>
        <v>Plusieurs fois par semaine</v>
      </c>
      <c r="O39" s="1" t="str">
        <f>IFERROR(__xludf.DUMMYFUNCTION("""COMPUTED_VALUE"""),"Objectif grosse défonce")</f>
        <v>Objectif grosse défonce</v>
      </c>
      <c r="P39" s="1">
        <f>IFERROR(__xludf.DUMMYFUNCTION("""COMPUTED_VALUE"""),3.0)</f>
        <v>3</v>
      </c>
      <c r="Q39" s="1" t="str">
        <f>IFERROR(__xludf.DUMMYFUNCTION("""COMPUTED_VALUE"""),"Oui")</f>
        <v>Oui</v>
      </c>
      <c r="R39" s="1" t="str">
        <f>IFERROR(__xludf.DUMMYFUNCTION("""COMPUTED_VALUE"""),"Non")</f>
        <v>Non</v>
      </c>
      <c r="S39" s="1" t="str">
        <f>IFERROR(__xludf.DUMMYFUNCTION("""COMPUTED_VALUE"""),"La Tracharnasse")</f>
        <v>La Tracharnasse</v>
      </c>
      <c r="T39" s="1" t="str">
        <f>IFERROR(__xludf.DUMMYFUNCTION("""COMPUTED_VALUE"""),"un enfant, voire deux s'il est chauve")</f>
        <v>un enfant, voire deux s'il est chauve</v>
      </c>
      <c r="U39" t="str">
        <f>IFERROR(__xludf.DUMMYFUNCTION("""COMPUTED_VALUE"""),"troll")</f>
        <v>troll</v>
      </c>
      <c r="V39" t="str">
        <f>IFERROR(__xludf.DUMMYFUNCTION("""COMPUTED_VALUE"""),"")</f>
        <v/>
      </c>
      <c r="W39" t="str">
        <f>IFERROR(__xludf.DUMMYFUNCTION("""COMPUTED_VALUE"""),"")</f>
        <v/>
      </c>
      <c r="X39" t="str">
        <f>IFERROR(__xludf.DUMMYFUNCTION("""COMPUTED_VALUE"""),"")</f>
        <v/>
      </c>
      <c r="Y39" t="str">
        <f>IFERROR(__xludf.DUMMYFUNCTION("""COMPUTED_VALUE"""),"")</f>
        <v/>
      </c>
      <c r="Z39" t="str">
        <f>IFERROR(__xludf.DUMMYFUNCTION("""COMPUTED_VALUE"""),"")</f>
        <v/>
      </c>
      <c r="AA39" t="str">
        <f>IFERROR(__xludf.DUMMYFUNCTION("""COMPUTED_VALUE"""),"")</f>
        <v/>
      </c>
      <c r="AB39" t="str">
        <f>IFERROR(__xludf.DUMMYFUNCTION("""COMPUTED_VALUE"""),"")</f>
        <v/>
      </c>
    </row>
    <row r="40">
      <c r="A40" s="2">
        <f>IFERROR(__xludf.DUMMYFUNCTION("""COMPUTED_VALUE"""),43627.37397189815)</f>
        <v>43627.37397</v>
      </c>
      <c r="B40" s="1" t="str">
        <f>IFERROR(__xludf.DUMMYFUNCTION("""COMPUTED_VALUE"""),"Julien Bomberault")</f>
        <v>Julien Bomberault</v>
      </c>
      <c r="C4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0" s="1" t="str">
        <f>IFERROR(__xludf.DUMMYFUNCTION("""COMPUTED_VALUE"""),"BDA")</f>
        <v>BDA</v>
      </c>
      <c r="E40" s="1">
        <f>IFERROR(__xludf.DUMMYFUNCTION("""COMPUTED_VALUE"""),5.0)</f>
        <v>5</v>
      </c>
      <c r="F40" s="1" t="str">
        <f>IFERROR(__xludf.DUMMYFUNCTION("""COMPUTED_VALUE"""),"Rock, Metal, Electro posée, Electro hard, Rap, Jazz, Musique classique, Autre")</f>
        <v>Rock, Metal, Electro posée, Electro hard, Rap, Jazz, Musique classique, Autre</v>
      </c>
      <c r="G40" s="1" t="str">
        <f>IFERROR(__xludf.DUMMYFUNCTION("""COMPUTED_VALUE"""),"Musique")</f>
        <v>Musique</v>
      </c>
      <c r="H40" s="1" t="str">
        <f>IFERROR(__xludf.DUMMYFUNCTION("""COMPUTED_VALUE"""),"Une fois de temps en temps")</f>
        <v>Une fois de temps en temps</v>
      </c>
      <c r="I40" s="1" t="str">
        <f>IFERROR(__xludf.DUMMYFUNCTION("""COMPUTED_VALUE"""),"Le dimanche à 15h32 s'il fait beau")</f>
        <v>Le dimanche à 15h32 s'il fait beau</v>
      </c>
      <c r="J40" s="1" t="str">
        <f>IFERROR(__xludf.DUMMYFUNCTION("""COMPUTED_VALUE"""),"Pour le fun")</f>
        <v>Pour le fun</v>
      </c>
      <c r="K40" s="1" t="str">
        <f>IFERROR(__xludf.DUMMYFUNCTION("""COMPUTED_VALUE"""),"Pas de sport")</f>
        <v>Pas de sport</v>
      </c>
      <c r="L40" s="1" t="str">
        <f>IFERROR(__xludf.DUMMYFUNCTION("""COMPUTED_VALUE"""),"Je fais toujours attention à bien manger")</f>
        <v>Je fais toujours attention à bien manger</v>
      </c>
      <c r="M40" s="1">
        <f>IFERROR(__xludf.DUMMYFUNCTION("""COMPUTED_VALUE"""),10.0)</f>
        <v>10</v>
      </c>
      <c r="N40" s="1" t="str">
        <f>IFERROR(__xludf.DUMMYFUNCTION("""COMPUTED_VALUE"""),"Une fois par jour (voire plus)")</f>
        <v>Une fois par jour (voire plus)</v>
      </c>
      <c r="O40" s="1" t="str">
        <f>IFERROR(__xludf.DUMMYFUNCTION("""COMPUTED_VALUE"""),"Objectif grosse défonce")</f>
        <v>Objectif grosse défonce</v>
      </c>
      <c r="P40" s="1">
        <f>IFERROR(__xludf.DUMMYFUNCTION("""COMPUTED_VALUE"""),3.0)</f>
        <v>3</v>
      </c>
      <c r="Q40" s="1" t="str">
        <f>IFERROR(__xludf.DUMMYFUNCTION("""COMPUTED_VALUE"""),"Oui")</f>
        <v>Oui</v>
      </c>
      <c r="R40" s="1" t="str">
        <f>IFERROR(__xludf.DUMMYFUNCTION("""COMPUTED_VALUE"""),"Non")</f>
        <v>Non</v>
      </c>
      <c r="S40" s="1" t="str">
        <f>IFERROR(__xludf.DUMMYFUNCTION("""COMPUTED_VALUE"""),"La Tracharnasse")</f>
        <v>La Tracharnasse</v>
      </c>
      <c r="T40" s="1" t="str">
        <f>IFERROR(__xludf.DUMMYFUNCTION("""COMPUTED_VALUE"""),"Une peluche de Scrat")</f>
        <v>Une peluche de Scrat</v>
      </c>
      <c r="U40" t="str">
        <f>IFERROR(__xludf.DUMMYFUNCTION("""COMPUTED_VALUE"""),"")</f>
        <v/>
      </c>
      <c r="V40" t="str">
        <f>IFERROR(__xludf.DUMMYFUNCTION("""COMPUTED_VALUE"""),"")</f>
        <v/>
      </c>
      <c r="W40" t="str">
        <f>IFERROR(__xludf.DUMMYFUNCTION("""COMPUTED_VALUE"""),"")</f>
        <v/>
      </c>
      <c r="X40" t="str">
        <f>IFERROR(__xludf.DUMMYFUNCTION("""COMPUTED_VALUE"""),"")</f>
        <v/>
      </c>
      <c r="Y40" t="str">
        <f>IFERROR(__xludf.DUMMYFUNCTION("""COMPUTED_VALUE"""),"")</f>
        <v/>
      </c>
      <c r="Z40" t="str">
        <f>IFERROR(__xludf.DUMMYFUNCTION("""COMPUTED_VALUE"""),"")</f>
        <v/>
      </c>
      <c r="AA40" t="str">
        <f>IFERROR(__xludf.DUMMYFUNCTION("""COMPUTED_VALUE"""),"")</f>
        <v/>
      </c>
      <c r="AB40" t="str">
        <f>IFERROR(__xludf.DUMMYFUNCTION("""COMPUTED_VALUE"""),"")</f>
        <v/>
      </c>
    </row>
    <row r="41">
      <c r="A41" s="2">
        <f>IFERROR(__xludf.DUMMYFUNCTION("""COMPUTED_VALUE"""),43627.38097878473)</f>
        <v>43627.38098</v>
      </c>
      <c r="B41" s="1" t="str">
        <f>IFERROR(__xludf.DUMMYFUNCTION("""COMPUTED_VALUE"""),"Carmen SORIA")</f>
        <v>Carmen SORIA</v>
      </c>
      <c r="C41" s="1" t="str">
        <f>IFERROR(__xludf.DUMMYFUNCTION("""COMPUTED_VALUE"""),"Deux inconnus")</f>
        <v>Deux inconnus</v>
      </c>
      <c r="D41" s="1" t="str">
        <f>IFERROR(__xludf.DUMMYFUNCTION("""COMPUTED_VALUE"""),"BDS")</f>
        <v>BDS</v>
      </c>
      <c r="E41" s="1">
        <f>IFERROR(__xludf.DUMMYFUNCTION("""COMPUTED_VALUE"""),2.0)</f>
        <v>2</v>
      </c>
      <c r="F41" s="1" t="str">
        <f>IFERROR(__xludf.DUMMYFUNCTION("""COMPUTED_VALUE"""),"Rock, Electro posée, Rap, Pop, Musique fançaise, Autre")</f>
        <v>Rock, Electro posée, Rap, Pop, Musique fançaise, Autre</v>
      </c>
      <c r="G41" s="1" t="str">
        <f>IFERROR(__xludf.DUMMYFUNCTION("""COMPUTED_VALUE"""),"Littérature, Musique")</f>
        <v>Littérature, Musique</v>
      </c>
      <c r="H41" s="1" t="str">
        <f>IFERROR(__xludf.DUMMYFUNCTION("""COMPUTED_VALUE"""),"Seulement les soirs de pleine lune")</f>
        <v>Seulement les soirs de pleine lune</v>
      </c>
      <c r="I41" s="1" t="str">
        <f>IFERROR(__xludf.DUMMYFUNCTION("""COMPUTED_VALUE"""),"Plusieurs fois par semaine")</f>
        <v>Plusieurs fois par semaine</v>
      </c>
      <c r="J41" s="1" t="str">
        <f>IFERROR(__xludf.DUMMYFUNCTION("""COMPUTED_VALUE"""),"Pour la compet")</f>
        <v>Pour la compet</v>
      </c>
      <c r="K41" s="1" t="str">
        <f>IFERROR(__xludf.DUMMYFUNCTION("""COMPUTED_VALUE"""),"Sports collectifs, Athlétisme, Escalade, Autre")</f>
        <v>Sports collectifs, Athlétisme, Escalade, Autre</v>
      </c>
      <c r="L41" s="1" t="str">
        <f>IFERROR(__xludf.DUMMYFUNCTION("""COMPUTED_VALUE"""),"Je fais toujours attention à bien manger")</f>
        <v>Je fais toujours attention à bien manger</v>
      </c>
      <c r="M41" s="1">
        <f>IFERROR(__xludf.DUMMYFUNCTION("""COMPUTED_VALUE"""),9.0)</f>
        <v>9</v>
      </c>
      <c r="N41" s="1" t="str">
        <f>IFERROR(__xludf.DUMMYFUNCTION("""COMPUTED_VALUE"""),"Plusieurs fois par semaine")</f>
        <v>Plusieurs fois par semaine</v>
      </c>
      <c r="O41" s="1" t="str">
        <f>IFERROR(__xludf.DUMMYFUNCTION("""COMPUTED_VALUE"""),"T'enflammes le dancefloor")</f>
        <v>T'enflammes le dancefloor</v>
      </c>
      <c r="P41" s="1">
        <f>IFERROR(__xludf.DUMMYFUNCTION("""COMPUTED_VALUE"""),2.0)</f>
        <v>2</v>
      </c>
      <c r="Q41" s="1" t="str">
        <f>IFERROR(__xludf.DUMMYFUNCTION("""COMPUTED_VALUE"""),"Non")</f>
        <v>Non</v>
      </c>
      <c r="R41" s="1" t="str">
        <f>IFERROR(__xludf.DUMMYFUNCTION("""COMPUTED_VALUE"""),"Non")</f>
        <v>Non</v>
      </c>
      <c r="S41" s="1" t="str">
        <f>IFERROR(__xludf.DUMMYFUNCTION("""COMPUTED_VALUE"""),"La Glotte")</f>
        <v>La Glotte</v>
      </c>
      <c r="T41" s="1" t="str">
        <f>IFERROR(__xludf.DUMMYFUNCTION("""COMPUTED_VALUE"""),"pâte à modeler")</f>
        <v>pâte à modeler</v>
      </c>
      <c r="U41" t="str">
        <f>IFERROR(__xludf.DUMMYFUNCTION("""COMPUTED_VALUE"""),"")</f>
        <v/>
      </c>
      <c r="V41" t="str">
        <f>IFERROR(__xludf.DUMMYFUNCTION("""COMPUTED_VALUE"""),"")</f>
        <v/>
      </c>
      <c r="W41" t="str">
        <f>IFERROR(__xludf.DUMMYFUNCTION("""COMPUTED_VALUE"""),"")</f>
        <v/>
      </c>
      <c r="X41" t="str">
        <f>IFERROR(__xludf.DUMMYFUNCTION("""COMPUTED_VALUE"""),"")</f>
        <v/>
      </c>
      <c r="Y41" t="str">
        <f>IFERROR(__xludf.DUMMYFUNCTION("""COMPUTED_VALUE"""),"")</f>
        <v/>
      </c>
      <c r="Z41" t="str">
        <f>IFERROR(__xludf.DUMMYFUNCTION("""COMPUTED_VALUE"""),"")</f>
        <v/>
      </c>
      <c r="AA41" t="str">
        <f>IFERROR(__xludf.DUMMYFUNCTION("""COMPUTED_VALUE"""),"")</f>
        <v/>
      </c>
      <c r="AB41" t="str">
        <f>IFERROR(__xludf.DUMMYFUNCTION("""COMPUTED_VALUE"""),"")</f>
        <v/>
      </c>
    </row>
    <row r="42">
      <c r="A42" s="2">
        <f>IFERROR(__xludf.DUMMYFUNCTION("""COMPUTED_VALUE"""),43627.38125798611)</f>
        <v>43627.38126</v>
      </c>
      <c r="B42" s="1" t="str">
        <f>IFERROR(__xludf.DUMMYFUNCTION("""COMPUTED_VALUE"""),"Constance Kooyman")</f>
        <v>Constance Kooyman</v>
      </c>
      <c r="C4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2" s="1" t="str">
        <f>IFERROR(__xludf.DUMMYFUNCTION("""COMPUTED_VALUE"""),"BDA")</f>
        <v>BDA</v>
      </c>
      <c r="E42" s="1">
        <f>IFERROR(__xludf.DUMMYFUNCTION("""COMPUTED_VALUE"""),3.0)</f>
        <v>3</v>
      </c>
      <c r="F42" s="1" t="str">
        <f>IFERROR(__xludf.DUMMYFUNCTION("""COMPUTED_VALUE"""),"Rock, Metal, Jazz, Musique classique, Autre")</f>
        <v>Rock, Metal, Jazz, Musique classique, Autre</v>
      </c>
      <c r="G42" s="1" t="str">
        <f>IFERROR(__xludf.DUMMYFUNCTION("""COMPUTED_VALUE"""),"Littérature, Musique")</f>
        <v>Littérature, Musique</v>
      </c>
      <c r="H42" s="1" t="str">
        <f>IFERROR(__xludf.DUMMYFUNCTION("""COMPUTED_VALUE"""),"Une fois de temps en temps")</f>
        <v>Une fois de temps en temps</v>
      </c>
      <c r="I42" s="1" t="str">
        <f>IFERROR(__xludf.DUMMYFUNCTION("""COMPUTED_VALUE"""),"Plusieurs fois par semaine")</f>
        <v>Plusieurs fois par semaine</v>
      </c>
      <c r="J42" s="1" t="str">
        <f>IFERROR(__xludf.DUMMYFUNCTION("""COMPUTED_VALUE"""),"Pour le développement perso et se dépasser")</f>
        <v>Pour le développement perso et se dépasser</v>
      </c>
      <c r="K42" s="1" t="str">
        <f>IFERROR(__xludf.DUMMYFUNCTION("""COMPUTED_VALUE"""),"Athlétisme, Equitation")</f>
        <v>Athlétisme, Equitation</v>
      </c>
      <c r="L42" s="1" t="str">
        <f>IFERROR(__xludf.DUMMYFUNCTION("""COMPUTED_VALUE"""),"Je fais toujours attention à bien manger")</f>
        <v>Je fais toujours attention à bien manger</v>
      </c>
      <c r="M42" s="1">
        <f>IFERROR(__xludf.DUMMYFUNCTION("""COMPUTED_VALUE"""),4.0)</f>
        <v>4</v>
      </c>
      <c r="N42" s="1" t="str">
        <f>IFERROR(__xludf.DUMMYFUNCTION("""COMPUTED_VALUE"""),"Une fois par semaine")</f>
        <v>Une fois par semaine</v>
      </c>
      <c r="O42" s="1" t="str">
        <f>IFERROR(__xludf.DUMMYFUNCTION("""COMPUTED_VALUE"""),"Tu te poses dans un coin, chill !!")</f>
        <v>Tu te poses dans un coin, chill !!</v>
      </c>
      <c r="P42" s="1">
        <f>IFERROR(__xludf.DUMMYFUNCTION("""COMPUTED_VALUE"""),1.0)</f>
        <v>1</v>
      </c>
      <c r="Q42" s="1" t="str">
        <f>IFERROR(__xludf.DUMMYFUNCTION("""COMPUTED_VALUE"""),"Oui")</f>
        <v>Oui</v>
      </c>
      <c r="R42" s="1" t="str">
        <f>IFERROR(__xludf.DUMMYFUNCTION("""COMPUTED_VALUE"""),"Non")</f>
        <v>Non</v>
      </c>
      <c r="S42" s="1" t="str">
        <f>IFERROR(__xludf.DUMMYFUNCTION("""COMPUTED_VALUE"""),"Waltherock")</f>
        <v>Waltherock</v>
      </c>
      <c r="T42" s="1" t="str">
        <f>IFERROR(__xludf.DUMMYFUNCTION("""COMPUTED_VALUE"""),"Walter le mouton (c'est une peluche) ")</f>
        <v>Walter le mouton (c'est une peluche) </v>
      </c>
      <c r="U42" t="str">
        <f>IFERROR(__xludf.DUMMYFUNCTION("""COMPUTED_VALUE"""),"")</f>
        <v/>
      </c>
      <c r="V42" t="str">
        <f>IFERROR(__xludf.DUMMYFUNCTION("""COMPUTED_VALUE"""),"")</f>
        <v/>
      </c>
      <c r="W42" t="str">
        <f>IFERROR(__xludf.DUMMYFUNCTION("""COMPUTED_VALUE"""),"")</f>
        <v/>
      </c>
      <c r="X42" t="str">
        <f>IFERROR(__xludf.DUMMYFUNCTION("""COMPUTED_VALUE"""),"")</f>
        <v/>
      </c>
      <c r="Y42" t="str">
        <f>IFERROR(__xludf.DUMMYFUNCTION("""COMPUTED_VALUE"""),"")</f>
        <v/>
      </c>
      <c r="Z42" t="str">
        <f>IFERROR(__xludf.DUMMYFUNCTION("""COMPUTED_VALUE"""),"")</f>
        <v/>
      </c>
      <c r="AA42" t="str">
        <f>IFERROR(__xludf.DUMMYFUNCTION("""COMPUTED_VALUE"""),"")</f>
        <v/>
      </c>
      <c r="AB42" t="str">
        <f>IFERROR(__xludf.DUMMYFUNCTION("""COMPUTED_VALUE"""),"")</f>
        <v/>
      </c>
    </row>
    <row r="43">
      <c r="A43" s="2">
        <f>IFERROR(__xludf.DUMMYFUNCTION("""COMPUTED_VALUE"""),43627.38334237269)</f>
        <v>43627.38334</v>
      </c>
      <c r="B43" s="1" t="str">
        <f>IFERROR(__xludf.DUMMYFUNCTION("""COMPUTED_VALUE"""),"Damien GUYONVARCH")</f>
        <v>Damien GUYONVARCH</v>
      </c>
      <c r="C4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3" s="1" t="str">
        <f>IFERROR(__xludf.DUMMYFUNCTION("""COMPUTED_VALUE"""),"Pas de liste")</f>
        <v>Pas de liste</v>
      </c>
      <c r="E43" s="1">
        <f>IFERROR(__xludf.DUMMYFUNCTION("""COMPUTED_VALUE"""),1.0)</f>
        <v>1</v>
      </c>
      <c r="F43" s="1" t="str">
        <f>IFERROR(__xludf.DUMMYFUNCTION("""COMPUTED_VALUE"""),"Rock, Electro posée, Pop, Autre")</f>
        <v>Rock, Electro posée, Pop, Autre</v>
      </c>
      <c r="G43" s="1" t="str">
        <f>IFERROR(__xludf.DUMMYFUNCTION("""COMPUTED_VALUE"""),"Cinéma")</f>
        <v>Cinéma</v>
      </c>
      <c r="H43" s="1" t="str">
        <f>IFERROR(__xludf.DUMMYFUNCTION("""COMPUTED_VALUE"""),"Quelques fois par semaine")</f>
        <v>Quelques fois par semaine</v>
      </c>
      <c r="I43" s="1" t="str">
        <f>IFERROR(__xludf.DUMMYFUNCTION("""COMPUTED_VALUE"""),"Plusieurs fois par semaine")</f>
        <v>Plusieurs fois par semaine</v>
      </c>
      <c r="J43" s="1" t="str">
        <f>IFERROR(__xludf.DUMMYFUNCTION("""COMPUTED_VALUE"""),"Pour le fun")</f>
        <v>Pour le fun</v>
      </c>
      <c r="K43" s="1" t="str">
        <f>IFERROR(__xludf.DUMMYFUNCTION("""COMPUTED_VALUE"""),"Sports de raquette")</f>
        <v>Sports de raquette</v>
      </c>
      <c r="L43" s="1" t="str">
        <f>IFERROR(__xludf.DUMMYFUNCTION("""COMPUTED_VALUE"""),"J'aime cuisiner le WE ou quand j'ai le temps")</f>
        <v>J'aime cuisiner le WE ou quand j'ai le temps</v>
      </c>
      <c r="M43" s="1">
        <f>IFERROR(__xludf.DUMMYFUNCTION("""COMPUTED_VALUE"""),3.0)</f>
        <v>3</v>
      </c>
      <c r="N43" s="1" t="str">
        <f>IFERROR(__xludf.DUMMYFUNCTION("""COMPUTED_VALUE"""),"Une fois par semaine")</f>
        <v>Une fois par semaine</v>
      </c>
      <c r="O43" s="1" t="str">
        <f>IFERROR(__xludf.DUMMYFUNCTION("""COMPUTED_VALUE"""),"Tu te poses dans un coin, chill !!")</f>
        <v>Tu te poses dans un coin, chill !!</v>
      </c>
      <c r="P43" s="1">
        <f>IFERROR(__xludf.DUMMYFUNCTION("""COMPUTED_VALUE"""),1.0)</f>
        <v>1</v>
      </c>
      <c r="Q43" s="1" t="str">
        <f>IFERROR(__xludf.DUMMYFUNCTION("""COMPUTED_VALUE"""),"Oui")</f>
        <v>Oui</v>
      </c>
      <c r="R43" s="1" t="str">
        <f>IFERROR(__xludf.DUMMYFUNCTION("""COMPUTED_VALUE"""),"Non")</f>
        <v>Non</v>
      </c>
      <c r="S43" s="1" t="str">
        <f>IFERROR(__xludf.DUMMYFUNCTION("""COMPUTED_VALUE"""),"Waltherock")</f>
        <v>Waltherock</v>
      </c>
      <c r="T43" s="1" t="str">
        <f>IFERROR(__xludf.DUMMYFUNCTION("""COMPUTED_VALUE"""),"Cadre avec une photo de Dwayne Johnson")</f>
        <v>Cadre avec une photo de Dwayne Johnson</v>
      </c>
      <c r="U43" t="str">
        <f>IFERROR(__xludf.DUMMYFUNCTION("""COMPUTED_VALUE"""),"")</f>
        <v/>
      </c>
      <c r="V43" t="str">
        <f>IFERROR(__xludf.DUMMYFUNCTION("""COMPUTED_VALUE"""),"")</f>
        <v/>
      </c>
      <c r="W43" t="str">
        <f>IFERROR(__xludf.DUMMYFUNCTION("""COMPUTED_VALUE"""),"")</f>
        <v/>
      </c>
      <c r="X43" t="str">
        <f>IFERROR(__xludf.DUMMYFUNCTION("""COMPUTED_VALUE"""),"")</f>
        <v/>
      </c>
      <c r="Y43" t="str">
        <f>IFERROR(__xludf.DUMMYFUNCTION("""COMPUTED_VALUE"""),"")</f>
        <v/>
      </c>
      <c r="Z43" t="str">
        <f>IFERROR(__xludf.DUMMYFUNCTION("""COMPUTED_VALUE"""),"")</f>
        <v/>
      </c>
      <c r="AA43" t="str">
        <f>IFERROR(__xludf.DUMMYFUNCTION("""COMPUTED_VALUE"""),"")</f>
        <v/>
      </c>
      <c r="AB43" t="str">
        <f>IFERROR(__xludf.DUMMYFUNCTION("""COMPUTED_VALUE"""),"")</f>
        <v/>
      </c>
    </row>
    <row r="44">
      <c r="A44" s="2">
        <f>IFERROR(__xludf.DUMMYFUNCTION("""COMPUTED_VALUE"""),43627.38382701389)</f>
        <v>43627.38383</v>
      </c>
      <c r="B44" s="1" t="str">
        <f>IFERROR(__xludf.DUMMYFUNCTION("""COMPUTED_VALUE"""),"Florent COLLOCH")</f>
        <v>Florent COLLOCH</v>
      </c>
      <c r="C4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4" s="1" t="str">
        <f>IFERROR(__xludf.DUMMYFUNCTION("""COMPUTED_VALUE"""),"Pas de liste")</f>
        <v>Pas de liste</v>
      </c>
      <c r="E44" s="1">
        <f>IFERROR(__xludf.DUMMYFUNCTION("""COMPUTED_VALUE"""),2.0)</f>
        <v>2</v>
      </c>
      <c r="F44" s="1" t="str">
        <f>IFERROR(__xludf.DUMMYFUNCTION("""COMPUTED_VALUE"""),"Electro posée")</f>
        <v>Electro posée</v>
      </c>
      <c r="G44" s="1" t="str">
        <f>IFERROR(__xludf.DUMMYFUNCTION("""COMPUTED_VALUE"""),"Littérature, Cinéma")</f>
        <v>Littérature, Cinéma</v>
      </c>
      <c r="H44" s="1" t="str">
        <f>IFERROR(__xludf.DUMMYFUNCTION("""COMPUTED_VALUE"""),"Quelques fois par semaine")</f>
        <v>Quelques fois par semaine</v>
      </c>
      <c r="I44" s="1" t="str">
        <f>IFERROR(__xludf.DUMMYFUNCTION("""COMPUTED_VALUE"""),"Plusieurs fois par semaine")</f>
        <v>Plusieurs fois par semaine</v>
      </c>
      <c r="J44" s="1" t="str">
        <f>IFERROR(__xludf.DUMMYFUNCTION("""COMPUTED_VALUE"""),"Pour le fun")</f>
        <v>Pour le fun</v>
      </c>
      <c r="K44" s="1" t="str">
        <f>IFERROR(__xludf.DUMMYFUNCTION("""COMPUTED_VALUE"""),"Autre")</f>
        <v>Autre</v>
      </c>
      <c r="L44" s="1" t="str">
        <f>IFERROR(__xludf.DUMMYFUNCTION("""COMPUTED_VALUE"""),"J'aime cuisiner le WE ou quand j'ai le temps")</f>
        <v>J'aime cuisiner le WE ou quand j'ai le temps</v>
      </c>
      <c r="M44" s="1">
        <f>IFERROR(__xludf.DUMMYFUNCTION("""COMPUTED_VALUE"""),5.0)</f>
        <v>5</v>
      </c>
      <c r="N44" s="1" t="str">
        <f>IFERROR(__xludf.DUMMYFUNCTION("""COMPUTED_VALUE"""),"Une fois par semaine")</f>
        <v>Une fois par semaine</v>
      </c>
      <c r="O44" s="1" t="str">
        <f>IFERROR(__xludf.DUMMYFUNCTION("""COMPUTED_VALUE"""),"Tu te poses dans un coin, chill !!")</f>
        <v>Tu te poses dans un coin, chill !!</v>
      </c>
      <c r="P44" s="1">
        <f>IFERROR(__xludf.DUMMYFUNCTION("""COMPUTED_VALUE"""),1.0)</f>
        <v>1</v>
      </c>
      <c r="Q44" s="1" t="str">
        <f>IFERROR(__xludf.DUMMYFUNCTION("""COMPUTED_VALUE"""),"Oui")</f>
        <v>Oui</v>
      </c>
      <c r="R44" s="1" t="str">
        <f>IFERROR(__xludf.DUMMYFUNCTION("""COMPUTED_VALUE"""),"Non")</f>
        <v>Non</v>
      </c>
      <c r="S44" s="1" t="str">
        <f>IFERROR(__xludf.DUMMYFUNCTION("""COMPUTED_VALUE"""),"Waltherock")</f>
        <v>Waltherock</v>
      </c>
      <c r="T44" s="1" t="str">
        <f>IFERROR(__xludf.DUMMYFUNCTION("""COMPUTED_VALUE"""),"Bouteille de sable")</f>
        <v>Bouteille de sable</v>
      </c>
      <c r="U44" t="str">
        <f>IFERROR(__xludf.DUMMYFUNCTION("""COMPUTED_VALUE"""),"")</f>
        <v/>
      </c>
      <c r="V44" t="str">
        <f>IFERROR(__xludf.DUMMYFUNCTION("""COMPUTED_VALUE"""),"")</f>
        <v/>
      </c>
      <c r="W44" t="str">
        <f>IFERROR(__xludf.DUMMYFUNCTION("""COMPUTED_VALUE"""),"")</f>
        <v/>
      </c>
      <c r="X44" t="str">
        <f>IFERROR(__xludf.DUMMYFUNCTION("""COMPUTED_VALUE"""),"")</f>
        <v/>
      </c>
      <c r="Y44" t="str">
        <f>IFERROR(__xludf.DUMMYFUNCTION("""COMPUTED_VALUE"""),"")</f>
        <v/>
      </c>
      <c r="Z44" t="str">
        <f>IFERROR(__xludf.DUMMYFUNCTION("""COMPUTED_VALUE"""),"")</f>
        <v/>
      </c>
      <c r="AA44" t="str">
        <f>IFERROR(__xludf.DUMMYFUNCTION("""COMPUTED_VALUE"""),"")</f>
        <v/>
      </c>
      <c r="AB44" t="str">
        <f>IFERROR(__xludf.DUMMYFUNCTION("""COMPUTED_VALUE"""),"")</f>
        <v/>
      </c>
    </row>
    <row r="45">
      <c r="A45" s="2">
        <f>IFERROR(__xludf.DUMMYFUNCTION("""COMPUTED_VALUE"""),43627.39190766204)</f>
        <v>43627.39191</v>
      </c>
      <c r="B45" s="1" t="str">
        <f>IFERROR(__xludf.DUMMYFUNCTION("""COMPUTED_VALUE"""),"Adrien RIDOUARD")</f>
        <v>Adrien RIDOUARD</v>
      </c>
      <c r="C4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5" s="1" t="str">
        <f>IFERROR(__xludf.DUMMYFUNCTION("""COMPUTED_VALUE"""),"Pas de liste")</f>
        <v>Pas de liste</v>
      </c>
      <c r="E45" s="1">
        <f>IFERROR(__xludf.DUMMYFUNCTION("""COMPUTED_VALUE"""),3.0)</f>
        <v>3</v>
      </c>
      <c r="F45" s="1" t="str">
        <f>IFERROR(__xludf.DUMMYFUNCTION("""COMPUTED_VALUE"""),"Rock, Metal, Electro posée, Electro hard")</f>
        <v>Rock, Metal, Electro posée, Electro hard</v>
      </c>
      <c r="G45" s="1" t="str">
        <f>IFERROR(__xludf.DUMMYFUNCTION("""COMPUTED_VALUE"""),"Cinéma")</f>
        <v>Cinéma</v>
      </c>
      <c r="H45" s="1" t="str">
        <f>IFERROR(__xludf.DUMMYFUNCTION("""COMPUTED_VALUE"""),"Une fois de temps en temps")</f>
        <v>Une fois de temps en temps</v>
      </c>
      <c r="I45" s="1" t="str">
        <f>IFERROR(__xludf.DUMMYFUNCTION("""COMPUTED_VALUE"""),"Une fois par semaine")</f>
        <v>Une fois par semaine</v>
      </c>
      <c r="J45" s="1" t="str">
        <f>IFERROR(__xludf.DUMMYFUNCTION("""COMPUTED_VALUE"""),"Pour le fun")</f>
        <v>Pour le fun</v>
      </c>
      <c r="K45" s="1" t="str">
        <f>IFERROR(__xludf.DUMMYFUNCTION("""COMPUTED_VALUE"""),"Autre")</f>
        <v>Autre</v>
      </c>
      <c r="L45" s="1" t="str">
        <f>IFERROR(__xludf.DUMMYFUNCTION("""COMPUTED_VALUE"""),"J'aime cuisiner le WE ou quand j'ai le temps")</f>
        <v>J'aime cuisiner le WE ou quand j'ai le temps</v>
      </c>
      <c r="M45" s="1">
        <f>IFERROR(__xludf.DUMMYFUNCTION("""COMPUTED_VALUE"""),4.0)</f>
        <v>4</v>
      </c>
      <c r="N45" s="1" t="str">
        <f>IFERROR(__xludf.DUMMYFUNCTION("""COMPUTED_VALUE"""),"Une fois par semaine")</f>
        <v>Une fois par semaine</v>
      </c>
      <c r="O45" s="1" t="str">
        <f>IFERROR(__xludf.DUMMYFUNCTION("""COMPUTED_VALUE"""),"Tu te poses dans un coin, chill !!")</f>
        <v>Tu te poses dans un coin, chill !!</v>
      </c>
      <c r="P45" s="1">
        <f>IFERROR(__xludf.DUMMYFUNCTION("""COMPUTED_VALUE"""),1.0)</f>
        <v>1</v>
      </c>
      <c r="Q45" s="1" t="str">
        <f>IFERROR(__xludf.DUMMYFUNCTION("""COMPUTED_VALUE"""),"Oui")</f>
        <v>Oui</v>
      </c>
      <c r="R45" s="1" t="str">
        <f>IFERROR(__xludf.DUMMYFUNCTION("""COMPUTED_VALUE"""),"Non")</f>
        <v>Non</v>
      </c>
      <c r="S45" s="1" t="str">
        <f>IFERROR(__xludf.DUMMYFUNCTION("""COMPUTED_VALUE"""),"Waltherock")</f>
        <v>Waltherock</v>
      </c>
      <c r="T45" s="1" t="str">
        <f>IFERROR(__xludf.DUMMYFUNCTION("""COMPUTED_VALUE"""),"Liasse de billets (home made) ")</f>
        <v>Liasse de billets (home made) </v>
      </c>
      <c r="U45" t="str">
        <f>IFERROR(__xludf.DUMMYFUNCTION("""COMPUTED_VALUE"""),"")</f>
        <v/>
      </c>
      <c r="V45" t="str">
        <f>IFERROR(__xludf.DUMMYFUNCTION("""COMPUTED_VALUE"""),"")</f>
        <v/>
      </c>
      <c r="W45" t="str">
        <f>IFERROR(__xludf.DUMMYFUNCTION("""COMPUTED_VALUE"""),"")</f>
        <v/>
      </c>
      <c r="X45" t="str">
        <f>IFERROR(__xludf.DUMMYFUNCTION("""COMPUTED_VALUE"""),"")</f>
        <v/>
      </c>
      <c r="Y45" t="str">
        <f>IFERROR(__xludf.DUMMYFUNCTION("""COMPUTED_VALUE"""),"")</f>
        <v/>
      </c>
      <c r="Z45" t="str">
        <f>IFERROR(__xludf.DUMMYFUNCTION("""COMPUTED_VALUE"""),"")</f>
        <v/>
      </c>
      <c r="AA45" t="str">
        <f>IFERROR(__xludf.DUMMYFUNCTION("""COMPUTED_VALUE"""),"")</f>
        <v/>
      </c>
      <c r="AB45" t="str">
        <f>IFERROR(__xludf.DUMMYFUNCTION("""COMPUTED_VALUE"""),"")</f>
        <v/>
      </c>
    </row>
    <row r="46">
      <c r="A46" s="2">
        <f>IFERROR(__xludf.DUMMYFUNCTION("""COMPUTED_VALUE"""),43627.407905879634)</f>
        <v>43627.40791</v>
      </c>
      <c r="B46" s="1" t="str">
        <f>IFERROR(__xludf.DUMMYFUNCTION("""COMPUTED_VALUE"""),"Lucas MIRANDE")</f>
        <v>Lucas MIRANDE</v>
      </c>
      <c r="C4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6" s="1" t="str">
        <f>IFERROR(__xludf.DUMMYFUNCTION("""COMPUTED_VALUE"""),"BDE")</f>
        <v>BDE</v>
      </c>
      <c r="E46" s="1">
        <f>IFERROR(__xludf.DUMMYFUNCTION("""COMPUTED_VALUE"""),4.0)</f>
        <v>4</v>
      </c>
      <c r="F46" s="1" t="str">
        <f>IFERROR(__xludf.DUMMYFUNCTION("""COMPUTED_VALUE"""),"Electro posée, Electro hard, Rap, Musique classique")</f>
        <v>Electro posée, Electro hard, Rap, Musique classique</v>
      </c>
      <c r="G46" s="1" t="str">
        <f>IFERROR(__xludf.DUMMYFUNCTION("""COMPUTED_VALUE"""),"Musique, Théâtre, Cinéma")</f>
        <v>Musique, Théâtre, Cinéma</v>
      </c>
      <c r="H46" s="1" t="str">
        <f>IFERROR(__xludf.DUMMYFUNCTION("""COMPUTED_VALUE"""),"Seulement les soirs de pleine lune")</f>
        <v>Seulement les soirs de pleine lune</v>
      </c>
      <c r="I46" s="1" t="str">
        <f>IFERROR(__xludf.DUMMYFUNCTION("""COMPUTED_VALUE"""),"Plusieurs fois par semaine")</f>
        <v>Plusieurs fois par semaine</v>
      </c>
      <c r="J46" s="1" t="str">
        <f>IFERROR(__xludf.DUMMYFUNCTION("""COMPUTED_VALUE"""),"Pour le développement perso et se dépasser")</f>
        <v>Pour le développement perso et se dépasser</v>
      </c>
      <c r="K46" s="1" t="str">
        <f>IFERROR(__xludf.DUMMYFUNCTION("""COMPUTED_VALUE"""),"Sports collectifs, Athlétisme, Sports de rames")</f>
        <v>Sports collectifs, Athlétisme, Sports de rames</v>
      </c>
      <c r="L46" s="1" t="str">
        <f>IFERROR(__xludf.DUMMYFUNCTION("""COMPUTED_VALUE"""),"Je fais toujours attention à bien manger")</f>
        <v>Je fais toujours attention à bien manger</v>
      </c>
      <c r="M46" s="1">
        <f>IFERROR(__xludf.DUMMYFUNCTION("""COMPUTED_VALUE"""),8.0)</f>
        <v>8</v>
      </c>
      <c r="N46" s="1" t="str">
        <f>IFERROR(__xludf.DUMMYFUNCTION("""COMPUTED_VALUE"""),"Plusieurs fois par semaine")</f>
        <v>Plusieurs fois par semaine</v>
      </c>
      <c r="O46" s="1" t="str">
        <f>IFERROR(__xludf.DUMMYFUNCTION("""COMPUTED_VALUE"""),"T'enflammes le dancefloor")</f>
        <v>T'enflammes le dancefloor</v>
      </c>
      <c r="P46" s="1">
        <f>IFERROR(__xludf.DUMMYFUNCTION("""COMPUTED_VALUE"""),1.0)</f>
        <v>1</v>
      </c>
      <c r="Q46" s="1" t="str">
        <f>IFERROR(__xludf.DUMMYFUNCTION("""COMPUTED_VALUE"""),"Non")</f>
        <v>Non</v>
      </c>
      <c r="R46" s="1" t="str">
        <f>IFERROR(__xludf.DUMMYFUNCTION("""COMPUTED_VALUE"""),"Non")</f>
        <v>Non</v>
      </c>
      <c r="S46" s="1" t="str">
        <f>IFERROR(__xludf.DUMMYFUNCTION("""COMPUTED_VALUE"""),"Les domineurs")</f>
        <v>Les domineurs</v>
      </c>
      <c r="T46" s="1" t="str">
        <f>IFERROR(__xludf.DUMMYFUNCTION("""COMPUTED_VALUE"""),"Un drapeau du Brésil")</f>
        <v>Un drapeau du Brésil</v>
      </c>
      <c r="U46" t="str">
        <f>IFERROR(__xludf.DUMMYFUNCTION("""COMPUTED_VALUE"""),"")</f>
        <v/>
      </c>
      <c r="V46" t="str">
        <f>IFERROR(__xludf.DUMMYFUNCTION("""COMPUTED_VALUE"""),"")</f>
        <v/>
      </c>
      <c r="W46" t="str">
        <f>IFERROR(__xludf.DUMMYFUNCTION("""COMPUTED_VALUE"""),"")</f>
        <v/>
      </c>
      <c r="X46" t="str">
        <f>IFERROR(__xludf.DUMMYFUNCTION("""COMPUTED_VALUE"""),"")</f>
        <v/>
      </c>
      <c r="Y46" t="str">
        <f>IFERROR(__xludf.DUMMYFUNCTION("""COMPUTED_VALUE"""),"")</f>
        <v/>
      </c>
      <c r="Z46" t="str">
        <f>IFERROR(__xludf.DUMMYFUNCTION("""COMPUTED_VALUE"""),"")</f>
        <v/>
      </c>
      <c r="AA46" t="str">
        <f>IFERROR(__xludf.DUMMYFUNCTION("""COMPUTED_VALUE"""),"")</f>
        <v/>
      </c>
      <c r="AB46" t="str">
        <f>IFERROR(__xludf.DUMMYFUNCTION("""COMPUTED_VALUE"""),"")</f>
        <v/>
      </c>
    </row>
    <row r="47">
      <c r="A47" s="2">
        <f>IFERROR(__xludf.DUMMYFUNCTION("""COMPUTED_VALUE"""),43627.45083688658)</f>
        <v>43627.45084</v>
      </c>
      <c r="B47" s="1" t="str">
        <f>IFERROR(__xludf.DUMMYFUNCTION("""COMPUTED_VALUE"""),"Simon PUECH")</f>
        <v>Simon PUECH</v>
      </c>
      <c r="C4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7" s="1" t="str">
        <f>IFERROR(__xludf.DUMMYFUNCTION("""COMPUTED_VALUE"""),"BDS")</f>
        <v>BDS</v>
      </c>
      <c r="E47" s="1">
        <f>IFERROR(__xludf.DUMMYFUNCTION("""COMPUTED_VALUE"""),5.0)</f>
        <v>5</v>
      </c>
      <c r="F47" s="1" t="str">
        <f>IFERROR(__xludf.DUMMYFUNCTION("""COMPUTED_VALUE"""),"Electro posée, Jazz")</f>
        <v>Electro posée, Jazz</v>
      </c>
      <c r="G47" s="1" t="str">
        <f>IFERROR(__xludf.DUMMYFUNCTION("""COMPUTED_VALUE"""),"Musique, Cinéma")</f>
        <v>Musique, Cinéma</v>
      </c>
      <c r="H47" s="1" t="str">
        <f>IFERROR(__xludf.DUMMYFUNCTION("""COMPUTED_VALUE"""),"Quelques fois par semaine")</f>
        <v>Quelques fois par semaine</v>
      </c>
      <c r="I47" s="1" t="str">
        <f>IFERROR(__xludf.DUMMYFUNCTION("""COMPUTED_VALUE"""),"Plusieurs fois par semaine")</f>
        <v>Plusieurs fois par semaine</v>
      </c>
      <c r="J47" s="1" t="str">
        <f>IFERROR(__xludf.DUMMYFUNCTION("""COMPUTED_VALUE"""),"Pour le fun")</f>
        <v>Pour le fun</v>
      </c>
      <c r="K47" s="1" t="str">
        <f>IFERROR(__xludf.DUMMYFUNCTION("""COMPUTED_VALUE"""),"Sports collectifs")</f>
        <v>Sports collectifs</v>
      </c>
      <c r="L47" s="1" t="str">
        <f>IFERROR(__xludf.DUMMYFUNCTION("""COMPUTED_VALUE"""),"J'aime cuisiner le WE ou quand j'ai le temps")</f>
        <v>J'aime cuisiner le WE ou quand j'ai le temps</v>
      </c>
      <c r="M47" s="1">
        <f>IFERROR(__xludf.DUMMYFUNCTION("""COMPUTED_VALUE"""),8.0)</f>
        <v>8</v>
      </c>
      <c r="N47" s="1" t="str">
        <f>IFERROR(__xludf.DUMMYFUNCTION("""COMPUTED_VALUE"""),"Une fois par semaine")</f>
        <v>Une fois par semaine</v>
      </c>
      <c r="O47" s="1" t="str">
        <f>IFERROR(__xludf.DUMMYFUNCTION("""COMPUTED_VALUE"""),"T'enflammes le dancefloor")</f>
        <v>T'enflammes le dancefloor</v>
      </c>
      <c r="P47" s="1">
        <f>IFERROR(__xludf.DUMMYFUNCTION("""COMPUTED_VALUE"""),1.0)</f>
        <v>1</v>
      </c>
      <c r="Q47" s="1" t="str">
        <f>IFERROR(__xludf.DUMMYFUNCTION("""COMPUTED_VALUE"""),"Non")</f>
        <v>Non</v>
      </c>
      <c r="R47" s="1" t="str">
        <f>IFERROR(__xludf.DUMMYFUNCTION("""COMPUTED_VALUE"""),"Non")</f>
        <v>Non</v>
      </c>
      <c r="S47" s="1" t="str">
        <f>IFERROR(__xludf.DUMMYFUNCTION("""COMPUTED_VALUE"""),"La Chevroll’s")</f>
        <v>La Chevroll’s</v>
      </c>
      <c r="T47" s="1" t="str">
        <f>IFERROR(__xludf.DUMMYFUNCTION("""COMPUTED_VALUE"""),"Harnais de kitesurf")</f>
        <v>Harnais de kitesurf</v>
      </c>
      <c r="U47" t="str">
        <f>IFERROR(__xludf.DUMMYFUNCTION("""COMPUTED_VALUE"""),"")</f>
        <v/>
      </c>
      <c r="V47" t="str">
        <f>IFERROR(__xludf.DUMMYFUNCTION("""COMPUTED_VALUE"""),"")</f>
        <v/>
      </c>
      <c r="W47" t="str">
        <f>IFERROR(__xludf.DUMMYFUNCTION("""COMPUTED_VALUE"""),"")</f>
        <v/>
      </c>
      <c r="X47" t="str">
        <f>IFERROR(__xludf.DUMMYFUNCTION("""COMPUTED_VALUE"""),"")</f>
        <v/>
      </c>
      <c r="Y47" t="str">
        <f>IFERROR(__xludf.DUMMYFUNCTION("""COMPUTED_VALUE"""),"")</f>
        <v/>
      </c>
      <c r="Z47" t="str">
        <f>IFERROR(__xludf.DUMMYFUNCTION("""COMPUTED_VALUE"""),"")</f>
        <v/>
      </c>
      <c r="AA47" t="str">
        <f>IFERROR(__xludf.DUMMYFUNCTION("""COMPUTED_VALUE"""),"")</f>
        <v/>
      </c>
      <c r="AB47" t="str">
        <f>IFERROR(__xludf.DUMMYFUNCTION("""COMPUTED_VALUE"""),"")</f>
        <v/>
      </c>
    </row>
    <row r="48">
      <c r="A48" s="2">
        <f>IFERROR(__xludf.DUMMYFUNCTION("""COMPUTED_VALUE"""),43627.46601173611)</f>
        <v>43627.46601</v>
      </c>
      <c r="B48" s="1" t="str">
        <f>IFERROR(__xludf.DUMMYFUNCTION("""COMPUTED_VALUE"""),"Thomas Serratrice")</f>
        <v>Thomas Serratrice</v>
      </c>
      <c r="C4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8" s="1" t="str">
        <f>IFERROR(__xludf.DUMMYFUNCTION("""COMPUTED_VALUE"""),"BDS")</f>
        <v>BDS</v>
      </c>
      <c r="E48" s="1">
        <f>IFERROR(__xludf.DUMMYFUNCTION("""COMPUTED_VALUE"""),4.0)</f>
        <v>4</v>
      </c>
      <c r="F48" s="1" t="str">
        <f>IFERROR(__xludf.DUMMYFUNCTION("""COMPUTED_VALUE"""),"Rock, Electro posée, Musique fançaise")</f>
        <v>Rock, Electro posée, Musique fançaise</v>
      </c>
      <c r="G48" s="1" t="str">
        <f>IFERROR(__xludf.DUMMYFUNCTION("""COMPUTED_VALUE"""),"Pas du tout")</f>
        <v>Pas du tout</v>
      </c>
      <c r="H48" s="1" t="str">
        <f>IFERROR(__xludf.DUMMYFUNCTION("""COMPUTED_VALUE"""),"Une fois de temps en temps")</f>
        <v>Une fois de temps en temps</v>
      </c>
      <c r="I48" s="1" t="str">
        <f>IFERROR(__xludf.DUMMYFUNCTION("""COMPUTED_VALUE"""),"Plusieurs fois par semaine")</f>
        <v>Plusieurs fois par semaine</v>
      </c>
      <c r="J48" s="1" t="str">
        <f>IFERROR(__xludf.DUMMYFUNCTION("""COMPUTED_VALUE"""),"Pour le développement perso et se dépasser")</f>
        <v>Pour le développement perso et se dépasser</v>
      </c>
      <c r="K48" s="1" t="str">
        <f>IFERROR(__xludf.DUMMYFUNCTION("""COMPUTED_VALUE"""),"Sports de raquette, Athlétisme, Sports aquatiques")</f>
        <v>Sports de raquette, Athlétisme, Sports aquatiques</v>
      </c>
      <c r="L48" s="1" t="str">
        <f>IFERROR(__xludf.DUMMYFUNCTION("""COMPUTED_VALUE"""),"J'aime cuisiner le WE ou quand j'ai le temps")</f>
        <v>J'aime cuisiner le WE ou quand j'ai le temps</v>
      </c>
      <c r="M48" s="1">
        <f>IFERROR(__xludf.DUMMYFUNCTION("""COMPUTED_VALUE"""),8.0)</f>
        <v>8</v>
      </c>
      <c r="N48" s="1" t="str">
        <f>IFERROR(__xludf.DUMMYFUNCTION("""COMPUTED_VALUE"""),"Plusieurs fois par semaine")</f>
        <v>Plusieurs fois par semaine</v>
      </c>
      <c r="O48" s="1" t="str">
        <f>IFERROR(__xludf.DUMMYFUNCTION("""COMPUTED_VALUE"""),"Objectif grosse défonce")</f>
        <v>Objectif grosse défonce</v>
      </c>
      <c r="P48" s="1">
        <f>IFERROR(__xludf.DUMMYFUNCTION("""COMPUTED_VALUE"""),3.0)</f>
        <v>3</v>
      </c>
      <c r="Q48" s="1" t="str">
        <f>IFERROR(__xludf.DUMMYFUNCTION("""COMPUTED_VALUE"""),"Non")</f>
        <v>Non</v>
      </c>
      <c r="R48" s="1" t="str">
        <f>IFERROR(__xludf.DUMMYFUNCTION("""COMPUTED_VALUE"""),"Non")</f>
        <v>Non</v>
      </c>
      <c r="S48" s="1" t="str">
        <f>IFERROR(__xludf.DUMMYFUNCTION("""COMPUTED_VALUE"""),"COMA")</f>
        <v>COMA</v>
      </c>
      <c r="T48" s="1" t="str">
        <f>IFERROR(__xludf.DUMMYFUNCTION("""COMPUTED_VALUE"""),"Bombe de lubrifiant moteur diesel ")</f>
        <v>Bombe de lubrifiant moteur diesel </v>
      </c>
      <c r="U48" t="str">
        <f>IFERROR(__xludf.DUMMYFUNCTION("""COMPUTED_VALUE"""),"")</f>
        <v/>
      </c>
      <c r="V48" t="str">
        <f>IFERROR(__xludf.DUMMYFUNCTION("""COMPUTED_VALUE"""),"")</f>
        <v/>
      </c>
      <c r="W48" t="str">
        <f>IFERROR(__xludf.DUMMYFUNCTION("""COMPUTED_VALUE"""),"")</f>
        <v/>
      </c>
      <c r="X48" t="str">
        <f>IFERROR(__xludf.DUMMYFUNCTION("""COMPUTED_VALUE"""),"")</f>
        <v/>
      </c>
      <c r="Y48" t="str">
        <f>IFERROR(__xludf.DUMMYFUNCTION("""COMPUTED_VALUE"""),"")</f>
        <v/>
      </c>
      <c r="Z48" t="str">
        <f>IFERROR(__xludf.DUMMYFUNCTION("""COMPUTED_VALUE"""),"")</f>
        <v/>
      </c>
      <c r="AA48" t="str">
        <f>IFERROR(__xludf.DUMMYFUNCTION("""COMPUTED_VALUE"""),"")</f>
        <v/>
      </c>
      <c r="AB48" t="str">
        <f>IFERROR(__xludf.DUMMYFUNCTION("""COMPUTED_VALUE"""),"")</f>
        <v/>
      </c>
    </row>
    <row r="49">
      <c r="A49" s="2">
        <f>IFERROR(__xludf.DUMMYFUNCTION("""COMPUTED_VALUE"""),43627.47024494213)</f>
        <v>43627.47024</v>
      </c>
      <c r="B49" s="1" t="str">
        <f>IFERROR(__xludf.DUMMYFUNCTION("""COMPUTED_VALUE"""),"Clément DENIS")</f>
        <v>Clément DENIS</v>
      </c>
      <c r="C4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49" s="1" t="str">
        <f>IFERROR(__xludf.DUMMYFUNCTION("""COMPUTED_VALUE"""),"BDS")</f>
        <v>BDS</v>
      </c>
      <c r="E49" s="1">
        <f>IFERROR(__xludf.DUMMYFUNCTION("""COMPUTED_VALUE"""),5.0)</f>
        <v>5</v>
      </c>
      <c r="F49" s="1" t="str">
        <f>IFERROR(__xludf.DUMMYFUNCTION("""COMPUTED_VALUE"""),"Electro hard, Rap, Pop, Musique fançaise, Jazz")</f>
        <v>Electro hard, Rap, Pop, Musique fançaise, Jazz</v>
      </c>
      <c r="G49" s="1" t="str">
        <f>IFERROR(__xludf.DUMMYFUNCTION("""COMPUTED_VALUE"""),"Pas du tout")</f>
        <v>Pas du tout</v>
      </c>
      <c r="H49" s="1" t="str">
        <f>IFERROR(__xludf.DUMMYFUNCTION("""COMPUTED_VALUE"""),"Quelques fois par semaine")</f>
        <v>Quelques fois par semaine</v>
      </c>
      <c r="I49" s="1" t="str">
        <f>IFERROR(__xludf.DUMMYFUNCTION("""COMPUTED_VALUE"""),"Plusieurs fois par semaine")</f>
        <v>Plusieurs fois par semaine</v>
      </c>
      <c r="J49" s="1" t="str">
        <f>IFERROR(__xludf.DUMMYFUNCTION("""COMPUTED_VALUE"""),"Pour le fun")</f>
        <v>Pour le fun</v>
      </c>
      <c r="K49" s="1" t="str">
        <f>IFERROR(__xludf.DUMMYFUNCTION("""COMPUTED_VALUE"""),"Sports collectifs, Sports de raquette")</f>
        <v>Sports collectifs, Sports de raquette</v>
      </c>
      <c r="L49" s="1" t="str">
        <f>IFERROR(__xludf.DUMMYFUNCTION("""COMPUTED_VALUE"""),"J'aime cuisiner le WE ou quand j'ai le temps")</f>
        <v>J'aime cuisiner le WE ou quand j'ai le temps</v>
      </c>
      <c r="M49" s="1">
        <f>IFERROR(__xludf.DUMMYFUNCTION("""COMPUTED_VALUE"""),8.0)</f>
        <v>8</v>
      </c>
      <c r="N49" s="1" t="str">
        <f>IFERROR(__xludf.DUMMYFUNCTION("""COMPUTED_VALUE"""),"Plusieurs fois par semaine")</f>
        <v>Plusieurs fois par semaine</v>
      </c>
      <c r="O49" s="1" t="str">
        <f>IFERROR(__xludf.DUMMYFUNCTION("""COMPUTED_VALUE"""),"T'enflammes le dancefloor")</f>
        <v>T'enflammes le dancefloor</v>
      </c>
      <c r="P49" s="1">
        <f>IFERROR(__xludf.DUMMYFUNCTION("""COMPUTED_VALUE"""),3.0)</f>
        <v>3</v>
      </c>
      <c r="Q49" s="1" t="str">
        <f>IFERROR(__xludf.DUMMYFUNCTION("""COMPUTED_VALUE"""),"Non")</f>
        <v>Non</v>
      </c>
      <c r="R49" s="1" t="str">
        <f>IFERROR(__xludf.DUMMYFUNCTION("""COMPUTED_VALUE"""),"Non")</f>
        <v>Non</v>
      </c>
      <c r="S49" s="1" t="str">
        <f>IFERROR(__xludf.DUMMYFUNCTION("""COMPUTED_VALUE"""),"Consulm3ow")</f>
        <v>Consulm3ow</v>
      </c>
      <c r="T49" s="1" t="str">
        <f>IFERROR(__xludf.DUMMYFUNCTION("""COMPUTED_VALUE"""),"Abdel Caspor Harrack si il est là ")</f>
        <v>Abdel Caspor Harrack si il est là </v>
      </c>
      <c r="U49" t="str">
        <f>IFERROR(__xludf.DUMMYFUNCTION("""COMPUTED_VALUE"""),"")</f>
        <v/>
      </c>
      <c r="V49" t="str">
        <f>IFERROR(__xludf.DUMMYFUNCTION("""COMPUTED_VALUE"""),"")</f>
        <v/>
      </c>
      <c r="W49" t="str">
        <f>IFERROR(__xludf.DUMMYFUNCTION("""COMPUTED_VALUE"""),"")</f>
        <v/>
      </c>
      <c r="X49" t="str">
        <f>IFERROR(__xludf.DUMMYFUNCTION("""COMPUTED_VALUE"""),"")</f>
        <v/>
      </c>
      <c r="Y49" t="str">
        <f>IFERROR(__xludf.DUMMYFUNCTION("""COMPUTED_VALUE"""),"")</f>
        <v/>
      </c>
      <c r="Z49" t="str">
        <f>IFERROR(__xludf.DUMMYFUNCTION("""COMPUTED_VALUE"""),"")</f>
        <v/>
      </c>
      <c r="AA49" t="str">
        <f>IFERROR(__xludf.DUMMYFUNCTION("""COMPUTED_VALUE"""),"")</f>
        <v/>
      </c>
      <c r="AB49" t="str">
        <f>IFERROR(__xludf.DUMMYFUNCTION("""COMPUTED_VALUE"""),"")</f>
        <v/>
      </c>
    </row>
    <row r="50">
      <c r="A50" s="2">
        <f>IFERROR(__xludf.DUMMYFUNCTION("""COMPUTED_VALUE"""),43627.47473865741)</f>
        <v>43627.47474</v>
      </c>
      <c r="B50" s="1" t="str">
        <f>IFERROR(__xludf.DUMMYFUNCTION("""COMPUTED_VALUE"""),"Mathieu KERMAREC")</f>
        <v>Mathieu KERMAREC</v>
      </c>
      <c r="C50" s="1" t="str">
        <f>IFERROR(__xludf.DUMMYFUNCTION("""COMPUTED_VALUE"""),"Deux inconnus")</f>
        <v>Deux inconnus</v>
      </c>
      <c r="D50" s="1" t="str">
        <f>IFERROR(__xludf.DUMMYFUNCTION("""COMPUTED_VALUE"""),"BDE")</f>
        <v>BDE</v>
      </c>
      <c r="E50" s="1">
        <f>IFERROR(__xludf.DUMMYFUNCTION("""COMPUTED_VALUE"""),3.0)</f>
        <v>3</v>
      </c>
      <c r="F50" s="1" t="str">
        <f>IFERROR(__xludf.DUMMYFUNCTION("""COMPUTED_VALUE"""),"Rap, Jazz")</f>
        <v>Rap, Jazz</v>
      </c>
      <c r="G50" s="1" t="str">
        <f>IFERROR(__xludf.DUMMYFUNCTION("""COMPUTED_VALUE"""),"Musique, Autre")</f>
        <v>Musique, Autre</v>
      </c>
      <c r="H50" s="1" t="str">
        <f>IFERROR(__xludf.DUMMYFUNCTION("""COMPUTED_VALUE"""),"Une fois de temps en temps")</f>
        <v>Une fois de temps en temps</v>
      </c>
      <c r="I50" s="1" t="str">
        <f>IFERROR(__xludf.DUMMYFUNCTION("""COMPUTED_VALUE"""),"Une fois par semaine")</f>
        <v>Une fois par semaine</v>
      </c>
      <c r="J50" s="1" t="str">
        <f>IFERROR(__xludf.DUMMYFUNCTION("""COMPUTED_VALUE"""),"Pour le fun")</f>
        <v>Pour le fun</v>
      </c>
      <c r="K50" s="1" t="str">
        <f>IFERROR(__xludf.DUMMYFUNCTION("""COMPUTED_VALUE"""),"Sports collectifs, Sports de combat")</f>
        <v>Sports collectifs, Sports de combat</v>
      </c>
      <c r="L50" s="1" t="str">
        <f>IFERROR(__xludf.DUMMYFUNCTION("""COMPUTED_VALUE"""),"Alterner entre grec et coquillettes ça compte ?")</f>
        <v>Alterner entre grec et coquillettes ça compte ?</v>
      </c>
      <c r="M50" s="1">
        <f>IFERROR(__xludf.DUMMYFUNCTION("""COMPUTED_VALUE"""),10.0)</f>
        <v>10</v>
      </c>
      <c r="N50" s="1" t="str">
        <f>IFERROR(__xludf.DUMMYFUNCTION("""COMPUTED_VALUE"""),"Une fois par jour (voire plus)")</f>
        <v>Une fois par jour (voire plus)</v>
      </c>
      <c r="O50" s="1" t="str">
        <f>IFERROR(__xludf.DUMMYFUNCTION("""COMPUTED_VALUE"""),"Objectif grosse défonce")</f>
        <v>Objectif grosse défonce</v>
      </c>
      <c r="P50" s="1">
        <f>IFERROR(__xludf.DUMMYFUNCTION("""COMPUTED_VALUE"""),5.0)</f>
        <v>5</v>
      </c>
      <c r="Q50" s="1" t="str">
        <f>IFERROR(__xludf.DUMMYFUNCTION("""COMPUTED_VALUE"""),"Non")</f>
        <v>Non</v>
      </c>
      <c r="R50" s="1" t="str">
        <f>IFERROR(__xludf.DUMMYFUNCTION("""COMPUTED_VALUE"""),"Non")</f>
        <v>Non</v>
      </c>
      <c r="S50" s="1" t="str">
        <f>IFERROR(__xludf.DUMMYFUNCTION("""COMPUTED_VALUE"""),"L'Influence")</f>
        <v>L'Influence</v>
      </c>
      <c r="T50" s="1" t="str">
        <f>IFERROR(__xludf.DUMMYFUNCTION("""COMPUTED_VALUE"""),"Un truc")</f>
        <v>Un truc</v>
      </c>
      <c r="U50" t="str">
        <f>IFERROR(__xludf.DUMMYFUNCTION("""COMPUTED_VALUE"""),"")</f>
        <v/>
      </c>
      <c r="V50" t="str">
        <f>IFERROR(__xludf.DUMMYFUNCTION("""COMPUTED_VALUE"""),"")</f>
        <v/>
      </c>
      <c r="W50" t="str">
        <f>IFERROR(__xludf.DUMMYFUNCTION("""COMPUTED_VALUE"""),"")</f>
        <v/>
      </c>
      <c r="X50" t="str">
        <f>IFERROR(__xludf.DUMMYFUNCTION("""COMPUTED_VALUE"""),"")</f>
        <v/>
      </c>
      <c r="Y50" t="str">
        <f>IFERROR(__xludf.DUMMYFUNCTION("""COMPUTED_VALUE"""),"")</f>
        <v/>
      </c>
      <c r="Z50" t="str">
        <f>IFERROR(__xludf.DUMMYFUNCTION("""COMPUTED_VALUE"""),"")</f>
        <v/>
      </c>
      <c r="AA50" t="str">
        <f>IFERROR(__xludf.DUMMYFUNCTION("""COMPUTED_VALUE"""),"")</f>
        <v/>
      </c>
      <c r="AB50" t="str">
        <f>IFERROR(__xludf.DUMMYFUNCTION("""COMPUTED_VALUE"""),"")</f>
        <v/>
      </c>
    </row>
    <row r="51">
      <c r="A51" s="2">
        <f>IFERROR(__xludf.DUMMYFUNCTION("""COMPUTED_VALUE"""),43627.474740150465)</f>
        <v>43627.47474</v>
      </c>
      <c r="B51" s="1" t="str">
        <f>IFERROR(__xludf.DUMMYFUNCTION("""COMPUTED_VALUE"""),"Thomas LE JAN")</f>
        <v>Thomas LE JAN</v>
      </c>
      <c r="C51" s="1" t="str">
        <f>IFERROR(__xludf.DUMMYFUNCTION("""COMPUTED_VALUE"""),"Deux inconnus")</f>
        <v>Deux inconnus</v>
      </c>
      <c r="D51" s="1" t="str">
        <f>IFERROR(__xludf.DUMMYFUNCTION("""COMPUTED_VALUE"""),"BDE")</f>
        <v>BDE</v>
      </c>
      <c r="E51" s="1">
        <f>IFERROR(__xludf.DUMMYFUNCTION("""COMPUTED_VALUE"""),3.0)</f>
        <v>3</v>
      </c>
      <c r="F51" s="1" t="str">
        <f>IFERROR(__xludf.DUMMYFUNCTION("""COMPUTED_VALUE"""),"Electro posée, Electro hard, Autre")</f>
        <v>Electro posée, Electro hard, Autre</v>
      </c>
      <c r="G51" s="1" t="str">
        <f>IFERROR(__xludf.DUMMYFUNCTION("""COMPUTED_VALUE"""),"Danse, Musique, Autre")</f>
        <v>Danse, Musique, Autre</v>
      </c>
      <c r="H51" s="1" t="str">
        <f>IFERROR(__xludf.DUMMYFUNCTION("""COMPUTED_VALUE"""),"Une fois de temps en temps")</f>
        <v>Une fois de temps en temps</v>
      </c>
      <c r="I51" s="1" t="str">
        <f>IFERROR(__xludf.DUMMYFUNCTION("""COMPUTED_VALUE"""),"Le dimanche à 15h32 s'il fait beau")</f>
        <v>Le dimanche à 15h32 s'il fait beau</v>
      </c>
      <c r="J51" s="1" t="str">
        <f>IFERROR(__xludf.DUMMYFUNCTION("""COMPUTED_VALUE"""),"Pour les autres")</f>
        <v>Pour les autres</v>
      </c>
      <c r="K51" s="1" t="str">
        <f>IFERROR(__xludf.DUMMYFUNCTION("""COMPUTED_VALUE"""),"Equitation")</f>
        <v>Equitation</v>
      </c>
      <c r="L51" s="1" t="str">
        <f>IFERROR(__xludf.DUMMYFUNCTION("""COMPUTED_VALUE"""),"Je fais toujours attention à bien manger")</f>
        <v>Je fais toujours attention à bien manger</v>
      </c>
      <c r="M51" s="1">
        <f>IFERROR(__xludf.DUMMYFUNCTION("""COMPUTED_VALUE"""),10.0)</f>
        <v>10</v>
      </c>
      <c r="N51" s="1" t="str">
        <f>IFERROR(__xludf.DUMMYFUNCTION("""COMPUTED_VALUE"""),"Une fois par jour (voire plus)")</f>
        <v>Une fois par jour (voire plus)</v>
      </c>
      <c r="O51" s="1" t="str">
        <f>IFERROR(__xludf.DUMMYFUNCTION("""COMPUTED_VALUE"""),"Objectif grosse défonce")</f>
        <v>Objectif grosse défonce</v>
      </c>
      <c r="P51" s="1">
        <f>IFERROR(__xludf.DUMMYFUNCTION("""COMPUTED_VALUE"""),5.0)</f>
        <v>5</v>
      </c>
      <c r="Q51" s="1" t="str">
        <f>IFERROR(__xludf.DUMMYFUNCTION("""COMPUTED_VALUE"""),"Non")</f>
        <v>Non</v>
      </c>
      <c r="R51" s="1" t="str">
        <f>IFERROR(__xludf.DUMMYFUNCTION("""COMPUTED_VALUE"""),"Non")</f>
        <v>Non</v>
      </c>
      <c r="S51" s="1" t="str">
        <f>IFERROR(__xludf.DUMMYFUNCTION("""COMPUTED_VALUE"""),"L’Influence")</f>
        <v>L’Influence</v>
      </c>
      <c r="T51" s="1" t="str">
        <f>IFERROR(__xludf.DUMMYFUNCTION("""COMPUTED_VALUE"""),"Un cadeau ")</f>
        <v>Un cadeau </v>
      </c>
      <c r="U51" t="str">
        <f>IFERROR(__xludf.DUMMYFUNCTION("""COMPUTED_VALUE"""),"")</f>
        <v/>
      </c>
      <c r="V51" t="str">
        <f>IFERROR(__xludf.DUMMYFUNCTION("""COMPUTED_VALUE"""),"")</f>
        <v/>
      </c>
      <c r="W51" t="str">
        <f>IFERROR(__xludf.DUMMYFUNCTION("""COMPUTED_VALUE"""),"")</f>
        <v/>
      </c>
      <c r="X51" t="str">
        <f>IFERROR(__xludf.DUMMYFUNCTION("""COMPUTED_VALUE"""),"")</f>
        <v/>
      </c>
      <c r="Y51" t="str">
        <f>IFERROR(__xludf.DUMMYFUNCTION("""COMPUTED_VALUE"""),"")</f>
        <v/>
      </c>
      <c r="Z51" t="str">
        <f>IFERROR(__xludf.DUMMYFUNCTION("""COMPUTED_VALUE"""),"")</f>
        <v/>
      </c>
      <c r="AA51" t="str">
        <f>IFERROR(__xludf.DUMMYFUNCTION("""COMPUTED_VALUE"""),"")</f>
        <v/>
      </c>
      <c r="AB51" t="str">
        <f>IFERROR(__xludf.DUMMYFUNCTION("""COMPUTED_VALUE"""),"")</f>
        <v/>
      </c>
    </row>
    <row r="52">
      <c r="A52" s="2">
        <f>IFERROR(__xludf.DUMMYFUNCTION("""COMPUTED_VALUE"""),43627.47477826389)</f>
        <v>43627.47478</v>
      </c>
      <c r="B52" s="1" t="str">
        <f>IFERROR(__xludf.DUMMYFUNCTION("""COMPUTED_VALUE"""),"Paul LENOIR")</f>
        <v>Paul LENOIR</v>
      </c>
      <c r="C52" s="1" t="str">
        <f>IFERROR(__xludf.DUMMYFUNCTION("""COMPUTED_VALUE"""),"Deux inconnus")</f>
        <v>Deux inconnus</v>
      </c>
      <c r="D52" s="1" t="str">
        <f>IFERROR(__xludf.DUMMYFUNCTION("""COMPUTED_VALUE"""),"BDS")</f>
        <v>BDS</v>
      </c>
      <c r="E52" s="1">
        <f>IFERROR(__xludf.DUMMYFUNCTION("""COMPUTED_VALUE"""),3.0)</f>
        <v>3</v>
      </c>
      <c r="F52" s="1" t="str">
        <f>IFERROR(__xludf.DUMMYFUNCTION("""COMPUTED_VALUE"""),"Electro posée, Electro hard")</f>
        <v>Electro posée, Electro hard</v>
      </c>
      <c r="G52" s="1" t="str">
        <f>IFERROR(__xludf.DUMMYFUNCTION("""COMPUTED_VALUE"""),"Pas du tout, Peinture, Littérature, Sculpture, Danse, Musique, Théâtre, Cinéma, Graphisme, Autre")</f>
        <v>Pas du tout, Peinture, Littérature, Sculpture, Danse, Musique, Théâtre, Cinéma, Graphisme, Autre</v>
      </c>
      <c r="H52" s="1" t="str">
        <f>IFERROR(__xludf.DUMMYFUNCTION("""COMPUTED_VALUE"""),"Seulement les soirs de pleine lune")</f>
        <v>Seulement les soirs de pleine lune</v>
      </c>
      <c r="I52" s="1" t="str">
        <f>IFERROR(__xludf.DUMMYFUNCTION("""COMPUTED_VALUE"""),"Plusieurs fois par semaine")</f>
        <v>Plusieurs fois par semaine</v>
      </c>
      <c r="J52" s="1" t="str">
        <f>IFERROR(__xludf.DUMMYFUNCTION("""COMPUTED_VALUE"""),"Pour les autres")</f>
        <v>Pour les autres</v>
      </c>
      <c r="K52" s="1" t="str">
        <f>IFERROR(__xludf.DUMMYFUNCTION("""COMPUTED_VALUE"""),"Sports collectifs, Sports de rames, Sports de combat")</f>
        <v>Sports collectifs, Sports de rames, Sports de combat</v>
      </c>
      <c r="L52" s="1" t="str">
        <f>IFERROR(__xludf.DUMMYFUNCTION("""COMPUTED_VALUE"""),"Je fais toujours attention à bien manger")</f>
        <v>Je fais toujours attention à bien manger</v>
      </c>
      <c r="M52" s="1">
        <f>IFERROR(__xludf.DUMMYFUNCTION("""COMPUTED_VALUE"""),10.0)</f>
        <v>10</v>
      </c>
      <c r="N52" s="1" t="str">
        <f>IFERROR(__xludf.DUMMYFUNCTION("""COMPUTED_VALUE"""),"Une fois par jour (voire plus)")</f>
        <v>Une fois par jour (voire plus)</v>
      </c>
      <c r="O52" s="1" t="str">
        <f>IFERROR(__xludf.DUMMYFUNCTION("""COMPUTED_VALUE"""),"Objectif grosse défonce")</f>
        <v>Objectif grosse défonce</v>
      </c>
      <c r="P52" s="1">
        <f>IFERROR(__xludf.DUMMYFUNCTION("""COMPUTED_VALUE"""),5.0)</f>
        <v>5</v>
      </c>
      <c r="Q52" s="1" t="str">
        <f>IFERROR(__xludf.DUMMYFUNCTION("""COMPUTED_VALUE"""),"Non")</f>
        <v>Non</v>
      </c>
      <c r="R52" s="1" t="str">
        <f>IFERROR(__xludf.DUMMYFUNCTION("""COMPUTED_VALUE"""),"Non")</f>
        <v>Non</v>
      </c>
      <c r="S52" s="1" t="str">
        <f>IFERROR(__xludf.DUMMYFUNCTION("""COMPUTED_VALUE"""),"L’Influence")</f>
        <v>L’Influence</v>
      </c>
      <c r="T52" s="1" t="str">
        <f>IFERROR(__xludf.DUMMYFUNCTION("""COMPUTED_VALUE"""),"Un présent ")</f>
        <v>Un présent </v>
      </c>
      <c r="U52" t="str">
        <f>IFERROR(__xludf.DUMMYFUNCTION("""COMPUTED_VALUE"""),"")</f>
        <v/>
      </c>
      <c r="V52" t="str">
        <f>IFERROR(__xludf.DUMMYFUNCTION("""COMPUTED_VALUE"""),"")</f>
        <v/>
      </c>
      <c r="W52" t="str">
        <f>IFERROR(__xludf.DUMMYFUNCTION("""COMPUTED_VALUE"""),"")</f>
        <v/>
      </c>
      <c r="X52" t="str">
        <f>IFERROR(__xludf.DUMMYFUNCTION("""COMPUTED_VALUE"""),"")</f>
        <v/>
      </c>
      <c r="Y52" t="str">
        <f>IFERROR(__xludf.DUMMYFUNCTION("""COMPUTED_VALUE"""),"")</f>
        <v/>
      </c>
      <c r="Z52" t="str">
        <f>IFERROR(__xludf.DUMMYFUNCTION("""COMPUTED_VALUE"""),"")</f>
        <v/>
      </c>
      <c r="AA52" t="str">
        <f>IFERROR(__xludf.DUMMYFUNCTION("""COMPUTED_VALUE"""),"")</f>
        <v/>
      </c>
      <c r="AB52" t="str">
        <f>IFERROR(__xludf.DUMMYFUNCTION("""COMPUTED_VALUE"""),"")</f>
        <v/>
      </c>
    </row>
    <row r="53">
      <c r="A53" s="2">
        <f>IFERROR(__xludf.DUMMYFUNCTION("""COMPUTED_VALUE"""),43627.474909386576)</f>
        <v>43627.47491</v>
      </c>
      <c r="B53" s="1" t="str">
        <f>IFERROR(__xludf.DUMMYFUNCTION("""COMPUTED_VALUE"""),"Alexandre MERVILLE")</f>
        <v>Alexandre MERVILLE</v>
      </c>
      <c r="C5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3" s="1" t="str">
        <f>IFERROR(__xludf.DUMMYFUNCTION("""COMPUTED_VALUE"""),"BDE")</f>
        <v>BDE</v>
      </c>
      <c r="E53" s="1">
        <f>IFERROR(__xludf.DUMMYFUNCTION("""COMPUTED_VALUE"""),3.0)</f>
        <v>3</v>
      </c>
      <c r="F53" s="1" t="str">
        <f>IFERROR(__xludf.DUMMYFUNCTION("""COMPUTED_VALUE"""),"Electro posée, Electro hard, Jazz")</f>
        <v>Electro posée, Electro hard, Jazz</v>
      </c>
      <c r="G53" s="1" t="str">
        <f>IFERROR(__xludf.DUMMYFUNCTION("""COMPUTED_VALUE"""),"Pas du tout, Autre")</f>
        <v>Pas du tout, Autre</v>
      </c>
      <c r="H53" s="1" t="str">
        <f>IFERROR(__xludf.DUMMYFUNCTION("""COMPUTED_VALUE"""),"Une fois de temps en temps")</f>
        <v>Une fois de temps en temps</v>
      </c>
      <c r="I53" s="1" t="str">
        <f>IFERROR(__xludf.DUMMYFUNCTION("""COMPUTED_VALUE"""),"Plusieurs fois par semaine")</f>
        <v>Plusieurs fois par semaine</v>
      </c>
      <c r="J53" s="1" t="str">
        <f>IFERROR(__xludf.DUMMYFUNCTION("""COMPUTED_VALUE"""),"Pour les autres")</f>
        <v>Pour les autres</v>
      </c>
      <c r="K53" s="1" t="str">
        <f>IFERROR(__xludf.DUMMYFUNCTION("""COMPUTED_VALUE"""),"Sports collectifs, Sports de rames, Equitation")</f>
        <v>Sports collectifs, Sports de rames, Equitation</v>
      </c>
      <c r="L53" s="1" t="str">
        <f>IFERROR(__xludf.DUMMYFUNCTION("""COMPUTED_VALUE"""),"Oh oui, et les trucs bien gras ça me connait !")</f>
        <v>Oh oui, et les trucs bien gras ça me connait !</v>
      </c>
      <c r="M53" s="1">
        <f>IFERROR(__xludf.DUMMYFUNCTION("""COMPUTED_VALUE"""),10.0)</f>
        <v>10</v>
      </c>
      <c r="N53" s="1" t="str">
        <f>IFERROR(__xludf.DUMMYFUNCTION("""COMPUTED_VALUE"""),"Une fois par jour (voire plus)")</f>
        <v>Une fois par jour (voire plus)</v>
      </c>
      <c r="O53" s="1" t="str">
        <f>IFERROR(__xludf.DUMMYFUNCTION("""COMPUTED_VALUE"""),"Objectif grosse défonce")</f>
        <v>Objectif grosse défonce</v>
      </c>
      <c r="P53" s="1">
        <f>IFERROR(__xludf.DUMMYFUNCTION("""COMPUTED_VALUE"""),5.0)</f>
        <v>5</v>
      </c>
      <c r="Q53" s="1" t="str">
        <f>IFERROR(__xludf.DUMMYFUNCTION("""COMPUTED_VALUE"""),"Non")</f>
        <v>Non</v>
      </c>
      <c r="R53" s="1" t="str">
        <f>IFERROR(__xludf.DUMMYFUNCTION("""COMPUTED_VALUE"""),"Non")</f>
        <v>Non</v>
      </c>
      <c r="S53" s="1" t="str">
        <f>IFERROR(__xludf.DUMMYFUNCTION("""COMPUTED_VALUE"""),"L'Influence")</f>
        <v>L'Influence</v>
      </c>
      <c r="T53" s="1" t="str">
        <f>IFERROR(__xludf.DUMMYFUNCTION("""COMPUTED_VALUE"""),"NON")</f>
        <v>NON</v>
      </c>
      <c r="U53" t="str">
        <f>IFERROR(__xludf.DUMMYFUNCTION("""COMPUTED_VALUE"""),"")</f>
        <v/>
      </c>
      <c r="V53" t="str">
        <f>IFERROR(__xludf.DUMMYFUNCTION("""COMPUTED_VALUE"""),"")</f>
        <v/>
      </c>
      <c r="W53" t="str">
        <f>IFERROR(__xludf.DUMMYFUNCTION("""COMPUTED_VALUE"""),"")</f>
        <v/>
      </c>
      <c r="X53" t="str">
        <f>IFERROR(__xludf.DUMMYFUNCTION("""COMPUTED_VALUE"""),"")</f>
        <v/>
      </c>
      <c r="Y53" t="str">
        <f>IFERROR(__xludf.DUMMYFUNCTION("""COMPUTED_VALUE"""),"")</f>
        <v/>
      </c>
      <c r="Z53" t="str">
        <f>IFERROR(__xludf.DUMMYFUNCTION("""COMPUTED_VALUE"""),"")</f>
        <v/>
      </c>
      <c r="AA53" t="str">
        <f>IFERROR(__xludf.DUMMYFUNCTION("""COMPUTED_VALUE"""),"")</f>
        <v/>
      </c>
      <c r="AB53" t="str">
        <f>IFERROR(__xludf.DUMMYFUNCTION("""COMPUTED_VALUE"""),"")</f>
        <v/>
      </c>
    </row>
    <row r="54">
      <c r="A54" s="2">
        <f>IFERROR(__xludf.DUMMYFUNCTION("""COMPUTED_VALUE"""),43627.47496175926)</f>
        <v>43627.47496</v>
      </c>
      <c r="B54" s="1" t="str">
        <f>IFERROR(__xludf.DUMMYFUNCTION("""COMPUTED_VALUE"""),"Gabriel Lucas")</f>
        <v>Gabriel Lucas</v>
      </c>
      <c r="C54" s="1" t="str">
        <f>IFERROR(__xludf.DUMMYFUNCTION("""COMPUTED_VALUE"""),"Deux inconnus")</f>
        <v>Deux inconnus</v>
      </c>
      <c r="D54" s="1" t="str">
        <f>IFERROR(__xludf.DUMMYFUNCTION("""COMPUTED_VALUE"""),"BDE")</f>
        <v>BDE</v>
      </c>
      <c r="E54" s="1">
        <f>IFERROR(__xludf.DUMMYFUNCTION("""COMPUTED_VALUE"""),3.0)</f>
        <v>3</v>
      </c>
      <c r="F54" s="1" t="str">
        <f>IFERROR(__xludf.DUMMYFUNCTION("""COMPUTED_VALUE"""),"Rock, Metal, Electro posée, Electro hard, Autre")</f>
        <v>Rock, Metal, Electro posée, Electro hard, Autre</v>
      </c>
      <c r="G54" s="1" t="str">
        <f>IFERROR(__xludf.DUMMYFUNCTION("""COMPUTED_VALUE"""),"Pas du tout, Autre")</f>
        <v>Pas du tout, Autre</v>
      </c>
      <c r="H54" s="1" t="str">
        <f>IFERROR(__xludf.DUMMYFUNCTION("""COMPUTED_VALUE"""),"Seulement les soirs de pleine lune")</f>
        <v>Seulement les soirs de pleine lune</v>
      </c>
      <c r="I54" s="1" t="str">
        <f>IFERROR(__xludf.DUMMYFUNCTION("""COMPUTED_VALUE"""),"Plusieurs fois par semaine")</f>
        <v>Plusieurs fois par semaine</v>
      </c>
      <c r="J54" s="1" t="str">
        <f>IFERROR(__xludf.DUMMYFUNCTION("""COMPUTED_VALUE"""),"Pour le développement perso et se dépasser")</f>
        <v>Pour le développement perso et se dépasser</v>
      </c>
      <c r="K54" s="1" t="str">
        <f>IFERROR(__xludf.DUMMYFUNCTION("""COMPUTED_VALUE"""),"Equitation")</f>
        <v>Equitation</v>
      </c>
      <c r="L54" s="1" t="str">
        <f>IFERROR(__xludf.DUMMYFUNCTION("""COMPUTED_VALUE"""),"Je fais toujours attention à bien manger")</f>
        <v>Je fais toujours attention à bien manger</v>
      </c>
      <c r="M54" s="1">
        <f>IFERROR(__xludf.DUMMYFUNCTION("""COMPUTED_VALUE"""),10.0)</f>
        <v>10</v>
      </c>
      <c r="N54" s="1" t="str">
        <f>IFERROR(__xludf.DUMMYFUNCTION("""COMPUTED_VALUE"""),"Une fois par jour (voire plus)")</f>
        <v>Une fois par jour (voire plus)</v>
      </c>
      <c r="O54" s="1" t="str">
        <f>IFERROR(__xludf.DUMMYFUNCTION("""COMPUTED_VALUE"""),"Objectif grosse défonce")</f>
        <v>Objectif grosse défonce</v>
      </c>
      <c r="P54" s="1">
        <f>IFERROR(__xludf.DUMMYFUNCTION("""COMPUTED_VALUE"""),5.0)</f>
        <v>5</v>
      </c>
      <c r="Q54" s="1" t="str">
        <f>IFERROR(__xludf.DUMMYFUNCTION("""COMPUTED_VALUE"""),"Non")</f>
        <v>Non</v>
      </c>
      <c r="R54" s="1" t="str">
        <f>IFERROR(__xludf.DUMMYFUNCTION("""COMPUTED_VALUE"""),"Non")</f>
        <v>Non</v>
      </c>
      <c r="S54" s="1" t="str">
        <f>IFERROR(__xludf.DUMMYFUNCTION("""COMPUTED_VALUE"""),"L'Influence")</f>
        <v>L'Influence</v>
      </c>
      <c r="T54" s="1" t="str">
        <f>IFERROR(__xludf.DUMMYFUNCTION("""COMPUTED_VALUE"""),"Oui")</f>
        <v>Oui</v>
      </c>
      <c r="U54" t="str">
        <f>IFERROR(__xludf.DUMMYFUNCTION("""COMPUTED_VALUE"""),"")</f>
        <v/>
      </c>
      <c r="V54" t="str">
        <f>IFERROR(__xludf.DUMMYFUNCTION("""COMPUTED_VALUE"""),"")</f>
        <v/>
      </c>
      <c r="W54" t="str">
        <f>IFERROR(__xludf.DUMMYFUNCTION("""COMPUTED_VALUE"""),"")</f>
        <v/>
      </c>
      <c r="X54" t="str">
        <f>IFERROR(__xludf.DUMMYFUNCTION("""COMPUTED_VALUE"""),"")</f>
        <v/>
      </c>
      <c r="Y54" t="str">
        <f>IFERROR(__xludf.DUMMYFUNCTION("""COMPUTED_VALUE"""),"")</f>
        <v/>
      </c>
      <c r="Z54" t="str">
        <f>IFERROR(__xludf.DUMMYFUNCTION("""COMPUTED_VALUE"""),"")</f>
        <v/>
      </c>
      <c r="AA54" t="str">
        <f>IFERROR(__xludf.DUMMYFUNCTION("""COMPUTED_VALUE"""),"")</f>
        <v/>
      </c>
      <c r="AB54" t="str">
        <f>IFERROR(__xludf.DUMMYFUNCTION("""COMPUTED_VALUE"""),"")</f>
        <v/>
      </c>
    </row>
    <row r="55">
      <c r="A55" s="2">
        <f>IFERROR(__xludf.DUMMYFUNCTION("""COMPUTED_VALUE"""),43627.53954657407)</f>
        <v>43627.53955</v>
      </c>
      <c r="B55" s="1" t="str">
        <f>IFERROR(__xludf.DUMMYFUNCTION("""COMPUTED_VALUE"""),"Grégory Perret")</f>
        <v>Grégory Perret</v>
      </c>
      <c r="C5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5" s="1" t="str">
        <f>IFERROR(__xludf.DUMMYFUNCTION("""COMPUTED_VALUE"""),"BDS")</f>
        <v>BDS</v>
      </c>
      <c r="E55" s="1">
        <f>IFERROR(__xludf.DUMMYFUNCTION("""COMPUTED_VALUE"""),4.0)</f>
        <v>4</v>
      </c>
      <c r="F55" s="1" t="str">
        <f>IFERROR(__xludf.DUMMYFUNCTION("""COMPUTED_VALUE"""),"Rap, Musique fançaise")</f>
        <v>Rap, Musique fançaise</v>
      </c>
      <c r="G55" s="1" t="str">
        <f>IFERROR(__xludf.DUMMYFUNCTION("""COMPUTED_VALUE"""),"Pas du tout")</f>
        <v>Pas du tout</v>
      </c>
      <c r="H55" s="1" t="str">
        <f>IFERROR(__xludf.DUMMYFUNCTION("""COMPUTED_VALUE"""),"Une fois de temps en temps")</f>
        <v>Une fois de temps en temps</v>
      </c>
      <c r="I55" s="1" t="str">
        <f>IFERROR(__xludf.DUMMYFUNCTION("""COMPUTED_VALUE"""),"Plusieurs fois par semaine")</f>
        <v>Plusieurs fois par semaine</v>
      </c>
      <c r="J55" s="1" t="str">
        <f>IFERROR(__xludf.DUMMYFUNCTION("""COMPUTED_VALUE"""),"Pour le développement perso et se dépasser")</f>
        <v>Pour le développement perso et se dépasser</v>
      </c>
      <c r="K55" s="1" t="str">
        <f>IFERROR(__xludf.DUMMYFUNCTION("""COMPUTED_VALUE"""),"Sports collectifs, Sports de raquette")</f>
        <v>Sports collectifs, Sports de raquette</v>
      </c>
      <c r="L55" s="1" t="str">
        <f>IFERROR(__xludf.DUMMYFUNCTION("""COMPUTED_VALUE"""),"J'aime cuisiner le WE ou quand j'ai le temps")</f>
        <v>J'aime cuisiner le WE ou quand j'ai le temps</v>
      </c>
      <c r="M55" s="1">
        <f>IFERROR(__xludf.DUMMYFUNCTION("""COMPUTED_VALUE"""),8.0)</f>
        <v>8</v>
      </c>
      <c r="N55" s="1" t="str">
        <f>IFERROR(__xludf.DUMMYFUNCTION("""COMPUTED_VALUE"""),"Plusieurs fois par semaine")</f>
        <v>Plusieurs fois par semaine</v>
      </c>
      <c r="O55" s="1" t="str">
        <f>IFERROR(__xludf.DUMMYFUNCTION("""COMPUTED_VALUE"""),"Objectif grosse défonce")</f>
        <v>Objectif grosse défonce</v>
      </c>
      <c r="P55" s="1">
        <f>IFERROR(__xludf.DUMMYFUNCTION("""COMPUTED_VALUE"""),1.0)</f>
        <v>1</v>
      </c>
      <c r="Q55" s="1" t="str">
        <f>IFERROR(__xludf.DUMMYFUNCTION("""COMPUTED_VALUE"""),"Non")</f>
        <v>Non</v>
      </c>
      <c r="R55" s="1" t="str">
        <f>IFERROR(__xludf.DUMMYFUNCTION("""COMPUTED_VALUE"""),"Non")</f>
        <v>Non</v>
      </c>
      <c r="S55" s="1" t="str">
        <f>IFERROR(__xludf.DUMMYFUNCTION("""COMPUTED_VALUE"""),"COMA")</f>
        <v>COMA</v>
      </c>
      <c r="T55" s="1" t="str">
        <f>IFERROR(__xludf.DUMMYFUNCTION("""COMPUTED_VALUE"""),"Casquette de Schumacher ")</f>
        <v>Casquette de Schumacher </v>
      </c>
      <c r="U55" t="str">
        <f>IFERROR(__xludf.DUMMYFUNCTION("""COMPUTED_VALUE"""),"")</f>
        <v/>
      </c>
      <c r="V55" t="str">
        <f>IFERROR(__xludf.DUMMYFUNCTION("""COMPUTED_VALUE"""),"")</f>
        <v/>
      </c>
      <c r="W55" t="str">
        <f>IFERROR(__xludf.DUMMYFUNCTION("""COMPUTED_VALUE"""),"")</f>
        <v/>
      </c>
      <c r="X55" t="str">
        <f>IFERROR(__xludf.DUMMYFUNCTION("""COMPUTED_VALUE"""),"")</f>
        <v/>
      </c>
      <c r="Y55" t="str">
        <f>IFERROR(__xludf.DUMMYFUNCTION("""COMPUTED_VALUE"""),"")</f>
        <v/>
      </c>
      <c r="Z55" t="str">
        <f>IFERROR(__xludf.DUMMYFUNCTION("""COMPUTED_VALUE"""),"")</f>
        <v/>
      </c>
      <c r="AA55" t="str">
        <f>IFERROR(__xludf.DUMMYFUNCTION("""COMPUTED_VALUE"""),"")</f>
        <v/>
      </c>
      <c r="AB55" t="str">
        <f>IFERROR(__xludf.DUMMYFUNCTION("""COMPUTED_VALUE"""),"")</f>
        <v/>
      </c>
    </row>
    <row r="56">
      <c r="A56" s="2">
        <f>IFERROR(__xludf.DUMMYFUNCTION("""COMPUTED_VALUE"""),43627.57668434028)</f>
        <v>43627.57668</v>
      </c>
      <c r="B56" s="1" t="str">
        <f>IFERROR(__xludf.DUMMYFUNCTION("""COMPUTED_VALUE"""),"Agathe MADAULE")</f>
        <v>Agathe MADAULE</v>
      </c>
      <c r="C56" s="1" t="str">
        <f>IFERROR(__xludf.DUMMYFUNCTION("""COMPUTED_VALUE"""),"Le président et un inconnu")</f>
        <v>Le président et un inconnu</v>
      </c>
      <c r="D56" s="1" t="str">
        <f>IFERROR(__xludf.DUMMYFUNCTION("""COMPUTED_VALUE"""),"BDE")</f>
        <v>BDE</v>
      </c>
      <c r="E56" s="1">
        <f>IFERROR(__xludf.DUMMYFUNCTION("""COMPUTED_VALUE"""),3.0)</f>
        <v>3</v>
      </c>
      <c r="F56" s="1" t="str">
        <f>IFERROR(__xludf.DUMMYFUNCTION("""COMPUTED_VALUE"""),"Je suis aigri et j'aime pas la musique, Rap")</f>
        <v>Je suis aigri et j'aime pas la musique, Rap</v>
      </c>
      <c r="G56" s="1" t="str">
        <f>IFERROR(__xludf.DUMMYFUNCTION("""COMPUTED_VALUE"""),"Pas du tout")</f>
        <v>Pas du tout</v>
      </c>
      <c r="H56" s="1" t="str">
        <f>IFERROR(__xludf.DUMMYFUNCTION("""COMPUTED_VALUE"""),"Seulement les soirs de pleine lune")</f>
        <v>Seulement les soirs de pleine lune</v>
      </c>
      <c r="I56" s="1" t="str">
        <f>IFERROR(__xludf.DUMMYFUNCTION("""COMPUTED_VALUE"""),"Le dimanche à 15h32 s'il fait beau")</f>
        <v>Le dimanche à 15h32 s'il fait beau</v>
      </c>
      <c r="J56" s="1" t="str">
        <f>IFERROR(__xludf.DUMMYFUNCTION("""COMPUTED_VALUE"""),"Pour le fun")</f>
        <v>Pour le fun</v>
      </c>
      <c r="K56" s="1" t="str">
        <f>IFERROR(__xludf.DUMMYFUNCTION("""COMPUTED_VALUE"""),"Pas de sport")</f>
        <v>Pas de sport</v>
      </c>
      <c r="L56" s="1" t="str">
        <f>IFERROR(__xludf.DUMMYFUNCTION("""COMPUTED_VALUE"""),"Alterner entre grec et coquillettes ça compte ?")</f>
        <v>Alterner entre grec et coquillettes ça compte ?</v>
      </c>
      <c r="M56" s="1">
        <f>IFERROR(__xludf.DUMMYFUNCTION("""COMPUTED_VALUE"""),10.0)</f>
        <v>10</v>
      </c>
      <c r="N56" s="1" t="str">
        <f>IFERROR(__xludf.DUMMYFUNCTION("""COMPUTED_VALUE"""),"Plusieurs fois par semaine")</f>
        <v>Plusieurs fois par semaine</v>
      </c>
      <c r="O56" s="1" t="str">
        <f>IFERROR(__xludf.DUMMYFUNCTION("""COMPUTED_VALUE"""),"T'enflammes le dancefloor")</f>
        <v>T'enflammes le dancefloor</v>
      </c>
      <c r="P56" s="1">
        <f>IFERROR(__xludf.DUMMYFUNCTION("""COMPUTED_VALUE"""),1.0)</f>
        <v>1</v>
      </c>
      <c r="Q56" s="1" t="str">
        <f>IFERROR(__xludf.DUMMYFUNCTION("""COMPUTED_VALUE"""),"Non")</f>
        <v>Non</v>
      </c>
      <c r="R56" s="1" t="str">
        <f>IFERROR(__xludf.DUMMYFUNCTION("""COMPUTED_VALUE"""),"Non")</f>
        <v>Non</v>
      </c>
      <c r="S56" s="1" t="str">
        <f>IFERROR(__xludf.DUMMYFUNCTION("""COMPUTED_VALUE"""),"Summerfaigle")</f>
        <v>Summerfaigle</v>
      </c>
      <c r="T56" s="1" t="str">
        <f>IFERROR(__xludf.DUMMYFUNCTION("""COMPUTED_VALUE"""),"Foulard feria")</f>
        <v>Foulard feria</v>
      </c>
      <c r="U56" s="1" t="str">
        <f>IFERROR(__xludf.DUMMYFUNCTION("""COMPUTED_VALUE"""),"")</f>
        <v/>
      </c>
      <c r="V56" t="str">
        <f>IFERROR(__xludf.DUMMYFUNCTION("""COMPUTED_VALUE"""),"")</f>
        <v/>
      </c>
      <c r="W56" t="str">
        <f>IFERROR(__xludf.DUMMYFUNCTION("""COMPUTED_VALUE"""),"")</f>
        <v/>
      </c>
      <c r="X56" t="str">
        <f>IFERROR(__xludf.DUMMYFUNCTION("""COMPUTED_VALUE"""),"")</f>
        <v/>
      </c>
      <c r="Y56" t="str">
        <f>IFERROR(__xludf.DUMMYFUNCTION("""COMPUTED_VALUE"""),"")</f>
        <v/>
      </c>
      <c r="Z56" t="str">
        <f>IFERROR(__xludf.DUMMYFUNCTION("""COMPUTED_VALUE"""),"")</f>
        <v/>
      </c>
      <c r="AA56" t="str">
        <f>IFERROR(__xludf.DUMMYFUNCTION("""COMPUTED_VALUE"""),"")</f>
        <v/>
      </c>
      <c r="AB56" t="str">
        <f>IFERROR(__xludf.DUMMYFUNCTION("""COMPUTED_VALUE"""),"")</f>
        <v/>
      </c>
    </row>
    <row r="57">
      <c r="A57" s="2">
        <f>IFERROR(__xludf.DUMMYFUNCTION("""COMPUTED_VALUE"""),43627.65763758102)</f>
        <v>43627.65764</v>
      </c>
      <c r="B57" s="1" t="str">
        <f>IFERROR(__xludf.DUMMYFUNCTION("""COMPUTED_VALUE"""),"Mathilde Querné")</f>
        <v>Mathilde Querné</v>
      </c>
      <c r="C5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7" s="1" t="str">
        <f>IFERROR(__xludf.DUMMYFUNCTION("""COMPUTED_VALUE"""),"BDE")</f>
        <v>BDE</v>
      </c>
      <c r="E57" s="1">
        <f>IFERROR(__xludf.DUMMYFUNCTION("""COMPUTED_VALUE"""),4.0)</f>
        <v>4</v>
      </c>
      <c r="F57" s="1" t="str">
        <f>IFERROR(__xludf.DUMMYFUNCTION("""COMPUTED_VALUE"""),"Electro posée, Rap, Pop, Musique fançaise")</f>
        <v>Electro posée, Rap, Pop, Musique fançaise</v>
      </c>
      <c r="G57" s="1" t="str">
        <f>IFERROR(__xludf.DUMMYFUNCTION("""COMPUTED_VALUE"""),"Danse, Musique")</f>
        <v>Danse, Musique</v>
      </c>
      <c r="H57" s="1" t="str">
        <f>IFERROR(__xludf.DUMMYFUNCTION("""COMPUTED_VALUE"""),"Seulement les soirs de pleine lune")</f>
        <v>Seulement les soirs de pleine lune</v>
      </c>
      <c r="I57" s="1" t="str">
        <f>IFERROR(__xludf.DUMMYFUNCTION("""COMPUTED_VALUE"""),"Plusieurs fois par semaine")</f>
        <v>Plusieurs fois par semaine</v>
      </c>
      <c r="J57" s="1" t="str">
        <f>IFERROR(__xludf.DUMMYFUNCTION("""COMPUTED_VALUE"""),"Pour le fun")</f>
        <v>Pour le fun</v>
      </c>
      <c r="K57" s="1" t="str">
        <f>IFERROR(__xludf.DUMMYFUNCTION("""COMPUTED_VALUE"""),"Sports collectifs, Sports de raquette")</f>
        <v>Sports collectifs, Sports de raquette</v>
      </c>
      <c r="L57" s="1" t="str">
        <f>IFERROR(__xludf.DUMMYFUNCTION("""COMPUTED_VALUE"""),"Je fais toujours attention à bien manger")</f>
        <v>Je fais toujours attention à bien manger</v>
      </c>
      <c r="M57" s="1">
        <f>IFERROR(__xludf.DUMMYFUNCTION("""COMPUTED_VALUE"""),10.0)</f>
        <v>10</v>
      </c>
      <c r="N57" s="1" t="str">
        <f>IFERROR(__xludf.DUMMYFUNCTION("""COMPUTED_VALUE"""),"Une fois par jour (voire plus)")</f>
        <v>Une fois par jour (voire plus)</v>
      </c>
      <c r="O57" s="1" t="str">
        <f>IFERROR(__xludf.DUMMYFUNCTION("""COMPUTED_VALUE"""),"T'enflammes le dancefloor")</f>
        <v>T'enflammes le dancefloor</v>
      </c>
      <c r="P57" s="1">
        <f>IFERROR(__xludf.DUMMYFUNCTION("""COMPUTED_VALUE"""),1.0)</f>
        <v>1</v>
      </c>
      <c r="Q57" s="1" t="str">
        <f>IFERROR(__xludf.DUMMYFUNCTION("""COMPUTED_VALUE"""),"Oui")</f>
        <v>Oui</v>
      </c>
      <c r="R57" s="1" t="str">
        <f>IFERROR(__xludf.DUMMYFUNCTION("""COMPUTED_VALUE"""),"Non")</f>
        <v>Non</v>
      </c>
      <c r="S57" s="1" t="str">
        <f>IFERROR(__xludf.DUMMYFUNCTION("""COMPUTED_VALUE"""),"Les domineurs")</f>
        <v>Les domineurs</v>
      </c>
      <c r="T57" s="1" t="str">
        <f>IFERROR(__xludf.DUMMYFUNCTION("""COMPUTED_VALUE"""),"Un cactus")</f>
        <v>Un cactus</v>
      </c>
      <c r="U57" t="str">
        <f>IFERROR(__xludf.DUMMYFUNCTION("""COMPUTED_VALUE"""),"")</f>
        <v/>
      </c>
      <c r="V57" t="str">
        <f>IFERROR(__xludf.DUMMYFUNCTION("""COMPUTED_VALUE"""),"")</f>
        <v/>
      </c>
      <c r="W57" t="str">
        <f>IFERROR(__xludf.DUMMYFUNCTION("""COMPUTED_VALUE"""),"")</f>
        <v/>
      </c>
      <c r="X57" t="str">
        <f>IFERROR(__xludf.DUMMYFUNCTION("""COMPUTED_VALUE"""),"")</f>
        <v/>
      </c>
      <c r="Y57" t="str">
        <f>IFERROR(__xludf.DUMMYFUNCTION("""COMPUTED_VALUE"""),"")</f>
        <v/>
      </c>
      <c r="Z57" t="str">
        <f>IFERROR(__xludf.DUMMYFUNCTION("""COMPUTED_VALUE"""),"")</f>
        <v/>
      </c>
      <c r="AA57" t="str">
        <f>IFERROR(__xludf.DUMMYFUNCTION("""COMPUTED_VALUE"""),"")</f>
        <v/>
      </c>
      <c r="AB57" t="str">
        <f>IFERROR(__xludf.DUMMYFUNCTION("""COMPUTED_VALUE"""),"")</f>
        <v/>
      </c>
    </row>
    <row r="58">
      <c r="A58" s="2">
        <f>IFERROR(__xludf.DUMMYFUNCTION("""COMPUTED_VALUE"""),43627.73244280093)</f>
        <v>43627.73244</v>
      </c>
      <c r="B58" s="1" t="str">
        <f>IFERROR(__xludf.DUMMYFUNCTION("""COMPUTED_VALUE"""),"Marie Cozzi")</f>
        <v>Marie Cozzi</v>
      </c>
      <c r="C5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8" s="1" t="str">
        <f>IFERROR(__xludf.DUMMYFUNCTION("""COMPUTED_VALUE"""),"BDA")</f>
        <v>BDA</v>
      </c>
      <c r="E58" s="1">
        <f>IFERROR(__xludf.DUMMYFUNCTION("""COMPUTED_VALUE"""),2.0)</f>
        <v>2</v>
      </c>
      <c r="F58" s="1" t="str">
        <f>IFERROR(__xludf.DUMMYFUNCTION("""COMPUTED_VALUE"""),"Je suis aigri et j'aime pas la musique")</f>
        <v>Je suis aigri et j'aime pas la musique</v>
      </c>
      <c r="G58" s="1" t="str">
        <f>IFERROR(__xludf.DUMMYFUNCTION("""COMPUTED_VALUE"""),"Théâtre, Cinéma, Graphisme")</f>
        <v>Théâtre, Cinéma, Graphisme</v>
      </c>
      <c r="H58" s="1" t="str">
        <f>IFERROR(__xludf.DUMMYFUNCTION("""COMPUTED_VALUE"""),"Seulement les soirs de pleine lune")</f>
        <v>Seulement les soirs de pleine lune</v>
      </c>
      <c r="I58" s="1" t="str">
        <f>IFERROR(__xludf.DUMMYFUNCTION("""COMPUTED_VALUE"""),"Le dimanche à 15h32 s'il fait beau")</f>
        <v>Le dimanche à 15h32 s'il fait beau</v>
      </c>
      <c r="J58" s="1" t="str">
        <f>IFERROR(__xludf.DUMMYFUNCTION("""COMPUTED_VALUE"""),"Pour les autres")</f>
        <v>Pour les autres</v>
      </c>
      <c r="K58" s="1" t="str">
        <f>IFERROR(__xludf.DUMMYFUNCTION("""COMPUTED_VALUE"""),"Pas de sport, Equitation")</f>
        <v>Pas de sport, Equitation</v>
      </c>
      <c r="L58" s="1" t="str">
        <f>IFERROR(__xludf.DUMMYFUNCTION("""COMPUTED_VALUE"""),"J'aime cuisiner le WE ou quand j'ai le temps")</f>
        <v>J'aime cuisiner le WE ou quand j'ai le temps</v>
      </c>
      <c r="M58" s="1">
        <f>IFERROR(__xludf.DUMMYFUNCTION("""COMPUTED_VALUE"""),3.0)</f>
        <v>3</v>
      </c>
      <c r="N58" s="1" t="str">
        <f>IFERROR(__xludf.DUMMYFUNCTION("""COMPUTED_VALUE"""),"Une fois par semaine")</f>
        <v>Une fois par semaine</v>
      </c>
      <c r="O58" s="1" t="str">
        <f>IFERROR(__xludf.DUMMYFUNCTION("""COMPUTED_VALUE"""),"Tu te poses dans un coin, chill !!")</f>
        <v>Tu te poses dans un coin, chill !!</v>
      </c>
      <c r="P58" s="1">
        <f>IFERROR(__xludf.DUMMYFUNCTION("""COMPUTED_VALUE"""),2.0)</f>
        <v>2</v>
      </c>
      <c r="Q58" s="1" t="str">
        <f>IFERROR(__xludf.DUMMYFUNCTION("""COMPUTED_VALUE"""),"Non")</f>
        <v>Non</v>
      </c>
      <c r="R58" s="1" t="str">
        <f>IFERROR(__xludf.DUMMYFUNCTION("""COMPUTED_VALUE"""),"Non")</f>
        <v>Non</v>
      </c>
      <c r="S58" s="1" t="str">
        <f>IFERROR(__xludf.DUMMYFUNCTION("""COMPUTED_VALUE"""),"PB-nuage")</f>
        <v>PB-nuage</v>
      </c>
      <c r="T58" s="1" t="str">
        <f>IFERROR(__xludf.DUMMYFUNCTION("""COMPUTED_VALUE"""),"Ma veste jaune")</f>
        <v>Ma veste jaune</v>
      </c>
      <c r="U58" t="str">
        <f>IFERROR(__xludf.DUMMYFUNCTION("""COMPUTED_VALUE"""),"")</f>
        <v/>
      </c>
      <c r="V58" t="str">
        <f>IFERROR(__xludf.DUMMYFUNCTION("""COMPUTED_VALUE"""),"")</f>
        <v/>
      </c>
      <c r="W58" t="str">
        <f>IFERROR(__xludf.DUMMYFUNCTION("""COMPUTED_VALUE"""),"")</f>
        <v/>
      </c>
      <c r="X58" t="str">
        <f>IFERROR(__xludf.DUMMYFUNCTION("""COMPUTED_VALUE"""),"")</f>
        <v/>
      </c>
      <c r="Y58" t="str">
        <f>IFERROR(__xludf.DUMMYFUNCTION("""COMPUTED_VALUE"""),"")</f>
        <v/>
      </c>
      <c r="Z58" t="str">
        <f>IFERROR(__xludf.DUMMYFUNCTION("""COMPUTED_VALUE"""),"")</f>
        <v/>
      </c>
      <c r="AA58" t="str">
        <f>IFERROR(__xludf.DUMMYFUNCTION("""COMPUTED_VALUE"""),"")</f>
        <v/>
      </c>
      <c r="AB58" t="str">
        <f>IFERROR(__xludf.DUMMYFUNCTION("""COMPUTED_VALUE"""),"")</f>
        <v/>
      </c>
    </row>
    <row r="59">
      <c r="A59" s="2">
        <f>IFERROR(__xludf.DUMMYFUNCTION("""COMPUTED_VALUE"""),43627.75302493056)</f>
        <v>43627.75302</v>
      </c>
      <c r="B59" s="1" t="str">
        <f>IFERROR(__xludf.DUMMYFUNCTION("""COMPUTED_VALUE"""),"Cédric DUSSERRE")</f>
        <v>Cédric DUSSERRE</v>
      </c>
      <c r="C5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59" s="1" t="str">
        <f>IFERROR(__xludf.DUMMYFUNCTION("""COMPUTED_VALUE"""),"BDE")</f>
        <v>BDE</v>
      </c>
      <c r="E59" s="1">
        <f>IFERROR(__xludf.DUMMYFUNCTION("""COMPUTED_VALUE"""),3.0)</f>
        <v>3</v>
      </c>
      <c r="F59" s="1" t="str">
        <f>IFERROR(__xludf.DUMMYFUNCTION("""COMPUTED_VALUE"""),"Rock, Rap, Musique fançaise")</f>
        <v>Rock, Rap, Musique fançaise</v>
      </c>
      <c r="G59" s="1" t="str">
        <f>IFERROR(__xludf.DUMMYFUNCTION("""COMPUTED_VALUE"""),"Musique, Cinéma")</f>
        <v>Musique, Cinéma</v>
      </c>
      <c r="H59" s="1" t="str">
        <f>IFERROR(__xludf.DUMMYFUNCTION("""COMPUTED_VALUE"""),"Une fois de temps en temps")</f>
        <v>Une fois de temps en temps</v>
      </c>
      <c r="I59" s="1" t="str">
        <f>IFERROR(__xludf.DUMMYFUNCTION("""COMPUTED_VALUE"""),"Une fois par jour")</f>
        <v>Une fois par jour</v>
      </c>
      <c r="J59" s="1" t="str">
        <f>IFERROR(__xludf.DUMMYFUNCTION("""COMPUTED_VALUE"""),"Pour la compet")</f>
        <v>Pour la compet</v>
      </c>
      <c r="K59" s="1" t="str">
        <f>IFERROR(__xludf.DUMMYFUNCTION("""COMPUTED_VALUE"""),"Sports aquatiques, Autre")</f>
        <v>Sports aquatiques, Autre</v>
      </c>
      <c r="L59" s="1" t="str">
        <f>IFERROR(__xludf.DUMMYFUNCTION("""COMPUTED_VALUE"""),"Oh oui, et les trucs bien gras ça me connait !")</f>
        <v>Oh oui, et les trucs bien gras ça me connait !</v>
      </c>
      <c r="M59" s="1">
        <f>IFERROR(__xludf.DUMMYFUNCTION("""COMPUTED_VALUE"""),10.0)</f>
        <v>10</v>
      </c>
      <c r="N59" s="1" t="str">
        <f>IFERROR(__xludf.DUMMYFUNCTION("""COMPUTED_VALUE"""),"Une fois par jour (voire plus)")</f>
        <v>Une fois par jour (voire plus)</v>
      </c>
      <c r="O59" s="1" t="str">
        <f>IFERROR(__xludf.DUMMYFUNCTION("""COMPUTED_VALUE"""),"Objectif grosse défonce")</f>
        <v>Objectif grosse défonce</v>
      </c>
      <c r="P59" s="1">
        <f>IFERROR(__xludf.DUMMYFUNCTION("""COMPUTED_VALUE"""),3.0)</f>
        <v>3</v>
      </c>
      <c r="Q59" s="1" t="str">
        <f>IFERROR(__xludf.DUMMYFUNCTION("""COMPUTED_VALUE"""),"Non")</f>
        <v>Non</v>
      </c>
      <c r="R59" s="1" t="str">
        <f>IFERROR(__xludf.DUMMYFUNCTION("""COMPUTED_VALUE"""),"Non")</f>
        <v>Non</v>
      </c>
      <c r="S59" s="1" t="str">
        <f>IFERROR(__xludf.DUMMYFUNCTION("""COMPUTED_VALUE"""),"Mafia")</f>
        <v>Mafia</v>
      </c>
      <c r="T59" s="1" t="str">
        <f>IFERROR(__xludf.DUMMYFUNCTION("""COMPUTED_VALUE"""),"Une crosse de hockey")</f>
        <v>Une crosse de hockey</v>
      </c>
      <c r="U59" t="str">
        <f>IFERROR(__xludf.DUMMYFUNCTION("""COMPUTED_VALUE"""),"")</f>
        <v/>
      </c>
      <c r="V59" t="str">
        <f>IFERROR(__xludf.DUMMYFUNCTION("""COMPUTED_VALUE"""),"")</f>
        <v/>
      </c>
      <c r="W59" t="str">
        <f>IFERROR(__xludf.DUMMYFUNCTION("""COMPUTED_VALUE"""),"")</f>
        <v/>
      </c>
      <c r="X59" t="str">
        <f>IFERROR(__xludf.DUMMYFUNCTION("""COMPUTED_VALUE"""),"")</f>
        <v/>
      </c>
      <c r="Y59" t="str">
        <f>IFERROR(__xludf.DUMMYFUNCTION("""COMPUTED_VALUE"""),"")</f>
        <v/>
      </c>
      <c r="Z59" t="str">
        <f>IFERROR(__xludf.DUMMYFUNCTION("""COMPUTED_VALUE"""),"")</f>
        <v/>
      </c>
      <c r="AA59" t="str">
        <f>IFERROR(__xludf.DUMMYFUNCTION("""COMPUTED_VALUE"""),"")</f>
        <v/>
      </c>
      <c r="AB59" t="str">
        <f>IFERROR(__xludf.DUMMYFUNCTION("""COMPUTED_VALUE"""),"")</f>
        <v/>
      </c>
    </row>
    <row r="60">
      <c r="A60" s="2">
        <f>IFERROR(__xludf.DUMMYFUNCTION("""COMPUTED_VALUE"""),43627.76173637732)</f>
        <v>43627.76174</v>
      </c>
      <c r="B60" s="1" t="str">
        <f>IFERROR(__xludf.DUMMYFUNCTION("""COMPUTED_VALUE"""),"Julien Douxami")</f>
        <v>Julien Douxami</v>
      </c>
      <c r="C60" s="1" t="str">
        <f>IFERROR(__xludf.DUMMYFUNCTION("""COMPUTED_VALUE"""),"Le président et un inconnu")</f>
        <v>Le président et un inconnu</v>
      </c>
      <c r="D60" s="1" t="str">
        <f>IFERROR(__xludf.DUMMYFUNCTION("""COMPUTED_VALUE"""),"BDE")</f>
        <v>BDE</v>
      </c>
      <c r="E60" s="1">
        <f>IFERROR(__xludf.DUMMYFUNCTION("""COMPUTED_VALUE"""),3.0)</f>
        <v>3</v>
      </c>
      <c r="F60" s="1" t="str">
        <f>IFERROR(__xludf.DUMMYFUNCTION("""COMPUTED_VALUE"""),"Rap")</f>
        <v>Rap</v>
      </c>
      <c r="G60" s="1" t="str">
        <f>IFERROR(__xludf.DUMMYFUNCTION("""COMPUTED_VALUE"""),"Musique")</f>
        <v>Musique</v>
      </c>
      <c r="H60" s="1" t="str">
        <f>IFERROR(__xludf.DUMMYFUNCTION("""COMPUTED_VALUE"""),"Une fois de temps en temps")</f>
        <v>Une fois de temps en temps</v>
      </c>
      <c r="I60" s="1" t="str">
        <f>IFERROR(__xludf.DUMMYFUNCTION("""COMPUTED_VALUE"""),"Une fois par semaine")</f>
        <v>Une fois par semaine</v>
      </c>
      <c r="J60" s="1" t="str">
        <f>IFERROR(__xludf.DUMMYFUNCTION("""COMPUTED_VALUE"""),"Pour le fun")</f>
        <v>Pour le fun</v>
      </c>
      <c r="K60" s="1" t="str">
        <f>IFERROR(__xludf.DUMMYFUNCTION("""COMPUTED_VALUE"""),"Sports de raquette")</f>
        <v>Sports de raquette</v>
      </c>
      <c r="L60" s="1" t="str">
        <f>IFERROR(__xludf.DUMMYFUNCTION("""COMPUTED_VALUE"""),"Oh oui, et les trucs bien gras ça me connait !")</f>
        <v>Oh oui, et les trucs bien gras ça me connait !</v>
      </c>
      <c r="M60" s="1">
        <f>IFERROR(__xludf.DUMMYFUNCTION("""COMPUTED_VALUE"""),10.0)</f>
        <v>10</v>
      </c>
      <c r="N60" s="1" t="str">
        <f>IFERROR(__xludf.DUMMYFUNCTION("""COMPUTED_VALUE"""),"Une fois par jour (voire plus)")</f>
        <v>Une fois par jour (voire plus)</v>
      </c>
      <c r="O60" s="1" t="str">
        <f>IFERROR(__xludf.DUMMYFUNCTION("""COMPUTED_VALUE"""),"Objectif grosse défonce")</f>
        <v>Objectif grosse défonce</v>
      </c>
      <c r="P60" s="1">
        <f>IFERROR(__xludf.DUMMYFUNCTION("""COMPUTED_VALUE"""),2.0)</f>
        <v>2</v>
      </c>
      <c r="Q60" s="1" t="str">
        <f>IFERROR(__xludf.DUMMYFUNCTION("""COMPUTED_VALUE"""),"Non")</f>
        <v>Non</v>
      </c>
      <c r="R60" s="1" t="str">
        <f>IFERROR(__xludf.DUMMYFUNCTION("""COMPUTED_VALUE"""),"Non")</f>
        <v>Non</v>
      </c>
      <c r="S60" s="1" t="str">
        <f>IFERROR(__xludf.DUMMYFUNCTION("""COMPUTED_VALUE"""),"Mafia")</f>
        <v>Mafia</v>
      </c>
      <c r="T60" s="1" t="str">
        <f>IFERROR(__xludf.DUMMYFUNCTION("""COMPUTED_VALUE"""),"des lunettes fashion")</f>
        <v>des lunettes fashion</v>
      </c>
      <c r="U60" t="str">
        <f>IFERROR(__xludf.DUMMYFUNCTION("""COMPUTED_VALUE"""),"")</f>
        <v/>
      </c>
      <c r="V60" t="str">
        <f>IFERROR(__xludf.DUMMYFUNCTION("""COMPUTED_VALUE"""),"")</f>
        <v/>
      </c>
      <c r="W60" t="str">
        <f>IFERROR(__xludf.DUMMYFUNCTION("""COMPUTED_VALUE"""),"")</f>
        <v/>
      </c>
      <c r="X60" t="str">
        <f>IFERROR(__xludf.DUMMYFUNCTION("""COMPUTED_VALUE"""),"")</f>
        <v/>
      </c>
      <c r="Y60" t="str">
        <f>IFERROR(__xludf.DUMMYFUNCTION("""COMPUTED_VALUE"""),"")</f>
        <v/>
      </c>
      <c r="Z60" t="str">
        <f>IFERROR(__xludf.DUMMYFUNCTION("""COMPUTED_VALUE"""),"")</f>
        <v/>
      </c>
      <c r="AA60" t="str">
        <f>IFERROR(__xludf.DUMMYFUNCTION("""COMPUTED_VALUE"""),"")</f>
        <v/>
      </c>
      <c r="AB60" t="str">
        <f>IFERROR(__xludf.DUMMYFUNCTION("""COMPUTED_VALUE"""),"")</f>
        <v/>
      </c>
    </row>
    <row r="61">
      <c r="A61" s="2">
        <f>IFERROR(__xludf.DUMMYFUNCTION("""COMPUTED_VALUE"""),43627.83635711805)</f>
        <v>43627.83636</v>
      </c>
      <c r="B61" s="1" t="str">
        <f>IFERROR(__xludf.DUMMYFUNCTION("""COMPUTED_VALUE"""),"Louis DA COSTA")</f>
        <v>Louis DA COSTA</v>
      </c>
      <c r="C6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1" s="1" t="str">
        <f>IFERROR(__xludf.DUMMYFUNCTION("""COMPUTED_VALUE"""),"BDS")</f>
        <v>BDS</v>
      </c>
      <c r="E61" s="1">
        <f>IFERROR(__xludf.DUMMYFUNCTION("""COMPUTED_VALUE"""),4.0)</f>
        <v>4</v>
      </c>
      <c r="F61" s="1" t="str">
        <f>IFERROR(__xludf.DUMMYFUNCTION("""COMPUTED_VALUE"""),"Rock, Electro hard, Rap, Pop, Jazz")</f>
        <v>Rock, Electro hard, Rap, Pop, Jazz</v>
      </c>
      <c r="G61" s="1" t="str">
        <f>IFERROR(__xludf.DUMMYFUNCTION("""COMPUTED_VALUE"""),"Danse, Cinéma")</f>
        <v>Danse, Cinéma</v>
      </c>
      <c r="H61" s="1" t="str">
        <f>IFERROR(__xludf.DUMMYFUNCTION("""COMPUTED_VALUE"""),"Une fois de temps en temps")</f>
        <v>Une fois de temps en temps</v>
      </c>
      <c r="I61" s="1" t="str">
        <f>IFERROR(__xludf.DUMMYFUNCTION("""COMPUTED_VALUE"""),"Plusieurs fois par semaine")</f>
        <v>Plusieurs fois par semaine</v>
      </c>
      <c r="J61" s="1" t="str">
        <f>IFERROR(__xludf.DUMMYFUNCTION("""COMPUTED_VALUE"""),"Pour le développement perso et se dépasser")</f>
        <v>Pour le développement perso et se dépasser</v>
      </c>
      <c r="K61" s="1" t="str">
        <f>IFERROR(__xludf.DUMMYFUNCTION("""COMPUTED_VALUE"""),"Sports collectifs, Sports de raquette")</f>
        <v>Sports collectifs, Sports de raquette</v>
      </c>
      <c r="L61" s="1" t="str">
        <f>IFERROR(__xludf.DUMMYFUNCTION("""COMPUTED_VALUE"""),"J'aime cuisiner le WE ou quand j'ai le temps")</f>
        <v>J'aime cuisiner le WE ou quand j'ai le temps</v>
      </c>
      <c r="M61" s="1">
        <f>IFERROR(__xludf.DUMMYFUNCTION("""COMPUTED_VALUE"""),8.0)</f>
        <v>8</v>
      </c>
      <c r="N61" s="1" t="str">
        <f>IFERROR(__xludf.DUMMYFUNCTION("""COMPUTED_VALUE"""),"Plusieurs fois par semaine")</f>
        <v>Plusieurs fois par semaine</v>
      </c>
      <c r="O61" s="1" t="str">
        <f>IFERROR(__xludf.DUMMYFUNCTION("""COMPUTED_VALUE"""),"T'enflammes le dancefloor")</f>
        <v>T'enflammes le dancefloor</v>
      </c>
      <c r="P61" s="1">
        <f>IFERROR(__xludf.DUMMYFUNCTION("""COMPUTED_VALUE"""),2.0)</f>
        <v>2</v>
      </c>
      <c r="Q61" s="1" t="str">
        <f>IFERROR(__xludf.DUMMYFUNCTION("""COMPUTED_VALUE"""),"Non")</f>
        <v>Non</v>
      </c>
      <c r="R61" s="1" t="str">
        <f>IFERROR(__xludf.DUMMYFUNCTION("""COMPUTED_VALUE"""),"Non")</f>
        <v>Non</v>
      </c>
      <c r="S61" s="1" t="str">
        <f>IFERROR(__xludf.DUMMYFUNCTION("""COMPUTED_VALUE"""),"COMA ")</f>
        <v>COMA </v>
      </c>
      <c r="T61" s="1" t="str">
        <f>IFERROR(__xludf.DUMMYFUNCTION("""COMPUTED_VALUE"""),"Une atelle")</f>
        <v>Une atelle</v>
      </c>
      <c r="U61" t="str">
        <f>IFERROR(__xludf.DUMMYFUNCTION("""COMPUTED_VALUE"""),"")</f>
        <v/>
      </c>
      <c r="V61" t="str">
        <f>IFERROR(__xludf.DUMMYFUNCTION("""COMPUTED_VALUE"""),"")</f>
        <v/>
      </c>
      <c r="W61" t="str">
        <f>IFERROR(__xludf.DUMMYFUNCTION("""COMPUTED_VALUE"""),"")</f>
        <v/>
      </c>
      <c r="X61" t="str">
        <f>IFERROR(__xludf.DUMMYFUNCTION("""COMPUTED_VALUE"""),"")</f>
        <v/>
      </c>
      <c r="Y61" t="str">
        <f>IFERROR(__xludf.DUMMYFUNCTION("""COMPUTED_VALUE"""),"")</f>
        <v/>
      </c>
      <c r="Z61" t="str">
        <f>IFERROR(__xludf.DUMMYFUNCTION("""COMPUTED_VALUE"""),"")</f>
        <v/>
      </c>
      <c r="AA61" t="str">
        <f>IFERROR(__xludf.DUMMYFUNCTION("""COMPUTED_VALUE"""),"")</f>
        <v/>
      </c>
      <c r="AB61" t="str">
        <f>IFERROR(__xludf.DUMMYFUNCTION("""COMPUTED_VALUE"""),"")</f>
        <v/>
      </c>
    </row>
    <row r="62">
      <c r="A62" s="2">
        <f>IFERROR(__xludf.DUMMYFUNCTION("""COMPUTED_VALUE"""),43627.840697754626)</f>
        <v>43627.8407</v>
      </c>
      <c r="B62" s="1" t="str">
        <f>IFERROR(__xludf.DUMMYFUNCTION("""COMPUTED_VALUE"""),"Antoine Dupuis")</f>
        <v>Antoine Dupuis</v>
      </c>
      <c r="C6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2" s="1" t="str">
        <f>IFERROR(__xludf.DUMMYFUNCTION("""COMPUTED_VALUE"""),"BDS")</f>
        <v>BDS</v>
      </c>
      <c r="E62" s="1">
        <f>IFERROR(__xludf.DUMMYFUNCTION("""COMPUTED_VALUE"""),4.0)</f>
        <v>4</v>
      </c>
      <c r="F62" s="1" t="str">
        <f>IFERROR(__xludf.DUMMYFUNCTION("""COMPUTED_VALUE"""),"Electro posée, Rap, Musique fançaise, Jazz")</f>
        <v>Electro posée, Rap, Musique fançaise, Jazz</v>
      </c>
      <c r="G62" s="1" t="str">
        <f>IFERROR(__xludf.DUMMYFUNCTION("""COMPUTED_VALUE"""),"Peinture, Musique")</f>
        <v>Peinture, Musique</v>
      </c>
      <c r="H62" s="1" t="str">
        <f>IFERROR(__xludf.DUMMYFUNCTION("""COMPUTED_VALUE"""),"Seulement les soirs de pleine lune")</f>
        <v>Seulement les soirs de pleine lune</v>
      </c>
      <c r="I62" s="1" t="str">
        <f>IFERROR(__xludf.DUMMYFUNCTION("""COMPUTED_VALUE"""),"Plusieurs fois par semaine")</f>
        <v>Plusieurs fois par semaine</v>
      </c>
      <c r="J62" s="1" t="str">
        <f>IFERROR(__xludf.DUMMYFUNCTION("""COMPUTED_VALUE"""),"Pour le développement perso et se dépasser")</f>
        <v>Pour le développement perso et se dépasser</v>
      </c>
      <c r="K62" s="1" t="str">
        <f>IFERROR(__xludf.DUMMYFUNCTION("""COMPUTED_VALUE"""),"Sports collectifs, Sports de raquette")</f>
        <v>Sports collectifs, Sports de raquette</v>
      </c>
      <c r="L62" s="1" t="str">
        <f>IFERROR(__xludf.DUMMYFUNCTION("""COMPUTED_VALUE"""),"J'aime cuisiner le WE ou quand j'ai le temps")</f>
        <v>J'aime cuisiner le WE ou quand j'ai le temps</v>
      </c>
      <c r="M62" s="1">
        <f>IFERROR(__xludf.DUMMYFUNCTION("""COMPUTED_VALUE"""),7.0)</f>
        <v>7</v>
      </c>
      <c r="N62" s="1" t="str">
        <f>IFERROR(__xludf.DUMMYFUNCTION("""COMPUTED_VALUE"""),"Plusieurs fois par semaine")</f>
        <v>Plusieurs fois par semaine</v>
      </c>
      <c r="O62" s="1" t="str">
        <f>IFERROR(__xludf.DUMMYFUNCTION("""COMPUTED_VALUE"""),"T'enflammes le dancefloor")</f>
        <v>T'enflammes le dancefloor</v>
      </c>
      <c r="P62" s="1">
        <f>IFERROR(__xludf.DUMMYFUNCTION("""COMPUTED_VALUE"""),4.0)</f>
        <v>4</v>
      </c>
      <c r="Q62" s="1" t="str">
        <f>IFERROR(__xludf.DUMMYFUNCTION("""COMPUTED_VALUE"""),"Non")</f>
        <v>Non</v>
      </c>
      <c r="R62" s="1" t="str">
        <f>IFERROR(__xludf.DUMMYFUNCTION("""COMPUTED_VALUE"""),"Non")</f>
        <v>Non</v>
      </c>
      <c r="S62" s="1" t="str">
        <f>IFERROR(__xludf.DUMMYFUNCTION("""COMPUTED_VALUE"""),"Coma")</f>
        <v>Coma</v>
      </c>
      <c r="T62" s="1" t="str">
        <f>IFERROR(__xludf.DUMMYFUNCTION("""COMPUTED_VALUE"""),"Un ski de qualité supérieure")</f>
        <v>Un ski de qualité supérieure</v>
      </c>
      <c r="U62" t="str">
        <f>IFERROR(__xludf.DUMMYFUNCTION("""COMPUTED_VALUE"""),"")</f>
        <v/>
      </c>
      <c r="V62" t="str">
        <f>IFERROR(__xludf.DUMMYFUNCTION("""COMPUTED_VALUE"""),"")</f>
        <v/>
      </c>
      <c r="W62" t="str">
        <f>IFERROR(__xludf.DUMMYFUNCTION("""COMPUTED_VALUE"""),"")</f>
        <v/>
      </c>
      <c r="X62" t="str">
        <f>IFERROR(__xludf.DUMMYFUNCTION("""COMPUTED_VALUE"""),"")</f>
        <v/>
      </c>
      <c r="Y62" t="str">
        <f>IFERROR(__xludf.DUMMYFUNCTION("""COMPUTED_VALUE"""),"")</f>
        <v/>
      </c>
      <c r="Z62" t="str">
        <f>IFERROR(__xludf.DUMMYFUNCTION("""COMPUTED_VALUE"""),"")</f>
        <v/>
      </c>
      <c r="AA62" t="str">
        <f>IFERROR(__xludf.DUMMYFUNCTION("""COMPUTED_VALUE"""),"")</f>
        <v/>
      </c>
      <c r="AB62" t="str">
        <f>IFERROR(__xludf.DUMMYFUNCTION("""COMPUTED_VALUE"""),"")</f>
        <v/>
      </c>
    </row>
    <row r="63">
      <c r="A63" s="2">
        <f>IFERROR(__xludf.DUMMYFUNCTION("""COMPUTED_VALUE"""),43627.84141126157)</f>
        <v>43627.84141</v>
      </c>
      <c r="B63" s="1" t="str">
        <f>IFERROR(__xludf.DUMMYFUNCTION("""COMPUTED_VALUE"""),"Lilian Dedecker")</f>
        <v>Lilian Dedecker</v>
      </c>
      <c r="C63" s="1" t="str">
        <f>IFERROR(__xludf.DUMMYFUNCTION("""COMPUTED_VALUE"""),"Le président et un inconnu")</f>
        <v>Le président et un inconnu</v>
      </c>
      <c r="D63" s="1" t="str">
        <f>IFERROR(__xludf.DUMMYFUNCTION("""COMPUTED_VALUE"""),"BDS")</f>
        <v>BDS</v>
      </c>
      <c r="E63" s="1">
        <f>IFERROR(__xludf.DUMMYFUNCTION("""COMPUTED_VALUE"""),3.0)</f>
        <v>3</v>
      </c>
      <c r="F63" s="1" t="str">
        <f>IFERROR(__xludf.DUMMYFUNCTION("""COMPUTED_VALUE"""),"Rock, Metal, Electro hard, Rap, Musique fançaise")</f>
        <v>Rock, Metal, Electro hard, Rap, Musique fançaise</v>
      </c>
      <c r="G63" s="1" t="str">
        <f>IFERROR(__xludf.DUMMYFUNCTION("""COMPUTED_VALUE"""),"Cinéma")</f>
        <v>Cinéma</v>
      </c>
      <c r="H63" s="1" t="str">
        <f>IFERROR(__xludf.DUMMYFUNCTION("""COMPUTED_VALUE"""),"Seulement les soirs de pleine lune")</f>
        <v>Seulement les soirs de pleine lune</v>
      </c>
      <c r="I63" s="1" t="str">
        <f>IFERROR(__xludf.DUMMYFUNCTION("""COMPUTED_VALUE"""),"Une fois par jour")</f>
        <v>Une fois par jour</v>
      </c>
      <c r="J63" s="1" t="str">
        <f>IFERROR(__xludf.DUMMYFUNCTION("""COMPUTED_VALUE"""),"Pour la compet")</f>
        <v>Pour la compet</v>
      </c>
      <c r="K63" s="1" t="str">
        <f>IFERROR(__xludf.DUMMYFUNCTION("""COMPUTED_VALUE"""),"Sports collectifs, Autre")</f>
        <v>Sports collectifs, Autre</v>
      </c>
      <c r="L63" s="1" t="str">
        <f>IFERROR(__xludf.DUMMYFUNCTION("""COMPUTED_VALUE"""),"Je fais toujours attention à bien manger")</f>
        <v>Je fais toujours attention à bien manger</v>
      </c>
      <c r="M63" s="1">
        <f>IFERROR(__xludf.DUMMYFUNCTION("""COMPUTED_VALUE"""),7.0)</f>
        <v>7</v>
      </c>
      <c r="N63" s="1" t="str">
        <f>IFERROR(__xludf.DUMMYFUNCTION("""COMPUTED_VALUE"""),"Plusieurs fois par semaine")</f>
        <v>Plusieurs fois par semaine</v>
      </c>
      <c r="O63" s="1" t="str">
        <f>IFERROR(__xludf.DUMMYFUNCTION("""COMPUTED_VALUE"""),"Tu te poses dans un coin, chill !!")</f>
        <v>Tu te poses dans un coin, chill !!</v>
      </c>
      <c r="P63" s="1">
        <f>IFERROR(__xludf.DUMMYFUNCTION("""COMPUTED_VALUE"""),1.0)</f>
        <v>1</v>
      </c>
      <c r="Q63" s="1" t="str">
        <f>IFERROR(__xludf.DUMMYFUNCTION("""COMPUTED_VALUE"""),"Non")</f>
        <v>Non</v>
      </c>
      <c r="R63" s="1" t="str">
        <f>IFERROR(__xludf.DUMMYFUNCTION("""COMPUTED_VALUE"""),"Non")</f>
        <v>Non</v>
      </c>
      <c r="S63" s="1" t="str">
        <f>IFERROR(__xludf.DUMMYFUNCTION("""COMPUTED_VALUE"""),"Consulm3ow")</f>
        <v>Consulm3ow</v>
      </c>
      <c r="T63" s="1" t="str">
        <f>IFERROR(__xludf.DUMMYFUNCTION("""COMPUTED_VALUE"""),"Appareil photo")</f>
        <v>Appareil photo</v>
      </c>
      <c r="U63" t="str">
        <f>IFERROR(__xludf.DUMMYFUNCTION("""COMPUTED_VALUE"""),"")</f>
        <v/>
      </c>
      <c r="V63" t="str">
        <f>IFERROR(__xludf.DUMMYFUNCTION("""COMPUTED_VALUE"""),"")</f>
        <v/>
      </c>
      <c r="W63" t="str">
        <f>IFERROR(__xludf.DUMMYFUNCTION("""COMPUTED_VALUE"""),"")</f>
        <v/>
      </c>
      <c r="X63" t="str">
        <f>IFERROR(__xludf.DUMMYFUNCTION("""COMPUTED_VALUE"""),"")</f>
        <v/>
      </c>
      <c r="Y63" t="str">
        <f>IFERROR(__xludf.DUMMYFUNCTION("""COMPUTED_VALUE"""),"")</f>
        <v/>
      </c>
      <c r="Z63" t="str">
        <f>IFERROR(__xludf.DUMMYFUNCTION("""COMPUTED_VALUE"""),"")</f>
        <v/>
      </c>
      <c r="AA63" t="str">
        <f>IFERROR(__xludf.DUMMYFUNCTION("""COMPUTED_VALUE"""),"")</f>
        <v/>
      </c>
      <c r="AB63" t="str">
        <f>IFERROR(__xludf.DUMMYFUNCTION("""COMPUTED_VALUE"""),"")</f>
        <v/>
      </c>
    </row>
    <row r="64">
      <c r="A64" s="2">
        <f>IFERROR(__xludf.DUMMYFUNCTION("""COMPUTED_VALUE"""),43627.91430295139)</f>
        <v>43627.9143</v>
      </c>
      <c r="B64" s="1" t="str">
        <f>IFERROR(__xludf.DUMMYFUNCTION("""COMPUTED_VALUE"""),"J'ui une grosse pute")</f>
        <v>J'ui une grosse pute</v>
      </c>
      <c r="C6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4" s="1" t="str">
        <f>IFERROR(__xludf.DUMMYFUNCTION("""COMPUTED_VALUE"""),"BDA")</f>
        <v>BDA</v>
      </c>
      <c r="E64" s="1">
        <f>IFERROR(__xludf.DUMMYFUNCTION("""COMPUTED_VALUE"""),3.0)</f>
        <v>3</v>
      </c>
      <c r="F64" s="1" t="str">
        <f>IFERROR(__xludf.DUMMYFUNCTION("""COMPUTED_VALUE"""),"Rock, Pop, Kpop")</f>
        <v>Rock, Pop, Kpop</v>
      </c>
      <c r="G64" s="1" t="str">
        <f>IFERROR(__xludf.DUMMYFUNCTION("""COMPUTED_VALUE"""),"Peinture, Musique, Théâtre, Cinéma")</f>
        <v>Peinture, Musique, Théâtre, Cinéma</v>
      </c>
      <c r="H64" s="1" t="str">
        <f>IFERROR(__xludf.DUMMYFUNCTION("""COMPUTED_VALUE"""),"Une fois par jour")</f>
        <v>Une fois par jour</v>
      </c>
      <c r="I64" s="1" t="str">
        <f>IFERROR(__xludf.DUMMYFUNCTION("""COMPUTED_VALUE"""),"Le dimanche à 15h32 s'il fait beau")</f>
        <v>Le dimanche à 15h32 s'il fait beau</v>
      </c>
      <c r="J64" s="1" t="str">
        <f>IFERROR(__xludf.DUMMYFUNCTION("""COMPUTED_VALUE"""),"Pour les autres")</f>
        <v>Pour les autres</v>
      </c>
      <c r="K64" s="1" t="str">
        <f>IFERROR(__xludf.DUMMYFUNCTION("""COMPUTED_VALUE"""),"Pas de sport")</f>
        <v>Pas de sport</v>
      </c>
      <c r="L64" s="1" t="str">
        <f>IFERROR(__xludf.DUMMYFUNCTION("""COMPUTED_VALUE"""),"Alterner entre grec et coquillettes ça compte ?")</f>
        <v>Alterner entre grec et coquillettes ça compte ?</v>
      </c>
      <c r="M64" s="1">
        <f>IFERROR(__xludf.DUMMYFUNCTION("""COMPUTED_VALUE"""),7.0)</f>
        <v>7</v>
      </c>
      <c r="N64" s="1" t="str">
        <f>IFERROR(__xludf.DUMMYFUNCTION("""COMPUTED_VALUE"""),"Une fois par semaine")</f>
        <v>Une fois par semaine</v>
      </c>
      <c r="O64" s="1" t="str">
        <f>IFERROR(__xludf.DUMMYFUNCTION("""COMPUTED_VALUE"""),"Tu te poses dans un coin, chill !!")</f>
        <v>Tu te poses dans un coin, chill !!</v>
      </c>
      <c r="P64" s="1">
        <f>IFERROR(__xludf.DUMMYFUNCTION("""COMPUTED_VALUE"""),2.0)</f>
        <v>2</v>
      </c>
      <c r="Q64" s="1" t="str">
        <f>IFERROR(__xludf.DUMMYFUNCTION("""COMPUTED_VALUE"""),"Non")</f>
        <v>Non</v>
      </c>
      <c r="R64" s="1" t="str">
        <f>IFERROR(__xludf.DUMMYFUNCTION("""COMPUTED_VALUE"""),"Non")</f>
        <v>Non</v>
      </c>
      <c r="S64" s="1" t="str">
        <f>IFERROR(__xludf.DUMMYFUNCTION("""COMPUTED_VALUE"""),"PB-nuage")</f>
        <v>PB-nuage</v>
      </c>
      <c r="T64" s="1" t="str">
        <f>IFERROR(__xludf.DUMMYFUNCTION("""COMPUTED_VALUE"""),"Chapeau de farfadet ")</f>
        <v>Chapeau de farfadet </v>
      </c>
      <c r="U64" t="str">
        <f>IFERROR(__xludf.DUMMYFUNCTION("""COMPUTED_VALUE"""),"")</f>
        <v/>
      </c>
      <c r="V64" t="str">
        <f>IFERROR(__xludf.DUMMYFUNCTION("""COMPUTED_VALUE"""),"")</f>
        <v/>
      </c>
      <c r="W64" t="str">
        <f>IFERROR(__xludf.DUMMYFUNCTION("""COMPUTED_VALUE"""),"")</f>
        <v/>
      </c>
      <c r="X64" t="str">
        <f>IFERROR(__xludf.DUMMYFUNCTION("""COMPUTED_VALUE"""),"")</f>
        <v/>
      </c>
      <c r="Y64" t="str">
        <f>IFERROR(__xludf.DUMMYFUNCTION("""COMPUTED_VALUE"""),"")</f>
        <v/>
      </c>
      <c r="Z64" t="str">
        <f>IFERROR(__xludf.DUMMYFUNCTION("""COMPUTED_VALUE"""),"")</f>
        <v/>
      </c>
      <c r="AA64" t="str">
        <f>IFERROR(__xludf.DUMMYFUNCTION("""COMPUTED_VALUE"""),"")</f>
        <v/>
      </c>
      <c r="AB64" t="str">
        <f>IFERROR(__xludf.DUMMYFUNCTION("""COMPUTED_VALUE"""),"")</f>
        <v/>
      </c>
    </row>
    <row r="65">
      <c r="A65" s="2">
        <f>IFERROR(__xludf.DUMMYFUNCTION("""COMPUTED_VALUE"""),43627.96573019676)</f>
        <v>43627.96573</v>
      </c>
      <c r="B65" s="1" t="str">
        <f>IFERROR(__xludf.DUMMYFUNCTION("""COMPUTED_VALUE"""),"Valentine KEMPF")</f>
        <v>Valentine KEMPF</v>
      </c>
      <c r="C6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5" s="1" t="str">
        <f>IFERROR(__xludf.DUMMYFUNCTION("""COMPUTED_VALUE"""),"BDE")</f>
        <v>BDE</v>
      </c>
      <c r="E65" s="1">
        <f>IFERROR(__xludf.DUMMYFUNCTION("""COMPUTED_VALUE"""),4.0)</f>
        <v>4</v>
      </c>
      <c r="F65" s="1" t="str">
        <f>IFERROR(__xludf.DUMMYFUNCTION("""COMPUTED_VALUE"""),"Rock, Metal, Pop, Musique fançaise, Jazz, Musique classique, Autre")</f>
        <v>Rock, Metal, Pop, Musique fançaise, Jazz, Musique classique, Autre</v>
      </c>
      <c r="G65" s="1" t="str">
        <f>IFERROR(__xludf.DUMMYFUNCTION("""COMPUTED_VALUE"""),"Peinture, Sculpture, Danse, Musique, Théâtre, Cinéma, Graphisme")</f>
        <v>Peinture, Sculpture, Danse, Musique, Théâtre, Cinéma, Graphisme</v>
      </c>
      <c r="H65" s="1" t="str">
        <f>IFERROR(__xludf.DUMMYFUNCTION("""COMPUTED_VALUE"""),"Seulement les soirs de pleine lune")</f>
        <v>Seulement les soirs de pleine lune</v>
      </c>
      <c r="I65" s="1" t="str">
        <f>IFERROR(__xludf.DUMMYFUNCTION("""COMPUTED_VALUE"""),"Une fois par semaine")</f>
        <v>Une fois par semaine</v>
      </c>
      <c r="J65" s="1" t="str">
        <f>IFERROR(__xludf.DUMMYFUNCTION("""COMPUTED_VALUE"""),"Pour le fun")</f>
        <v>Pour le fun</v>
      </c>
      <c r="K65" s="1" t="str">
        <f>IFERROR(__xludf.DUMMYFUNCTION("""COMPUTED_VALUE"""),"Autre")</f>
        <v>Autre</v>
      </c>
      <c r="L65" s="1" t="str">
        <f>IFERROR(__xludf.DUMMYFUNCTION("""COMPUTED_VALUE"""),"Je fais toujours attention à bien manger")</f>
        <v>Je fais toujours attention à bien manger</v>
      </c>
      <c r="M65" s="1">
        <f>IFERROR(__xludf.DUMMYFUNCTION("""COMPUTED_VALUE"""),5.0)</f>
        <v>5</v>
      </c>
      <c r="N65" s="1" t="str">
        <f>IFERROR(__xludf.DUMMYFUNCTION("""COMPUTED_VALUE"""),"Une fois par semaine")</f>
        <v>Une fois par semaine</v>
      </c>
      <c r="O65" s="1" t="str">
        <f>IFERROR(__xludf.DUMMYFUNCTION("""COMPUTED_VALUE"""),"Tu te poses dans un coin, chill !!")</f>
        <v>Tu te poses dans un coin, chill !!</v>
      </c>
      <c r="P65" s="1">
        <f>IFERROR(__xludf.DUMMYFUNCTION("""COMPUTED_VALUE"""),3.0)</f>
        <v>3</v>
      </c>
      <c r="Q65" s="1" t="str">
        <f>IFERROR(__xludf.DUMMYFUNCTION("""COMPUTED_VALUE"""),"Non")</f>
        <v>Non</v>
      </c>
      <c r="R65" s="1" t="str">
        <f>IFERROR(__xludf.DUMMYFUNCTION("""COMPUTED_VALUE"""),"Non")</f>
        <v>Non</v>
      </c>
      <c r="S65" s="1" t="str">
        <f>IFERROR(__xludf.DUMMYFUNCTION("""COMPUTED_VALUE"""),"Summerfaigle")</f>
        <v>Summerfaigle</v>
      </c>
      <c r="T65" s="1" t="str">
        <f>IFERROR(__xludf.DUMMYFUNCTION("""COMPUTED_VALUE"""),"Une sonette de vélo ")</f>
        <v>Une sonette de vélo </v>
      </c>
      <c r="U65" t="str">
        <f>IFERROR(__xludf.DUMMYFUNCTION("""COMPUTED_VALUE"""),"")</f>
        <v/>
      </c>
      <c r="V65" t="str">
        <f>IFERROR(__xludf.DUMMYFUNCTION("""COMPUTED_VALUE"""),"")</f>
        <v/>
      </c>
      <c r="W65" t="str">
        <f>IFERROR(__xludf.DUMMYFUNCTION("""COMPUTED_VALUE"""),"")</f>
        <v/>
      </c>
      <c r="X65" t="str">
        <f>IFERROR(__xludf.DUMMYFUNCTION("""COMPUTED_VALUE"""),"")</f>
        <v/>
      </c>
      <c r="Y65" t="str">
        <f>IFERROR(__xludf.DUMMYFUNCTION("""COMPUTED_VALUE"""),"")</f>
        <v/>
      </c>
      <c r="Z65" t="str">
        <f>IFERROR(__xludf.DUMMYFUNCTION("""COMPUTED_VALUE"""),"")</f>
        <v/>
      </c>
      <c r="AA65" t="str">
        <f>IFERROR(__xludf.DUMMYFUNCTION("""COMPUTED_VALUE"""),"")</f>
        <v/>
      </c>
      <c r="AB65" t="str">
        <f>IFERROR(__xludf.DUMMYFUNCTION("""COMPUTED_VALUE"""),"")</f>
        <v/>
      </c>
    </row>
    <row r="66">
      <c r="A66" s="2">
        <f>IFERROR(__xludf.DUMMYFUNCTION("""COMPUTED_VALUE"""),43628.45620925926)</f>
        <v>43628.45621</v>
      </c>
      <c r="B66" s="1" t="str">
        <f>IFERROR(__xludf.DUMMYFUNCTION("""COMPUTED_VALUE"""),"Charlotte Fosse")</f>
        <v>Charlotte Fosse</v>
      </c>
      <c r="C66" s="1" t="str">
        <f>IFERROR(__xludf.DUMMYFUNCTION("""COMPUTED_VALUE"""),"Le président et un inconnu")</f>
        <v>Le président et un inconnu</v>
      </c>
      <c r="D66" s="1" t="str">
        <f>IFERROR(__xludf.DUMMYFUNCTION("""COMPUTED_VALUE"""),"Pas de liste")</f>
        <v>Pas de liste</v>
      </c>
      <c r="E66" s="1">
        <f>IFERROR(__xludf.DUMMYFUNCTION("""COMPUTED_VALUE"""),2.0)</f>
        <v>2</v>
      </c>
      <c r="F66" s="1" t="str">
        <f>IFERROR(__xludf.DUMMYFUNCTION("""COMPUTED_VALUE"""),"Rock, Electro posée, Pop, Jazz, Musique classique")</f>
        <v>Rock, Electro posée, Pop, Jazz, Musique classique</v>
      </c>
      <c r="G66" s="1" t="str">
        <f>IFERROR(__xludf.DUMMYFUNCTION("""COMPUTED_VALUE"""),"Littérature, Musique, Cinéma")</f>
        <v>Littérature, Musique, Cinéma</v>
      </c>
      <c r="H66" s="1" t="str">
        <f>IFERROR(__xludf.DUMMYFUNCTION("""COMPUTED_VALUE"""),"Seulement les soirs de pleine lune")</f>
        <v>Seulement les soirs de pleine lune</v>
      </c>
      <c r="I66" s="1" t="str">
        <f>IFERROR(__xludf.DUMMYFUNCTION("""COMPUTED_VALUE"""),"Plusieurs fois par semaine")</f>
        <v>Plusieurs fois par semaine</v>
      </c>
      <c r="J66" s="1" t="str">
        <f>IFERROR(__xludf.DUMMYFUNCTION("""COMPUTED_VALUE"""),"Pour la compet")</f>
        <v>Pour la compet</v>
      </c>
      <c r="K66" s="1" t="str">
        <f>IFERROR(__xludf.DUMMYFUNCTION("""COMPUTED_VALUE"""),"Sports de raquette, Autre")</f>
        <v>Sports de raquette, Autre</v>
      </c>
      <c r="L66" s="1" t="str">
        <f>IFERROR(__xludf.DUMMYFUNCTION("""COMPUTED_VALUE"""),"Je fais toujours attention à bien manger")</f>
        <v>Je fais toujours attention à bien manger</v>
      </c>
      <c r="M66" s="1">
        <f>IFERROR(__xludf.DUMMYFUNCTION("""COMPUTED_VALUE"""),7.0)</f>
        <v>7</v>
      </c>
      <c r="N66" s="1" t="str">
        <f>IFERROR(__xludf.DUMMYFUNCTION("""COMPUTED_VALUE"""),"Une fois par semaine")</f>
        <v>Une fois par semaine</v>
      </c>
      <c r="O66" s="1" t="str">
        <f>IFERROR(__xludf.DUMMYFUNCTION("""COMPUTED_VALUE"""),"T'enflammes le dancefloor")</f>
        <v>T'enflammes le dancefloor</v>
      </c>
      <c r="P66" s="1">
        <f>IFERROR(__xludf.DUMMYFUNCTION("""COMPUTED_VALUE"""),1.0)</f>
        <v>1</v>
      </c>
      <c r="Q66" s="1" t="str">
        <f>IFERROR(__xludf.DUMMYFUNCTION("""COMPUTED_VALUE"""),"Oui")</f>
        <v>Oui</v>
      </c>
      <c r="R66" s="1" t="str">
        <f>IFERROR(__xludf.DUMMYFUNCTION("""COMPUTED_VALUE"""),"Non")</f>
        <v>Non</v>
      </c>
      <c r="S66" s="1" t="str">
        <f>IFERROR(__xludf.DUMMYFUNCTION("""COMPUTED_VALUE"""),"Trident X ChaPau")</f>
        <v>Trident X ChaPau</v>
      </c>
      <c r="T66" s="1" t="str">
        <f>IFERROR(__xludf.DUMMYFUNCTION("""COMPUTED_VALUE"""),"Choix en cours")</f>
        <v>Choix en cours</v>
      </c>
      <c r="U66" t="str">
        <f>IFERROR(__xludf.DUMMYFUNCTION("""COMPUTED_VALUE"""),"")</f>
        <v/>
      </c>
      <c r="V66" t="str">
        <f>IFERROR(__xludf.DUMMYFUNCTION("""COMPUTED_VALUE"""),"")</f>
        <v/>
      </c>
      <c r="W66" t="str">
        <f>IFERROR(__xludf.DUMMYFUNCTION("""COMPUTED_VALUE"""),"")</f>
        <v/>
      </c>
      <c r="X66" t="str">
        <f>IFERROR(__xludf.DUMMYFUNCTION("""COMPUTED_VALUE"""),"")</f>
        <v/>
      </c>
      <c r="Y66" t="str">
        <f>IFERROR(__xludf.DUMMYFUNCTION("""COMPUTED_VALUE"""),"")</f>
        <v/>
      </c>
      <c r="Z66" t="str">
        <f>IFERROR(__xludf.DUMMYFUNCTION("""COMPUTED_VALUE"""),"")</f>
        <v/>
      </c>
      <c r="AA66" t="str">
        <f>IFERROR(__xludf.DUMMYFUNCTION("""COMPUTED_VALUE"""),"")</f>
        <v/>
      </c>
      <c r="AB66" t="str">
        <f>IFERROR(__xludf.DUMMYFUNCTION("""COMPUTED_VALUE"""),"")</f>
        <v/>
      </c>
    </row>
    <row r="67">
      <c r="A67" s="2">
        <f>IFERROR(__xludf.DUMMYFUNCTION("""COMPUTED_VALUE"""),43628.66689721065)</f>
        <v>43628.6669</v>
      </c>
      <c r="B67" s="1" t="str">
        <f>IFERROR(__xludf.DUMMYFUNCTION("""COMPUTED_VALUE"""),"Julien LACOUR")</f>
        <v>Julien LACOUR</v>
      </c>
      <c r="C6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7" s="1" t="str">
        <f>IFERROR(__xludf.DUMMYFUNCTION("""COMPUTED_VALUE"""),"BDE")</f>
        <v>BDE</v>
      </c>
      <c r="E67" s="1">
        <f>IFERROR(__xludf.DUMMYFUNCTION("""COMPUTED_VALUE"""),4.0)</f>
        <v>4</v>
      </c>
      <c r="F67" s="1" t="str">
        <f>IFERROR(__xludf.DUMMYFUNCTION("""COMPUTED_VALUE"""),"Rap, Pop")</f>
        <v>Rap, Pop</v>
      </c>
      <c r="G67" s="1" t="str">
        <f>IFERROR(__xludf.DUMMYFUNCTION("""COMPUTED_VALUE"""),"Musique, Cinéma")</f>
        <v>Musique, Cinéma</v>
      </c>
      <c r="H67" s="1" t="str">
        <f>IFERROR(__xludf.DUMMYFUNCTION("""COMPUTED_VALUE"""),"Une fois de temps en temps")</f>
        <v>Une fois de temps en temps</v>
      </c>
      <c r="I67" s="1" t="str">
        <f>IFERROR(__xludf.DUMMYFUNCTION("""COMPUTED_VALUE"""),"Une fois par semaine")</f>
        <v>Une fois par semaine</v>
      </c>
      <c r="J67" s="1" t="str">
        <f>IFERROR(__xludf.DUMMYFUNCTION("""COMPUTED_VALUE"""),"Pour le développement perso et se dépasser")</f>
        <v>Pour le développement perso et se dépasser</v>
      </c>
      <c r="K67" s="1" t="str">
        <f>IFERROR(__xludf.DUMMYFUNCTION("""COMPUTED_VALUE"""),"Sports aquatiques")</f>
        <v>Sports aquatiques</v>
      </c>
      <c r="L67" s="1" t="str">
        <f>IFERROR(__xludf.DUMMYFUNCTION("""COMPUTED_VALUE"""),"Alterner entre grec et coquillettes ça compte ?")</f>
        <v>Alterner entre grec et coquillettes ça compte ?</v>
      </c>
      <c r="M67" s="1">
        <f>IFERROR(__xludf.DUMMYFUNCTION("""COMPUTED_VALUE"""),8.0)</f>
        <v>8</v>
      </c>
      <c r="N67" s="1" t="str">
        <f>IFERROR(__xludf.DUMMYFUNCTION("""COMPUTED_VALUE"""),"Une fois par semaine")</f>
        <v>Une fois par semaine</v>
      </c>
      <c r="O67" s="1" t="str">
        <f>IFERROR(__xludf.DUMMYFUNCTION("""COMPUTED_VALUE"""),"Tu te poses dans un coin, chill !!")</f>
        <v>Tu te poses dans un coin, chill !!</v>
      </c>
      <c r="P67" s="1">
        <f>IFERROR(__xludf.DUMMYFUNCTION("""COMPUTED_VALUE"""),2.0)</f>
        <v>2</v>
      </c>
      <c r="Q67" s="1" t="str">
        <f>IFERROR(__xludf.DUMMYFUNCTION("""COMPUTED_VALUE"""),"Oui")</f>
        <v>Oui</v>
      </c>
      <c r="R67" s="1" t="str">
        <f>IFERROR(__xludf.DUMMYFUNCTION("""COMPUTED_VALUE"""),"Non")</f>
        <v>Non</v>
      </c>
      <c r="S67" s="1" t="str">
        <f>IFERROR(__xludf.DUMMYFUNCTION("""COMPUTED_VALUE"""),"La comté")</f>
        <v>La comté</v>
      </c>
      <c r="T67" s="1" t="str">
        <f>IFERROR(__xludf.DUMMYFUNCTION("""COMPUTED_VALUE"""),"Peluche Snoopy")</f>
        <v>Peluche Snoopy</v>
      </c>
      <c r="U67" t="str">
        <f>IFERROR(__xludf.DUMMYFUNCTION("""COMPUTED_VALUE"""),"")</f>
        <v/>
      </c>
      <c r="V67" t="str">
        <f>IFERROR(__xludf.DUMMYFUNCTION("""COMPUTED_VALUE"""),"")</f>
        <v/>
      </c>
      <c r="W67" t="str">
        <f>IFERROR(__xludf.DUMMYFUNCTION("""COMPUTED_VALUE"""),"")</f>
        <v/>
      </c>
      <c r="X67" t="str">
        <f>IFERROR(__xludf.DUMMYFUNCTION("""COMPUTED_VALUE"""),"")</f>
        <v/>
      </c>
      <c r="Y67" t="str">
        <f>IFERROR(__xludf.DUMMYFUNCTION("""COMPUTED_VALUE"""),"")</f>
        <v/>
      </c>
      <c r="Z67" t="str">
        <f>IFERROR(__xludf.DUMMYFUNCTION("""COMPUTED_VALUE"""),"")</f>
        <v/>
      </c>
      <c r="AA67" t="str">
        <f>IFERROR(__xludf.DUMMYFUNCTION("""COMPUTED_VALUE"""),"")</f>
        <v/>
      </c>
      <c r="AB67" t="str">
        <f>IFERROR(__xludf.DUMMYFUNCTION("""COMPUTED_VALUE"""),"")</f>
        <v/>
      </c>
    </row>
    <row r="68">
      <c r="A68" s="2">
        <f>IFERROR(__xludf.DUMMYFUNCTION("""COMPUTED_VALUE"""),43628.67907050926)</f>
        <v>43628.67907</v>
      </c>
      <c r="B68" s="1" t="str">
        <f>IFERROR(__xludf.DUMMYFUNCTION("""COMPUTED_VALUE"""),"Irène Le Borgne")</f>
        <v>Irène Le Borgne</v>
      </c>
      <c r="C68" s="1" t="str">
        <f>IFERROR(__xludf.DUMMYFUNCTION("""COMPUTED_VALUE"""),"Deux inconnus")</f>
        <v>Deux inconnus</v>
      </c>
      <c r="D68" s="1" t="str">
        <f>IFERROR(__xludf.DUMMYFUNCTION("""COMPUTED_VALUE"""),"BDE")</f>
        <v>BDE</v>
      </c>
      <c r="E68" s="1">
        <f>IFERROR(__xludf.DUMMYFUNCTION("""COMPUTED_VALUE"""),3.0)</f>
        <v>3</v>
      </c>
      <c r="F68" s="1" t="str">
        <f>IFERROR(__xludf.DUMMYFUNCTION("""COMPUTED_VALUE"""),"Rock, Rap, Pop, Jazz")</f>
        <v>Rock, Rap, Pop, Jazz</v>
      </c>
      <c r="G68" s="1" t="str">
        <f>IFERROR(__xludf.DUMMYFUNCTION("""COMPUTED_VALUE"""),"Littérature, Musique, Cinéma")</f>
        <v>Littérature, Musique, Cinéma</v>
      </c>
      <c r="H68" s="1" t="str">
        <f>IFERROR(__xludf.DUMMYFUNCTION("""COMPUTED_VALUE"""),"Seulement les soirs de pleine lune")</f>
        <v>Seulement les soirs de pleine lune</v>
      </c>
      <c r="I68" s="1" t="str">
        <f>IFERROR(__xludf.DUMMYFUNCTION("""COMPUTED_VALUE"""),"Plusieurs fois par semaine")</f>
        <v>Plusieurs fois par semaine</v>
      </c>
      <c r="J68" s="1" t="str">
        <f>IFERROR(__xludf.DUMMYFUNCTION("""COMPUTED_VALUE"""),"Pour le fun")</f>
        <v>Pour le fun</v>
      </c>
      <c r="K68" s="1" t="str">
        <f>IFERROR(__xludf.DUMMYFUNCTION("""COMPUTED_VALUE"""),"Sports collectifs")</f>
        <v>Sports collectifs</v>
      </c>
      <c r="L68" s="1" t="str">
        <f>IFERROR(__xludf.DUMMYFUNCTION("""COMPUTED_VALUE"""),"J'aime cuisiner le WE ou quand j'ai le temps")</f>
        <v>J'aime cuisiner le WE ou quand j'ai le temps</v>
      </c>
      <c r="M68" s="1">
        <f>IFERROR(__xludf.DUMMYFUNCTION("""COMPUTED_VALUE"""),7.0)</f>
        <v>7</v>
      </c>
      <c r="N68" s="1" t="str">
        <f>IFERROR(__xludf.DUMMYFUNCTION("""COMPUTED_VALUE"""),"Plusieurs fois par semaine")</f>
        <v>Plusieurs fois par semaine</v>
      </c>
      <c r="O68" s="1" t="str">
        <f>IFERROR(__xludf.DUMMYFUNCTION("""COMPUTED_VALUE"""),"T'enflammes le dancefloor")</f>
        <v>T'enflammes le dancefloor</v>
      </c>
      <c r="P68" s="1">
        <f>IFERROR(__xludf.DUMMYFUNCTION("""COMPUTED_VALUE"""),3.0)</f>
        <v>3</v>
      </c>
      <c r="Q68" s="1" t="str">
        <f>IFERROR(__xludf.DUMMYFUNCTION("""COMPUTED_VALUE"""),"Oui")</f>
        <v>Oui</v>
      </c>
      <c r="R68" s="1" t="str">
        <f>IFERROR(__xludf.DUMMYFUNCTION("""COMPUTED_VALUE"""),"Non")</f>
        <v>Non</v>
      </c>
      <c r="S68" s="1" t="str">
        <f>IFERROR(__xludf.DUMMYFUNCTION("""COMPUTED_VALUE"""),"Les domineurs")</f>
        <v>Les domineurs</v>
      </c>
      <c r="T68" s="1" t="str">
        <f>IFERROR(__xludf.DUMMYFUNCTION("""COMPUTED_VALUE"""),"Un kway orange")</f>
        <v>Un kway orange</v>
      </c>
      <c r="U68" t="str">
        <f>IFERROR(__xludf.DUMMYFUNCTION("""COMPUTED_VALUE"""),"")</f>
        <v/>
      </c>
      <c r="V68" t="str">
        <f>IFERROR(__xludf.DUMMYFUNCTION("""COMPUTED_VALUE"""),"")</f>
        <v/>
      </c>
      <c r="W68" t="str">
        <f>IFERROR(__xludf.DUMMYFUNCTION("""COMPUTED_VALUE"""),"")</f>
        <v/>
      </c>
      <c r="X68" t="str">
        <f>IFERROR(__xludf.DUMMYFUNCTION("""COMPUTED_VALUE"""),"")</f>
        <v/>
      </c>
      <c r="Y68" t="str">
        <f>IFERROR(__xludf.DUMMYFUNCTION("""COMPUTED_VALUE"""),"")</f>
        <v/>
      </c>
      <c r="Z68" t="str">
        <f>IFERROR(__xludf.DUMMYFUNCTION("""COMPUTED_VALUE"""),"")</f>
        <v/>
      </c>
      <c r="AA68" t="str">
        <f>IFERROR(__xludf.DUMMYFUNCTION("""COMPUTED_VALUE"""),"")</f>
        <v/>
      </c>
      <c r="AB68" t="str">
        <f>IFERROR(__xludf.DUMMYFUNCTION("""COMPUTED_VALUE"""),"")</f>
        <v/>
      </c>
    </row>
    <row r="69">
      <c r="A69" s="2">
        <f>IFERROR(__xludf.DUMMYFUNCTION("""COMPUTED_VALUE"""),43628.71466922454)</f>
        <v>43628.71467</v>
      </c>
      <c r="B69" s="1" t="str">
        <f>IFERROR(__xludf.DUMMYFUNCTION("""COMPUTED_VALUE"""),"Aurélien DE LA HOUGUE")</f>
        <v>Aurélien DE LA HOUGUE</v>
      </c>
      <c r="C6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69" s="1" t="str">
        <f>IFERROR(__xludf.DUMMYFUNCTION("""COMPUTED_VALUE"""),"BDE")</f>
        <v>BDE</v>
      </c>
      <c r="E69" s="1">
        <f>IFERROR(__xludf.DUMMYFUNCTION("""COMPUTED_VALUE"""),5.0)</f>
        <v>5</v>
      </c>
      <c r="F69" s="1" t="str">
        <f>IFERROR(__xludf.DUMMYFUNCTION("""COMPUTED_VALUE"""),"Rock, Pop, Musique fançaise")</f>
        <v>Rock, Pop, Musique fançaise</v>
      </c>
      <c r="G69" s="1" t="str">
        <f>IFERROR(__xludf.DUMMYFUNCTION("""COMPUTED_VALUE"""),"Littérature, Sculpture, Danse, Cinéma")</f>
        <v>Littérature, Sculpture, Danse, Cinéma</v>
      </c>
      <c r="H69" s="1" t="str">
        <f>IFERROR(__xludf.DUMMYFUNCTION("""COMPUTED_VALUE"""),"Une fois de temps en temps")</f>
        <v>Une fois de temps en temps</v>
      </c>
      <c r="I69" s="1" t="str">
        <f>IFERROR(__xludf.DUMMYFUNCTION("""COMPUTED_VALUE"""),"Plusieurs fois par semaine")</f>
        <v>Plusieurs fois par semaine</v>
      </c>
      <c r="J69" s="1" t="str">
        <f>IFERROR(__xludf.DUMMYFUNCTION("""COMPUTED_VALUE"""),"Pour le développement perso et se dépasser")</f>
        <v>Pour le développement perso et se dépasser</v>
      </c>
      <c r="K69" s="1" t="str">
        <f>IFERROR(__xludf.DUMMYFUNCTION("""COMPUTED_VALUE"""),"Voile, Autre")</f>
        <v>Voile, Autre</v>
      </c>
      <c r="L69" s="1" t="str">
        <f>IFERROR(__xludf.DUMMYFUNCTION("""COMPUTED_VALUE"""),"Oh oui, et les trucs bien gras ça me connait !")</f>
        <v>Oh oui, et les trucs bien gras ça me connait !</v>
      </c>
      <c r="M69" s="1">
        <f>IFERROR(__xludf.DUMMYFUNCTION("""COMPUTED_VALUE"""),5.0)</f>
        <v>5</v>
      </c>
      <c r="N69" s="1" t="str">
        <f>IFERROR(__xludf.DUMMYFUNCTION("""COMPUTED_VALUE"""),"Une fois par mois")</f>
        <v>Une fois par mois</v>
      </c>
      <c r="O69" s="1" t="str">
        <f>IFERROR(__xludf.DUMMYFUNCTION("""COMPUTED_VALUE"""),"Tu te poses dans un coin, chill !!")</f>
        <v>Tu te poses dans un coin, chill !!</v>
      </c>
      <c r="P69" s="1">
        <f>IFERROR(__xludf.DUMMYFUNCTION("""COMPUTED_VALUE"""),1.0)</f>
        <v>1</v>
      </c>
      <c r="Q69" s="1" t="str">
        <f>IFERROR(__xludf.DUMMYFUNCTION("""COMPUTED_VALUE"""),"Non")</f>
        <v>Non</v>
      </c>
      <c r="R69" s="1" t="str">
        <f>IFERROR(__xludf.DUMMYFUNCTION("""COMPUTED_VALUE"""),"Non")</f>
        <v>Non</v>
      </c>
      <c r="S69" s="1" t="str">
        <f>IFERROR(__xludf.DUMMYFUNCTION("""COMPUTED_VALUE"""),"Trident x ChaPau ")</f>
        <v>Trident x ChaPau </v>
      </c>
      <c r="T69" s="1" t="str">
        <f>IFERROR(__xludf.DUMMYFUNCTION("""COMPUTED_VALUE"""),"Une spirale hypnotisante")</f>
        <v>Une spirale hypnotisante</v>
      </c>
      <c r="U69" t="str">
        <f>IFERROR(__xludf.DUMMYFUNCTION("""COMPUTED_VALUE"""),"")</f>
        <v/>
      </c>
      <c r="V69" t="str">
        <f>IFERROR(__xludf.DUMMYFUNCTION("""COMPUTED_VALUE"""),"")</f>
        <v/>
      </c>
      <c r="W69" t="str">
        <f>IFERROR(__xludf.DUMMYFUNCTION("""COMPUTED_VALUE"""),"")</f>
        <v/>
      </c>
      <c r="X69" t="str">
        <f>IFERROR(__xludf.DUMMYFUNCTION("""COMPUTED_VALUE"""),"")</f>
        <v/>
      </c>
      <c r="Y69" t="str">
        <f>IFERROR(__xludf.DUMMYFUNCTION("""COMPUTED_VALUE"""),"")</f>
        <v/>
      </c>
      <c r="Z69" t="str">
        <f>IFERROR(__xludf.DUMMYFUNCTION("""COMPUTED_VALUE"""),"")</f>
        <v/>
      </c>
      <c r="AA69" t="str">
        <f>IFERROR(__xludf.DUMMYFUNCTION("""COMPUTED_VALUE"""),"")</f>
        <v/>
      </c>
      <c r="AB69" t="str">
        <f>IFERROR(__xludf.DUMMYFUNCTION("""COMPUTED_VALUE"""),"")</f>
        <v/>
      </c>
    </row>
    <row r="70">
      <c r="A70" s="2">
        <f>IFERROR(__xludf.DUMMYFUNCTION("""COMPUTED_VALUE"""),43628.71848671296)</f>
        <v>43628.71849</v>
      </c>
      <c r="B70" s="1" t="str">
        <f>IFERROR(__xludf.DUMMYFUNCTION("""COMPUTED_VALUE"""),"Matthieu BARCET")</f>
        <v>Matthieu BARCET</v>
      </c>
      <c r="C7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0" s="1" t="str">
        <f>IFERROR(__xludf.DUMMYFUNCTION("""COMPUTED_VALUE"""),"BDE")</f>
        <v>BDE</v>
      </c>
      <c r="E70" s="1">
        <f>IFERROR(__xludf.DUMMYFUNCTION("""COMPUTED_VALUE"""),4.0)</f>
        <v>4</v>
      </c>
      <c r="F70" s="1" t="str">
        <f>IFERROR(__xludf.DUMMYFUNCTION("""COMPUTED_VALUE"""),"Rock, Metal, Musique fançaise")</f>
        <v>Rock, Metal, Musique fançaise</v>
      </c>
      <c r="G70" s="1" t="str">
        <f>IFERROR(__xludf.DUMMYFUNCTION("""COMPUTED_VALUE"""),"Littérature, Cinéma")</f>
        <v>Littérature, Cinéma</v>
      </c>
      <c r="H70" s="1" t="str">
        <f>IFERROR(__xludf.DUMMYFUNCTION("""COMPUTED_VALUE"""),"Une fois de temps en temps")</f>
        <v>Une fois de temps en temps</v>
      </c>
      <c r="I70" s="1" t="str">
        <f>IFERROR(__xludf.DUMMYFUNCTION("""COMPUTED_VALUE"""),"Plusieurs fois par semaine")</f>
        <v>Plusieurs fois par semaine</v>
      </c>
      <c r="J70" s="1" t="str">
        <f>IFERROR(__xludf.DUMMYFUNCTION("""COMPUTED_VALUE"""),"Pour le développement perso et se dépasser")</f>
        <v>Pour le développement perso et se dépasser</v>
      </c>
      <c r="K70" s="1" t="str">
        <f>IFERROR(__xludf.DUMMYFUNCTION("""COMPUTED_VALUE"""),"Sports collectifs, Sports de raquette, Voile, Escalade, Autre")</f>
        <v>Sports collectifs, Sports de raquette, Voile, Escalade, Autre</v>
      </c>
      <c r="L70" s="1" t="str">
        <f>IFERROR(__xludf.DUMMYFUNCTION("""COMPUTED_VALUE"""),"Oh oui, et les trucs bien gras ça me connait !")</f>
        <v>Oh oui, et les trucs bien gras ça me connait !</v>
      </c>
      <c r="M70" s="1">
        <f>IFERROR(__xludf.DUMMYFUNCTION("""COMPUTED_VALUE"""),5.0)</f>
        <v>5</v>
      </c>
      <c r="N70" s="1" t="str">
        <f>IFERROR(__xludf.DUMMYFUNCTION("""COMPUTED_VALUE"""),"Une fois par semaine")</f>
        <v>Une fois par semaine</v>
      </c>
      <c r="O70" s="1" t="str">
        <f>IFERROR(__xludf.DUMMYFUNCTION("""COMPUTED_VALUE"""),"Tu te poses dans un coin, chill !!")</f>
        <v>Tu te poses dans un coin, chill !!</v>
      </c>
      <c r="P70" s="1">
        <f>IFERROR(__xludf.DUMMYFUNCTION("""COMPUTED_VALUE"""),1.0)</f>
        <v>1</v>
      </c>
      <c r="Q70" s="1" t="str">
        <f>IFERROR(__xludf.DUMMYFUNCTION("""COMPUTED_VALUE"""),"Non")</f>
        <v>Non</v>
      </c>
      <c r="R70" s="1" t="str">
        <f>IFERROR(__xludf.DUMMYFUNCTION("""COMPUTED_VALUE"""),"Non")</f>
        <v>Non</v>
      </c>
      <c r="S70" s="1" t="str">
        <f>IFERROR(__xludf.DUMMYFUNCTION("""COMPUTED_VALUE"""),"Trident x ChaPau")</f>
        <v>Trident x ChaPau</v>
      </c>
      <c r="T70" s="1" t="str">
        <f>IFERROR(__xludf.DUMMYFUNCTION("""COMPUTED_VALUE"""),"Un bout de voile")</f>
        <v>Un bout de voile</v>
      </c>
      <c r="U70" t="str">
        <f>IFERROR(__xludf.DUMMYFUNCTION("""COMPUTED_VALUE"""),"")</f>
        <v/>
      </c>
      <c r="V70" t="str">
        <f>IFERROR(__xludf.DUMMYFUNCTION("""COMPUTED_VALUE"""),"")</f>
        <v/>
      </c>
      <c r="W70" t="str">
        <f>IFERROR(__xludf.DUMMYFUNCTION("""COMPUTED_VALUE"""),"")</f>
        <v/>
      </c>
      <c r="X70" t="str">
        <f>IFERROR(__xludf.DUMMYFUNCTION("""COMPUTED_VALUE"""),"")</f>
        <v/>
      </c>
      <c r="Y70" t="str">
        <f>IFERROR(__xludf.DUMMYFUNCTION("""COMPUTED_VALUE"""),"")</f>
        <v/>
      </c>
      <c r="Z70" t="str">
        <f>IFERROR(__xludf.DUMMYFUNCTION("""COMPUTED_VALUE"""),"")</f>
        <v/>
      </c>
      <c r="AA70" t="str">
        <f>IFERROR(__xludf.DUMMYFUNCTION("""COMPUTED_VALUE"""),"")</f>
        <v/>
      </c>
      <c r="AB70" t="str">
        <f>IFERROR(__xludf.DUMMYFUNCTION("""COMPUTED_VALUE"""),"")</f>
        <v/>
      </c>
    </row>
    <row r="71">
      <c r="A71" s="2">
        <f>IFERROR(__xludf.DUMMYFUNCTION("""COMPUTED_VALUE"""),43628.72189568287)</f>
        <v>43628.7219</v>
      </c>
      <c r="B71" s="1" t="str">
        <f>IFERROR(__xludf.DUMMYFUNCTION("""COMPUTED_VALUE"""),"Marie VIOLLEAU")</f>
        <v>Marie VIOLLEAU</v>
      </c>
      <c r="C71" s="1" t="str">
        <f>IFERROR(__xludf.DUMMYFUNCTION("""COMPUTED_VALUE"""),"Le président et un inconnu")</f>
        <v>Le président et un inconnu</v>
      </c>
      <c r="D71" s="1" t="str">
        <f>IFERROR(__xludf.DUMMYFUNCTION("""COMPUTED_VALUE"""),"BDS")</f>
        <v>BDS</v>
      </c>
      <c r="E71" s="1">
        <f>IFERROR(__xludf.DUMMYFUNCTION("""COMPUTED_VALUE"""),3.0)</f>
        <v>3</v>
      </c>
      <c r="F71" s="1" t="str">
        <f>IFERROR(__xludf.DUMMYFUNCTION("""COMPUTED_VALUE"""),"Rap, Pop, Musique fançaise, Jazz, Musique classique, Autre")</f>
        <v>Rap, Pop, Musique fançaise, Jazz, Musique classique, Autre</v>
      </c>
      <c r="G71" s="1" t="str">
        <f>IFERROR(__xludf.DUMMYFUNCTION("""COMPUTED_VALUE"""),"Pas du tout")</f>
        <v>Pas du tout</v>
      </c>
      <c r="H71" s="1" t="str">
        <f>IFERROR(__xludf.DUMMYFUNCTION("""COMPUTED_VALUE"""),"Seulement les soirs de pleine lune")</f>
        <v>Seulement les soirs de pleine lune</v>
      </c>
      <c r="I71" s="1" t="str">
        <f>IFERROR(__xludf.DUMMYFUNCTION("""COMPUTED_VALUE"""),"Plusieurs fois par semaine")</f>
        <v>Plusieurs fois par semaine</v>
      </c>
      <c r="J71" s="1" t="str">
        <f>IFERROR(__xludf.DUMMYFUNCTION("""COMPUTED_VALUE"""),"Pour la compet")</f>
        <v>Pour la compet</v>
      </c>
      <c r="K71" s="1" t="str">
        <f>IFERROR(__xludf.DUMMYFUNCTION("""COMPUTED_VALUE"""),"Sports collectifs")</f>
        <v>Sports collectifs</v>
      </c>
      <c r="L71" s="1" t="str">
        <f>IFERROR(__xludf.DUMMYFUNCTION("""COMPUTED_VALUE"""),"Je fais toujours attention à bien manger")</f>
        <v>Je fais toujours attention à bien manger</v>
      </c>
      <c r="M71" s="1">
        <f>IFERROR(__xludf.DUMMYFUNCTION("""COMPUTED_VALUE"""),2.0)</f>
        <v>2</v>
      </c>
      <c r="N71" s="1" t="str">
        <f>IFERROR(__xludf.DUMMYFUNCTION("""COMPUTED_VALUE"""),"Une fois par mois")</f>
        <v>Une fois par mois</v>
      </c>
      <c r="O71" s="1" t="str">
        <f>IFERROR(__xludf.DUMMYFUNCTION("""COMPUTED_VALUE"""),"Tu te poses dans un coin, chill !!")</f>
        <v>Tu te poses dans un coin, chill !!</v>
      </c>
      <c r="P71" s="1">
        <f>IFERROR(__xludf.DUMMYFUNCTION("""COMPUTED_VALUE"""),1.0)</f>
        <v>1</v>
      </c>
      <c r="Q71" s="1" t="str">
        <f>IFERROR(__xludf.DUMMYFUNCTION("""COMPUTED_VALUE"""),"Oui")</f>
        <v>Oui</v>
      </c>
      <c r="R71" s="1" t="str">
        <f>IFERROR(__xludf.DUMMYFUNCTION("""COMPUTED_VALUE"""),"Non")</f>
        <v>Non</v>
      </c>
      <c r="S71" s="1" t="str">
        <f>IFERROR(__xludf.DUMMYFUNCTION("""COMPUTED_VALUE"""),"gallerie++")</f>
        <v>gallerie++</v>
      </c>
      <c r="T71" s="1" t="str">
        <f>IFERROR(__xludf.DUMMYFUNCTION("""COMPUTED_VALUE"""),"Une béquille ")</f>
        <v>Une béquille </v>
      </c>
      <c r="U71" t="str">
        <f>IFERROR(__xludf.DUMMYFUNCTION("""COMPUTED_VALUE"""),"")</f>
        <v/>
      </c>
      <c r="V71" t="str">
        <f>IFERROR(__xludf.DUMMYFUNCTION("""COMPUTED_VALUE"""),"")</f>
        <v/>
      </c>
      <c r="W71" t="str">
        <f>IFERROR(__xludf.DUMMYFUNCTION("""COMPUTED_VALUE"""),"")</f>
        <v/>
      </c>
      <c r="X71" t="str">
        <f>IFERROR(__xludf.DUMMYFUNCTION("""COMPUTED_VALUE"""),"")</f>
        <v/>
      </c>
      <c r="Y71" t="str">
        <f>IFERROR(__xludf.DUMMYFUNCTION("""COMPUTED_VALUE"""),"")</f>
        <v/>
      </c>
      <c r="Z71" t="str">
        <f>IFERROR(__xludf.DUMMYFUNCTION("""COMPUTED_VALUE"""),"")</f>
        <v/>
      </c>
      <c r="AA71" t="str">
        <f>IFERROR(__xludf.DUMMYFUNCTION("""COMPUTED_VALUE"""),"")</f>
        <v/>
      </c>
      <c r="AB71" t="str">
        <f>IFERROR(__xludf.DUMMYFUNCTION("""COMPUTED_VALUE"""),"")</f>
        <v/>
      </c>
    </row>
    <row r="72">
      <c r="A72" s="52">
        <f>IFERROR(__xludf.DUMMYFUNCTION("""COMPUTED_VALUE"""),43628.728663726855)</f>
        <v>43628.72866</v>
      </c>
      <c r="B72" t="str">
        <f>IFERROR(__xludf.DUMMYFUNCTION("""COMPUTED_VALUE"""),"Mathieu ZACH")</f>
        <v>Mathieu ZACH</v>
      </c>
      <c r="C72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2" t="str">
        <f>IFERROR(__xludf.DUMMYFUNCTION("""COMPUTED_VALUE"""),"BDS")</f>
        <v>BDS</v>
      </c>
      <c r="E72">
        <f>IFERROR(__xludf.DUMMYFUNCTION("""COMPUTED_VALUE"""),4.0)</f>
        <v>4</v>
      </c>
      <c r="F72" t="str">
        <f>IFERROR(__xludf.DUMMYFUNCTION("""COMPUTED_VALUE"""),"Rock, Electro posée, Rap, Pop, Musique fançaise, Jazz, Musique classique, Autre")</f>
        <v>Rock, Electro posée, Rap, Pop, Musique fançaise, Jazz, Musique classique, Autre</v>
      </c>
      <c r="G72" t="str">
        <f>IFERROR(__xludf.DUMMYFUNCTION("""COMPUTED_VALUE"""),"Musique, Cinéma, Autre")</f>
        <v>Musique, Cinéma, Autre</v>
      </c>
      <c r="H72" t="str">
        <f>IFERROR(__xludf.DUMMYFUNCTION("""COMPUTED_VALUE"""),"Une fois de temps en temps")</f>
        <v>Une fois de temps en temps</v>
      </c>
      <c r="I72" t="str">
        <f>IFERROR(__xludf.DUMMYFUNCTION("""COMPUTED_VALUE"""),"Plusieurs fois par semaine")</f>
        <v>Plusieurs fois par semaine</v>
      </c>
      <c r="J72" t="str">
        <f>IFERROR(__xludf.DUMMYFUNCTION("""COMPUTED_VALUE"""),"Pour le développement perso et se dépasser")</f>
        <v>Pour le développement perso et se dépasser</v>
      </c>
      <c r="K72" t="str">
        <f>IFERROR(__xludf.DUMMYFUNCTION("""COMPUTED_VALUE"""),"Sports collectifs, Sports de combat, Autre")</f>
        <v>Sports collectifs, Sports de combat, Autre</v>
      </c>
      <c r="L72" t="str">
        <f>IFERROR(__xludf.DUMMYFUNCTION("""COMPUTED_VALUE"""),"Oh oui, et les trucs bien gras ça me connait !")</f>
        <v>Oh oui, et les trucs bien gras ça me connait !</v>
      </c>
      <c r="M72">
        <f>IFERROR(__xludf.DUMMYFUNCTION("""COMPUTED_VALUE"""),6.0)</f>
        <v>6</v>
      </c>
      <c r="N72" t="str">
        <f>IFERROR(__xludf.DUMMYFUNCTION("""COMPUTED_VALUE"""),"Une fois par semaine")</f>
        <v>Une fois par semaine</v>
      </c>
      <c r="O72" t="str">
        <f>IFERROR(__xludf.DUMMYFUNCTION("""COMPUTED_VALUE"""),"T'enflammes le dancefloor")</f>
        <v>T'enflammes le dancefloor</v>
      </c>
      <c r="P72">
        <f>IFERROR(__xludf.DUMMYFUNCTION("""COMPUTED_VALUE"""),1.0)</f>
        <v>1</v>
      </c>
      <c r="Q72" t="str">
        <f>IFERROR(__xludf.DUMMYFUNCTION("""COMPUTED_VALUE"""),"Non")</f>
        <v>Non</v>
      </c>
      <c r="R72" t="str">
        <f>IFERROR(__xludf.DUMMYFUNCTION("""COMPUTED_VALUE"""),"Non")</f>
        <v>Non</v>
      </c>
      <c r="S72" t="str">
        <f>IFERROR(__xludf.DUMMYFUNCTION("""COMPUTED_VALUE"""),"galerie ++")</f>
        <v>galerie ++</v>
      </c>
      <c r="T72" t="str">
        <f>IFERROR(__xludf.DUMMYFUNCTION("""COMPUTED_VALUE"""),"Poster sympathique ")</f>
        <v>Poster sympathique </v>
      </c>
      <c r="U72" t="str">
        <f>IFERROR(__xludf.DUMMYFUNCTION("""COMPUTED_VALUE"""),"")</f>
        <v/>
      </c>
      <c r="V72" t="str">
        <f>IFERROR(__xludf.DUMMYFUNCTION("""COMPUTED_VALUE"""),"")</f>
        <v/>
      </c>
      <c r="W72" t="str">
        <f>IFERROR(__xludf.DUMMYFUNCTION("""COMPUTED_VALUE"""),"")</f>
        <v/>
      </c>
      <c r="X72" t="str">
        <f>IFERROR(__xludf.DUMMYFUNCTION("""COMPUTED_VALUE"""),"")</f>
        <v/>
      </c>
      <c r="Y72" t="str">
        <f>IFERROR(__xludf.DUMMYFUNCTION("""COMPUTED_VALUE"""),"")</f>
        <v/>
      </c>
      <c r="Z72" t="str">
        <f>IFERROR(__xludf.DUMMYFUNCTION("""COMPUTED_VALUE"""),"")</f>
        <v/>
      </c>
      <c r="AA72" t="str">
        <f>IFERROR(__xludf.DUMMYFUNCTION("""COMPUTED_VALUE"""),"")</f>
        <v/>
      </c>
      <c r="AB72" t="str">
        <f>IFERROR(__xludf.DUMMYFUNCTION("""COMPUTED_VALUE"""),"")</f>
        <v/>
      </c>
    </row>
    <row r="73">
      <c r="A73" s="52">
        <f>IFERROR(__xludf.DUMMYFUNCTION("""COMPUTED_VALUE"""),43628.73207828704)</f>
        <v>43628.73208</v>
      </c>
      <c r="B73" t="str">
        <f>IFERROR(__xludf.DUMMYFUNCTION("""COMPUTED_VALUE"""),"Iris PROUST")</f>
        <v>Iris PROUST</v>
      </c>
      <c r="C73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3" t="str">
        <f>IFERROR(__xludf.DUMMYFUNCTION("""COMPUTED_VALUE"""),"BDS")</f>
        <v>BDS</v>
      </c>
      <c r="E73">
        <f>IFERROR(__xludf.DUMMYFUNCTION("""COMPUTED_VALUE"""),4.0)</f>
        <v>4</v>
      </c>
      <c r="F73" t="str">
        <f>IFERROR(__xludf.DUMMYFUNCTION("""COMPUTED_VALUE"""),"Electro posée, Rap, Pop, Musique fançaise")</f>
        <v>Electro posée, Rap, Pop, Musique fançaise</v>
      </c>
      <c r="G73" t="str">
        <f>IFERROR(__xludf.DUMMYFUNCTION("""COMPUTED_VALUE"""),"Musique, Cinéma")</f>
        <v>Musique, Cinéma</v>
      </c>
      <c r="H73" t="str">
        <f>IFERROR(__xludf.DUMMYFUNCTION("""COMPUTED_VALUE"""),"Une fois de temps en temps")</f>
        <v>Une fois de temps en temps</v>
      </c>
      <c r="I73" t="str">
        <f>IFERROR(__xludf.DUMMYFUNCTION("""COMPUTED_VALUE"""),"Plusieurs fois par semaine")</f>
        <v>Plusieurs fois par semaine</v>
      </c>
      <c r="J73" t="str">
        <f>IFERROR(__xludf.DUMMYFUNCTION("""COMPUTED_VALUE"""),"Pour le fun")</f>
        <v>Pour le fun</v>
      </c>
      <c r="K73" t="str">
        <f>IFERROR(__xludf.DUMMYFUNCTION("""COMPUTED_VALUE"""),"Sports collectifs, Sports de rames")</f>
        <v>Sports collectifs, Sports de rames</v>
      </c>
      <c r="L73" t="str">
        <f>IFERROR(__xludf.DUMMYFUNCTION("""COMPUTED_VALUE"""),"Je fais toujours attention à bien manger")</f>
        <v>Je fais toujours attention à bien manger</v>
      </c>
      <c r="M73">
        <f>IFERROR(__xludf.DUMMYFUNCTION("""COMPUTED_VALUE"""),8.0)</f>
        <v>8</v>
      </c>
      <c r="N73" t="str">
        <f>IFERROR(__xludf.DUMMYFUNCTION("""COMPUTED_VALUE"""),"Une fois par semaine")</f>
        <v>Une fois par semaine</v>
      </c>
      <c r="O73" t="str">
        <f>IFERROR(__xludf.DUMMYFUNCTION("""COMPUTED_VALUE"""),"Tu te poses dans un coin, chill !!")</f>
        <v>Tu te poses dans un coin, chill !!</v>
      </c>
      <c r="P73">
        <f>IFERROR(__xludf.DUMMYFUNCTION("""COMPUTED_VALUE"""),2.0)</f>
        <v>2</v>
      </c>
      <c r="Q73" t="str">
        <f>IFERROR(__xludf.DUMMYFUNCTION("""COMPUTED_VALUE"""),"Non")</f>
        <v>Non</v>
      </c>
      <c r="R73" t="str">
        <f>IFERROR(__xludf.DUMMYFUNCTION("""COMPUTED_VALUE"""),"Non")</f>
        <v>Non</v>
      </c>
      <c r="S73" t="str">
        <f>IFERROR(__xludf.DUMMYFUNCTION("""COMPUTED_VALUE"""),"galerie ++")</f>
        <v>galerie ++</v>
      </c>
      <c r="T73" t="str">
        <f>IFERROR(__xludf.DUMMYFUNCTION("""COMPUTED_VALUE"""),"cannelés")</f>
        <v>cannelés</v>
      </c>
      <c r="U73" t="str">
        <f>IFERROR(__xludf.DUMMYFUNCTION("""COMPUTED_VALUE"""),"")</f>
        <v/>
      </c>
      <c r="V73" t="str">
        <f>IFERROR(__xludf.DUMMYFUNCTION("""COMPUTED_VALUE"""),"")</f>
        <v/>
      </c>
      <c r="W73" t="str">
        <f>IFERROR(__xludf.DUMMYFUNCTION("""COMPUTED_VALUE"""),"")</f>
        <v/>
      </c>
      <c r="X73" t="str">
        <f>IFERROR(__xludf.DUMMYFUNCTION("""COMPUTED_VALUE"""),"")</f>
        <v/>
      </c>
      <c r="Y73" t="str">
        <f>IFERROR(__xludf.DUMMYFUNCTION("""COMPUTED_VALUE"""),"")</f>
        <v/>
      </c>
      <c r="Z73" t="str">
        <f>IFERROR(__xludf.DUMMYFUNCTION("""COMPUTED_VALUE"""),"")</f>
        <v/>
      </c>
      <c r="AA73" t="str">
        <f>IFERROR(__xludf.DUMMYFUNCTION("""COMPUTED_VALUE"""),"")</f>
        <v/>
      </c>
      <c r="AB73" t="str">
        <f>IFERROR(__xludf.DUMMYFUNCTION("""COMPUTED_VALUE"""),"")</f>
        <v/>
      </c>
    </row>
    <row r="74">
      <c r="A74" s="2">
        <f>IFERROR(__xludf.DUMMYFUNCTION("""COMPUTED_VALUE"""),43628.79684616898)</f>
        <v>43628.79685</v>
      </c>
      <c r="B74" t="str">
        <f>IFERROR(__xludf.DUMMYFUNCTION("""COMPUTED_VALUE"""),"Louis AUGEREAU")</f>
        <v>Louis AUGEREAU</v>
      </c>
      <c r="C74" t="str">
        <f>IFERROR(__xludf.DUMMYFUNCTION("""COMPUTED_VALUE"""),"Deux inconnus")</f>
        <v>Deux inconnus</v>
      </c>
      <c r="D74" t="str">
        <f>IFERROR(__xludf.DUMMYFUNCTION("""COMPUTED_VALUE"""),"BDE, BDS")</f>
        <v>BDE, BDS</v>
      </c>
      <c r="E74">
        <f>IFERROR(__xludf.DUMMYFUNCTION("""COMPUTED_VALUE"""),3.0)</f>
        <v>3</v>
      </c>
      <c r="F74" t="str">
        <f>IFERROR(__xludf.DUMMYFUNCTION("""COMPUTED_VALUE"""),"Rock, Electro posée, Musique fançaise, Musique classique")</f>
        <v>Rock, Electro posée, Musique fançaise, Musique classique</v>
      </c>
      <c r="G74" t="str">
        <f>IFERROR(__xludf.DUMMYFUNCTION("""COMPUTED_VALUE"""),"Littérature, Cinéma")</f>
        <v>Littérature, Cinéma</v>
      </c>
      <c r="H74" t="str">
        <f>IFERROR(__xludf.DUMMYFUNCTION("""COMPUTED_VALUE"""),"Une fois de temps en temps")</f>
        <v>Une fois de temps en temps</v>
      </c>
      <c r="I74" t="str">
        <f>IFERROR(__xludf.DUMMYFUNCTION("""COMPUTED_VALUE"""),"Plusieurs fois par semaine")</f>
        <v>Plusieurs fois par semaine</v>
      </c>
      <c r="J74" t="str">
        <f>IFERROR(__xludf.DUMMYFUNCTION("""COMPUTED_VALUE"""),"Pour le développement perso et se dépasser")</f>
        <v>Pour le développement perso et se dépasser</v>
      </c>
      <c r="K74" t="str">
        <f>IFERROR(__xludf.DUMMYFUNCTION("""COMPUTED_VALUE"""),"Sports collectifs, Voile, Sports de combat")</f>
        <v>Sports collectifs, Voile, Sports de combat</v>
      </c>
      <c r="L74" t="str">
        <f>IFERROR(__xludf.DUMMYFUNCTION("""COMPUTED_VALUE"""),"Oh oui, et les trucs bien gras ça me connait !")</f>
        <v>Oh oui, et les trucs bien gras ça me connait !</v>
      </c>
      <c r="M74">
        <f>IFERROR(__xludf.DUMMYFUNCTION("""COMPUTED_VALUE"""),5.0)</f>
        <v>5</v>
      </c>
      <c r="N74" t="str">
        <f>IFERROR(__xludf.DUMMYFUNCTION("""COMPUTED_VALUE"""),"Une fois par mois")</f>
        <v>Une fois par mois</v>
      </c>
      <c r="O74" t="str">
        <f>IFERROR(__xludf.DUMMYFUNCTION("""COMPUTED_VALUE"""),"Tu te poses dans un coin, chill !!")</f>
        <v>Tu te poses dans un coin, chill !!</v>
      </c>
      <c r="P74">
        <f>IFERROR(__xludf.DUMMYFUNCTION("""COMPUTED_VALUE"""),1.0)</f>
        <v>1</v>
      </c>
      <c r="Q74" t="str">
        <f>IFERROR(__xludf.DUMMYFUNCTION("""COMPUTED_VALUE"""),"Oui")</f>
        <v>Oui</v>
      </c>
      <c r="R74" t="str">
        <f>IFERROR(__xludf.DUMMYFUNCTION("""COMPUTED_VALUE"""),"Non")</f>
        <v>Non</v>
      </c>
      <c r="S74" t="str">
        <f>IFERROR(__xludf.DUMMYFUNCTION("""COMPUTED_VALUE"""),"Trident x ChaPo")</f>
        <v>Trident x ChaPo</v>
      </c>
      <c r="T74" t="str">
        <f>IFERROR(__xludf.DUMMYFUNCTION("""COMPUTED_VALUE"""),"Un truc stylé")</f>
        <v>Un truc stylé</v>
      </c>
      <c r="U74" t="str">
        <f>IFERROR(__xludf.DUMMYFUNCTION("""COMPUTED_VALUE"""),"")</f>
        <v/>
      </c>
      <c r="V74" t="str">
        <f>IFERROR(__xludf.DUMMYFUNCTION("""COMPUTED_VALUE"""),"")</f>
        <v/>
      </c>
      <c r="W74" t="str">
        <f>IFERROR(__xludf.DUMMYFUNCTION("""COMPUTED_VALUE"""),"")</f>
        <v/>
      </c>
      <c r="X74" t="str">
        <f>IFERROR(__xludf.DUMMYFUNCTION("""COMPUTED_VALUE"""),"")</f>
        <v/>
      </c>
      <c r="Y74" t="str">
        <f>IFERROR(__xludf.DUMMYFUNCTION("""COMPUTED_VALUE"""),"")</f>
        <v/>
      </c>
      <c r="Z74" t="str">
        <f>IFERROR(__xludf.DUMMYFUNCTION("""COMPUTED_VALUE"""),"")</f>
        <v/>
      </c>
      <c r="AA74" t="str">
        <f>IFERROR(__xludf.DUMMYFUNCTION("""COMPUTED_VALUE"""),"")</f>
        <v/>
      </c>
      <c r="AB74" t="str">
        <f>IFERROR(__xludf.DUMMYFUNCTION("""COMPUTED_VALUE"""),"")</f>
        <v/>
      </c>
    </row>
    <row r="75">
      <c r="A75" s="2">
        <f>IFERROR(__xludf.DUMMYFUNCTION("""COMPUTED_VALUE"""),43628.81022614583)</f>
        <v>43628.81023</v>
      </c>
      <c r="B75" s="1" t="str">
        <f>IFERROR(__xludf.DUMMYFUNCTION("""COMPUTED_VALUE"""),"Céline Balmes")</f>
        <v>Céline Balmes</v>
      </c>
      <c r="C7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5" s="1" t="str">
        <f>IFERROR(__xludf.DUMMYFUNCTION("""COMPUTED_VALUE"""),"BDE")</f>
        <v>BDE</v>
      </c>
      <c r="E75" s="1">
        <f>IFERROR(__xludf.DUMMYFUNCTION("""COMPUTED_VALUE"""),3.0)</f>
        <v>3</v>
      </c>
      <c r="F75" s="1" t="str">
        <f>IFERROR(__xludf.DUMMYFUNCTION("""COMPUTED_VALUE"""),"Rock, Electro posée, Pop, Musique fançaise, Jazz, Musique classique")</f>
        <v>Rock, Electro posée, Pop, Musique fançaise, Jazz, Musique classique</v>
      </c>
      <c r="G75" s="1" t="str">
        <f>IFERROR(__xludf.DUMMYFUNCTION("""COMPUTED_VALUE"""),"Peinture, Musique, Autre")</f>
        <v>Peinture, Musique, Autre</v>
      </c>
      <c r="H75" s="1" t="str">
        <f>IFERROR(__xludf.DUMMYFUNCTION("""COMPUTED_VALUE"""),"Une fois de temps en temps")</f>
        <v>Une fois de temps en temps</v>
      </c>
      <c r="I75" s="1" t="str">
        <f>IFERROR(__xludf.DUMMYFUNCTION("""COMPUTED_VALUE"""),"Une fois par semaine")</f>
        <v>Une fois par semaine</v>
      </c>
      <c r="J75" s="1" t="str">
        <f>IFERROR(__xludf.DUMMYFUNCTION("""COMPUTED_VALUE"""),"Pour le fun")</f>
        <v>Pour le fun</v>
      </c>
      <c r="K75" s="1" t="str">
        <f>IFERROR(__xludf.DUMMYFUNCTION("""COMPUTED_VALUE"""),"Autre")</f>
        <v>Autre</v>
      </c>
      <c r="L75" s="1" t="str">
        <f>IFERROR(__xludf.DUMMYFUNCTION("""COMPUTED_VALUE"""),"J'aime cuisiner le WE ou quand j'ai le temps")</f>
        <v>J'aime cuisiner le WE ou quand j'ai le temps</v>
      </c>
      <c r="M75" s="1">
        <f>IFERROR(__xludf.DUMMYFUNCTION("""COMPUTED_VALUE"""),3.0)</f>
        <v>3</v>
      </c>
      <c r="N75" s="1" t="str">
        <f>IFERROR(__xludf.DUMMYFUNCTION("""COMPUTED_VALUE"""),"Une fois par semaine")</f>
        <v>Une fois par semaine</v>
      </c>
      <c r="O75" s="1" t="str">
        <f>IFERROR(__xludf.DUMMYFUNCTION("""COMPUTED_VALUE"""),"T'enflammes le dancefloor")</f>
        <v>T'enflammes le dancefloor</v>
      </c>
      <c r="P75" s="1">
        <f>IFERROR(__xludf.DUMMYFUNCTION("""COMPUTED_VALUE"""),1.0)</f>
        <v>1</v>
      </c>
      <c r="Q75" s="1" t="str">
        <f>IFERROR(__xludf.DUMMYFUNCTION("""COMPUTED_VALUE"""),"Non")</f>
        <v>Non</v>
      </c>
      <c r="R75" s="1" t="str">
        <f>IFERROR(__xludf.DUMMYFUNCTION("""COMPUTED_VALUE"""),"Non")</f>
        <v>Non</v>
      </c>
      <c r="S75" s="1" t="str">
        <f>IFERROR(__xludf.DUMMYFUNCTION("""COMPUTED_VALUE"""),"Trident x ChaPau")</f>
        <v>Trident x ChaPau</v>
      </c>
      <c r="T75" s="1" t="str">
        <f>IFERROR(__xludf.DUMMYFUNCTION("""COMPUTED_VALUE"""),"Cape Winterf'aigle")</f>
        <v>Cape Winterf'aigle</v>
      </c>
      <c r="U75" t="str">
        <f>IFERROR(__xludf.DUMMYFUNCTION("""COMPUTED_VALUE"""),"")</f>
        <v/>
      </c>
      <c r="V75" t="str">
        <f>IFERROR(__xludf.DUMMYFUNCTION("""COMPUTED_VALUE"""),"")</f>
        <v/>
      </c>
      <c r="W75" t="str">
        <f>IFERROR(__xludf.DUMMYFUNCTION("""COMPUTED_VALUE"""),"")</f>
        <v/>
      </c>
      <c r="X75" t="str">
        <f>IFERROR(__xludf.DUMMYFUNCTION("""COMPUTED_VALUE"""),"")</f>
        <v/>
      </c>
      <c r="Y75" t="str">
        <f>IFERROR(__xludf.DUMMYFUNCTION("""COMPUTED_VALUE"""),"")</f>
        <v/>
      </c>
      <c r="Z75" t="str">
        <f>IFERROR(__xludf.DUMMYFUNCTION("""COMPUTED_VALUE"""),"")</f>
        <v/>
      </c>
      <c r="AA75" t="str">
        <f>IFERROR(__xludf.DUMMYFUNCTION("""COMPUTED_VALUE"""),"")</f>
        <v/>
      </c>
      <c r="AB75" t="str">
        <f>IFERROR(__xludf.DUMMYFUNCTION("""COMPUTED_VALUE"""),"")</f>
        <v/>
      </c>
    </row>
    <row r="76">
      <c r="A76" s="2">
        <f>IFERROR(__xludf.DUMMYFUNCTION("""COMPUTED_VALUE"""),43628.81186957176)</f>
        <v>43628.81187</v>
      </c>
      <c r="B76" t="str">
        <f>IFERROR(__xludf.DUMMYFUNCTION("""COMPUTED_VALUE"""),"Paul SIMON")</f>
        <v>Paul SIMON</v>
      </c>
      <c r="C7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6" t="str">
        <f>IFERROR(__xludf.DUMMYFUNCTION("""COMPUTED_VALUE"""),"BDE")</f>
        <v>BDE</v>
      </c>
      <c r="E76">
        <f>IFERROR(__xludf.DUMMYFUNCTION("""COMPUTED_VALUE"""),3.0)</f>
        <v>3</v>
      </c>
      <c r="F76" t="str">
        <f>IFERROR(__xludf.DUMMYFUNCTION("""COMPUTED_VALUE"""),"Rock, Metal, Electro posée, Pop")</f>
        <v>Rock, Metal, Electro posée, Pop</v>
      </c>
      <c r="G76" t="str">
        <f>IFERROR(__xludf.DUMMYFUNCTION("""COMPUTED_VALUE"""),"Peinture, Musique")</f>
        <v>Peinture, Musique</v>
      </c>
      <c r="H76" t="str">
        <f>IFERROR(__xludf.DUMMYFUNCTION("""COMPUTED_VALUE"""),"Quelques fois par semaine")</f>
        <v>Quelques fois par semaine</v>
      </c>
      <c r="I76" t="str">
        <f>IFERROR(__xludf.DUMMYFUNCTION("""COMPUTED_VALUE"""),"Plusieurs fois par semaine")</f>
        <v>Plusieurs fois par semaine</v>
      </c>
      <c r="J76" t="str">
        <f>IFERROR(__xludf.DUMMYFUNCTION("""COMPUTED_VALUE"""),"Pour le fun")</f>
        <v>Pour le fun</v>
      </c>
      <c r="K76" t="str">
        <f>IFERROR(__xludf.DUMMYFUNCTION("""COMPUTED_VALUE"""),"Sports de raquette")</f>
        <v>Sports de raquette</v>
      </c>
      <c r="L76" t="str">
        <f>IFERROR(__xludf.DUMMYFUNCTION("""COMPUTED_VALUE"""),"Je fais toujours attention à bien manger")</f>
        <v>Je fais toujours attention à bien manger</v>
      </c>
      <c r="M76">
        <f>IFERROR(__xludf.DUMMYFUNCTION("""COMPUTED_VALUE"""),5.0)</f>
        <v>5</v>
      </c>
      <c r="N76" t="str">
        <f>IFERROR(__xludf.DUMMYFUNCTION("""COMPUTED_VALUE"""),"Une fois par semaine")</f>
        <v>Une fois par semaine</v>
      </c>
      <c r="O76" t="str">
        <f>IFERROR(__xludf.DUMMYFUNCTION("""COMPUTED_VALUE"""),"Tu te poses dans un coin, chill !!")</f>
        <v>Tu te poses dans un coin, chill !!</v>
      </c>
      <c r="P76">
        <f>IFERROR(__xludf.DUMMYFUNCTION("""COMPUTED_VALUE"""),1.0)</f>
        <v>1</v>
      </c>
      <c r="Q76" t="str">
        <f>IFERROR(__xludf.DUMMYFUNCTION("""COMPUTED_VALUE"""),"Oui")</f>
        <v>Oui</v>
      </c>
      <c r="R76" t="str">
        <f>IFERROR(__xludf.DUMMYFUNCTION("""COMPUTED_VALUE"""),"Non")</f>
        <v>Non</v>
      </c>
      <c r="S76" t="str">
        <f>IFERROR(__xludf.DUMMYFUNCTION("""COMPUTED_VALUE"""),"Trident x ChaPau")</f>
        <v>Trident x ChaPau</v>
      </c>
      <c r="T76" t="str">
        <f>IFERROR(__xludf.DUMMYFUNCTION("""COMPUTED_VALUE"""),"De l'amour")</f>
        <v>De l'amour</v>
      </c>
      <c r="U76" t="str">
        <f>IFERROR(__xludf.DUMMYFUNCTION("""COMPUTED_VALUE"""),"")</f>
        <v/>
      </c>
      <c r="V76" t="str">
        <f>IFERROR(__xludf.DUMMYFUNCTION("""COMPUTED_VALUE"""),"")</f>
        <v/>
      </c>
      <c r="W76" t="str">
        <f>IFERROR(__xludf.DUMMYFUNCTION("""COMPUTED_VALUE"""),"")</f>
        <v/>
      </c>
      <c r="X76" t="str">
        <f>IFERROR(__xludf.DUMMYFUNCTION("""COMPUTED_VALUE"""),"")</f>
        <v/>
      </c>
      <c r="Y76" t="str">
        <f>IFERROR(__xludf.DUMMYFUNCTION("""COMPUTED_VALUE"""),"")</f>
        <v/>
      </c>
      <c r="Z76" t="str">
        <f>IFERROR(__xludf.DUMMYFUNCTION("""COMPUTED_VALUE"""),"")</f>
        <v/>
      </c>
      <c r="AA76" t="str">
        <f>IFERROR(__xludf.DUMMYFUNCTION("""COMPUTED_VALUE"""),"")</f>
        <v/>
      </c>
      <c r="AB76" t="str">
        <f>IFERROR(__xludf.DUMMYFUNCTION("""COMPUTED_VALUE"""),"")</f>
        <v/>
      </c>
    </row>
    <row r="77">
      <c r="A77" s="2">
        <f>IFERROR(__xludf.DUMMYFUNCTION("""COMPUTED_VALUE"""),43628.87167753473)</f>
        <v>43628.87168</v>
      </c>
      <c r="B77" s="1" t="str">
        <f>IFERROR(__xludf.DUMMYFUNCTION("""COMPUTED_VALUE"""),"Paul CHAUVIN")</f>
        <v>Paul CHAUVIN</v>
      </c>
      <c r="C7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7" s="1" t="str">
        <f>IFERROR(__xludf.DUMMYFUNCTION("""COMPUTED_VALUE"""),"BDS")</f>
        <v>BDS</v>
      </c>
      <c r="E77" s="1">
        <f>IFERROR(__xludf.DUMMYFUNCTION("""COMPUTED_VALUE"""),3.0)</f>
        <v>3</v>
      </c>
      <c r="F77" s="1" t="str">
        <f>IFERROR(__xludf.DUMMYFUNCTION("""COMPUTED_VALUE"""),"Musique fançaise")</f>
        <v>Musique fançaise</v>
      </c>
      <c r="G77" s="1" t="str">
        <f>IFERROR(__xludf.DUMMYFUNCTION("""COMPUTED_VALUE"""),"Musique, Cinéma")</f>
        <v>Musique, Cinéma</v>
      </c>
      <c r="H77" s="1" t="str">
        <f>IFERROR(__xludf.DUMMYFUNCTION("""COMPUTED_VALUE"""),"Seulement les soirs de pleine lune")</f>
        <v>Seulement les soirs de pleine lune</v>
      </c>
      <c r="I77" s="1" t="str">
        <f>IFERROR(__xludf.DUMMYFUNCTION("""COMPUTED_VALUE"""),"Plusieurs fois par semaine")</f>
        <v>Plusieurs fois par semaine</v>
      </c>
      <c r="J77" s="1" t="str">
        <f>IFERROR(__xludf.DUMMYFUNCTION("""COMPUTED_VALUE"""),"Pour la compet")</f>
        <v>Pour la compet</v>
      </c>
      <c r="K77" s="1" t="str">
        <f>IFERROR(__xludf.DUMMYFUNCTION("""COMPUTED_VALUE"""),"Sports collectifs, Sports de raquette, Voile, Autre")</f>
        <v>Sports collectifs, Sports de raquette, Voile, Autre</v>
      </c>
      <c r="L77" s="1" t="str">
        <f>IFERROR(__xludf.DUMMYFUNCTION("""COMPUTED_VALUE"""),"J'aime cuisiner le WE ou quand j'ai le temps")</f>
        <v>J'aime cuisiner le WE ou quand j'ai le temps</v>
      </c>
      <c r="M77" s="1">
        <f>IFERROR(__xludf.DUMMYFUNCTION("""COMPUTED_VALUE"""),10.0)</f>
        <v>10</v>
      </c>
      <c r="N77" s="1" t="str">
        <f>IFERROR(__xludf.DUMMYFUNCTION("""COMPUTED_VALUE"""),"Une fois par jour (voire plus)")</f>
        <v>Une fois par jour (voire plus)</v>
      </c>
      <c r="O77" s="1" t="str">
        <f>IFERROR(__xludf.DUMMYFUNCTION("""COMPUTED_VALUE"""),"T'enflammes le dancefloor")</f>
        <v>T'enflammes le dancefloor</v>
      </c>
      <c r="P77" s="1">
        <f>IFERROR(__xludf.DUMMYFUNCTION("""COMPUTED_VALUE"""),2.0)</f>
        <v>2</v>
      </c>
      <c r="Q77" s="1" t="str">
        <f>IFERROR(__xludf.DUMMYFUNCTION("""COMPUTED_VALUE"""),"Non")</f>
        <v>Non</v>
      </c>
      <c r="R77" s="1" t="str">
        <f>IFERROR(__xludf.DUMMYFUNCTION("""COMPUTED_VALUE"""),"Non")</f>
        <v>Non</v>
      </c>
      <c r="S77" s="1" t="str">
        <f>IFERROR(__xludf.DUMMYFUNCTION("""COMPUTED_VALUE"""),"Mafia ")</f>
        <v>Mafia </v>
      </c>
      <c r="T77" s="1" t="str">
        <f>IFERROR(__xludf.DUMMYFUNCTION("""COMPUTED_VALUE"""),"je sais pas encore ")</f>
        <v>je sais pas encore </v>
      </c>
      <c r="U77" t="str">
        <f>IFERROR(__xludf.DUMMYFUNCTION("""COMPUTED_VALUE"""),"")</f>
        <v/>
      </c>
      <c r="V77" t="str">
        <f>IFERROR(__xludf.DUMMYFUNCTION("""COMPUTED_VALUE"""),"")</f>
        <v/>
      </c>
      <c r="W77" t="str">
        <f>IFERROR(__xludf.DUMMYFUNCTION("""COMPUTED_VALUE"""),"")</f>
        <v/>
      </c>
      <c r="X77" t="str">
        <f>IFERROR(__xludf.DUMMYFUNCTION("""COMPUTED_VALUE"""),"")</f>
        <v/>
      </c>
      <c r="Y77" t="str">
        <f>IFERROR(__xludf.DUMMYFUNCTION("""COMPUTED_VALUE"""),"")</f>
        <v/>
      </c>
      <c r="Z77" t="str">
        <f>IFERROR(__xludf.DUMMYFUNCTION("""COMPUTED_VALUE"""),"")</f>
        <v/>
      </c>
      <c r="AA77" t="str">
        <f>IFERROR(__xludf.DUMMYFUNCTION("""COMPUTED_VALUE"""),"")</f>
        <v/>
      </c>
      <c r="AB77" t="str">
        <f>IFERROR(__xludf.DUMMYFUNCTION("""COMPUTED_VALUE"""),"")</f>
        <v/>
      </c>
    </row>
    <row r="78">
      <c r="A78" s="2">
        <f>IFERROR(__xludf.DUMMYFUNCTION("""COMPUTED_VALUE"""),43628.8828891088)</f>
        <v>43628.88289</v>
      </c>
      <c r="B78" s="1" t="str">
        <f>IFERROR(__xludf.DUMMYFUNCTION("""COMPUTED_VALUE"""),"Paul MARTEL")</f>
        <v>Paul MARTEL</v>
      </c>
      <c r="C7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8" s="1" t="str">
        <f>IFERROR(__xludf.DUMMYFUNCTION("""COMPUTED_VALUE"""),"BDS")</f>
        <v>BDS</v>
      </c>
      <c r="E78" s="1">
        <f>IFERROR(__xludf.DUMMYFUNCTION("""COMPUTED_VALUE"""),3.0)</f>
        <v>3</v>
      </c>
      <c r="F78" s="1" t="str">
        <f>IFERROR(__xludf.DUMMYFUNCTION("""COMPUTED_VALUE"""),"Rap, Musique fançaise, Jazz")</f>
        <v>Rap, Musique fançaise, Jazz</v>
      </c>
      <c r="G78" s="1" t="str">
        <f>IFERROR(__xludf.DUMMYFUNCTION("""COMPUTED_VALUE"""),"Pas du tout")</f>
        <v>Pas du tout</v>
      </c>
      <c r="H78" s="1" t="str">
        <f>IFERROR(__xludf.DUMMYFUNCTION("""COMPUTED_VALUE"""),"Une fois de temps en temps")</f>
        <v>Une fois de temps en temps</v>
      </c>
      <c r="I78" s="1" t="str">
        <f>IFERROR(__xludf.DUMMYFUNCTION("""COMPUTED_VALUE"""),"Plusieurs fois par semaine")</f>
        <v>Plusieurs fois par semaine</v>
      </c>
      <c r="J78" s="1" t="str">
        <f>IFERROR(__xludf.DUMMYFUNCTION("""COMPUTED_VALUE"""),"Pour la compet")</f>
        <v>Pour la compet</v>
      </c>
      <c r="K78" s="1" t="str">
        <f>IFERROR(__xludf.DUMMYFUNCTION("""COMPUTED_VALUE"""),"Sports collectifs")</f>
        <v>Sports collectifs</v>
      </c>
      <c r="L78" s="1" t="str">
        <f>IFERROR(__xludf.DUMMYFUNCTION("""COMPUTED_VALUE"""),"Oh oui, et les trucs bien gras ça me connait !")</f>
        <v>Oh oui, et les trucs bien gras ça me connait !</v>
      </c>
      <c r="M78" s="1">
        <f>IFERROR(__xludf.DUMMYFUNCTION("""COMPUTED_VALUE"""),10.0)</f>
        <v>10</v>
      </c>
      <c r="N78" s="1" t="str">
        <f>IFERROR(__xludf.DUMMYFUNCTION("""COMPUTED_VALUE"""),"Plusieurs fois par semaine")</f>
        <v>Plusieurs fois par semaine</v>
      </c>
      <c r="O78" s="1" t="str">
        <f>IFERROR(__xludf.DUMMYFUNCTION("""COMPUTED_VALUE"""),"Objectif grosse défonce")</f>
        <v>Objectif grosse défonce</v>
      </c>
      <c r="P78" s="1">
        <f>IFERROR(__xludf.DUMMYFUNCTION("""COMPUTED_VALUE"""),2.0)</f>
        <v>2</v>
      </c>
      <c r="Q78" s="1" t="str">
        <f>IFERROR(__xludf.DUMMYFUNCTION("""COMPUTED_VALUE"""),"Non")</f>
        <v>Non</v>
      </c>
      <c r="R78" s="1" t="str">
        <f>IFERROR(__xludf.DUMMYFUNCTION("""COMPUTED_VALUE"""),"Non")</f>
        <v>Non</v>
      </c>
      <c r="S78" s="1" t="str">
        <f>IFERROR(__xludf.DUMMYFUNCTION("""COMPUTED_VALUE"""),"Le Corridor")</f>
        <v>Le Corridor</v>
      </c>
      <c r="T78" s="1" t="str">
        <f>IFERROR(__xludf.DUMMYFUNCTION("""COMPUTED_VALUE"""),"Déguisement ")</f>
        <v>Déguisement </v>
      </c>
      <c r="U78" t="str">
        <f>IFERROR(__xludf.DUMMYFUNCTION("""COMPUTED_VALUE"""),"")</f>
        <v/>
      </c>
      <c r="V78" t="str">
        <f>IFERROR(__xludf.DUMMYFUNCTION("""COMPUTED_VALUE"""),"")</f>
        <v/>
      </c>
      <c r="W78" t="str">
        <f>IFERROR(__xludf.DUMMYFUNCTION("""COMPUTED_VALUE"""),"")</f>
        <v/>
      </c>
      <c r="X78" t="str">
        <f>IFERROR(__xludf.DUMMYFUNCTION("""COMPUTED_VALUE"""),"")</f>
        <v/>
      </c>
      <c r="Y78" t="str">
        <f>IFERROR(__xludf.DUMMYFUNCTION("""COMPUTED_VALUE"""),"")</f>
        <v/>
      </c>
      <c r="Z78" t="str">
        <f>IFERROR(__xludf.DUMMYFUNCTION("""COMPUTED_VALUE"""),"")</f>
        <v/>
      </c>
      <c r="AA78" t="str">
        <f>IFERROR(__xludf.DUMMYFUNCTION("""COMPUTED_VALUE"""),"")</f>
        <v/>
      </c>
      <c r="AB78" t="str">
        <f>IFERROR(__xludf.DUMMYFUNCTION("""COMPUTED_VALUE"""),"")</f>
        <v/>
      </c>
    </row>
    <row r="79">
      <c r="A79" s="2">
        <f>IFERROR(__xludf.DUMMYFUNCTION("""COMPUTED_VALUE"""),43628.88369578704)</f>
        <v>43628.8837</v>
      </c>
      <c r="B79" s="1" t="str">
        <f>IFERROR(__xludf.DUMMYFUNCTION("""COMPUTED_VALUE"""),"Pierre-Louis lombard")</f>
        <v>Pierre-Louis lombard</v>
      </c>
      <c r="C7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79" s="1" t="str">
        <f>IFERROR(__xludf.DUMMYFUNCTION("""COMPUTED_VALUE"""),"BDS")</f>
        <v>BDS</v>
      </c>
      <c r="E79" s="1">
        <f>IFERROR(__xludf.DUMMYFUNCTION("""COMPUTED_VALUE"""),4.0)</f>
        <v>4</v>
      </c>
      <c r="F79" s="1" t="str">
        <f>IFERROR(__xludf.DUMMYFUNCTION("""COMPUTED_VALUE"""),"Je suis aigri et j'aime pas la musique, Musique fançaise")</f>
        <v>Je suis aigri et j'aime pas la musique, Musique fançaise</v>
      </c>
      <c r="G79" s="1" t="str">
        <f>IFERROR(__xludf.DUMMYFUNCTION("""COMPUTED_VALUE"""),"Musique")</f>
        <v>Musique</v>
      </c>
      <c r="H79" s="1" t="str">
        <f>IFERROR(__xludf.DUMMYFUNCTION("""COMPUTED_VALUE"""),"Une fois de temps en temps")</f>
        <v>Une fois de temps en temps</v>
      </c>
      <c r="I79" s="1" t="str">
        <f>IFERROR(__xludf.DUMMYFUNCTION("""COMPUTED_VALUE"""),"Plusieurs fois par semaine")</f>
        <v>Plusieurs fois par semaine</v>
      </c>
      <c r="J79" s="1" t="str">
        <f>IFERROR(__xludf.DUMMYFUNCTION("""COMPUTED_VALUE"""),"Pour la compet")</f>
        <v>Pour la compet</v>
      </c>
      <c r="K79" s="1" t="str">
        <f>IFERROR(__xludf.DUMMYFUNCTION("""COMPUTED_VALUE"""),"Sports collectifs")</f>
        <v>Sports collectifs</v>
      </c>
      <c r="L79" s="1" t="str">
        <f>IFERROR(__xludf.DUMMYFUNCTION("""COMPUTED_VALUE"""),"Oh oui, et les trucs bien gras ça me connait !")</f>
        <v>Oh oui, et les trucs bien gras ça me connait !</v>
      </c>
      <c r="M79" s="1">
        <f>IFERROR(__xludf.DUMMYFUNCTION("""COMPUTED_VALUE"""),10.0)</f>
        <v>10</v>
      </c>
      <c r="N79" s="1" t="str">
        <f>IFERROR(__xludf.DUMMYFUNCTION("""COMPUTED_VALUE"""),"Plusieurs fois par semaine")</f>
        <v>Plusieurs fois par semaine</v>
      </c>
      <c r="O79" s="1" t="str">
        <f>IFERROR(__xludf.DUMMYFUNCTION("""COMPUTED_VALUE"""),"Objectif grosse défonce")</f>
        <v>Objectif grosse défonce</v>
      </c>
      <c r="P79" s="1">
        <f>IFERROR(__xludf.DUMMYFUNCTION("""COMPUTED_VALUE"""),1.0)</f>
        <v>1</v>
      </c>
      <c r="Q79" s="1" t="str">
        <f>IFERROR(__xludf.DUMMYFUNCTION("""COMPUTED_VALUE"""),"Non")</f>
        <v>Non</v>
      </c>
      <c r="R79" s="1" t="str">
        <f>IFERROR(__xludf.DUMMYFUNCTION("""COMPUTED_VALUE"""),"Non")</f>
        <v>Non</v>
      </c>
      <c r="S79" s="1" t="str">
        <f>IFERROR(__xludf.DUMMYFUNCTION("""COMPUTED_VALUE"""),"Le Corridor")</f>
        <v>Le Corridor</v>
      </c>
      <c r="T79" s="1" t="str">
        <f>IFERROR(__xludf.DUMMYFUNCTION("""COMPUTED_VALUE"""),"Mon bob Charlie ")</f>
        <v>Mon bob Charlie </v>
      </c>
      <c r="U79" t="str">
        <f>IFERROR(__xludf.DUMMYFUNCTION("""COMPUTED_VALUE"""),"")</f>
        <v/>
      </c>
      <c r="V79" t="str">
        <f>IFERROR(__xludf.DUMMYFUNCTION("""COMPUTED_VALUE"""),"")</f>
        <v/>
      </c>
      <c r="W79" t="str">
        <f>IFERROR(__xludf.DUMMYFUNCTION("""COMPUTED_VALUE"""),"")</f>
        <v/>
      </c>
      <c r="X79" t="str">
        <f>IFERROR(__xludf.DUMMYFUNCTION("""COMPUTED_VALUE"""),"")</f>
        <v/>
      </c>
      <c r="Y79" t="str">
        <f>IFERROR(__xludf.DUMMYFUNCTION("""COMPUTED_VALUE"""),"")</f>
        <v/>
      </c>
      <c r="Z79" t="str">
        <f>IFERROR(__xludf.DUMMYFUNCTION("""COMPUTED_VALUE"""),"")</f>
        <v/>
      </c>
      <c r="AA79" t="str">
        <f>IFERROR(__xludf.DUMMYFUNCTION("""COMPUTED_VALUE"""),"")</f>
        <v/>
      </c>
      <c r="AB79" t="str">
        <f>IFERROR(__xludf.DUMMYFUNCTION("""COMPUTED_VALUE"""),"")</f>
        <v/>
      </c>
    </row>
    <row r="80">
      <c r="A80" s="2">
        <f>IFERROR(__xludf.DUMMYFUNCTION("""COMPUTED_VALUE"""),43628.883959074075)</f>
        <v>43628.88396</v>
      </c>
      <c r="B80" s="1" t="str">
        <f>IFERROR(__xludf.DUMMYFUNCTION("""COMPUTED_VALUE"""),"Lucas Chaubier")</f>
        <v>Lucas Chaubier</v>
      </c>
      <c r="C8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0" s="1" t="str">
        <f>IFERROR(__xludf.DUMMYFUNCTION("""COMPUTED_VALUE"""),"BDS")</f>
        <v>BDS</v>
      </c>
      <c r="E80" s="1">
        <f>IFERROR(__xludf.DUMMYFUNCTION("""COMPUTED_VALUE"""),4.0)</f>
        <v>4</v>
      </c>
      <c r="F80" s="1" t="str">
        <f>IFERROR(__xludf.DUMMYFUNCTION("""COMPUTED_VALUE"""),"Rock, Metal, Musique fançaise, Musique classique")</f>
        <v>Rock, Metal, Musique fançaise, Musique classique</v>
      </c>
      <c r="G80" s="1" t="str">
        <f>IFERROR(__xludf.DUMMYFUNCTION("""COMPUTED_VALUE"""),"Musique")</f>
        <v>Musique</v>
      </c>
      <c r="H80" s="1" t="str">
        <f>IFERROR(__xludf.DUMMYFUNCTION("""COMPUTED_VALUE"""),"Une fois de temps en temps")</f>
        <v>Une fois de temps en temps</v>
      </c>
      <c r="I80" s="1" t="str">
        <f>IFERROR(__xludf.DUMMYFUNCTION("""COMPUTED_VALUE"""),"Plusieurs fois par semaine")</f>
        <v>Plusieurs fois par semaine</v>
      </c>
      <c r="J80" s="1" t="str">
        <f>IFERROR(__xludf.DUMMYFUNCTION("""COMPUTED_VALUE"""),"Pour la compet")</f>
        <v>Pour la compet</v>
      </c>
      <c r="K80" s="1" t="str">
        <f>IFERROR(__xludf.DUMMYFUNCTION("""COMPUTED_VALUE"""),"Sports collectifs")</f>
        <v>Sports collectifs</v>
      </c>
      <c r="L80" s="1" t="str">
        <f>IFERROR(__xludf.DUMMYFUNCTION("""COMPUTED_VALUE"""),"Oh oui, et les trucs bien gras ça me connait !")</f>
        <v>Oh oui, et les trucs bien gras ça me connait !</v>
      </c>
      <c r="M80" s="1">
        <f>IFERROR(__xludf.DUMMYFUNCTION("""COMPUTED_VALUE"""),10.0)</f>
        <v>10</v>
      </c>
      <c r="N80" s="1" t="str">
        <f>IFERROR(__xludf.DUMMYFUNCTION("""COMPUTED_VALUE"""),"Plusieurs fois par semaine")</f>
        <v>Plusieurs fois par semaine</v>
      </c>
      <c r="O80" s="1" t="str">
        <f>IFERROR(__xludf.DUMMYFUNCTION("""COMPUTED_VALUE"""),"Objectif grosse défonce")</f>
        <v>Objectif grosse défonce</v>
      </c>
      <c r="P80" s="1">
        <f>IFERROR(__xludf.DUMMYFUNCTION("""COMPUTED_VALUE"""),3.0)</f>
        <v>3</v>
      </c>
      <c r="Q80" s="1" t="str">
        <f>IFERROR(__xludf.DUMMYFUNCTION("""COMPUTED_VALUE"""),"Non")</f>
        <v>Non</v>
      </c>
      <c r="R80" s="1" t="str">
        <f>IFERROR(__xludf.DUMMYFUNCTION("""COMPUTED_VALUE"""),"Non")</f>
        <v>Non</v>
      </c>
      <c r="S80" s="1" t="str">
        <f>IFERROR(__xludf.DUMMYFUNCTION("""COMPUTED_VALUE"""),"Le Corridor")</f>
        <v>Le Corridor</v>
      </c>
      <c r="T80" s="1" t="str">
        <f>IFERROR(__xludf.DUMMYFUNCTION("""COMPUTED_VALUE"""),"🎈")</f>
        <v>🎈</v>
      </c>
      <c r="U80" t="str">
        <f>IFERROR(__xludf.DUMMYFUNCTION("""COMPUTED_VALUE"""),"")</f>
        <v/>
      </c>
      <c r="V80" t="str">
        <f>IFERROR(__xludf.DUMMYFUNCTION("""COMPUTED_VALUE"""),"")</f>
        <v/>
      </c>
      <c r="W80" t="str">
        <f>IFERROR(__xludf.DUMMYFUNCTION("""COMPUTED_VALUE"""),"")</f>
        <v/>
      </c>
      <c r="X80" t="str">
        <f>IFERROR(__xludf.DUMMYFUNCTION("""COMPUTED_VALUE"""),"")</f>
        <v/>
      </c>
      <c r="Y80" t="str">
        <f>IFERROR(__xludf.DUMMYFUNCTION("""COMPUTED_VALUE"""),"")</f>
        <v/>
      </c>
      <c r="Z80" t="str">
        <f>IFERROR(__xludf.DUMMYFUNCTION("""COMPUTED_VALUE"""),"")</f>
        <v/>
      </c>
      <c r="AA80" t="str">
        <f>IFERROR(__xludf.DUMMYFUNCTION("""COMPUTED_VALUE"""),"")</f>
        <v/>
      </c>
      <c r="AB80" t="str">
        <f>IFERROR(__xludf.DUMMYFUNCTION("""COMPUTED_VALUE"""),"")</f>
        <v/>
      </c>
    </row>
    <row r="81">
      <c r="A81" s="2">
        <f>IFERROR(__xludf.DUMMYFUNCTION("""COMPUTED_VALUE"""),43628.883963043976)</f>
        <v>43628.88396</v>
      </c>
      <c r="B81" s="1" t="str">
        <f>IFERROR(__xludf.DUMMYFUNCTION("""COMPUTED_VALUE"""),"Matthieu RETIERE")</f>
        <v>Matthieu RETIERE</v>
      </c>
      <c r="C8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1" s="1" t="str">
        <f>IFERROR(__xludf.DUMMYFUNCTION("""COMPUTED_VALUE"""),"BDS")</f>
        <v>BDS</v>
      </c>
      <c r="E81" s="1">
        <f>IFERROR(__xludf.DUMMYFUNCTION("""COMPUTED_VALUE"""),5.0)</f>
        <v>5</v>
      </c>
      <c r="F81" s="1" t="str">
        <f>IFERROR(__xludf.DUMMYFUNCTION("""COMPUTED_VALUE"""),"Rap, Pop, Musique fançaise")</f>
        <v>Rap, Pop, Musique fançaise</v>
      </c>
      <c r="G81" s="1" t="str">
        <f>IFERROR(__xludf.DUMMYFUNCTION("""COMPUTED_VALUE"""),"Pas du tout")</f>
        <v>Pas du tout</v>
      </c>
      <c r="H81" s="1" t="str">
        <f>IFERROR(__xludf.DUMMYFUNCTION("""COMPUTED_VALUE"""),"Une fois de temps en temps")</f>
        <v>Une fois de temps en temps</v>
      </c>
      <c r="I81" s="1" t="str">
        <f>IFERROR(__xludf.DUMMYFUNCTION("""COMPUTED_VALUE"""),"Plusieurs fois par semaine")</f>
        <v>Plusieurs fois par semaine</v>
      </c>
      <c r="J81" s="1" t="str">
        <f>IFERROR(__xludf.DUMMYFUNCTION("""COMPUTED_VALUE"""),"Pour la compet")</f>
        <v>Pour la compet</v>
      </c>
      <c r="K81" s="1" t="str">
        <f>IFERROR(__xludf.DUMMYFUNCTION("""COMPUTED_VALUE"""),"Sports collectifs")</f>
        <v>Sports collectifs</v>
      </c>
      <c r="L81" s="1" t="str">
        <f>IFERROR(__xludf.DUMMYFUNCTION("""COMPUTED_VALUE"""),"Oh oui, et les trucs bien gras ça me connait !")</f>
        <v>Oh oui, et les trucs bien gras ça me connait !</v>
      </c>
      <c r="M81" s="1">
        <f>IFERROR(__xludf.DUMMYFUNCTION("""COMPUTED_VALUE"""),10.0)</f>
        <v>10</v>
      </c>
      <c r="N81" s="1" t="str">
        <f>IFERROR(__xludf.DUMMYFUNCTION("""COMPUTED_VALUE"""),"Plusieurs fois par semaine")</f>
        <v>Plusieurs fois par semaine</v>
      </c>
      <c r="O81" s="1" t="str">
        <f>IFERROR(__xludf.DUMMYFUNCTION("""COMPUTED_VALUE"""),"Objectif grosse défonce")</f>
        <v>Objectif grosse défonce</v>
      </c>
      <c r="P81" s="1">
        <f>IFERROR(__xludf.DUMMYFUNCTION("""COMPUTED_VALUE"""),2.0)</f>
        <v>2</v>
      </c>
      <c r="Q81" s="1" t="str">
        <f>IFERROR(__xludf.DUMMYFUNCTION("""COMPUTED_VALUE"""),"Non")</f>
        <v>Non</v>
      </c>
      <c r="R81" s="1" t="str">
        <f>IFERROR(__xludf.DUMMYFUNCTION("""COMPUTED_VALUE"""),"Non")</f>
        <v>Non</v>
      </c>
      <c r="S81" s="1" t="str">
        <f>IFERROR(__xludf.DUMMYFUNCTION("""COMPUTED_VALUE"""),"Le Corridor")</f>
        <v>Le Corridor</v>
      </c>
      <c r="T81" s="1" t="str">
        <f>IFERROR(__xludf.DUMMYFUNCTION("""COMPUTED_VALUE"""),"Un truc quali")</f>
        <v>Un truc quali</v>
      </c>
      <c r="U81" t="str">
        <f>IFERROR(__xludf.DUMMYFUNCTION("""COMPUTED_VALUE"""),"")</f>
        <v/>
      </c>
      <c r="V81" t="str">
        <f>IFERROR(__xludf.DUMMYFUNCTION("""COMPUTED_VALUE"""),"")</f>
        <v/>
      </c>
      <c r="W81" t="str">
        <f>IFERROR(__xludf.DUMMYFUNCTION("""COMPUTED_VALUE"""),"")</f>
        <v/>
      </c>
      <c r="X81" t="str">
        <f>IFERROR(__xludf.DUMMYFUNCTION("""COMPUTED_VALUE"""),"")</f>
        <v/>
      </c>
      <c r="Y81" t="str">
        <f>IFERROR(__xludf.DUMMYFUNCTION("""COMPUTED_VALUE"""),"")</f>
        <v/>
      </c>
      <c r="Z81" t="str">
        <f>IFERROR(__xludf.DUMMYFUNCTION("""COMPUTED_VALUE"""),"")</f>
        <v/>
      </c>
      <c r="AA81" t="str">
        <f>IFERROR(__xludf.DUMMYFUNCTION("""COMPUTED_VALUE"""),"")</f>
        <v/>
      </c>
      <c r="AB81" t="str">
        <f>IFERROR(__xludf.DUMMYFUNCTION("""COMPUTED_VALUE"""),"")</f>
        <v/>
      </c>
    </row>
    <row r="82">
      <c r="A82" s="2">
        <f>IFERROR(__xludf.DUMMYFUNCTION("""COMPUTED_VALUE"""),43628.927533194445)</f>
        <v>43628.92753</v>
      </c>
      <c r="B82" s="1" t="str">
        <f>IFERROR(__xludf.DUMMYFUNCTION("""COMPUTED_VALUE"""),"Jules SINTES")</f>
        <v>Jules SINTES</v>
      </c>
      <c r="C82" s="1" t="str">
        <f>IFERROR(__xludf.DUMMYFUNCTION("""COMPUTED_VALUE"""),"Deux inconnus")</f>
        <v>Deux inconnus</v>
      </c>
      <c r="D82" s="1" t="str">
        <f>IFERROR(__xludf.DUMMYFUNCTION("""COMPUTED_VALUE"""),"BDS")</f>
        <v>BDS</v>
      </c>
      <c r="E82" s="1">
        <f>IFERROR(__xludf.DUMMYFUNCTION("""COMPUTED_VALUE"""),5.0)</f>
        <v>5</v>
      </c>
      <c r="F82" s="1" t="str">
        <f>IFERROR(__xludf.DUMMYFUNCTION("""COMPUTED_VALUE"""),"Electro posée, Rap, Musique fançaise")</f>
        <v>Electro posée, Rap, Musique fançaise</v>
      </c>
      <c r="G82" s="1" t="str">
        <f>IFERROR(__xludf.DUMMYFUNCTION("""COMPUTED_VALUE"""),"Littérature, Musique")</f>
        <v>Littérature, Musique</v>
      </c>
      <c r="H82" s="1" t="str">
        <f>IFERROR(__xludf.DUMMYFUNCTION("""COMPUTED_VALUE"""),"Une fois de temps en temps")</f>
        <v>Une fois de temps en temps</v>
      </c>
      <c r="I82" s="1" t="str">
        <f>IFERROR(__xludf.DUMMYFUNCTION("""COMPUTED_VALUE"""),"Plusieurs fois par semaine")</f>
        <v>Plusieurs fois par semaine</v>
      </c>
      <c r="J82" s="1" t="str">
        <f>IFERROR(__xludf.DUMMYFUNCTION("""COMPUTED_VALUE"""),"Pour le fun")</f>
        <v>Pour le fun</v>
      </c>
      <c r="K82" s="1" t="str">
        <f>IFERROR(__xludf.DUMMYFUNCTION("""COMPUTED_VALUE"""),"Sports collectifs, Equitation")</f>
        <v>Sports collectifs, Equitation</v>
      </c>
      <c r="L82" s="1" t="str">
        <f>IFERROR(__xludf.DUMMYFUNCTION("""COMPUTED_VALUE"""),"Je fais toujours attention à bien manger")</f>
        <v>Je fais toujours attention à bien manger</v>
      </c>
      <c r="M82" s="1">
        <f>IFERROR(__xludf.DUMMYFUNCTION("""COMPUTED_VALUE"""),10.0)</f>
        <v>10</v>
      </c>
      <c r="N82" s="1" t="str">
        <f>IFERROR(__xludf.DUMMYFUNCTION("""COMPUTED_VALUE"""),"Plusieurs fois par semaine")</f>
        <v>Plusieurs fois par semaine</v>
      </c>
      <c r="O82" s="1" t="str">
        <f>IFERROR(__xludf.DUMMYFUNCTION("""COMPUTED_VALUE"""),"T'enflammes le dancefloor")</f>
        <v>T'enflammes le dancefloor</v>
      </c>
      <c r="P82" s="1">
        <f>IFERROR(__xludf.DUMMYFUNCTION("""COMPUTED_VALUE"""),3.0)</f>
        <v>3</v>
      </c>
      <c r="Q82" s="1" t="str">
        <f>IFERROR(__xludf.DUMMYFUNCTION("""COMPUTED_VALUE"""),"Oui")</f>
        <v>Oui</v>
      </c>
      <c r="R82" s="1" t="str">
        <f>IFERROR(__xludf.DUMMYFUNCTION("""COMPUTED_VALUE"""),"Non")</f>
        <v>Non</v>
      </c>
      <c r="S82" s="1" t="str">
        <f>IFERROR(__xludf.DUMMYFUNCTION("""COMPUTED_VALUE"""),"Dusex")</f>
        <v>Dusex</v>
      </c>
      <c r="T82" s="1" t="str">
        <f>IFERROR(__xludf.DUMMYFUNCTION("""COMPUTED_VALUE"""),"Ski")</f>
        <v>Ski</v>
      </c>
      <c r="U82" t="str">
        <f>IFERROR(__xludf.DUMMYFUNCTION("""COMPUTED_VALUE"""),"")</f>
        <v/>
      </c>
      <c r="V82" t="str">
        <f>IFERROR(__xludf.DUMMYFUNCTION("""COMPUTED_VALUE"""),"")</f>
        <v/>
      </c>
      <c r="W82" t="str">
        <f>IFERROR(__xludf.DUMMYFUNCTION("""COMPUTED_VALUE"""),"")</f>
        <v/>
      </c>
      <c r="X82" t="str">
        <f>IFERROR(__xludf.DUMMYFUNCTION("""COMPUTED_VALUE"""),"")</f>
        <v/>
      </c>
      <c r="Y82" t="str">
        <f>IFERROR(__xludf.DUMMYFUNCTION("""COMPUTED_VALUE"""),"")</f>
        <v/>
      </c>
      <c r="Z82" t="str">
        <f>IFERROR(__xludf.DUMMYFUNCTION("""COMPUTED_VALUE"""),"")</f>
        <v/>
      </c>
      <c r="AA82" t="str">
        <f>IFERROR(__xludf.DUMMYFUNCTION("""COMPUTED_VALUE"""),"")</f>
        <v/>
      </c>
      <c r="AB82" t="str">
        <f>IFERROR(__xludf.DUMMYFUNCTION("""COMPUTED_VALUE"""),"")</f>
        <v/>
      </c>
    </row>
    <row r="83">
      <c r="A83" s="2">
        <f>IFERROR(__xludf.DUMMYFUNCTION("""COMPUTED_VALUE"""),43628.92341657408)</f>
        <v>43628.92342</v>
      </c>
      <c r="B83" s="1" t="str">
        <f>IFERROR(__xludf.DUMMYFUNCTION("""COMPUTED_VALUE"""),"Emeric Claudel")</f>
        <v>Emeric Claudel</v>
      </c>
      <c r="C83" s="1" t="str">
        <f>IFERROR(__xludf.DUMMYFUNCTION("""COMPUTED_VALUE"""),"Deux inconnus")</f>
        <v>Deux inconnus</v>
      </c>
      <c r="D83" s="1" t="str">
        <f>IFERROR(__xludf.DUMMYFUNCTION("""COMPUTED_VALUE"""),"BDS")</f>
        <v>BDS</v>
      </c>
      <c r="E83" s="1">
        <f>IFERROR(__xludf.DUMMYFUNCTION("""COMPUTED_VALUE"""),3.0)</f>
        <v>3</v>
      </c>
      <c r="F83" s="1" t="str">
        <f>IFERROR(__xludf.DUMMYFUNCTION("""COMPUTED_VALUE"""),"Electro posée, Rap, Pop")</f>
        <v>Electro posée, Rap, Pop</v>
      </c>
      <c r="G83" s="1" t="str">
        <f>IFERROR(__xludf.DUMMYFUNCTION("""COMPUTED_VALUE"""),"Littérature, Sculpture, Danse, Graphisme")</f>
        <v>Littérature, Sculpture, Danse, Graphisme</v>
      </c>
      <c r="H83" s="1" t="str">
        <f>IFERROR(__xludf.DUMMYFUNCTION("""COMPUTED_VALUE"""),"Quelques fois par semaine")</f>
        <v>Quelques fois par semaine</v>
      </c>
      <c r="I83" s="1" t="str">
        <f>IFERROR(__xludf.DUMMYFUNCTION("""COMPUTED_VALUE"""),"Plusieurs fois par semaine")</f>
        <v>Plusieurs fois par semaine</v>
      </c>
      <c r="J83" s="1" t="str">
        <f>IFERROR(__xludf.DUMMYFUNCTION("""COMPUTED_VALUE"""),"Pour les autres")</f>
        <v>Pour les autres</v>
      </c>
      <c r="K83" s="1" t="str">
        <f>IFERROR(__xludf.DUMMYFUNCTION("""COMPUTED_VALUE"""),"Sports collectifs, Equitation")</f>
        <v>Sports collectifs, Equitation</v>
      </c>
      <c r="L83" s="1" t="str">
        <f>IFERROR(__xludf.DUMMYFUNCTION("""COMPUTED_VALUE"""),"Je fais toujours attention à bien manger")</f>
        <v>Je fais toujours attention à bien manger</v>
      </c>
      <c r="M83" s="1">
        <f>IFERROR(__xludf.DUMMYFUNCTION("""COMPUTED_VALUE"""),9.0)</f>
        <v>9</v>
      </c>
      <c r="N83" s="1" t="str">
        <f>IFERROR(__xludf.DUMMYFUNCTION("""COMPUTED_VALUE"""),"Plusieurs fois par semaine")</f>
        <v>Plusieurs fois par semaine</v>
      </c>
      <c r="O83" s="1" t="str">
        <f>IFERROR(__xludf.DUMMYFUNCTION("""COMPUTED_VALUE"""),"Objectif grosse défonce")</f>
        <v>Objectif grosse défonce</v>
      </c>
      <c r="P83" s="1">
        <f>IFERROR(__xludf.DUMMYFUNCTION("""COMPUTED_VALUE"""),4.0)</f>
        <v>4</v>
      </c>
      <c r="Q83" s="1" t="str">
        <f>IFERROR(__xludf.DUMMYFUNCTION("""COMPUTED_VALUE"""),"Oui")</f>
        <v>Oui</v>
      </c>
      <c r="R83" s="1" t="str">
        <f>IFERROR(__xludf.DUMMYFUNCTION("""COMPUTED_VALUE"""),"Non")</f>
        <v>Non</v>
      </c>
      <c r="S83" s="1" t="str">
        <f>IFERROR(__xludf.DUMMYFUNCTION("""COMPUTED_VALUE"""),"Dusex")</f>
        <v>Dusex</v>
      </c>
      <c r="T83" s="1" t="str">
        <f>IFERROR(__xludf.DUMMYFUNCTION("""COMPUTED_VALUE"""),"Raffin")</f>
        <v>Raffin</v>
      </c>
      <c r="U83" t="str">
        <f>IFERROR(__xludf.DUMMYFUNCTION("""COMPUTED_VALUE"""),"")</f>
        <v/>
      </c>
      <c r="V83" t="str">
        <f>IFERROR(__xludf.DUMMYFUNCTION("""COMPUTED_VALUE"""),"")</f>
        <v/>
      </c>
      <c r="W83" t="str">
        <f>IFERROR(__xludf.DUMMYFUNCTION("""COMPUTED_VALUE"""),"")</f>
        <v/>
      </c>
      <c r="X83" t="str">
        <f>IFERROR(__xludf.DUMMYFUNCTION("""COMPUTED_VALUE"""),"")</f>
        <v/>
      </c>
      <c r="Y83" t="str">
        <f>IFERROR(__xludf.DUMMYFUNCTION("""COMPUTED_VALUE"""),"")</f>
        <v/>
      </c>
      <c r="Z83" t="str">
        <f>IFERROR(__xludf.DUMMYFUNCTION("""COMPUTED_VALUE"""),"")</f>
        <v/>
      </c>
      <c r="AA83" t="str">
        <f>IFERROR(__xludf.DUMMYFUNCTION("""COMPUTED_VALUE"""),"")</f>
        <v/>
      </c>
      <c r="AB83" t="str">
        <f>IFERROR(__xludf.DUMMYFUNCTION("""COMPUTED_VALUE"""),"")</f>
        <v/>
      </c>
    </row>
    <row r="84">
      <c r="A84" s="2">
        <f>IFERROR(__xludf.DUMMYFUNCTION("""COMPUTED_VALUE"""),43628.928910752315)</f>
        <v>43628.92891</v>
      </c>
      <c r="B84" s="1" t="str">
        <f>IFERROR(__xludf.DUMMYFUNCTION("""COMPUTED_VALUE"""),"Thomas AUZARD")</f>
        <v>Thomas AUZARD</v>
      </c>
      <c r="C84" s="1" t="str">
        <f>IFERROR(__xludf.DUMMYFUNCTION("""COMPUTED_VALUE"""),"Deux inconnus")</f>
        <v>Deux inconnus</v>
      </c>
      <c r="D84" s="1" t="str">
        <f>IFERROR(__xludf.DUMMYFUNCTION("""COMPUTED_VALUE"""),"BDS")</f>
        <v>BDS</v>
      </c>
      <c r="E84" s="1">
        <f>IFERROR(__xludf.DUMMYFUNCTION("""COMPUTED_VALUE"""),2.0)</f>
        <v>2</v>
      </c>
      <c r="F84" s="1" t="str">
        <f>IFERROR(__xludf.DUMMYFUNCTION("""COMPUTED_VALUE"""),"Rock, Rap, Jazz, Musique classique, Kpop, Autre")</f>
        <v>Rock, Rap, Jazz, Musique classique, Kpop, Autre</v>
      </c>
      <c r="G84" s="1" t="str">
        <f>IFERROR(__xludf.DUMMYFUNCTION("""COMPUTED_VALUE"""),"Peinture, Littérature, Danse, Musique")</f>
        <v>Peinture, Littérature, Danse, Musique</v>
      </c>
      <c r="H84" s="1" t="str">
        <f>IFERROR(__xludf.DUMMYFUNCTION("""COMPUTED_VALUE"""),"Quelques fois par semaine")</f>
        <v>Quelques fois par semaine</v>
      </c>
      <c r="I84" s="1" t="str">
        <f>IFERROR(__xludf.DUMMYFUNCTION("""COMPUTED_VALUE"""),"Une fois par semaine")</f>
        <v>Une fois par semaine</v>
      </c>
      <c r="J84" s="1" t="str">
        <f>IFERROR(__xludf.DUMMYFUNCTION("""COMPUTED_VALUE"""),"Pour le fun")</f>
        <v>Pour le fun</v>
      </c>
      <c r="K84" s="1" t="str">
        <f>IFERROR(__xludf.DUMMYFUNCTION("""COMPUTED_VALUE"""),"Sports de raquette, Equitation")</f>
        <v>Sports de raquette, Equitation</v>
      </c>
      <c r="L84" s="1" t="str">
        <f>IFERROR(__xludf.DUMMYFUNCTION("""COMPUTED_VALUE"""),"Oh oui, et les trucs bien gras ça me connait !")</f>
        <v>Oh oui, et les trucs bien gras ça me connait !</v>
      </c>
      <c r="M84" s="1">
        <f>IFERROR(__xludf.DUMMYFUNCTION("""COMPUTED_VALUE"""),9.0)</f>
        <v>9</v>
      </c>
      <c r="N84" s="1" t="str">
        <f>IFERROR(__xludf.DUMMYFUNCTION("""COMPUTED_VALUE"""),"Plusieurs fois par semaine")</f>
        <v>Plusieurs fois par semaine</v>
      </c>
      <c r="O84" s="1" t="str">
        <f>IFERROR(__xludf.DUMMYFUNCTION("""COMPUTED_VALUE"""),"T'enflammes le dancefloor")</f>
        <v>T'enflammes le dancefloor</v>
      </c>
      <c r="P84" s="1">
        <f>IFERROR(__xludf.DUMMYFUNCTION("""COMPUTED_VALUE"""),4.0)</f>
        <v>4</v>
      </c>
      <c r="Q84" s="1" t="str">
        <f>IFERROR(__xludf.DUMMYFUNCTION("""COMPUTED_VALUE"""),"Non")</f>
        <v>Non</v>
      </c>
      <c r="R84" s="1" t="str">
        <f>IFERROR(__xludf.DUMMYFUNCTION("""COMPUTED_VALUE"""),"Non")</f>
        <v>Non</v>
      </c>
      <c r="S84" s="1" t="str">
        <f>IFERROR(__xludf.DUMMYFUNCTION("""COMPUTED_VALUE"""),"Dusex")</f>
        <v>Dusex</v>
      </c>
      <c r="T84" s="1" t="str">
        <f>IFERROR(__xludf.DUMMYFUNCTION("""COMPUTED_VALUE"""),"Une voiture ")</f>
        <v>Une voiture </v>
      </c>
      <c r="U84" t="str">
        <f>IFERROR(__xludf.DUMMYFUNCTION("""COMPUTED_VALUE"""),"")</f>
        <v/>
      </c>
      <c r="V84" t="str">
        <f>IFERROR(__xludf.DUMMYFUNCTION("""COMPUTED_VALUE"""),"")</f>
        <v/>
      </c>
      <c r="W84" t="str">
        <f>IFERROR(__xludf.DUMMYFUNCTION("""COMPUTED_VALUE"""),"")</f>
        <v/>
      </c>
      <c r="X84" t="str">
        <f>IFERROR(__xludf.DUMMYFUNCTION("""COMPUTED_VALUE"""),"")</f>
        <v/>
      </c>
      <c r="Y84" t="str">
        <f>IFERROR(__xludf.DUMMYFUNCTION("""COMPUTED_VALUE"""),"")</f>
        <v/>
      </c>
      <c r="Z84" t="str">
        <f>IFERROR(__xludf.DUMMYFUNCTION("""COMPUTED_VALUE"""),"")</f>
        <v/>
      </c>
      <c r="AA84" t="str">
        <f>IFERROR(__xludf.DUMMYFUNCTION("""COMPUTED_VALUE"""),"")</f>
        <v/>
      </c>
      <c r="AB84" t="str">
        <f>IFERROR(__xludf.DUMMYFUNCTION("""COMPUTED_VALUE"""),"")</f>
        <v/>
      </c>
    </row>
    <row r="85">
      <c r="A85" s="2">
        <f>IFERROR(__xludf.DUMMYFUNCTION("""COMPUTED_VALUE"""),43628.929827025466)</f>
        <v>43628.92983</v>
      </c>
      <c r="B85" s="1" t="str">
        <f>IFERROR(__xludf.DUMMYFUNCTION("""COMPUTED_VALUE"""),"Orson JAY")</f>
        <v>Orson JAY</v>
      </c>
      <c r="C85" s="1" t="str">
        <f>IFERROR(__xludf.DUMMYFUNCTION("""COMPUTED_VALUE"""),"Deux inconnus")</f>
        <v>Deux inconnus</v>
      </c>
      <c r="D85" s="1" t="str">
        <f>IFERROR(__xludf.DUMMYFUNCTION("""COMPUTED_VALUE"""),"BDS")</f>
        <v>BDS</v>
      </c>
      <c r="E85" s="1">
        <f>IFERROR(__xludf.DUMMYFUNCTION("""COMPUTED_VALUE"""),4.0)</f>
        <v>4</v>
      </c>
      <c r="F85" s="1" t="str">
        <f>IFERROR(__xludf.DUMMYFUNCTION("""COMPUTED_VALUE"""),"Electro posée, Pop")</f>
        <v>Electro posée, Pop</v>
      </c>
      <c r="G85" s="1" t="str">
        <f>IFERROR(__xludf.DUMMYFUNCTION("""COMPUTED_VALUE"""),"Musique, Cinéma")</f>
        <v>Musique, Cinéma</v>
      </c>
      <c r="H85" s="1" t="str">
        <f>IFERROR(__xludf.DUMMYFUNCTION("""COMPUTED_VALUE"""),"Une fois de temps en temps")</f>
        <v>Une fois de temps en temps</v>
      </c>
      <c r="I85" s="1" t="str">
        <f>IFERROR(__xludf.DUMMYFUNCTION("""COMPUTED_VALUE"""),"Plusieurs fois par semaine")</f>
        <v>Plusieurs fois par semaine</v>
      </c>
      <c r="J85" s="1" t="str">
        <f>IFERROR(__xludf.DUMMYFUNCTION("""COMPUTED_VALUE"""),"Pour le fun")</f>
        <v>Pour le fun</v>
      </c>
      <c r="K85" s="1" t="str">
        <f>IFERROR(__xludf.DUMMYFUNCTION("""COMPUTED_VALUE"""),"Sports collectifs, Equitation")</f>
        <v>Sports collectifs, Equitation</v>
      </c>
      <c r="L85" s="1" t="str">
        <f>IFERROR(__xludf.DUMMYFUNCTION("""COMPUTED_VALUE"""),"J'aime cuisiner le WE ou quand j'ai le temps")</f>
        <v>J'aime cuisiner le WE ou quand j'ai le temps</v>
      </c>
      <c r="M85" s="1">
        <f>IFERROR(__xludf.DUMMYFUNCTION("""COMPUTED_VALUE"""),8.0)</f>
        <v>8</v>
      </c>
      <c r="N85" s="1" t="str">
        <f>IFERROR(__xludf.DUMMYFUNCTION("""COMPUTED_VALUE"""),"Plusieurs fois par semaine")</f>
        <v>Plusieurs fois par semaine</v>
      </c>
      <c r="O85" s="1" t="str">
        <f>IFERROR(__xludf.DUMMYFUNCTION("""COMPUTED_VALUE"""),"T'enflammes le dancefloor")</f>
        <v>T'enflammes le dancefloor</v>
      </c>
      <c r="P85" s="1">
        <f>IFERROR(__xludf.DUMMYFUNCTION("""COMPUTED_VALUE"""),4.0)</f>
        <v>4</v>
      </c>
      <c r="Q85" s="1" t="str">
        <f>IFERROR(__xludf.DUMMYFUNCTION("""COMPUTED_VALUE"""),"Oui")</f>
        <v>Oui</v>
      </c>
      <c r="R85" s="1" t="str">
        <f>IFERROR(__xludf.DUMMYFUNCTION("""COMPUTED_VALUE"""),"Non")</f>
        <v>Non</v>
      </c>
      <c r="S85" s="1" t="str">
        <f>IFERROR(__xludf.DUMMYFUNCTION("""COMPUTED_VALUE"""),"Dusex")</f>
        <v>Dusex</v>
      </c>
      <c r="T85" s="1" t="str">
        <f>IFERROR(__xludf.DUMMYFUNCTION("""COMPUTED_VALUE"""),"Ski bas")</f>
        <v>Ski bas</v>
      </c>
      <c r="U85" t="str">
        <f>IFERROR(__xludf.DUMMYFUNCTION("""COMPUTED_VALUE"""),"")</f>
        <v/>
      </c>
      <c r="V85" t="str">
        <f>IFERROR(__xludf.DUMMYFUNCTION("""COMPUTED_VALUE"""),"")</f>
        <v/>
      </c>
      <c r="W85" t="str">
        <f>IFERROR(__xludf.DUMMYFUNCTION("""COMPUTED_VALUE"""),"")</f>
        <v/>
      </c>
      <c r="X85" t="str">
        <f>IFERROR(__xludf.DUMMYFUNCTION("""COMPUTED_VALUE"""),"")</f>
        <v/>
      </c>
      <c r="Y85" t="str">
        <f>IFERROR(__xludf.DUMMYFUNCTION("""COMPUTED_VALUE"""),"")</f>
        <v/>
      </c>
      <c r="Z85" t="str">
        <f>IFERROR(__xludf.DUMMYFUNCTION("""COMPUTED_VALUE"""),"")</f>
        <v/>
      </c>
      <c r="AA85" t="str">
        <f>IFERROR(__xludf.DUMMYFUNCTION("""COMPUTED_VALUE"""),"")</f>
        <v/>
      </c>
      <c r="AB85" t="str">
        <f>IFERROR(__xludf.DUMMYFUNCTION("""COMPUTED_VALUE"""),"")</f>
        <v/>
      </c>
    </row>
    <row r="86">
      <c r="A86" s="2">
        <f>IFERROR(__xludf.DUMMYFUNCTION("""COMPUTED_VALUE"""),43629.24399804398)</f>
        <v>43629.244</v>
      </c>
      <c r="B86" s="1" t="str">
        <f>IFERROR(__xludf.DUMMYFUNCTION("""COMPUTED_VALUE"""),"Sébastien MARAIS")</f>
        <v>Sébastien MARAIS</v>
      </c>
      <c r="C8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6" s="1" t="str">
        <f>IFERROR(__xludf.DUMMYFUNCTION("""COMPUTED_VALUE"""),"BDS")</f>
        <v>BDS</v>
      </c>
      <c r="E86" s="1">
        <f>IFERROR(__xludf.DUMMYFUNCTION("""COMPUTED_VALUE"""),4.0)</f>
        <v>4</v>
      </c>
      <c r="F86" s="1" t="str">
        <f>IFERROR(__xludf.DUMMYFUNCTION("""COMPUTED_VALUE"""),"Electro posée, Rap")</f>
        <v>Electro posée, Rap</v>
      </c>
      <c r="G86" s="1" t="str">
        <f>IFERROR(__xludf.DUMMYFUNCTION("""COMPUTED_VALUE"""),"Cinéma")</f>
        <v>Cinéma</v>
      </c>
      <c r="H86" s="1" t="str">
        <f>IFERROR(__xludf.DUMMYFUNCTION("""COMPUTED_VALUE"""),"Une fois de temps en temps")</f>
        <v>Une fois de temps en temps</v>
      </c>
      <c r="I86" s="1" t="str">
        <f>IFERROR(__xludf.DUMMYFUNCTION("""COMPUTED_VALUE"""),"Plusieurs fois par semaine")</f>
        <v>Plusieurs fois par semaine</v>
      </c>
      <c r="J86" s="1" t="str">
        <f>IFERROR(__xludf.DUMMYFUNCTION("""COMPUTED_VALUE"""),"Pour le fun")</f>
        <v>Pour le fun</v>
      </c>
      <c r="K86" s="1" t="str">
        <f>IFERROR(__xludf.DUMMYFUNCTION("""COMPUTED_VALUE"""),"Sports collectifs, Sports de raquette")</f>
        <v>Sports collectifs, Sports de raquette</v>
      </c>
      <c r="L86" s="1" t="str">
        <f>IFERROR(__xludf.DUMMYFUNCTION("""COMPUTED_VALUE"""),"Je fais toujours attention à bien manger")</f>
        <v>Je fais toujours attention à bien manger</v>
      </c>
      <c r="M86" s="1">
        <f>IFERROR(__xludf.DUMMYFUNCTION("""COMPUTED_VALUE"""),5.0)</f>
        <v>5</v>
      </c>
      <c r="N86" s="1" t="str">
        <f>IFERROR(__xludf.DUMMYFUNCTION("""COMPUTED_VALUE"""),"Une fois par semaine")</f>
        <v>Une fois par semaine</v>
      </c>
      <c r="O86" s="1" t="str">
        <f>IFERROR(__xludf.DUMMYFUNCTION("""COMPUTED_VALUE"""),"Tu te poses dans un coin, chill !!")</f>
        <v>Tu te poses dans un coin, chill !!</v>
      </c>
      <c r="P86" s="1">
        <f>IFERROR(__xludf.DUMMYFUNCTION("""COMPUTED_VALUE"""),1.0)</f>
        <v>1</v>
      </c>
      <c r="Q86" s="1" t="str">
        <f>IFERROR(__xludf.DUMMYFUNCTION("""COMPUTED_VALUE"""),"Non")</f>
        <v>Non</v>
      </c>
      <c r="R86" s="1" t="str">
        <f>IFERROR(__xludf.DUMMYFUNCTION("""COMPUTED_VALUE"""),"Non")</f>
        <v>Non</v>
      </c>
      <c r="S86" s="1" t="str">
        <f>IFERROR(__xludf.DUMMYFUNCTION("""COMPUTED_VALUE"""),"galerie ++")</f>
        <v>galerie ++</v>
      </c>
      <c r="T86" s="1" t="str">
        <f>IFERROR(__xludf.DUMMYFUNCTION("""COMPUTED_VALUE"""),"Bonsaï")</f>
        <v>Bonsaï</v>
      </c>
      <c r="U86" t="str">
        <f>IFERROR(__xludf.DUMMYFUNCTION("""COMPUTED_VALUE"""),"")</f>
        <v/>
      </c>
      <c r="V86" t="str">
        <f>IFERROR(__xludf.DUMMYFUNCTION("""COMPUTED_VALUE"""),"")</f>
        <v/>
      </c>
      <c r="W86" t="str">
        <f>IFERROR(__xludf.DUMMYFUNCTION("""COMPUTED_VALUE"""),"")</f>
        <v/>
      </c>
      <c r="X86" t="str">
        <f>IFERROR(__xludf.DUMMYFUNCTION("""COMPUTED_VALUE"""),"")</f>
        <v/>
      </c>
      <c r="Y86" t="str">
        <f>IFERROR(__xludf.DUMMYFUNCTION("""COMPUTED_VALUE"""),"")</f>
        <v/>
      </c>
      <c r="Z86" t="str">
        <f>IFERROR(__xludf.DUMMYFUNCTION("""COMPUTED_VALUE"""),"")</f>
        <v/>
      </c>
      <c r="AA86" t="str">
        <f>IFERROR(__xludf.DUMMYFUNCTION("""COMPUTED_VALUE"""),"")</f>
        <v/>
      </c>
      <c r="AB86" t="str">
        <f>IFERROR(__xludf.DUMMYFUNCTION("""COMPUTED_VALUE"""),"")</f>
        <v/>
      </c>
    </row>
    <row r="87">
      <c r="A87" s="2">
        <f>IFERROR(__xludf.DUMMYFUNCTION("""COMPUTED_VALUE"""),43629.438116226855)</f>
        <v>43629.43812</v>
      </c>
      <c r="B87" s="1" t="str">
        <f>IFERROR(__xludf.DUMMYFUNCTION("""COMPUTED_VALUE"""),"Baptiste Miossec")</f>
        <v>Baptiste Miossec</v>
      </c>
      <c r="C87" s="1" t="str">
        <f>IFERROR(__xludf.DUMMYFUNCTION("""COMPUTED_VALUE"""),"Le président et un inconnu")</f>
        <v>Le président et un inconnu</v>
      </c>
      <c r="D87" s="1" t="str">
        <f>IFERROR(__xludf.DUMMYFUNCTION("""COMPUTED_VALUE"""),"BDE")</f>
        <v>BDE</v>
      </c>
      <c r="E87" s="1">
        <f>IFERROR(__xludf.DUMMYFUNCTION("""COMPUTED_VALUE"""),5.0)</f>
        <v>5</v>
      </c>
      <c r="F87" s="1" t="str">
        <f>IFERROR(__xludf.DUMMYFUNCTION("""COMPUTED_VALUE"""),"Electro posée, Pop, Musique fançaise, Autre")</f>
        <v>Electro posée, Pop, Musique fançaise, Autre</v>
      </c>
      <c r="G87" s="1" t="str">
        <f>IFERROR(__xludf.DUMMYFUNCTION("""COMPUTED_VALUE"""),"Pas du tout")</f>
        <v>Pas du tout</v>
      </c>
      <c r="H87" s="1" t="str">
        <f>IFERROR(__xludf.DUMMYFUNCTION("""COMPUTED_VALUE"""),"Seulement les soirs de pleine lune")</f>
        <v>Seulement les soirs de pleine lune</v>
      </c>
      <c r="I87" s="1" t="str">
        <f>IFERROR(__xludf.DUMMYFUNCTION("""COMPUTED_VALUE"""),"Plusieurs fois par semaine")</f>
        <v>Plusieurs fois par semaine</v>
      </c>
      <c r="J87" s="1" t="str">
        <f>IFERROR(__xludf.DUMMYFUNCTION("""COMPUTED_VALUE"""),"Pour le développement perso et se dépasser")</f>
        <v>Pour le développement perso et se dépasser</v>
      </c>
      <c r="K87" s="1" t="str">
        <f>IFERROR(__xludf.DUMMYFUNCTION("""COMPUTED_VALUE"""),"Sports de raquette, Athlétisme, Sports de rames")</f>
        <v>Sports de raquette, Athlétisme, Sports de rames</v>
      </c>
      <c r="L87" s="1" t="str">
        <f>IFERROR(__xludf.DUMMYFUNCTION("""COMPUTED_VALUE"""),"J'aime cuisiner le WE ou quand j'ai le temps")</f>
        <v>J'aime cuisiner le WE ou quand j'ai le temps</v>
      </c>
      <c r="M87" s="1">
        <f>IFERROR(__xludf.DUMMYFUNCTION("""COMPUTED_VALUE"""),7.0)</f>
        <v>7</v>
      </c>
      <c r="N87" s="1" t="str">
        <f>IFERROR(__xludf.DUMMYFUNCTION("""COMPUTED_VALUE"""),"Une fois par semaine")</f>
        <v>Une fois par semaine</v>
      </c>
      <c r="O87" s="1" t="str">
        <f>IFERROR(__xludf.DUMMYFUNCTION("""COMPUTED_VALUE"""),"T'enflammes le dancefloor")</f>
        <v>T'enflammes le dancefloor</v>
      </c>
      <c r="P87" s="1">
        <f>IFERROR(__xludf.DUMMYFUNCTION("""COMPUTED_VALUE"""),1.0)</f>
        <v>1</v>
      </c>
      <c r="Q87" s="1" t="str">
        <f>IFERROR(__xludf.DUMMYFUNCTION("""COMPUTED_VALUE"""),"Oui")</f>
        <v>Oui</v>
      </c>
      <c r="R87" s="1" t="str">
        <f>IFERROR(__xludf.DUMMYFUNCTION("""COMPUTED_VALUE"""),"Non")</f>
        <v>Non</v>
      </c>
      <c r="S87" s="1" t="str">
        <f>IFERROR(__xludf.DUMMYFUNCTION("""COMPUTED_VALUE"""),"Summerf’aigle ")</f>
        <v>Summerf’aigle </v>
      </c>
      <c r="T87" s="1" t="str">
        <f>IFERROR(__xludf.DUMMYFUNCTION("""COMPUTED_VALUE"""),"Médaille de semi marathon ")</f>
        <v>Médaille de semi marathon </v>
      </c>
      <c r="U87" t="str">
        <f>IFERROR(__xludf.DUMMYFUNCTION("""COMPUTED_VALUE"""),"")</f>
        <v/>
      </c>
      <c r="V87" t="str">
        <f>IFERROR(__xludf.DUMMYFUNCTION("""COMPUTED_VALUE"""),"")</f>
        <v/>
      </c>
      <c r="W87" t="str">
        <f>IFERROR(__xludf.DUMMYFUNCTION("""COMPUTED_VALUE"""),"")</f>
        <v/>
      </c>
      <c r="X87" t="str">
        <f>IFERROR(__xludf.DUMMYFUNCTION("""COMPUTED_VALUE"""),"")</f>
        <v/>
      </c>
      <c r="Y87" t="str">
        <f>IFERROR(__xludf.DUMMYFUNCTION("""COMPUTED_VALUE"""),"")</f>
        <v/>
      </c>
      <c r="Z87" t="str">
        <f>IFERROR(__xludf.DUMMYFUNCTION("""COMPUTED_VALUE"""),"")</f>
        <v/>
      </c>
      <c r="AA87" t="str">
        <f>IFERROR(__xludf.DUMMYFUNCTION("""COMPUTED_VALUE"""),"")</f>
        <v/>
      </c>
      <c r="AB87" t="str">
        <f>IFERROR(__xludf.DUMMYFUNCTION("""COMPUTED_VALUE"""),"")</f>
        <v/>
      </c>
    </row>
    <row r="88">
      <c r="A88" s="2">
        <f>IFERROR(__xludf.DUMMYFUNCTION("""COMPUTED_VALUE"""),43629.47495478009)</f>
        <v>43629.47495</v>
      </c>
      <c r="B88" s="1" t="str">
        <f>IFERROR(__xludf.DUMMYFUNCTION("""COMPUTED_VALUE"""),"Ferreol GORIOUX")</f>
        <v>Ferreol GORIOUX</v>
      </c>
      <c r="C88" s="1" t="str">
        <f>IFERROR(__xludf.DUMMYFUNCTION("""COMPUTED_VALUE"""),"Le président et un inconnu")</f>
        <v>Le président et un inconnu</v>
      </c>
      <c r="D88" s="1" t="str">
        <f>IFERROR(__xludf.DUMMYFUNCTION("""COMPUTED_VALUE"""),"BDS")</f>
        <v>BDS</v>
      </c>
      <c r="E88" s="1">
        <f>IFERROR(__xludf.DUMMYFUNCTION("""COMPUTED_VALUE"""),5.0)</f>
        <v>5</v>
      </c>
      <c r="F88" s="1" t="str">
        <f>IFERROR(__xludf.DUMMYFUNCTION("""COMPUTED_VALUE"""),"Electro posée, Electro hard")</f>
        <v>Electro posée, Electro hard</v>
      </c>
      <c r="G88" s="1" t="str">
        <f>IFERROR(__xludf.DUMMYFUNCTION("""COMPUTED_VALUE"""),"Cinéma")</f>
        <v>Cinéma</v>
      </c>
      <c r="H88" s="1" t="str">
        <f>IFERROR(__xludf.DUMMYFUNCTION("""COMPUTED_VALUE"""),"Une fois de temps en temps")</f>
        <v>Une fois de temps en temps</v>
      </c>
      <c r="I88" s="1" t="str">
        <f>IFERROR(__xludf.DUMMYFUNCTION("""COMPUTED_VALUE"""),"Une fois par jour")</f>
        <v>Une fois par jour</v>
      </c>
      <c r="J88" s="1" t="str">
        <f>IFERROR(__xludf.DUMMYFUNCTION("""COMPUTED_VALUE"""),"Pour le développement perso et se dépasser")</f>
        <v>Pour le développement perso et se dépasser</v>
      </c>
      <c r="K88" s="1" t="str">
        <f>IFERROR(__xludf.DUMMYFUNCTION("""COMPUTED_VALUE"""),"Sports collectifs")</f>
        <v>Sports collectifs</v>
      </c>
      <c r="L88" s="1" t="str">
        <f>IFERROR(__xludf.DUMMYFUNCTION("""COMPUTED_VALUE"""),"J'aime cuisiner le WE ou quand j'ai le temps")</f>
        <v>J'aime cuisiner le WE ou quand j'ai le temps</v>
      </c>
      <c r="M88" s="1">
        <f>IFERROR(__xludf.DUMMYFUNCTION("""COMPUTED_VALUE"""),8.0)</f>
        <v>8</v>
      </c>
      <c r="N88" s="1" t="str">
        <f>IFERROR(__xludf.DUMMYFUNCTION("""COMPUTED_VALUE"""),"Plusieurs fois par semaine")</f>
        <v>Plusieurs fois par semaine</v>
      </c>
      <c r="O88" s="1" t="str">
        <f>IFERROR(__xludf.DUMMYFUNCTION("""COMPUTED_VALUE"""),"T'enflammes le dancefloor")</f>
        <v>T'enflammes le dancefloor</v>
      </c>
      <c r="P88" s="1">
        <f>IFERROR(__xludf.DUMMYFUNCTION("""COMPUTED_VALUE"""),4.0)</f>
        <v>4</v>
      </c>
      <c r="Q88" s="1" t="str">
        <f>IFERROR(__xludf.DUMMYFUNCTION("""COMPUTED_VALUE"""),"Non")</f>
        <v>Non</v>
      </c>
      <c r="R88" s="1" t="str">
        <f>IFERROR(__xludf.DUMMYFUNCTION("""COMPUTED_VALUE"""),"Non")</f>
        <v>Non</v>
      </c>
      <c r="S88" s="1" t="str">
        <f>IFERROR(__xludf.DUMMYFUNCTION("""COMPUTED_VALUE"""),"La Roulotte")</f>
        <v>La Roulotte</v>
      </c>
      <c r="T88" s="1" t="str">
        <f>IFERROR(__xludf.DUMMYFUNCTION("""COMPUTED_VALUE"""),"Un maillot de rugby ")</f>
        <v>Un maillot de rugby </v>
      </c>
      <c r="U88" t="str">
        <f>IFERROR(__xludf.DUMMYFUNCTION("""COMPUTED_VALUE"""),"")</f>
        <v/>
      </c>
      <c r="V88" t="str">
        <f>IFERROR(__xludf.DUMMYFUNCTION("""COMPUTED_VALUE"""),"")</f>
        <v/>
      </c>
      <c r="W88" t="str">
        <f>IFERROR(__xludf.DUMMYFUNCTION("""COMPUTED_VALUE"""),"")</f>
        <v/>
      </c>
      <c r="X88" t="str">
        <f>IFERROR(__xludf.DUMMYFUNCTION("""COMPUTED_VALUE"""),"")</f>
        <v/>
      </c>
      <c r="Y88" t="str">
        <f>IFERROR(__xludf.DUMMYFUNCTION("""COMPUTED_VALUE"""),"")</f>
        <v/>
      </c>
      <c r="Z88" t="str">
        <f>IFERROR(__xludf.DUMMYFUNCTION("""COMPUTED_VALUE"""),"")</f>
        <v/>
      </c>
      <c r="AA88" t="str">
        <f>IFERROR(__xludf.DUMMYFUNCTION("""COMPUTED_VALUE"""),"")</f>
        <v/>
      </c>
      <c r="AB88" t="str">
        <f>IFERROR(__xludf.DUMMYFUNCTION("""COMPUTED_VALUE"""),"")</f>
        <v/>
      </c>
    </row>
    <row r="89">
      <c r="A89" s="2">
        <f>IFERROR(__xludf.DUMMYFUNCTION("""COMPUTED_VALUE"""),43629.51423678241)</f>
        <v>43629.51424</v>
      </c>
      <c r="B89" s="1" t="str">
        <f>IFERROR(__xludf.DUMMYFUNCTION("""COMPUTED_VALUE"""),"Gauthier Maillard")</f>
        <v>Gauthier Maillard</v>
      </c>
      <c r="C8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89" s="1" t="str">
        <f>IFERROR(__xludf.DUMMYFUNCTION("""COMPUTED_VALUE"""),"BDS")</f>
        <v>BDS</v>
      </c>
      <c r="E89" s="1">
        <f>IFERROR(__xludf.DUMMYFUNCTION("""COMPUTED_VALUE"""),5.0)</f>
        <v>5</v>
      </c>
      <c r="F89" s="1" t="str">
        <f>IFERROR(__xludf.DUMMYFUNCTION("""COMPUTED_VALUE"""),"Rap, Pop, Musique fançaise")</f>
        <v>Rap, Pop, Musique fançaise</v>
      </c>
      <c r="G89" s="1" t="str">
        <f>IFERROR(__xludf.DUMMYFUNCTION("""COMPUTED_VALUE"""),"Cinéma")</f>
        <v>Cinéma</v>
      </c>
      <c r="H89" s="1" t="str">
        <f>IFERROR(__xludf.DUMMYFUNCTION("""COMPUTED_VALUE"""),"Seulement les soirs de pleine lune")</f>
        <v>Seulement les soirs de pleine lune</v>
      </c>
      <c r="I89" s="1" t="str">
        <f>IFERROR(__xludf.DUMMYFUNCTION("""COMPUTED_VALUE"""),"Une fois par jour")</f>
        <v>Une fois par jour</v>
      </c>
      <c r="J89" s="1" t="str">
        <f>IFERROR(__xludf.DUMMYFUNCTION("""COMPUTED_VALUE"""),"Pour le développement perso et se dépasser")</f>
        <v>Pour le développement perso et se dépasser</v>
      </c>
      <c r="K89" s="1" t="str">
        <f>IFERROR(__xludf.DUMMYFUNCTION("""COMPUTED_VALUE"""),"Sports de raquette, Athlétisme")</f>
        <v>Sports de raquette, Athlétisme</v>
      </c>
      <c r="L89" s="1" t="str">
        <f>IFERROR(__xludf.DUMMYFUNCTION("""COMPUTED_VALUE"""),"Oh oui, et les trucs bien gras ça me connait !")</f>
        <v>Oh oui, et les trucs bien gras ça me connait !</v>
      </c>
      <c r="M89" s="1">
        <f>IFERROR(__xludf.DUMMYFUNCTION("""COMPUTED_VALUE"""),7.0)</f>
        <v>7</v>
      </c>
      <c r="N89" s="1" t="str">
        <f>IFERROR(__xludf.DUMMYFUNCTION("""COMPUTED_VALUE"""),"Une fois par semaine")</f>
        <v>Une fois par semaine</v>
      </c>
      <c r="O89" s="1" t="str">
        <f>IFERROR(__xludf.DUMMYFUNCTION("""COMPUTED_VALUE"""),"Tu te poses dans un coin, chill !!")</f>
        <v>Tu te poses dans un coin, chill !!</v>
      </c>
      <c r="P89" s="1">
        <f>IFERROR(__xludf.DUMMYFUNCTION("""COMPUTED_VALUE"""),1.0)</f>
        <v>1</v>
      </c>
      <c r="Q89" s="1" t="str">
        <f>IFERROR(__xludf.DUMMYFUNCTION("""COMPUTED_VALUE"""),"Non")</f>
        <v>Non</v>
      </c>
      <c r="R89" s="1" t="str">
        <f>IFERROR(__xludf.DUMMYFUNCTION("""COMPUTED_VALUE"""),"Non")</f>
        <v>Non</v>
      </c>
      <c r="S89" s="1" t="str">
        <f>IFERROR(__xludf.DUMMYFUNCTION("""COMPUTED_VALUE"""),"Galerie ++")</f>
        <v>Galerie ++</v>
      </c>
      <c r="T89" s="1" t="str">
        <f>IFERROR(__xludf.DUMMYFUNCTION("""COMPUTED_VALUE"""),"Une roue de velo")</f>
        <v>Une roue de velo</v>
      </c>
      <c r="U89" t="str">
        <f>IFERROR(__xludf.DUMMYFUNCTION("""COMPUTED_VALUE"""),"")</f>
        <v/>
      </c>
      <c r="V89" t="str">
        <f>IFERROR(__xludf.DUMMYFUNCTION("""COMPUTED_VALUE"""),"")</f>
        <v/>
      </c>
      <c r="W89" t="str">
        <f>IFERROR(__xludf.DUMMYFUNCTION("""COMPUTED_VALUE"""),"")</f>
        <v/>
      </c>
      <c r="X89" t="str">
        <f>IFERROR(__xludf.DUMMYFUNCTION("""COMPUTED_VALUE"""),"")</f>
        <v/>
      </c>
      <c r="Y89" t="str">
        <f>IFERROR(__xludf.DUMMYFUNCTION("""COMPUTED_VALUE"""),"")</f>
        <v/>
      </c>
      <c r="Z89" t="str">
        <f>IFERROR(__xludf.DUMMYFUNCTION("""COMPUTED_VALUE"""),"")</f>
        <v/>
      </c>
      <c r="AA89" t="str">
        <f>IFERROR(__xludf.DUMMYFUNCTION("""COMPUTED_VALUE"""),"")</f>
        <v/>
      </c>
      <c r="AB89" t="str">
        <f>IFERROR(__xludf.DUMMYFUNCTION("""COMPUTED_VALUE"""),"")</f>
        <v/>
      </c>
    </row>
    <row r="90">
      <c r="A90" s="2">
        <f>IFERROR(__xludf.DUMMYFUNCTION("""COMPUTED_VALUE"""),43629.533618078705)</f>
        <v>43629.53362</v>
      </c>
      <c r="B90" s="1" t="str">
        <f>IFERROR(__xludf.DUMMYFUNCTION("""COMPUTED_VALUE"""),"Thomas SAEZ")</f>
        <v>Thomas SAEZ</v>
      </c>
      <c r="C9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0" s="1" t="str">
        <f>IFERROR(__xludf.DUMMYFUNCTION("""COMPUTED_VALUE"""),"BDE")</f>
        <v>BDE</v>
      </c>
      <c r="E90" s="1">
        <f>IFERROR(__xludf.DUMMYFUNCTION("""COMPUTED_VALUE"""),2.0)</f>
        <v>2</v>
      </c>
      <c r="F90" s="1" t="str">
        <f>IFERROR(__xludf.DUMMYFUNCTION("""COMPUTED_VALUE"""),"Electro posée, Rap, Pop")</f>
        <v>Electro posée, Rap, Pop</v>
      </c>
      <c r="G90" s="1" t="str">
        <f>IFERROR(__xludf.DUMMYFUNCTION("""COMPUTED_VALUE"""),"Musique")</f>
        <v>Musique</v>
      </c>
      <c r="H90" s="1" t="str">
        <f>IFERROR(__xludf.DUMMYFUNCTION("""COMPUTED_VALUE"""),"Une fois de temps en temps")</f>
        <v>Une fois de temps en temps</v>
      </c>
      <c r="I90" s="1" t="str">
        <f>IFERROR(__xludf.DUMMYFUNCTION("""COMPUTED_VALUE"""),"Plusieurs fois par semaine")</f>
        <v>Plusieurs fois par semaine</v>
      </c>
      <c r="J90" s="1" t="str">
        <f>IFERROR(__xludf.DUMMYFUNCTION("""COMPUTED_VALUE"""),"Pour le développement perso et se dépasser")</f>
        <v>Pour le développement perso et se dépasser</v>
      </c>
      <c r="K90" s="1" t="str">
        <f>IFERROR(__xludf.DUMMYFUNCTION("""COMPUTED_VALUE"""),"Sports collectifs")</f>
        <v>Sports collectifs</v>
      </c>
      <c r="L90" s="1" t="str">
        <f>IFERROR(__xludf.DUMMYFUNCTION("""COMPUTED_VALUE"""),"Alterner entre grec et coquillettes ça compte ?")</f>
        <v>Alterner entre grec et coquillettes ça compte ?</v>
      </c>
      <c r="M90" s="1">
        <f>IFERROR(__xludf.DUMMYFUNCTION("""COMPUTED_VALUE"""),10.0)</f>
        <v>10</v>
      </c>
      <c r="N90" s="1" t="str">
        <f>IFERROR(__xludf.DUMMYFUNCTION("""COMPUTED_VALUE"""),"Une fois par semaine")</f>
        <v>Une fois par semaine</v>
      </c>
      <c r="O90" s="1" t="str">
        <f>IFERROR(__xludf.DUMMYFUNCTION("""COMPUTED_VALUE"""),"T'enflammes le dancefloor")</f>
        <v>T'enflammes le dancefloor</v>
      </c>
      <c r="P90" s="1">
        <f>IFERROR(__xludf.DUMMYFUNCTION("""COMPUTED_VALUE"""),1.0)</f>
        <v>1</v>
      </c>
      <c r="Q90" s="1" t="str">
        <f>IFERROR(__xludf.DUMMYFUNCTION("""COMPUTED_VALUE"""),"Non")</f>
        <v>Non</v>
      </c>
      <c r="R90" s="1" t="str">
        <f>IFERROR(__xludf.DUMMYFUNCTION("""COMPUTED_VALUE"""),"Non")</f>
        <v>Non</v>
      </c>
      <c r="S90" s="1" t="str">
        <f>IFERROR(__xludf.DUMMYFUNCTION("""COMPUTED_VALUE"""),"La dézingue ")</f>
        <v>La dézingue </v>
      </c>
      <c r="T90" s="1" t="str">
        <f>IFERROR(__xludf.DUMMYFUNCTION("""COMPUTED_VALUE"""),"une truelle avec du platre")</f>
        <v>une truelle avec du platre</v>
      </c>
      <c r="U90" t="str">
        <f>IFERROR(__xludf.DUMMYFUNCTION("""COMPUTED_VALUE"""),"")</f>
        <v/>
      </c>
      <c r="V90" t="str">
        <f>IFERROR(__xludf.DUMMYFUNCTION("""COMPUTED_VALUE"""),"")</f>
        <v/>
      </c>
      <c r="W90" t="str">
        <f>IFERROR(__xludf.DUMMYFUNCTION("""COMPUTED_VALUE"""),"")</f>
        <v/>
      </c>
      <c r="X90" t="str">
        <f>IFERROR(__xludf.DUMMYFUNCTION("""COMPUTED_VALUE"""),"")</f>
        <v/>
      </c>
      <c r="Y90" t="str">
        <f>IFERROR(__xludf.DUMMYFUNCTION("""COMPUTED_VALUE"""),"")</f>
        <v/>
      </c>
      <c r="Z90" t="str">
        <f>IFERROR(__xludf.DUMMYFUNCTION("""COMPUTED_VALUE"""),"")</f>
        <v/>
      </c>
      <c r="AA90" t="str">
        <f>IFERROR(__xludf.DUMMYFUNCTION("""COMPUTED_VALUE"""),"")</f>
        <v/>
      </c>
      <c r="AB90" t="str">
        <f>IFERROR(__xludf.DUMMYFUNCTION("""COMPUTED_VALUE"""),"")</f>
        <v/>
      </c>
    </row>
    <row r="91">
      <c r="A91" s="2">
        <f>IFERROR(__xludf.DUMMYFUNCTION("""COMPUTED_VALUE"""),43629.53529113426)</f>
        <v>43629.53529</v>
      </c>
      <c r="B91" s="1" t="str">
        <f>IFERROR(__xludf.DUMMYFUNCTION("""COMPUTED_VALUE"""),"Maixent TIGNON")</f>
        <v>Maixent TIGNON</v>
      </c>
      <c r="C91" s="1" t="str">
        <f>IFERROR(__xludf.DUMMYFUNCTION("""COMPUTED_VALUE"""),"Le président et un inconnu")</f>
        <v>Le président et un inconnu</v>
      </c>
      <c r="D91" s="1" t="str">
        <f>IFERROR(__xludf.DUMMYFUNCTION("""COMPUTED_VALUE"""),"BDS")</f>
        <v>BDS</v>
      </c>
      <c r="E91" s="1">
        <f>IFERROR(__xludf.DUMMYFUNCTION("""COMPUTED_VALUE"""),4.0)</f>
        <v>4</v>
      </c>
      <c r="F91" s="1" t="str">
        <f>IFERROR(__xludf.DUMMYFUNCTION("""COMPUTED_VALUE"""),"Electro posée, Rap, Musique fançaise")</f>
        <v>Electro posée, Rap, Musique fançaise</v>
      </c>
      <c r="G91" s="1" t="str">
        <f>IFERROR(__xludf.DUMMYFUNCTION("""COMPUTED_VALUE"""),"Musique, Cinéma, Graphisme")</f>
        <v>Musique, Cinéma, Graphisme</v>
      </c>
      <c r="H91" s="1" t="str">
        <f>IFERROR(__xludf.DUMMYFUNCTION("""COMPUTED_VALUE"""),"Une fois de temps en temps")</f>
        <v>Une fois de temps en temps</v>
      </c>
      <c r="I91" s="1" t="str">
        <f>IFERROR(__xludf.DUMMYFUNCTION("""COMPUTED_VALUE"""),"Une fois par jour")</f>
        <v>Une fois par jour</v>
      </c>
      <c r="J91" s="1" t="str">
        <f>IFERROR(__xludf.DUMMYFUNCTION("""COMPUTED_VALUE"""),"Pour le développement perso et se dépasser")</f>
        <v>Pour le développement perso et se dépasser</v>
      </c>
      <c r="K91" s="1" t="str">
        <f>IFERROR(__xludf.DUMMYFUNCTION("""COMPUTED_VALUE"""),"Sports collectifs, Sports de raquette, Sports aquatiques")</f>
        <v>Sports collectifs, Sports de raquette, Sports aquatiques</v>
      </c>
      <c r="L91" s="1" t="str">
        <f>IFERROR(__xludf.DUMMYFUNCTION("""COMPUTED_VALUE"""),"J'aime cuisiner le WE ou quand j'ai le temps")</f>
        <v>J'aime cuisiner le WE ou quand j'ai le temps</v>
      </c>
      <c r="M91" s="1">
        <f>IFERROR(__xludf.DUMMYFUNCTION("""COMPUTED_VALUE"""),8.0)</f>
        <v>8</v>
      </c>
      <c r="N91" s="1" t="str">
        <f>IFERROR(__xludf.DUMMYFUNCTION("""COMPUTED_VALUE"""),"Une fois par semaine")</f>
        <v>Une fois par semaine</v>
      </c>
      <c r="O91" s="1" t="str">
        <f>IFERROR(__xludf.DUMMYFUNCTION("""COMPUTED_VALUE"""),"Tu te poses dans un coin, chill !!")</f>
        <v>Tu te poses dans un coin, chill !!</v>
      </c>
      <c r="P91" s="1">
        <f>IFERROR(__xludf.DUMMYFUNCTION("""COMPUTED_VALUE"""),1.0)</f>
        <v>1</v>
      </c>
      <c r="Q91" s="1" t="str">
        <f>IFERROR(__xludf.DUMMYFUNCTION("""COMPUTED_VALUE"""),"Oui")</f>
        <v>Oui</v>
      </c>
      <c r="R91" s="1" t="str">
        <f>IFERROR(__xludf.DUMMYFUNCTION("""COMPUTED_VALUE"""),"Non")</f>
        <v>Non</v>
      </c>
      <c r="S91" s="1" t="str">
        <f>IFERROR(__xludf.DUMMYFUNCTION("""COMPUTED_VALUE"""),"Galerie ++")</f>
        <v>Galerie ++</v>
      </c>
      <c r="T91" s="1" t="str">
        <f>IFERROR(__xludf.DUMMYFUNCTION("""COMPUTED_VALUE"""),"Une chaise de bureau en bien bel état")</f>
        <v>Une chaise de bureau en bien bel état</v>
      </c>
      <c r="U91" t="str">
        <f>IFERROR(__xludf.DUMMYFUNCTION("""COMPUTED_VALUE"""),"")</f>
        <v/>
      </c>
      <c r="V91" t="str">
        <f>IFERROR(__xludf.DUMMYFUNCTION("""COMPUTED_VALUE"""),"")</f>
        <v/>
      </c>
      <c r="W91" t="str">
        <f>IFERROR(__xludf.DUMMYFUNCTION("""COMPUTED_VALUE"""),"")</f>
        <v/>
      </c>
      <c r="X91" t="str">
        <f>IFERROR(__xludf.DUMMYFUNCTION("""COMPUTED_VALUE"""),"")</f>
        <v/>
      </c>
      <c r="Y91" t="str">
        <f>IFERROR(__xludf.DUMMYFUNCTION("""COMPUTED_VALUE"""),"")</f>
        <v/>
      </c>
      <c r="Z91" t="str">
        <f>IFERROR(__xludf.DUMMYFUNCTION("""COMPUTED_VALUE"""),"")</f>
        <v/>
      </c>
      <c r="AA91" t="str">
        <f>IFERROR(__xludf.DUMMYFUNCTION("""COMPUTED_VALUE"""),"")</f>
        <v/>
      </c>
      <c r="AB91" t="str">
        <f>IFERROR(__xludf.DUMMYFUNCTION("""COMPUTED_VALUE"""),"")</f>
        <v/>
      </c>
    </row>
    <row r="92">
      <c r="A92" s="2">
        <f>IFERROR(__xludf.DUMMYFUNCTION("""COMPUTED_VALUE"""),43629.56508170139)</f>
        <v>43629.56508</v>
      </c>
      <c r="B92" s="1" t="str">
        <f>IFERROR(__xludf.DUMMYFUNCTION("""COMPUTED_VALUE"""),"Quentin Peyle")</f>
        <v>Quentin Peyle</v>
      </c>
      <c r="C9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2" s="1" t="str">
        <f>IFERROR(__xludf.DUMMYFUNCTION("""COMPUTED_VALUE"""),"BDS")</f>
        <v>BDS</v>
      </c>
      <c r="E92" s="1">
        <f>IFERROR(__xludf.DUMMYFUNCTION("""COMPUTED_VALUE"""),4.0)</f>
        <v>4</v>
      </c>
      <c r="F92" s="1" t="str">
        <f>IFERROR(__xludf.DUMMYFUNCTION("""COMPUTED_VALUE"""),"Electro posée, Electro hard, Rap, Pop, Musique fançaise")</f>
        <v>Electro posée, Electro hard, Rap, Pop, Musique fançaise</v>
      </c>
      <c r="G92" s="1" t="str">
        <f>IFERROR(__xludf.DUMMYFUNCTION("""COMPUTED_VALUE"""),"Cinéma")</f>
        <v>Cinéma</v>
      </c>
      <c r="H92" s="1" t="str">
        <f>IFERROR(__xludf.DUMMYFUNCTION("""COMPUTED_VALUE"""),"Une fois de temps en temps")</f>
        <v>Une fois de temps en temps</v>
      </c>
      <c r="I92" s="1" t="str">
        <f>IFERROR(__xludf.DUMMYFUNCTION("""COMPUTED_VALUE"""),"Plusieurs fois par semaine")</f>
        <v>Plusieurs fois par semaine</v>
      </c>
      <c r="J92" s="1" t="str">
        <f>IFERROR(__xludf.DUMMYFUNCTION("""COMPUTED_VALUE"""),"Pour la compet")</f>
        <v>Pour la compet</v>
      </c>
      <c r="K92" s="1" t="str">
        <f>IFERROR(__xludf.DUMMYFUNCTION("""COMPUTED_VALUE"""),"Sports collectifs, Sports de raquette")</f>
        <v>Sports collectifs, Sports de raquette</v>
      </c>
      <c r="L92" s="1" t="str">
        <f>IFERROR(__xludf.DUMMYFUNCTION("""COMPUTED_VALUE"""),"J'aime cuisiner le WE ou quand j'ai le temps")</f>
        <v>J'aime cuisiner le WE ou quand j'ai le temps</v>
      </c>
      <c r="M92" s="1">
        <f>IFERROR(__xludf.DUMMYFUNCTION("""COMPUTED_VALUE"""),9.0)</f>
        <v>9</v>
      </c>
      <c r="N92" s="1" t="str">
        <f>IFERROR(__xludf.DUMMYFUNCTION("""COMPUTED_VALUE"""),"Plusieurs fois par semaine")</f>
        <v>Plusieurs fois par semaine</v>
      </c>
      <c r="O92" s="1" t="str">
        <f>IFERROR(__xludf.DUMMYFUNCTION("""COMPUTED_VALUE"""),"T'enflammes le dancefloor")</f>
        <v>T'enflammes le dancefloor</v>
      </c>
      <c r="P92" s="1">
        <f>IFERROR(__xludf.DUMMYFUNCTION("""COMPUTED_VALUE"""),1.0)</f>
        <v>1</v>
      </c>
      <c r="Q92" s="1" t="str">
        <f>IFERROR(__xludf.DUMMYFUNCTION("""COMPUTED_VALUE"""),"Non")</f>
        <v>Non</v>
      </c>
      <c r="R92" s="1" t="str">
        <f>IFERROR(__xludf.DUMMYFUNCTION("""COMPUTED_VALUE"""),"Non")</f>
        <v>Non</v>
      </c>
      <c r="S92" s="1" t="str">
        <f>IFERROR(__xludf.DUMMYFUNCTION("""COMPUTED_VALUE"""),"La glotte")</f>
        <v>La glotte</v>
      </c>
      <c r="T92" s="1" t="str">
        <f>IFERROR(__xludf.DUMMYFUNCTION("""COMPUTED_VALUE"""),"Une bêche ")</f>
        <v>Une bêche </v>
      </c>
      <c r="U92" t="str">
        <f>IFERROR(__xludf.DUMMYFUNCTION("""COMPUTED_VALUE"""),"")</f>
        <v/>
      </c>
      <c r="V92" t="str">
        <f>IFERROR(__xludf.DUMMYFUNCTION("""COMPUTED_VALUE"""),"")</f>
        <v/>
      </c>
      <c r="W92" t="str">
        <f>IFERROR(__xludf.DUMMYFUNCTION("""COMPUTED_VALUE"""),"")</f>
        <v/>
      </c>
      <c r="X92" t="str">
        <f>IFERROR(__xludf.DUMMYFUNCTION("""COMPUTED_VALUE"""),"")</f>
        <v/>
      </c>
      <c r="Y92" t="str">
        <f>IFERROR(__xludf.DUMMYFUNCTION("""COMPUTED_VALUE"""),"")</f>
        <v/>
      </c>
      <c r="Z92" t="str">
        <f>IFERROR(__xludf.DUMMYFUNCTION("""COMPUTED_VALUE"""),"")</f>
        <v/>
      </c>
      <c r="AA92" t="str">
        <f>IFERROR(__xludf.DUMMYFUNCTION("""COMPUTED_VALUE"""),"")</f>
        <v/>
      </c>
      <c r="AB92" t="str">
        <f>IFERROR(__xludf.DUMMYFUNCTION("""COMPUTED_VALUE"""),"")</f>
        <v/>
      </c>
    </row>
    <row r="93">
      <c r="A93" s="2">
        <f>IFERROR(__xludf.DUMMYFUNCTION("""COMPUTED_VALUE"""),43629.60024078704)</f>
        <v>43629.60024</v>
      </c>
      <c r="B93" s="1" t="str">
        <f>IFERROR(__xludf.DUMMYFUNCTION("""COMPUTED_VALUE"""),"Lucas Baraton")</f>
        <v>Lucas Baraton</v>
      </c>
      <c r="C9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3" s="1" t="str">
        <f>IFERROR(__xludf.DUMMYFUNCTION("""COMPUTED_VALUE"""),"BDS")</f>
        <v>BDS</v>
      </c>
      <c r="E93" s="1">
        <f>IFERROR(__xludf.DUMMYFUNCTION("""COMPUTED_VALUE"""),4.0)</f>
        <v>4</v>
      </c>
      <c r="F93" s="1" t="str">
        <f>IFERROR(__xludf.DUMMYFUNCTION("""COMPUTED_VALUE"""),"Electro posée, Electro hard, Rap")</f>
        <v>Electro posée, Electro hard, Rap</v>
      </c>
      <c r="G93" s="1" t="str">
        <f>IFERROR(__xludf.DUMMYFUNCTION("""COMPUTED_VALUE"""),"Littérature, Musique")</f>
        <v>Littérature, Musique</v>
      </c>
      <c r="H93" s="1" t="str">
        <f>IFERROR(__xludf.DUMMYFUNCTION("""COMPUTED_VALUE"""),"Seulement les soirs de pleine lune")</f>
        <v>Seulement les soirs de pleine lune</v>
      </c>
      <c r="I93" s="1" t="str">
        <f>IFERROR(__xludf.DUMMYFUNCTION("""COMPUTED_VALUE"""),"Plusieurs fois par semaine")</f>
        <v>Plusieurs fois par semaine</v>
      </c>
      <c r="J93" s="1" t="str">
        <f>IFERROR(__xludf.DUMMYFUNCTION("""COMPUTED_VALUE"""),"Pour la compet")</f>
        <v>Pour la compet</v>
      </c>
      <c r="K93" s="1" t="str">
        <f>IFERROR(__xludf.DUMMYFUNCTION("""COMPUTED_VALUE"""),"Sports collectifs")</f>
        <v>Sports collectifs</v>
      </c>
      <c r="L93" s="1" t="str">
        <f>IFERROR(__xludf.DUMMYFUNCTION("""COMPUTED_VALUE"""),"J'aime cuisiner le WE ou quand j'ai le temps")</f>
        <v>J'aime cuisiner le WE ou quand j'ai le temps</v>
      </c>
      <c r="M93" s="1">
        <f>IFERROR(__xludf.DUMMYFUNCTION("""COMPUTED_VALUE"""),7.0)</f>
        <v>7</v>
      </c>
      <c r="N93" s="1" t="str">
        <f>IFERROR(__xludf.DUMMYFUNCTION("""COMPUTED_VALUE"""),"Une fois par semaine")</f>
        <v>Une fois par semaine</v>
      </c>
      <c r="O93" s="1" t="str">
        <f>IFERROR(__xludf.DUMMYFUNCTION("""COMPUTED_VALUE"""),"T'enflammes le dancefloor")</f>
        <v>T'enflammes le dancefloor</v>
      </c>
      <c r="P93" s="1">
        <f>IFERROR(__xludf.DUMMYFUNCTION("""COMPUTED_VALUE"""),2.0)</f>
        <v>2</v>
      </c>
      <c r="Q93" s="1" t="str">
        <f>IFERROR(__xludf.DUMMYFUNCTION("""COMPUTED_VALUE"""),"Non")</f>
        <v>Non</v>
      </c>
      <c r="R93" s="1" t="str">
        <f>IFERROR(__xludf.DUMMYFUNCTION("""COMPUTED_VALUE"""),"Non")</f>
        <v>Non</v>
      </c>
      <c r="S93" s="1" t="str">
        <f>IFERROR(__xludf.DUMMYFUNCTION("""COMPUTED_VALUE"""),"COMA")</f>
        <v>COMA</v>
      </c>
      <c r="T93" s="1" t="str">
        <f>IFERROR(__xludf.DUMMYFUNCTION("""COMPUTED_VALUE"""),"Boîte de glaçons ")</f>
        <v>Boîte de glaçons </v>
      </c>
      <c r="U93" t="str">
        <f>IFERROR(__xludf.DUMMYFUNCTION("""COMPUTED_VALUE"""),"")</f>
        <v/>
      </c>
      <c r="V93" t="str">
        <f>IFERROR(__xludf.DUMMYFUNCTION("""COMPUTED_VALUE"""),"")</f>
        <v/>
      </c>
      <c r="W93" t="str">
        <f>IFERROR(__xludf.DUMMYFUNCTION("""COMPUTED_VALUE"""),"")</f>
        <v/>
      </c>
      <c r="X93" t="str">
        <f>IFERROR(__xludf.DUMMYFUNCTION("""COMPUTED_VALUE"""),"")</f>
        <v/>
      </c>
      <c r="Y93" t="str">
        <f>IFERROR(__xludf.DUMMYFUNCTION("""COMPUTED_VALUE"""),"")</f>
        <v/>
      </c>
      <c r="Z93" t="str">
        <f>IFERROR(__xludf.DUMMYFUNCTION("""COMPUTED_VALUE"""),"")</f>
        <v/>
      </c>
      <c r="AA93" t="str">
        <f>IFERROR(__xludf.DUMMYFUNCTION("""COMPUTED_VALUE"""),"")</f>
        <v/>
      </c>
      <c r="AB93" t="str">
        <f>IFERROR(__xludf.DUMMYFUNCTION("""COMPUTED_VALUE"""),"")</f>
        <v/>
      </c>
    </row>
    <row r="94">
      <c r="A94" s="2">
        <f>IFERROR(__xludf.DUMMYFUNCTION("""COMPUTED_VALUE"""),43629.77579693287)</f>
        <v>43629.7758</v>
      </c>
      <c r="B94" s="1" t="str">
        <f>IFERROR(__xludf.DUMMYFUNCTION("""COMPUTED_VALUE"""),"Samuel RATOUIT")</f>
        <v>Samuel RATOUIT</v>
      </c>
      <c r="C94" s="1" t="str">
        <f>IFERROR(__xludf.DUMMYFUNCTION("""COMPUTED_VALUE"""),"Deux inconnus")</f>
        <v>Deux inconnus</v>
      </c>
      <c r="D94" s="1" t="str">
        <f>IFERROR(__xludf.DUMMYFUNCTION("""COMPUTED_VALUE"""),"BDS")</f>
        <v>BDS</v>
      </c>
      <c r="E94" s="1">
        <f>IFERROR(__xludf.DUMMYFUNCTION("""COMPUTED_VALUE"""),4.0)</f>
        <v>4</v>
      </c>
      <c r="F94" s="1" t="str">
        <f>IFERROR(__xludf.DUMMYFUNCTION("""COMPUTED_VALUE"""),"Electro posée, Rap, Pop, Musique fançaise, Jazz")</f>
        <v>Electro posée, Rap, Pop, Musique fançaise, Jazz</v>
      </c>
      <c r="G94" s="1" t="str">
        <f>IFERROR(__xludf.DUMMYFUNCTION("""COMPUTED_VALUE"""),"Pas du tout")</f>
        <v>Pas du tout</v>
      </c>
      <c r="H94" s="1" t="str">
        <f>IFERROR(__xludf.DUMMYFUNCTION("""COMPUTED_VALUE"""),"Seulement les soirs de pleine lune")</f>
        <v>Seulement les soirs de pleine lune</v>
      </c>
      <c r="I94" s="1" t="str">
        <f>IFERROR(__xludf.DUMMYFUNCTION("""COMPUTED_VALUE"""),"Une fois par jour")</f>
        <v>Une fois par jour</v>
      </c>
      <c r="J94" s="1" t="str">
        <f>IFERROR(__xludf.DUMMYFUNCTION("""COMPUTED_VALUE"""),"Pour la compet")</f>
        <v>Pour la compet</v>
      </c>
      <c r="K94" s="1" t="str">
        <f>IFERROR(__xludf.DUMMYFUNCTION("""COMPUTED_VALUE"""),"Sports collectifs")</f>
        <v>Sports collectifs</v>
      </c>
      <c r="L94" s="1" t="str">
        <f>IFERROR(__xludf.DUMMYFUNCTION("""COMPUTED_VALUE"""),"J'aime cuisiner le WE ou quand j'ai le temps")</f>
        <v>J'aime cuisiner le WE ou quand j'ai le temps</v>
      </c>
      <c r="M94" s="1">
        <f>IFERROR(__xludf.DUMMYFUNCTION("""COMPUTED_VALUE"""),8.0)</f>
        <v>8</v>
      </c>
      <c r="N94" s="1" t="str">
        <f>IFERROR(__xludf.DUMMYFUNCTION("""COMPUTED_VALUE"""),"Plusieurs fois par semaine")</f>
        <v>Plusieurs fois par semaine</v>
      </c>
      <c r="O94" s="1" t="str">
        <f>IFERROR(__xludf.DUMMYFUNCTION("""COMPUTED_VALUE"""),"T'enflammes le dancefloor")</f>
        <v>T'enflammes le dancefloor</v>
      </c>
      <c r="P94" s="1">
        <f>IFERROR(__xludf.DUMMYFUNCTION("""COMPUTED_VALUE"""),1.0)</f>
        <v>1</v>
      </c>
      <c r="Q94" s="1" t="str">
        <f>IFERROR(__xludf.DUMMYFUNCTION("""COMPUTED_VALUE"""),"Oui")</f>
        <v>Oui</v>
      </c>
      <c r="R94" s="1" t="str">
        <f>IFERROR(__xludf.DUMMYFUNCTION("""COMPUTED_VALUE"""),"Non")</f>
        <v>Non</v>
      </c>
      <c r="S94" s="1" t="str">
        <f>IFERROR(__xludf.DUMMYFUNCTION("""COMPUTED_VALUE"""),"La Roulotte")</f>
        <v>La Roulotte</v>
      </c>
      <c r="T94" s="1" t="str">
        <f>IFERROR(__xludf.DUMMYFUNCTION("""COMPUTED_VALUE"""),"Un Chapelet ")</f>
        <v>Un Chapelet </v>
      </c>
      <c r="U94" t="str">
        <f>IFERROR(__xludf.DUMMYFUNCTION("""COMPUTED_VALUE"""),"")</f>
        <v/>
      </c>
      <c r="V94" t="str">
        <f>IFERROR(__xludf.DUMMYFUNCTION("""COMPUTED_VALUE"""),"")</f>
        <v/>
      </c>
      <c r="W94" t="str">
        <f>IFERROR(__xludf.DUMMYFUNCTION("""COMPUTED_VALUE"""),"")</f>
        <v/>
      </c>
      <c r="X94" t="str">
        <f>IFERROR(__xludf.DUMMYFUNCTION("""COMPUTED_VALUE"""),"")</f>
        <v/>
      </c>
      <c r="Y94" t="str">
        <f>IFERROR(__xludf.DUMMYFUNCTION("""COMPUTED_VALUE"""),"")</f>
        <v/>
      </c>
      <c r="Z94" t="str">
        <f>IFERROR(__xludf.DUMMYFUNCTION("""COMPUTED_VALUE"""),"")</f>
        <v/>
      </c>
      <c r="AA94" t="str">
        <f>IFERROR(__xludf.DUMMYFUNCTION("""COMPUTED_VALUE"""),"")</f>
        <v/>
      </c>
      <c r="AB94" t="str">
        <f>IFERROR(__xludf.DUMMYFUNCTION("""COMPUTED_VALUE"""),"")</f>
        <v/>
      </c>
    </row>
    <row r="95">
      <c r="A95" s="2">
        <f>IFERROR(__xludf.DUMMYFUNCTION("""COMPUTED_VALUE"""),43629.78027634259)</f>
        <v>43629.78028</v>
      </c>
      <c r="B95" s="1" t="str">
        <f>IFERROR(__xludf.DUMMYFUNCTION("""COMPUTED_VALUE"""),"Martin Fauchille-Martin")</f>
        <v>Martin Fauchille-Martin</v>
      </c>
      <c r="C95" s="1" t="str">
        <f>IFERROR(__xludf.DUMMYFUNCTION("""COMPUTED_VALUE"""),"Deux inconnus")</f>
        <v>Deux inconnus</v>
      </c>
      <c r="D95" s="1" t="str">
        <f>IFERROR(__xludf.DUMMYFUNCTION("""COMPUTED_VALUE"""),"BDS, Pas de liste")</f>
        <v>BDS, Pas de liste</v>
      </c>
      <c r="E95" s="1">
        <f>IFERROR(__xludf.DUMMYFUNCTION("""COMPUTED_VALUE"""),4.0)</f>
        <v>4</v>
      </c>
      <c r="F95" s="1" t="str">
        <f>IFERROR(__xludf.DUMMYFUNCTION("""COMPUTED_VALUE"""),"Electro posée, Rap, Pop, Musique fançaise")</f>
        <v>Electro posée, Rap, Pop, Musique fançaise</v>
      </c>
      <c r="G95" s="1" t="str">
        <f>IFERROR(__xludf.DUMMYFUNCTION("""COMPUTED_VALUE"""),"Pas du tout")</f>
        <v>Pas du tout</v>
      </c>
      <c r="H95" s="1" t="str">
        <f>IFERROR(__xludf.DUMMYFUNCTION("""COMPUTED_VALUE"""),"Seulement les soirs de pleine lune")</f>
        <v>Seulement les soirs de pleine lune</v>
      </c>
      <c r="I95" s="1" t="str">
        <f>IFERROR(__xludf.DUMMYFUNCTION("""COMPUTED_VALUE"""),"Une fois par jour")</f>
        <v>Une fois par jour</v>
      </c>
      <c r="J95" s="1" t="str">
        <f>IFERROR(__xludf.DUMMYFUNCTION("""COMPUTED_VALUE"""),"Pour le développement perso et se dépasser")</f>
        <v>Pour le développement perso et se dépasser</v>
      </c>
      <c r="K95" s="1" t="str">
        <f>IFERROR(__xludf.DUMMYFUNCTION("""COMPUTED_VALUE"""),"Sports collectifs, Sports de raquette")</f>
        <v>Sports collectifs, Sports de raquette</v>
      </c>
      <c r="L95" s="1" t="str">
        <f>IFERROR(__xludf.DUMMYFUNCTION("""COMPUTED_VALUE"""),"Alterner entre grec et coquillettes ça compte ?")</f>
        <v>Alterner entre grec et coquillettes ça compte ?</v>
      </c>
      <c r="M95" s="1">
        <f>IFERROR(__xludf.DUMMYFUNCTION("""COMPUTED_VALUE"""),9.0)</f>
        <v>9</v>
      </c>
      <c r="N95" s="1" t="str">
        <f>IFERROR(__xludf.DUMMYFUNCTION("""COMPUTED_VALUE"""),"Une fois par jour (voire plus)")</f>
        <v>Une fois par jour (voire plus)</v>
      </c>
      <c r="O95" s="1" t="str">
        <f>IFERROR(__xludf.DUMMYFUNCTION("""COMPUTED_VALUE"""),"T'enflammes le dancefloor")</f>
        <v>T'enflammes le dancefloor</v>
      </c>
      <c r="P95" s="1">
        <f>IFERROR(__xludf.DUMMYFUNCTION("""COMPUTED_VALUE"""),1.0)</f>
        <v>1</v>
      </c>
      <c r="Q95" s="1" t="str">
        <f>IFERROR(__xludf.DUMMYFUNCTION("""COMPUTED_VALUE"""),"Non")</f>
        <v>Non</v>
      </c>
      <c r="R95" s="1" t="str">
        <f>IFERROR(__xludf.DUMMYFUNCTION("""COMPUTED_VALUE"""),"Non")</f>
        <v>Non</v>
      </c>
      <c r="S95" s="1" t="str">
        <f>IFERROR(__xludf.DUMMYFUNCTION("""COMPUTED_VALUE"""),"La Roulotte")</f>
        <v>La Roulotte</v>
      </c>
      <c r="T95" s="1" t="str">
        <f>IFERROR(__xludf.DUMMYFUNCTION("""COMPUTED_VALUE"""),"Le petit Némo")</f>
        <v>Le petit Némo</v>
      </c>
      <c r="U95" t="str">
        <f>IFERROR(__xludf.DUMMYFUNCTION("""COMPUTED_VALUE"""),"")</f>
        <v/>
      </c>
      <c r="V95" t="str">
        <f>IFERROR(__xludf.DUMMYFUNCTION("""COMPUTED_VALUE"""),"")</f>
        <v/>
      </c>
      <c r="W95" t="str">
        <f>IFERROR(__xludf.DUMMYFUNCTION("""COMPUTED_VALUE"""),"")</f>
        <v/>
      </c>
      <c r="X95" t="str">
        <f>IFERROR(__xludf.DUMMYFUNCTION("""COMPUTED_VALUE"""),"")</f>
        <v/>
      </c>
      <c r="Y95" t="str">
        <f>IFERROR(__xludf.DUMMYFUNCTION("""COMPUTED_VALUE"""),"")</f>
        <v/>
      </c>
      <c r="Z95" t="str">
        <f>IFERROR(__xludf.DUMMYFUNCTION("""COMPUTED_VALUE"""),"")</f>
        <v/>
      </c>
      <c r="AA95" t="str">
        <f>IFERROR(__xludf.DUMMYFUNCTION("""COMPUTED_VALUE"""),"")</f>
        <v/>
      </c>
      <c r="AB95" t="str">
        <f>IFERROR(__xludf.DUMMYFUNCTION("""COMPUTED_VALUE"""),"")</f>
        <v/>
      </c>
    </row>
    <row r="96">
      <c r="A96" s="2">
        <f>IFERROR(__xludf.DUMMYFUNCTION("""COMPUTED_VALUE"""),43629.782459849535)</f>
        <v>43629.78246</v>
      </c>
      <c r="B96" s="1" t="str">
        <f>IFERROR(__xludf.DUMMYFUNCTION("""COMPUTED_VALUE"""),"Nils Hornet")</f>
        <v>Nils Hornet</v>
      </c>
      <c r="C96" s="1" t="str">
        <f>IFERROR(__xludf.DUMMYFUNCTION("""COMPUTED_VALUE"""),"Le président et un inconnu")</f>
        <v>Le président et un inconnu</v>
      </c>
      <c r="D96" s="1" t="str">
        <f>IFERROR(__xludf.DUMMYFUNCTION("""COMPUTED_VALUE"""),"BDS")</f>
        <v>BDS</v>
      </c>
      <c r="E96" s="1">
        <f>IFERROR(__xludf.DUMMYFUNCTION("""COMPUTED_VALUE"""),5.0)</f>
        <v>5</v>
      </c>
      <c r="F96" s="1" t="str">
        <f>IFERROR(__xludf.DUMMYFUNCTION("""COMPUTED_VALUE"""),"Electro posée, Rap, Pop, Musique fançaise, Musique classique")</f>
        <v>Electro posée, Rap, Pop, Musique fançaise, Musique classique</v>
      </c>
      <c r="G96" s="1" t="str">
        <f>IFERROR(__xludf.DUMMYFUNCTION("""COMPUTED_VALUE"""),"Pas du tout")</f>
        <v>Pas du tout</v>
      </c>
      <c r="H96" s="1" t="str">
        <f>IFERROR(__xludf.DUMMYFUNCTION("""COMPUTED_VALUE"""),"Seulement les soirs de pleine lune")</f>
        <v>Seulement les soirs de pleine lune</v>
      </c>
      <c r="I96" s="1" t="str">
        <f>IFERROR(__xludf.DUMMYFUNCTION("""COMPUTED_VALUE"""),"Une fois par jour")</f>
        <v>Une fois par jour</v>
      </c>
      <c r="J96" s="1" t="str">
        <f>IFERROR(__xludf.DUMMYFUNCTION("""COMPUTED_VALUE"""),"Pour la compet")</f>
        <v>Pour la compet</v>
      </c>
      <c r="K96" s="1" t="str">
        <f>IFERROR(__xludf.DUMMYFUNCTION("""COMPUTED_VALUE"""),"Sports collectifs, Sports de raquette, Sports aquatiques")</f>
        <v>Sports collectifs, Sports de raquette, Sports aquatiques</v>
      </c>
      <c r="L96" s="1" t="str">
        <f>IFERROR(__xludf.DUMMYFUNCTION("""COMPUTED_VALUE"""),"Oh oui, et les trucs bien gras ça me connait !")</f>
        <v>Oh oui, et les trucs bien gras ça me connait !</v>
      </c>
      <c r="M96" s="1">
        <f>IFERROR(__xludf.DUMMYFUNCTION("""COMPUTED_VALUE"""),9.0)</f>
        <v>9</v>
      </c>
      <c r="N96" s="1" t="str">
        <f>IFERROR(__xludf.DUMMYFUNCTION("""COMPUTED_VALUE"""),"Une fois par jour (voire plus)")</f>
        <v>Une fois par jour (voire plus)</v>
      </c>
      <c r="O96" s="1" t="str">
        <f>IFERROR(__xludf.DUMMYFUNCTION("""COMPUTED_VALUE"""),"T'enflammes le dancefloor")</f>
        <v>T'enflammes le dancefloor</v>
      </c>
      <c r="P96" s="1">
        <f>IFERROR(__xludf.DUMMYFUNCTION("""COMPUTED_VALUE"""),2.0)</f>
        <v>2</v>
      </c>
      <c r="Q96" s="1" t="str">
        <f>IFERROR(__xludf.DUMMYFUNCTION("""COMPUTED_VALUE"""),"Non")</f>
        <v>Non</v>
      </c>
      <c r="R96" s="1" t="str">
        <f>IFERROR(__xludf.DUMMYFUNCTION("""COMPUTED_VALUE"""),"Non")</f>
        <v>Non</v>
      </c>
      <c r="S96" s="1" t="str">
        <f>IFERROR(__xludf.DUMMYFUNCTION("""COMPUTED_VALUE"""),"La Roulotte")</f>
        <v>La Roulotte</v>
      </c>
      <c r="T96" s="1" t="str">
        <f>IFERROR(__xludf.DUMMYFUNCTION("""COMPUTED_VALUE"""),"Une tongue ")</f>
        <v>Une tongue </v>
      </c>
      <c r="U96" t="str">
        <f>IFERROR(__xludf.DUMMYFUNCTION("""COMPUTED_VALUE"""),"")</f>
        <v/>
      </c>
      <c r="V96" t="str">
        <f>IFERROR(__xludf.DUMMYFUNCTION("""COMPUTED_VALUE"""),"")</f>
        <v/>
      </c>
      <c r="W96" t="str">
        <f>IFERROR(__xludf.DUMMYFUNCTION("""COMPUTED_VALUE"""),"")</f>
        <v/>
      </c>
      <c r="X96" t="str">
        <f>IFERROR(__xludf.DUMMYFUNCTION("""COMPUTED_VALUE"""),"")</f>
        <v/>
      </c>
      <c r="Y96" t="str">
        <f>IFERROR(__xludf.DUMMYFUNCTION("""COMPUTED_VALUE"""),"")</f>
        <v/>
      </c>
      <c r="Z96" t="str">
        <f>IFERROR(__xludf.DUMMYFUNCTION("""COMPUTED_VALUE"""),"")</f>
        <v/>
      </c>
      <c r="AA96" t="str">
        <f>IFERROR(__xludf.DUMMYFUNCTION("""COMPUTED_VALUE"""),"")</f>
        <v/>
      </c>
      <c r="AB96" t="str">
        <f>IFERROR(__xludf.DUMMYFUNCTION("""COMPUTED_VALUE"""),"")</f>
        <v/>
      </c>
    </row>
    <row r="97">
      <c r="A97" s="2">
        <f>IFERROR(__xludf.DUMMYFUNCTION("""COMPUTED_VALUE"""),43629.870463969906)</f>
        <v>43629.87046</v>
      </c>
      <c r="B97" s="1" t="str">
        <f>IFERROR(__xludf.DUMMYFUNCTION("""COMPUTED_VALUE"""),"Thomas MEDORI")</f>
        <v>Thomas MEDORI</v>
      </c>
      <c r="C9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97" s="1" t="str">
        <f>IFERROR(__xludf.DUMMYFUNCTION("""COMPUTED_VALUE"""),"BDS")</f>
        <v>BDS</v>
      </c>
      <c r="E97" s="1">
        <f>IFERROR(__xludf.DUMMYFUNCTION("""COMPUTED_VALUE"""),4.0)</f>
        <v>4</v>
      </c>
      <c r="F97" s="1" t="str">
        <f>IFERROR(__xludf.DUMMYFUNCTION("""COMPUTED_VALUE"""),"Electro hard, Rap, Pop, Musique fançaise")</f>
        <v>Electro hard, Rap, Pop, Musique fançaise</v>
      </c>
      <c r="G97" s="1" t="str">
        <f>IFERROR(__xludf.DUMMYFUNCTION("""COMPUTED_VALUE"""),"Littérature, Musique, Cinéma")</f>
        <v>Littérature, Musique, Cinéma</v>
      </c>
      <c r="H97" s="1" t="str">
        <f>IFERROR(__xludf.DUMMYFUNCTION("""COMPUTED_VALUE"""),"Quelques fois par semaine")</f>
        <v>Quelques fois par semaine</v>
      </c>
      <c r="I97" s="1" t="str">
        <f>IFERROR(__xludf.DUMMYFUNCTION("""COMPUTED_VALUE"""),"Plusieurs fois par semaine")</f>
        <v>Plusieurs fois par semaine</v>
      </c>
      <c r="J97" s="1" t="str">
        <f>IFERROR(__xludf.DUMMYFUNCTION("""COMPUTED_VALUE"""),"Pour le fun")</f>
        <v>Pour le fun</v>
      </c>
      <c r="K97" s="1" t="str">
        <f>IFERROR(__xludf.DUMMYFUNCTION("""COMPUTED_VALUE"""),"Sports collectifs")</f>
        <v>Sports collectifs</v>
      </c>
      <c r="L97" s="1" t="str">
        <f>IFERROR(__xludf.DUMMYFUNCTION("""COMPUTED_VALUE"""),"Oh oui, et les trucs bien gras ça me connait !")</f>
        <v>Oh oui, et les trucs bien gras ça me connait !</v>
      </c>
      <c r="M97" s="1">
        <f>IFERROR(__xludf.DUMMYFUNCTION("""COMPUTED_VALUE"""),8.0)</f>
        <v>8</v>
      </c>
      <c r="N97" s="1" t="str">
        <f>IFERROR(__xludf.DUMMYFUNCTION("""COMPUTED_VALUE"""),"Plusieurs fois par semaine")</f>
        <v>Plusieurs fois par semaine</v>
      </c>
      <c r="O97" s="1" t="str">
        <f>IFERROR(__xludf.DUMMYFUNCTION("""COMPUTED_VALUE"""),"Objectif grosse défonce")</f>
        <v>Objectif grosse défonce</v>
      </c>
      <c r="P97" s="1">
        <f>IFERROR(__xludf.DUMMYFUNCTION("""COMPUTED_VALUE"""),5.0)</f>
        <v>5</v>
      </c>
      <c r="Q97" s="1" t="str">
        <f>IFERROR(__xludf.DUMMYFUNCTION("""COMPUTED_VALUE"""),"Non")</f>
        <v>Non</v>
      </c>
      <c r="R97" s="1" t="str">
        <f>IFERROR(__xludf.DUMMYFUNCTION("""COMPUTED_VALUE"""),"Non")</f>
        <v>Non</v>
      </c>
      <c r="S97" s="1" t="str">
        <f>IFERROR(__xludf.DUMMYFUNCTION("""COMPUTED_VALUE"""),"Aquamiff")</f>
        <v>Aquamiff</v>
      </c>
      <c r="T97" s="1" t="str">
        <f>IFERROR(__xludf.DUMMYFUNCTION("""COMPUTED_VALUE"""),"Aquarium")</f>
        <v>Aquarium</v>
      </c>
      <c r="U97" t="str">
        <f>IFERROR(__xludf.DUMMYFUNCTION("""COMPUTED_VALUE"""),"")</f>
        <v/>
      </c>
      <c r="V97" t="str">
        <f>IFERROR(__xludf.DUMMYFUNCTION("""COMPUTED_VALUE"""),"")</f>
        <v/>
      </c>
      <c r="W97" t="str">
        <f>IFERROR(__xludf.DUMMYFUNCTION("""COMPUTED_VALUE"""),"")</f>
        <v/>
      </c>
      <c r="X97" t="str">
        <f>IFERROR(__xludf.DUMMYFUNCTION("""COMPUTED_VALUE"""),"")</f>
        <v/>
      </c>
      <c r="Y97" t="str">
        <f>IFERROR(__xludf.DUMMYFUNCTION("""COMPUTED_VALUE"""),"")</f>
        <v/>
      </c>
      <c r="Z97" t="str">
        <f>IFERROR(__xludf.DUMMYFUNCTION("""COMPUTED_VALUE"""),"")</f>
        <v/>
      </c>
      <c r="AA97" t="str">
        <f>IFERROR(__xludf.DUMMYFUNCTION("""COMPUTED_VALUE"""),"")</f>
        <v/>
      </c>
      <c r="AB97" t="str">
        <f>IFERROR(__xludf.DUMMYFUNCTION("""COMPUTED_VALUE"""),"")</f>
        <v/>
      </c>
    </row>
    <row r="98">
      <c r="A98" s="2">
        <f>IFERROR(__xludf.DUMMYFUNCTION("""COMPUTED_VALUE"""),43629.871831006945)</f>
        <v>43629.87183</v>
      </c>
      <c r="B98" s="1" t="str">
        <f>IFERROR(__xludf.DUMMYFUNCTION("""COMPUTED_VALUE"""),"Aurèle HAINAUT")</f>
        <v>Aurèle HAINAUT</v>
      </c>
      <c r="C98" s="1" t="str">
        <f>IFERROR(__xludf.DUMMYFUNCTION("""COMPUTED_VALUE"""),"Deux inconnus")</f>
        <v>Deux inconnus</v>
      </c>
      <c r="D98" s="1" t="str">
        <f>IFERROR(__xludf.DUMMYFUNCTION("""COMPUTED_VALUE"""),"BDE")</f>
        <v>BDE</v>
      </c>
      <c r="E98" s="1">
        <f>IFERROR(__xludf.DUMMYFUNCTION("""COMPUTED_VALUE"""),2.0)</f>
        <v>2</v>
      </c>
      <c r="F98" s="1" t="str">
        <f>IFERROR(__xludf.DUMMYFUNCTION("""COMPUTED_VALUE"""),"Rock, Electro posée, Electro hard")</f>
        <v>Rock, Electro posée, Electro hard</v>
      </c>
      <c r="G98" s="1" t="str">
        <f>IFERROR(__xludf.DUMMYFUNCTION("""COMPUTED_VALUE"""),"Musique, Cinéma")</f>
        <v>Musique, Cinéma</v>
      </c>
      <c r="H98" s="1" t="str">
        <f>IFERROR(__xludf.DUMMYFUNCTION("""COMPUTED_VALUE"""),"Une fois de temps en temps")</f>
        <v>Une fois de temps en temps</v>
      </c>
      <c r="I98" s="1" t="str">
        <f>IFERROR(__xludf.DUMMYFUNCTION("""COMPUTED_VALUE"""),"Plusieurs fois par semaine")</f>
        <v>Plusieurs fois par semaine</v>
      </c>
      <c r="J98" s="1" t="str">
        <f>IFERROR(__xludf.DUMMYFUNCTION("""COMPUTED_VALUE"""),"Pour le fun")</f>
        <v>Pour le fun</v>
      </c>
      <c r="K98" s="1" t="str">
        <f>IFERROR(__xludf.DUMMYFUNCTION("""COMPUTED_VALUE"""),"Sports de raquette, Escalade")</f>
        <v>Sports de raquette, Escalade</v>
      </c>
      <c r="L98" s="1" t="str">
        <f>IFERROR(__xludf.DUMMYFUNCTION("""COMPUTED_VALUE"""),"J'aime cuisiner le WE ou quand j'ai le temps")</f>
        <v>J'aime cuisiner le WE ou quand j'ai le temps</v>
      </c>
      <c r="M98" s="1">
        <f>IFERROR(__xludf.DUMMYFUNCTION("""COMPUTED_VALUE"""),8.0)</f>
        <v>8</v>
      </c>
      <c r="N98" s="1" t="str">
        <f>IFERROR(__xludf.DUMMYFUNCTION("""COMPUTED_VALUE"""),"Une fois par semaine")</f>
        <v>Une fois par semaine</v>
      </c>
      <c r="O98" s="1" t="str">
        <f>IFERROR(__xludf.DUMMYFUNCTION("""COMPUTED_VALUE"""),"Objectif grosse défonce")</f>
        <v>Objectif grosse défonce</v>
      </c>
      <c r="P98" s="1">
        <f>IFERROR(__xludf.DUMMYFUNCTION("""COMPUTED_VALUE"""),4.0)</f>
        <v>4</v>
      </c>
      <c r="Q98" s="1" t="str">
        <f>IFERROR(__xludf.DUMMYFUNCTION("""COMPUTED_VALUE"""),"Non")</f>
        <v>Non</v>
      </c>
      <c r="R98" s="1" t="str">
        <f>IFERROR(__xludf.DUMMYFUNCTION("""COMPUTED_VALUE"""),"Non")</f>
        <v>Non</v>
      </c>
      <c r="S98" s="1" t="str">
        <f>IFERROR(__xludf.DUMMYFUNCTION("""COMPUTED_VALUE"""),"Aquamif ")</f>
        <v>Aquamif </v>
      </c>
      <c r="T98" s="1" t="str">
        <f>IFERROR(__xludf.DUMMYFUNCTION("""COMPUTED_VALUE"""),"Un flacon de poppy ")</f>
        <v>Un flacon de poppy </v>
      </c>
      <c r="U98" t="str">
        <f>IFERROR(__xludf.DUMMYFUNCTION("""COMPUTED_VALUE"""),"")</f>
        <v/>
      </c>
      <c r="V98" t="str">
        <f>IFERROR(__xludf.DUMMYFUNCTION("""COMPUTED_VALUE"""),"")</f>
        <v/>
      </c>
      <c r="W98" t="str">
        <f>IFERROR(__xludf.DUMMYFUNCTION("""COMPUTED_VALUE"""),"")</f>
        <v/>
      </c>
      <c r="X98" t="str">
        <f>IFERROR(__xludf.DUMMYFUNCTION("""COMPUTED_VALUE"""),"")</f>
        <v/>
      </c>
      <c r="Y98" t="str">
        <f>IFERROR(__xludf.DUMMYFUNCTION("""COMPUTED_VALUE"""),"")</f>
        <v/>
      </c>
      <c r="Z98" t="str">
        <f>IFERROR(__xludf.DUMMYFUNCTION("""COMPUTED_VALUE"""),"")</f>
        <v/>
      </c>
      <c r="AA98" t="str">
        <f>IFERROR(__xludf.DUMMYFUNCTION("""COMPUTED_VALUE"""),"")</f>
        <v/>
      </c>
      <c r="AB98" t="str">
        <f>IFERROR(__xludf.DUMMYFUNCTION("""COMPUTED_VALUE"""),"")</f>
        <v/>
      </c>
    </row>
    <row r="99">
      <c r="A99" s="2">
        <f>IFERROR(__xludf.DUMMYFUNCTION("""COMPUTED_VALUE"""),43629.8808205324)</f>
        <v>43629.88082</v>
      </c>
      <c r="B99" s="1" t="str">
        <f>IFERROR(__xludf.DUMMYFUNCTION("""COMPUTED_VALUE"""),"Aurèle DALIBOT")</f>
        <v>Aurèle DALIBOT</v>
      </c>
      <c r="C99" s="1" t="str">
        <f>IFERROR(__xludf.DUMMYFUNCTION("""COMPUTED_VALUE"""),"Deux inconnus")</f>
        <v>Deux inconnus</v>
      </c>
      <c r="D99" s="1" t="str">
        <f>IFERROR(__xludf.DUMMYFUNCTION("""COMPUTED_VALUE"""),"BDS")</f>
        <v>BDS</v>
      </c>
      <c r="E99" s="1">
        <f>IFERROR(__xludf.DUMMYFUNCTION("""COMPUTED_VALUE"""),3.0)</f>
        <v>3</v>
      </c>
      <c r="F99" s="1" t="str">
        <f>IFERROR(__xludf.DUMMYFUNCTION("""COMPUTED_VALUE"""),"Electro hard, Rap")</f>
        <v>Electro hard, Rap</v>
      </c>
      <c r="G99" s="1" t="str">
        <f>IFERROR(__xludf.DUMMYFUNCTION("""COMPUTED_VALUE"""),"Musique, Cinéma")</f>
        <v>Musique, Cinéma</v>
      </c>
      <c r="H99" s="1" t="str">
        <f>IFERROR(__xludf.DUMMYFUNCTION("""COMPUTED_VALUE"""),"Seulement les soirs de pleine lune")</f>
        <v>Seulement les soirs de pleine lune</v>
      </c>
      <c r="I99" s="1" t="str">
        <f>IFERROR(__xludf.DUMMYFUNCTION("""COMPUTED_VALUE"""),"Plusieurs fois par semaine")</f>
        <v>Plusieurs fois par semaine</v>
      </c>
      <c r="J99" s="1" t="str">
        <f>IFERROR(__xludf.DUMMYFUNCTION("""COMPUTED_VALUE"""),"Pour le fun")</f>
        <v>Pour le fun</v>
      </c>
      <c r="K99" s="1" t="str">
        <f>IFERROR(__xludf.DUMMYFUNCTION("""COMPUTED_VALUE"""),"Sports collectifs, Sports de raquette")</f>
        <v>Sports collectifs, Sports de raquette</v>
      </c>
      <c r="L99" s="1" t="str">
        <f>IFERROR(__xludf.DUMMYFUNCTION("""COMPUTED_VALUE"""),"J'aime cuisiner le WE ou quand j'ai le temps")</f>
        <v>J'aime cuisiner le WE ou quand j'ai le temps</v>
      </c>
      <c r="M99" s="1">
        <f>IFERROR(__xludf.DUMMYFUNCTION("""COMPUTED_VALUE"""),10.0)</f>
        <v>10</v>
      </c>
      <c r="N99" s="1" t="str">
        <f>IFERROR(__xludf.DUMMYFUNCTION("""COMPUTED_VALUE"""),"Plusieurs fois par semaine")</f>
        <v>Plusieurs fois par semaine</v>
      </c>
      <c r="O99" s="1" t="str">
        <f>IFERROR(__xludf.DUMMYFUNCTION("""COMPUTED_VALUE"""),"Objectif grosse défonce")</f>
        <v>Objectif grosse défonce</v>
      </c>
      <c r="P99" s="1">
        <f>IFERROR(__xludf.DUMMYFUNCTION("""COMPUTED_VALUE"""),3.0)</f>
        <v>3</v>
      </c>
      <c r="Q99" s="1" t="str">
        <f>IFERROR(__xludf.DUMMYFUNCTION("""COMPUTED_VALUE"""),"Non")</f>
        <v>Non</v>
      </c>
      <c r="R99" s="1" t="str">
        <f>IFERROR(__xludf.DUMMYFUNCTION("""COMPUTED_VALUE"""),"Non")</f>
        <v>Non</v>
      </c>
      <c r="S99" s="1" t="str">
        <f>IFERROR(__xludf.DUMMYFUNCTION("""COMPUTED_VALUE"""),"Aquamif")</f>
        <v>Aquamif</v>
      </c>
      <c r="T99" s="1" t="str">
        <f>IFERROR(__xludf.DUMMYFUNCTION("""COMPUTED_VALUE"""),"Un chibros")</f>
        <v>Un chibros</v>
      </c>
      <c r="U99" t="str">
        <f>IFERROR(__xludf.DUMMYFUNCTION("""COMPUTED_VALUE"""),"")</f>
        <v/>
      </c>
      <c r="V99" t="str">
        <f>IFERROR(__xludf.DUMMYFUNCTION("""COMPUTED_VALUE"""),"")</f>
        <v/>
      </c>
      <c r="W99" t="str">
        <f>IFERROR(__xludf.DUMMYFUNCTION("""COMPUTED_VALUE"""),"")</f>
        <v/>
      </c>
      <c r="X99" t="str">
        <f>IFERROR(__xludf.DUMMYFUNCTION("""COMPUTED_VALUE"""),"")</f>
        <v/>
      </c>
      <c r="Y99" t="str">
        <f>IFERROR(__xludf.DUMMYFUNCTION("""COMPUTED_VALUE"""),"")</f>
        <v/>
      </c>
      <c r="Z99" t="str">
        <f>IFERROR(__xludf.DUMMYFUNCTION("""COMPUTED_VALUE"""),"")</f>
        <v/>
      </c>
      <c r="AA99" t="str">
        <f>IFERROR(__xludf.DUMMYFUNCTION("""COMPUTED_VALUE"""),"")</f>
        <v/>
      </c>
      <c r="AB99" t="str">
        <f>IFERROR(__xludf.DUMMYFUNCTION("""COMPUTED_VALUE"""),"")</f>
        <v/>
      </c>
    </row>
    <row r="100">
      <c r="A100" s="2">
        <f>IFERROR(__xludf.DUMMYFUNCTION("""COMPUTED_VALUE"""),43630.52018678241)</f>
        <v>43630.52019</v>
      </c>
      <c r="B100" s="1" t="str">
        <f>IFERROR(__xludf.DUMMYFUNCTION("""COMPUTED_VALUE"""),"Quentin NIGRON")</f>
        <v>Quentin NIGRON</v>
      </c>
      <c r="C10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0" s="1" t="str">
        <f>IFERROR(__xludf.DUMMYFUNCTION("""COMPUTED_VALUE"""),"BDS")</f>
        <v>BDS</v>
      </c>
      <c r="E100" s="1">
        <f>IFERROR(__xludf.DUMMYFUNCTION("""COMPUTED_VALUE"""),3.0)</f>
        <v>3</v>
      </c>
      <c r="F100" s="1" t="str">
        <f>IFERROR(__xludf.DUMMYFUNCTION("""COMPUTED_VALUE"""),"Rock, Electro posée, Rap, Pop, Musique fançaise, Jazz, Musique classique")</f>
        <v>Rock, Electro posée, Rap, Pop, Musique fançaise, Jazz, Musique classique</v>
      </c>
      <c r="G100" s="1" t="str">
        <f>IFERROR(__xludf.DUMMYFUNCTION("""COMPUTED_VALUE"""),"Pas du tout")</f>
        <v>Pas du tout</v>
      </c>
      <c r="H100" s="1" t="str">
        <f>IFERROR(__xludf.DUMMYFUNCTION("""COMPUTED_VALUE"""),"Une fois de temps en temps")</f>
        <v>Une fois de temps en temps</v>
      </c>
      <c r="I100" s="1" t="str">
        <f>IFERROR(__xludf.DUMMYFUNCTION("""COMPUTED_VALUE"""),"Plusieurs fois par semaine")</f>
        <v>Plusieurs fois par semaine</v>
      </c>
      <c r="J100" s="1" t="str">
        <f>IFERROR(__xludf.DUMMYFUNCTION("""COMPUTED_VALUE"""),"Pour le développement perso et se dépasser")</f>
        <v>Pour le développement perso et se dépasser</v>
      </c>
      <c r="K100" s="1" t="str">
        <f>IFERROR(__xludf.DUMMYFUNCTION("""COMPUTED_VALUE"""),"Sports collectifs, Athlétisme")</f>
        <v>Sports collectifs, Athlétisme</v>
      </c>
      <c r="L100" s="1" t="str">
        <f>IFERROR(__xludf.DUMMYFUNCTION("""COMPUTED_VALUE"""),"Oh oui, et les trucs bien gras ça me connait !")</f>
        <v>Oh oui, et les trucs bien gras ça me connait !</v>
      </c>
      <c r="M100" s="1">
        <f>IFERROR(__xludf.DUMMYFUNCTION("""COMPUTED_VALUE"""),8.0)</f>
        <v>8</v>
      </c>
      <c r="N100" s="1" t="str">
        <f>IFERROR(__xludf.DUMMYFUNCTION("""COMPUTED_VALUE"""),"Plusieurs fois par semaine")</f>
        <v>Plusieurs fois par semaine</v>
      </c>
      <c r="O100" s="1" t="str">
        <f>IFERROR(__xludf.DUMMYFUNCTION("""COMPUTED_VALUE"""),"T'enflammes le dancefloor")</f>
        <v>T'enflammes le dancefloor</v>
      </c>
      <c r="P100" s="1">
        <f>IFERROR(__xludf.DUMMYFUNCTION("""COMPUTED_VALUE"""),2.0)</f>
        <v>2</v>
      </c>
      <c r="Q100" s="1" t="str">
        <f>IFERROR(__xludf.DUMMYFUNCTION("""COMPUTED_VALUE"""),"Non")</f>
        <v>Non</v>
      </c>
      <c r="R100" s="1" t="str">
        <f>IFERROR(__xludf.DUMMYFUNCTION("""COMPUTED_VALUE"""),"Non")</f>
        <v>Non</v>
      </c>
      <c r="S100" s="1" t="str">
        <f>IFERROR(__xludf.DUMMYFUNCTION("""COMPUTED_VALUE"""),"COMA")</f>
        <v>COMA</v>
      </c>
      <c r="T100" s="1" t="str">
        <f>IFERROR(__xludf.DUMMYFUNCTION("""COMPUTED_VALUE"""),"Une fiole ")</f>
        <v>Une fiole </v>
      </c>
      <c r="U100" t="str">
        <f>IFERROR(__xludf.DUMMYFUNCTION("""COMPUTED_VALUE"""),"")</f>
        <v/>
      </c>
      <c r="V100" t="str">
        <f>IFERROR(__xludf.DUMMYFUNCTION("""COMPUTED_VALUE"""),"")</f>
        <v/>
      </c>
      <c r="W100" t="str">
        <f>IFERROR(__xludf.DUMMYFUNCTION("""COMPUTED_VALUE"""),"")</f>
        <v/>
      </c>
      <c r="X100" t="str">
        <f>IFERROR(__xludf.DUMMYFUNCTION("""COMPUTED_VALUE"""),"")</f>
        <v/>
      </c>
      <c r="Y100" t="str">
        <f>IFERROR(__xludf.DUMMYFUNCTION("""COMPUTED_VALUE"""),"")</f>
        <v/>
      </c>
      <c r="Z100" t="str">
        <f>IFERROR(__xludf.DUMMYFUNCTION("""COMPUTED_VALUE"""),"")</f>
        <v/>
      </c>
      <c r="AA100" t="str">
        <f>IFERROR(__xludf.DUMMYFUNCTION("""COMPUTED_VALUE"""),"")</f>
        <v/>
      </c>
      <c r="AB100" t="str">
        <f>IFERROR(__xludf.DUMMYFUNCTION("""COMPUTED_VALUE"""),"")</f>
        <v/>
      </c>
    </row>
    <row r="101">
      <c r="A101" s="2">
        <f>IFERROR(__xludf.DUMMYFUNCTION("""COMPUTED_VALUE"""),43630.7679188426)</f>
        <v>43630.76792</v>
      </c>
      <c r="B101" s="1" t="str">
        <f>IFERROR(__xludf.DUMMYFUNCTION("""COMPUTED_VALUE"""),"Alessandro MASI")</f>
        <v>Alessandro MASI</v>
      </c>
      <c r="C10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1" s="1" t="str">
        <f>IFERROR(__xludf.DUMMYFUNCTION("""COMPUTED_VALUE"""),"BDA")</f>
        <v>BDA</v>
      </c>
      <c r="E101" s="1">
        <f>IFERROR(__xludf.DUMMYFUNCTION("""COMPUTED_VALUE"""),3.0)</f>
        <v>3</v>
      </c>
      <c r="F101" s="1" t="str">
        <f>IFERROR(__xludf.DUMMYFUNCTION("""COMPUTED_VALUE"""),"Rock, Metal")</f>
        <v>Rock, Metal</v>
      </c>
      <c r="G101" s="1" t="str">
        <f>IFERROR(__xludf.DUMMYFUNCTION("""COMPUTED_VALUE"""),"Musique, Cinéma")</f>
        <v>Musique, Cinéma</v>
      </c>
      <c r="H101" s="1" t="str">
        <f>IFERROR(__xludf.DUMMYFUNCTION("""COMPUTED_VALUE"""),"Quelques fois par semaine")</f>
        <v>Quelques fois par semaine</v>
      </c>
      <c r="I101" s="1" t="str">
        <f>IFERROR(__xludf.DUMMYFUNCTION("""COMPUTED_VALUE"""),"Le dimanche à 15h32 s'il fait beau")</f>
        <v>Le dimanche à 15h32 s'il fait beau</v>
      </c>
      <c r="J101" s="1" t="str">
        <f>IFERROR(__xludf.DUMMYFUNCTION("""COMPUTED_VALUE"""),"Pour les autres")</f>
        <v>Pour les autres</v>
      </c>
      <c r="K101" s="1" t="str">
        <f>IFERROR(__xludf.DUMMYFUNCTION("""COMPUTED_VALUE"""),"Pas de sport")</f>
        <v>Pas de sport</v>
      </c>
      <c r="L101" s="1" t="str">
        <f>IFERROR(__xludf.DUMMYFUNCTION("""COMPUTED_VALUE"""),"Alterner entre grec et coquillettes ça compte ?")</f>
        <v>Alterner entre grec et coquillettes ça compte ?</v>
      </c>
      <c r="M101" s="1">
        <f>IFERROR(__xludf.DUMMYFUNCTION("""COMPUTED_VALUE"""),8.0)</f>
        <v>8</v>
      </c>
      <c r="N101" s="1" t="str">
        <f>IFERROR(__xludf.DUMMYFUNCTION("""COMPUTED_VALUE"""),"Plusieurs fois par semaine")</f>
        <v>Plusieurs fois par semaine</v>
      </c>
      <c r="O101" s="1" t="str">
        <f>IFERROR(__xludf.DUMMYFUNCTION("""COMPUTED_VALUE"""),"Tu te poses dans un coin, chill !!")</f>
        <v>Tu te poses dans un coin, chill !!</v>
      </c>
      <c r="P101" s="1">
        <f>IFERROR(__xludf.DUMMYFUNCTION("""COMPUTED_VALUE"""),1.0)</f>
        <v>1</v>
      </c>
      <c r="Q101" s="1" t="str">
        <f>IFERROR(__xludf.DUMMYFUNCTION("""COMPUTED_VALUE"""),"Non")</f>
        <v>Non</v>
      </c>
      <c r="R101" s="1" t="str">
        <f>IFERROR(__xludf.DUMMYFUNCTION("""COMPUTED_VALUE"""),"Non")</f>
        <v>Non</v>
      </c>
      <c r="S101" s="1" t="str">
        <f>IFERROR(__xludf.DUMMYFUNCTION("""COMPUTED_VALUE"""),"PB/Nuage")</f>
        <v>PB/Nuage</v>
      </c>
      <c r="T101" s="1" t="str">
        <f>IFERROR(__xludf.DUMMYFUNCTION("""COMPUTED_VALUE"""),"""1001 manières de cuisiner les légumes anciens : le guide complet revisité, édition 1967 avec supplément poireux et navets inclus pour le même prix""")</f>
        <v>"1001 manières de cuisiner les légumes anciens : le guide complet revisité, édition 1967 avec supplément poireux et navets inclus pour le même prix"</v>
      </c>
      <c r="U101" t="str">
        <f>IFERROR(__xludf.DUMMYFUNCTION("""COMPUTED_VALUE"""),"")</f>
        <v/>
      </c>
      <c r="V101" t="str">
        <f>IFERROR(__xludf.DUMMYFUNCTION("""COMPUTED_VALUE"""),"")</f>
        <v/>
      </c>
      <c r="W101" t="str">
        <f>IFERROR(__xludf.DUMMYFUNCTION("""COMPUTED_VALUE"""),"")</f>
        <v/>
      </c>
      <c r="X101" t="str">
        <f>IFERROR(__xludf.DUMMYFUNCTION("""COMPUTED_VALUE"""),"")</f>
        <v/>
      </c>
      <c r="Y101" t="str">
        <f>IFERROR(__xludf.DUMMYFUNCTION("""COMPUTED_VALUE"""),"")</f>
        <v/>
      </c>
      <c r="Z101" t="str">
        <f>IFERROR(__xludf.DUMMYFUNCTION("""COMPUTED_VALUE"""),"")</f>
        <v/>
      </c>
      <c r="AA101" t="str">
        <f>IFERROR(__xludf.DUMMYFUNCTION("""COMPUTED_VALUE"""),"")</f>
        <v/>
      </c>
      <c r="AB101" t="str">
        <f>IFERROR(__xludf.DUMMYFUNCTION("""COMPUTED_VALUE"""),"")</f>
        <v/>
      </c>
    </row>
    <row r="102">
      <c r="A102" s="2">
        <f>IFERROR(__xludf.DUMMYFUNCTION("""COMPUTED_VALUE"""),43630.76857248842)</f>
        <v>43630.76857</v>
      </c>
      <c r="B102" s="1" t="str">
        <f>IFERROR(__xludf.DUMMYFUNCTION("""COMPUTED_VALUE"""),"Robin Tanquerel")</f>
        <v>Robin Tanquerel</v>
      </c>
      <c r="C10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2" s="1" t="str">
        <f>IFERROR(__xludf.DUMMYFUNCTION("""COMPUTED_VALUE"""),"BDA")</f>
        <v>BDA</v>
      </c>
      <c r="E102" s="1">
        <f>IFERROR(__xludf.DUMMYFUNCTION("""COMPUTED_VALUE"""),2.0)</f>
        <v>2</v>
      </c>
      <c r="F102" s="1" t="str">
        <f>IFERROR(__xludf.DUMMYFUNCTION("""COMPUTED_VALUE"""),"Je suis aigri et j'aime pas la musique")</f>
        <v>Je suis aigri et j'aime pas la musique</v>
      </c>
      <c r="G102" s="1" t="str">
        <f>IFERROR(__xludf.DUMMYFUNCTION("""COMPUTED_VALUE"""),"Pas du tout")</f>
        <v>Pas du tout</v>
      </c>
      <c r="H102" s="1" t="str">
        <f>IFERROR(__xludf.DUMMYFUNCTION("""COMPUTED_VALUE"""),"Quelques fois par semaine")</f>
        <v>Quelques fois par semaine</v>
      </c>
      <c r="I102" s="1" t="str">
        <f>IFERROR(__xludf.DUMMYFUNCTION("""COMPUTED_VALUE"""),"Le dimanche à 15h32 s'il fait beau")</f>
        <v>Le dimanche à 15h32 s'il fait beau</v>
      </c>
      <c r="J102" s="1" t="str">
        <f>IFERROR(__xludf.DUMMYFUNCTION("""COMPUTED_VALUE"""),"Pour le fun")</f>
        <v>Pour le fun</v>
      </c>
      <c r="K102" s="1" t="str">
        <f>IFERROR(__xludf.DUMMYFUNCTION("""COMPUTED_VALUE"""),"Pas de sport, Sports de raquette")</f>
        <v>Pas de sport, Sports de raquette</v>
      </c>
      <c r="L102" s="1" t="str">
        <f>IFERROR(__xludf.DUMMYFUNCTION("""COMPUTED_VALUE"""),"Alterner entre grec et coquillettes ça compte ?")</f>
        <v>Alterner entre grec et coquillettes ça compte ?</v>
      </c>
      <c r="M102" s="1">
        <f>IFERROR(__xludf.DUMMYFUNCTION("""COMPUTED_VALUE"""),8.0)</f>
        <v>8</v>
      </c>
      <c r="N102" s="1" t="str">
        <f>IFERROR(__xludf.DUMMYFUNCTION("""COMPUTED_VALUE"""),"Plusieurs fois par semaine")</f>
        <v>Plusieurs fois par semaine</v>
      </c>
      <c r="O102" s="1" t="str">
        <f>IFERROR(__xludf.DUMMYFUNCTION("""COMPUTED_VALUE"""),"Objectif grosse défonce")</f>
        <v>Objectif grosse défonce</v>
      </c>
      <c r="P102" s="1">
        <f>IFERROR(__xludf.DUMMYFUNCTION("""COMPUTED_VALUE"""),1.0)</f>
        <v>1</v>
      </c>
      <c r="Q102" s="1" t="str">
        <f>IFERROR(__xludf.DUMMYFUNCTION("""COMPUTED_VALUE"""),"Non")</f>
        <v>Non</v>
      </c>
      <c r="R102" s="1" t="str">
        <f>IFERROR(__xludf.DUMMYFUNCTION("""COMPUTED_VALUE"""),"Non")</f>
        <v>Non</v>
      </c>
      <c r="S102" s="1" t="str">
        <f>IFERROR(__xludf.DUMMYFUNCTION("""COMPUTED_VALUE"""),"PB-Nuage")</f>
        <v>PB-Nuage</v>
      </c>
      <c r="T102" s="1" t="str">
        <f>IFERROR(__xludf.DUMMYFUNCTION("""COMPUTED_VALUE"""),"Du JDR et de l'alcool ")</f>
        <v>Du JDR et de l'alcool </v>
      </c>
      <c r="U102" t="str">
        <f>IFERROR(__xludf.DUMMYFUNCTION("""COMPUTED_VALUE"""),"")</f>
        <v/>
      </c>
      <c r="V102" t="str">
        <f>IFERROR(__xludf.DUMMYFUNCTION("""COMPUTED_VALUE"""),"")</f>
        <v/>
      </c>
      <c r="W102" t="str">
        <f>IFERROR(__xludf.DUMMYFUNCTION("""COMPUTED_VALUE"""),"")</f>
        <v/>
      </c>
      <c r="X102" t="str">
        <f>IFERROR(__xludf.DUMMYFUNCTION("""COMPUTED_VALUE"""),"")</f>
        <v/>
      </c>
      <c r="Y102" t="str">
        <f>IFERROR(__xludf.DUMMYFUNCTION("""COMPUTED_VALUE"""),"")</f>
        <v/>
      </c>
      <c r="Z102" t="str">
        <f>IFERROR(__xludf.DUMMYFUNCTION("""COMPUTED_VALUE"""),"")</f>
        <v/>
      </c>
      <c r="AA102" t="str">
        <f>IFERROR(__xludf.DUMMYFUNCTION("""COMPUTED_VALUE"""),"")</f>
        <v/>
      </c>
      <c r="AB102" t="str">
        <f>IFERROR(__xludf.DUMMYFUNCTION("""COMPUTED_VALUE"""),"")</f>
        <v/>
      </c>
    </row>
    <row r="103">
      <c r="A103" s="2">
        <f>IFERROR(__xludf.DUMMYFUNCTION("""COMPUTED_VALUE"""),43630.7776434375)</f>
        <v>43630.77764</v>
      </c>
      <c r="B103" t="str">
        <f>IFERROR(__xludf.DUMMYFUNCTION("""COMPUTED_VALUE"""),"Pauline AUBRY")</f>
        <v>Pauline AUBRY</v>
      </c>
      <c r="C103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3" t="str">
        <f>IFERROR(__xludf.DUMMYFUNCTION("""COMPUTED_VALUE"""),"BDA")</f>
        <v>BDA</v>
      </c>
      <c r="E103">
        <f>IFERROR(__xludf.DUMMYFUNCTION("""COMPUTED_VALUE"""),2.0)</f>
        <v>2</v>
      </c>
      <c r="F103" t="str">
        <f>IFERROR(__xludf.DUMMYFUNCTION("""COMPUTED_VALUE"""),"Rock, Pop")</f>
        <v>Rock, Pop</v>
      </c>
      <c r="G103" t="str">
        <f>IFERROR(__xludf.DUMMYFUNCTION("""COMPUTED_VALUE"""),"Littérature, Musique, Cinéma, Graphisme")</f>
        <v>Littérature, Musique, Cinéma, Graphisme</v>
      </c>
      <c r="H103" t="str">
        <f>IFERROR(__xludf.DUMMYFUNCTION("""COMPUTED_VALUE"""),"Une fois de temps en temps")</f>
        <v>Une fois de temps en temps</v>
      </c>
      <c r="I103" t="str">
        <f>IFERROR(__xludf.DUMMYFUNCTION("""COMPUTED_VALUE"""),"Le dimanche à 15h32 s'il fait beau")</f>
        <v>Le dimanche à 15h32 s'il fait beau</v>
      </c>
      <c r="J103" t="str">
        <f>IFERROR(__xludf.DUMMYFUNCTION("""COMPUTED_VALUE"""),"Pour les autres")</f>
        <v>Pour les autres</v>
      </c>
      <c r="K103" t="str">
        <f>IFERROR(__xludf.DUMMYFUNCTION("""COMPUTED_VALUE"""),"Pas de sport, Athlétisme")</f>
        <v>Pas de sport, Athlétisme</v>
      </c>
      <c r="L103" t="str">
        <f>IFERROR(__xludf.DUMMYFUNCTION("""COMPUTED_VALUE"""),"J'aime cuisiner le WE ou quand j'ai le temps")</f>
        <v>J'aime cuisiner le WE ou quand j'ai le temps</v>
      </c>
      <c r="M103">
        <f>IFERROR(__xludf.DUMMYFUNCTION("""COMPUTED_VALUE"""),6.0)</f>
        <v>6</v>
      </c>
      <c r="N103" t="str">
        <f>IFERROR(__xludf.DUMMYFUNCTION("""COMPUTED_VALUE"""),"Une fois par semaine")</f>
        <v>Une fois par semaine</v>
      </c>
      <c r="O103" t="str">
        <f>IFERROR(__xludf.DUMMYFUNCTION("""COMPUTED_VALUE"""),"Tu te poses dans un coin, chill !!")</f>
        <v>Tu te poses dans un coin, chill !!</v>
      </c>
      <c r="P103">
        <f>IFERROR(__xludf.DUMMYFUNCTION("""COMPUTED_VALUE"""),1.0)</f>
        <v>1</v>
      </c>
      <c r="Q103" t="str">
        <f>IFERROR(__xludf.DUMMYFUNCTION("""COMPUTED_VALUE"""),"Non")</f>
        <v>Non</v>
      </c>
      <c r="R103" t="str">
        <f>IFERROR(__xludf.DUMMYFUNCTION("""COMPUTED_VALUE"""),"Non")</f>
        <v>Non</v>
      </c>
      <c r="S103" t="str">
        <f>IFERROR(__xludf.DUMMYFUNCTION("""COMPUTED_VALUE"""),"Auberge-Monastère")</f>
        <v>Auberge-Monastère</v>
      </c>
      <c r="T103" t="str">
        <f>IFERROR(__xludf.DUMMYFUNCTION("""COMPUTED_VALUE"""),"Ma couronne")</f>
        <v>Ma couronne</v>
      </c>
      <c r="U103" t="str">
        <f>IFERROR(__xludf.DUMMYFUNCTION("""COMPUTED_VALUE"""),"")</f>
        <v/>
      </c>
      <c r="V103" t="str">
        <f>IFERROR(__xludf.DUMMYFUNCTION("""COMPUTED_VALUE"""),"")</f>
        <v/>
      </c>
      <c r="W103" t="str">
        <f>IFERROR(__xludf.DUMMYFUNCTION("""COMPUTED_VALUE"""),"")</f>
        <v/>
      </c>
      <c r="X103" t="str">
        <f>IFERROR(__xludf.DUMMYFUNCTION("""COMPUTED_VALUE"""),"")</f>
        <v/>
      </c>
      <c r="Y103" t="str">
        <f>IFERROR(__xludf.DUMMYFUNCTION("""COMPUTED_VALUE"""),"")</f>
        <v/>
      </c>
      <c r="Z103" t="str">
        <f>IFERROR(__xludf.DUMMYFUNCTION("""COMPUTED_VALUE"""),"")</f>
        <v/>
      </c>
      <c r="AA103" t="str">
        <f>IFERROR(__xludf.DUMMYFUNCTION("""COMPUTED_VALUE"""),"")</f>
        <v/>
      </c>
      <c r="AB103" t="str">
        <f>IFERROR(__xludf.DUMMYFUNCTION("""COMPUTED_VALUE"""),"")</f>
        <v/>
      </c>
    </row>
    <row r="104">
      <c r="A104" s="2">
        <f>IFERROR(__xludf.DUMMYFUNCTION("""COMPUTED_VALUE"""),43630.85108934028)</f>
        <v>43630.85109</v>
      </c>
      <c r="B104" t="str">
        <f>IFERROR(__xludf.DUMMYFUNCTION("""COMPUTED_VALUE"""),"Nicolas GUYONNEAU")</f>
        <v>Nicolas GUYONNEAU</v>
      </c>
      <c r="C104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4" t="str">
        <f>IFERROR(__xludf.DUMMYFUNCTION("""COMPUTED_VALUE"""),"BDS")</f>
        <v>BDS</v>
      </c>
      <c r="E104">
        <f>IFERROR(__xludf.DUMMYFUNCTION("""COMPUTED_VALUE"""),3.0)</f>
        <v>3</v>
      </c>
      <c r="F104" t="str">
        <f>IFERROR(__xludf.DUMMYFUNCTION("""COMPUTED_VALUE"""),"Rock, Electro posée, Pop")</f>
        <v>Rock, Electro posée, Pop</v>
      </c>
      <c r="G104" t="str">
        <f>IFERROR(__xludf.DUMMYFUNCTION("""COMPUTED_VALUE"""),"Pas du tout")</f>
        <v>Pas du tout</v>
      </c>
      <c r="H104" t="str">
        <f>IFERROR(__xludf.DUMMYFUNCTION("""COMPUTED_VALUE"""),"Quelques fois par semaine")</f>
        <v>Quelques fois par semaine</v>
      </c>
      <c r="I104" t="str">
        <f>IFERROR(__xludf.DUMMYFUNCTION("""COMPUTED_VALUE"""),"Plusieurs fois par semaine")</f>
        <v>Plusieurs fois par semaine</v>
      </c>
      <c r="J104" t="str">
        <f>IFERROR(__xludf.DUMMYFUNCTION("""COMPUTED_VALUE"""),"Pour le fun")</f>
        <v>Pour le fun</v>
      </c>
      <c r="K104" t="str">
        <f>IFERROR(__xludf.DUMMYFUNCTION("""COMPUTED_VALUE"""),"Sports collectifs")</f>
        <v>Sports collectifs</v>
      </c>
      <c r="L104" t="str">
        <f>IFERROR(__xludf.DUMMYFUNCTION("""COMPUTED_VALUE"""),"J'aime cuisiner le WE ou quand j'ai le temps")</f>
        <v>J'aime cuisiner le WE ou quand j'ai le temps</v>
      </c>
      <c r="M104">
        <f>IFERROR(__xludf.DUMMYFUNCTION("""COMPUTED_VALUE"""),7.0)</f>
        <v>7</v>
      </c>
      <c r="N104" t="str">
        <f>IFERROR(__xludf.DUMMYFUNCTION("""COMPUTED_VALUE"""),"Une fois par semaine")</f>
        <v>Une fois par semaine</v>
      </c>
      <c r="O104" t="str">
        <f>IFERROR(__xludf.DUMMYFUNCTION("""COMPUTED_VALUE"""),"T'enflammes le dancefloor")</f>
        <v>T'enflammes le dancefloor</v>
      </c>
      <c r="P104">
        <f>IFERROR(__xludf.DUMMYFUNCTION("""COMPUTED_VALUE"""),1.0)</f>
        <v>1</v>
      </c>
      <c r="Q104" t="str">
        <f>IFERROR(__xludf.DUMMYFUNCTION("""COMPUTED_VALUE"""),"Non")</f>
        <v>Non</v>
      </c>
      <c r="R104" t="str">
        <f>IFERROR(__xludf.DUMMYFUNCTION("""COMPUTED_VALUE"""),"Non")</f>
        <v>Non</v>
      </c>
      <c r="S104" t="str">
        <f>IFERROR(__xludf.DUMMYFUNCTION("""COMPUTED_VALUE"""),"Le Donjon")</f>
        <v>Le Donjon</v>
      </c>
      <c r="T104" t="str">
        <f>IFERROR(__xludf.DUMMYFUNCTION("""COMPUTED_VALUE"""),"Mon maillot de volley")</f>
        <v>Mon maillot de volley</v>
      </c>
      <c r="U104" t="str">
        <f>IFERROR(__xludf.DUMMYFUNCTION("""COMPUTED_VALUE"""),"")</f>
        <v/>
      </c>
      <c r="V104" t="str">
        <f>IFERROR(__xludf.DUMMYFUNCTION("""COMPUTED_VALUE"""),"")</f>
        <v/>
      </c>
      <c r="W104" t="str">
        <f>IFERROR(__xludf.DUMMYFUNCTION("""COMPUTED_VALUE"""),"")</f>
        <v/>
      </c>
      <c r="X104" t="str">
        <f>IFERROR(__xludf.DUMMYFUNCTION("""COMPUTED_VALUE"""),"")</f>
        <v/>
      </c>
      <c r="Y104" t="str">
        <f>IFERROR(__xludf.DUMMYFUNCTION("""COMPUTED_VALUE"""),"")</f>
        <v/>
      </c>
      <c r="Z104" t="str">
        <f>IFERROR(__xludf.DUMMYFUNCTION("""COMPUTED_VALUE"""),"")</f>
        <v/>
      </c>
      <c r="AA104" t="str">
        <f>IFERROR(__xludf.DUMMYFUNCTION("""COMPUTED_VALUE"""),"")</f>
        <v/>
      </c>
      <c r="AB104" t="str">
        <f>IFERROR(__xludf.DUMMYFUNCTION("""COMPUTED_VALUE"""),"")</f>
        <v/>
      </c>
    </row>
    <row r="105">
      <c r="A105" s="2">
        <f>IFERROR(__xludf.DUMMYFUNCTION("""COMPUTED_VALUE"""),43630.854716608796)</f>
        <v>43630.85472</v>
      </c>
      <c r="B105" t="str">
        <f>IFERROR(__xludf.DUMMYFUNCTION("""COMPUTED_VALUE"""),"Nathan Gérard")</f>
        <v>Nathan Gérard</v>
      </c>
      <c r="C105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5" t="str">
        <f>IFERROR(__xludf.DUMMYFUNCTION("""COMPUTED_VALUE"""),"BDS")</f>
        <v>BDS</v>
      </c>
      <c r="E105">
        <f>IFERROR(__xludf.DUMMYFUNCTION("""COMPUTED_VALUE"""),5.0)</f>
        <v>5</v>
      </c>
      <c r="F105" t="str">
        <f>IFERROR(__xludf.DUMMYFUNCTION("""COMPUTED_VALUE"""),"Electro posée, Electro hard, Rap, Musique fançaise")</f>
        <v>Electro posée, Electro hard, Rap, Musique fançaise</v>
      </c>
      <c r="G105" t="str">
        <f>IFERROR(__xludf.DUMMYFUNCTION("""COMPUTED_VALUE"""),"Musique, Cinéma")</f>
        <v>Musique, Cinéma</v>
      </c>
      <c r="H105" t="str">
        <f>IFERROR(__xludf.DUMMYFUNCTION("""COMPUTED_VALUE"""),"Une fois de temps en temps")</f>
        <v>Une fois de temps en temps</v>
      </c>
      <c r="I105" t="str">
        <f>IFERROR(__xludf.DUMMYFUNCTION("""COMPUTED_VALUE"""),"Plusieurs fois par semaine")</f>
        <v>Plusieurs fois par semaine</v>
      </c>
      <c r="J105" t="str">
        <f>IFERROR(__xludf.DUMMYFUNCTION("""COMPUTED_VALUE"""),"Pour la compet")</f>
        <v>Pour la compet</v>
      </c>
      <c r="K105" t="str">
        <f>IFERROR(__xludf.DUMMYFUNCTION("""COMPUTED_VALUE"""),"Sports de rames")</f>
        <v>Sports de rames</v>
      </c>
      <c r="L105" t="str">
        <f>IFERROR(__xludf.DUMMYFUNCTION("""COMPUTED_VALUE"""),"Alterner entre grec et coquillettes ça compte ?")</f>
        <v>Alterner entre grec et coquillettes ça compte ?</v>
      </c>
      <c r="M105">
        <f>IFERROR(__xludf.DUMMYFUNCTION("""COMPUTED_VALUE"""),10.0)</f>
        <v>10</v>
      </c>
      <c r="N105" t="str">
        <f>IFERROR(__xludf.DUMMYFUNCTION("""COMPUTED_VALUE"""),"Plusieurs fois par semaine")</f>
        <v>Plusieurs fois par semaine</v>
      </c>
      <c r="O105" t="str">
        <f>IFERROR(__xludf.DUMMYFUNCTION("""COMPUTED_VALUE"""),"Objectif grosse défonce")</f>
        <v>Objectif grosse défonce</v>
      </c>
      <c r="P105">
        <f>IFERROR(__xludf.DUMMYFUNCTION("""COMPUTED_VALUE"""),3.0)</f>
        <v>3</v>
      </c>
      <c r="Q105" t="str">
        <f>IFERROR(__xludf.DUMMYFUNCTION("""COMPUTED_VALUE"""),"Oui")</f>
        <v>Oui</v>
      </c>
      <c r="R105" t="str">
        <f>IFERROR(__xludf.DUMMYFUNCTION("""COMPUTED_VALUE"""),"Non")</f>
        <v>Non</v>
      </c>
      <c r="S105" t="str">
        <f>IFERROR(__xludf.DUMMYFUNCTION("""COMPUTED_VALUE"""),"Les domineurs")</f>
        <v>Les domineurs</v>
      </c>
      <c r="T105" t="str">
        <f>IFERROR(__xludf.DUMMYFUNCTION("""COMPUTED_VALUE"""),"Un calendrier Clara Morgane")</f>
        <v>Un calendrier Clara Morgane</v>
      </c>
      <c r="U105" t="str">
        <f>IFERROR(__xludf.DUMMYFUNCTION("""COMPUTED_VALUE"""),"")</f>
        <v/>
      </c>
      <c r="V105" t="str">
        <f>IFERROR(__xludf.DUMMYFUNCTION("""COMPUTED_VALUE"""),"")</f>
        <v/>
      </c>
      <c r="W105" t="str">
        <f>IFERROR(__xludf.DUMMYFUNCTION("""COMPUTED_VALUE"""),"")</f>
        <v/>
      </c>
      <c r="X105" t="str">
        <f>IFERROR(__xludf.DUMMYFUNCTION("""COMPUTED_VALUE"""),"")</f>
        <v/>
      </c>
      <c r="Y105" t="str">
        <f>IFERROR(__xludf.DUMMYFUNCTION("""COMPUTED_VALUE"""),"")</f>
        <v/>
      </c>
      <c r="Z105" t="str">
        <f>IFERROR(__xludf.DUMMYFUNCTION("""COMPUTED_VALUE"""),"")</f>
        <v/>
      </c>
      <c r="AA105" t="str">
        <f>IFERROR(__xludf.DUMMYFUNCTION("""COMPUTED_VALUE"""),"")</f>
        <v/>
      </c>
      <c r="AB105" t="str">
        <f>IFERROR(__xludf.DUMMYFUNCTION("""COMPUTED_VALUE"""),"")</f>
        <v/>
      </c>
    </row>
    <row r="106">
      <c r="A106" s="2">
        <f>IFERROR(__xludf.DUMMYFUNCTION("""COMPUTED_VALUE"""),43631.32883702546)</f>
        <v>43631.32884</v>
      </c>
      <c r="B106" t="str">
        <f>IFERROR(__xludf.DUMMYFUNCTION("""COMPUTED_VALUE"""),"Flora SOUSSAND")</f>
        <v>Flora SOUSSAND</v>
      </c>
      <c r="C10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6" t="str">
        <f>IFERROR(__xludf.DUMMYFUNCTION("""COMPUTED_VALUE"""),"BDA")</f>
        <v>BDA</v>
      </c>
      <c r="E106">
        <f>IFERROR(__xludf.DUMMYFUNCTION("""COMPUTED_VALUE"""),5.0)</f>
        <v>5</v>
      </c>
      <c r="F106" t="str">
        <f>IFERROR(__xludf.DUMMYFUNCTION("""COMPUTED_VALUE"""),"Rock, Pop, Musique fançaise, Musique classique, Autre")</f>
        <v>Rock, Pop, Musique fançaise, Musique classique, Autre</v>
      </c>
      <c r="G106" t="str">
        <f>IFERROR(__xludf.DUMMYFUNCTION("""COMPUTED_VALUE"""),"Peinture, Littérature, Sculpture, Danse, Théâtre, Cinéma")</f>
        <v>Peinture, Littérature, Sculpture, Danse, Théâtre, Cinéma</v>
      </c>
      <c r="H106" t="str">
        <f>IFERROR(__xludf.DUMMYFUNCTION("""COMPUTED_VALUE"""),"Seulement les soirs de pleine lune")</f>
        <v>Seulement les soirs de pleine lune</v>
      </c>
      <c r="I106" t="str">
        <f>IFERROR(__xludf.DUMMYFUNCTION("""COMPUTED_VALUE"""),"Le dimanche à 15h32 s'il fait beau")</f>
        <v>Le dimanche à 15h32 s'il fait beau</v>
      </c>
      <c r="J106" t="str">
        <f>IFERROR(__xludf.DUMMYFUNCTION("""COMPUTED_VALUE"""),"Pour les autres")</f>
        <v>Pour les autres</v>
      </c>
      <c r="K106" t="str">
        <f>IFERROR(__xludf.DUMMYFUNCTION("""COMPUTED_VALUE"""),"Pas de sport")</f>
        <v>Pas de sport</v>
      </c>
      <c r="L106" t="str">
        <f>IFERROR(__xludf.DUMMYFUNCTION("""COMPUTED_VALUE"""),"Oh oui, et les trucs bien gras ça me connait !")</f>
        <v>Oh oui, et les trucs bien gras ça me connait !</v>
      </c>
      <c r="M106">
        <f>IFERROR(__xludf.DUMMYFUNCTION("""COMPUTED_VALUE"""),2.0)</f>
        <v>2</v>
      </c>
      <c r="N106" t="str">
        <f>IFERROR(__xludf.DUMMYFUNCTION("""COMPUTED_VALUE"""),"Plusieurs fois par semaine")</f>
        <v>Plusieurs fois par semaine</v>
      </c>
      <c r="O106" t="str">
        <f>IFERROR(__xludf.DUMMYFUNCTION("""COMPUTED_VALUE"""),"Tu te poses dans un coin, chill !!")</f>
        <v>Tu te poses dans un coin, chill !!</v>
      </c>
      <c r="P106">
        <f>IFERROR(__xludf.DUMMYFUNCTION("""COMPUTED_VALUE"""),1.0)</f>
        <v>1</v>
      </c>
      <c r="Q106" t="str">
        <f>IFERROR(__xludf.DUMMYFUNCTION("""COMPUTED_VALUE"""),"Oui")</f>
        <v>Oui</v>
      </c>
      <c r="R106" t="str">
        <f>IFERROR(__xludf.DUMMYFUNCTION("""COMPUTED_VALUE"""),"Non")</f>
        <v>Non</v>
      </c>
      <c r="S106" t="str">
        <f>IFERROR(__xludf.DUMMYFUNCTION("""COMPUTED_VALUE"""),"Auberge-Monastère")</f>
        <v>Auberge-Monastère</v>
      </c>
      <c r="T106" t="str">
        <f>IFERROR(__xludf.DUMMYFUNCTION("""COMPUTED_VALUE"""),"ECNiouzes sur l'enfance")</f>
        <v>ECNiouzes sur l'enfance</v>
      </c>
      <c r="U106" t="str">
        <f>IFERROR(__xludf.DUMMYFUNCTION("""COMPUTED_VALUE"""),"")</f>
        <v/>
      </c>
      <c r="V106" t="str">
        <f>IFERROR(__xludf.DUMMYFUNCTION("""COMPUTED_VALUE"""),"")</f>
        <v/>
      </c>
      <c r="W106" t="str">
        <f>IFERROR(__xludf.DUMMYFUNCTION("""COMPUTED_VALUE"""),"")</f>
        <v/>
      </c>
      <c r="X106" t="str">
        <f>IFERROR(__xludf.DUMMYFUNCTION("""COMPUTED_VALUE"""),"")</f>
        <v/>
      </c>
      <c r="Y106" t="str">
        <f>IFERROR(__xludf.DUMMYFUNCTION("""COMPUTED_VALUE"""),"")</f>
        <v/>
      </c>
      <c r="Z106" t="str">
        <f>IFERROR(__xludf.DUMMYFUNCTION("""COMPUTED_VALUE"""),"")</f>
        <v/>
      </c>
      <c r="AA106" t="str">
        <f>IFERROR(__xludf.DUMMYFUNCTION("""COMPUTED_VALUE"""),"")</f>
        <v/>
      </c>
      <c r="AB106" t="str">
        <f>IFERROR(__xludf.DUMMYFUNCTION("""COMPUTED_VALUE"""),"")</f>
        <v/>
      </c>
    </row>
    <row r="107">
      <c r="A107" s="2">
        <f>IFERROR(__xludf.DUMMYFUNCTION("""COMPUTED_VALUE"""),43631.686512245375)</f>
        <v>43631.68651</v>
      </c>
      <c r="B107" t="str">
        <f>IFERROR(__xludf.DUMMYFUNCTION("""COMPUTED_VALUE"""),"Maxime Guldner")</f>
        <v>Maxime Guldner</v>
      </c>
      <c r="C107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07" t="str">
        <f>IFERROR(__xludf.DUMMYFUNCTION("""COMPUTED_VALUE"""),"BDE")</f>
        <v>BDE</v>
      </c>
      <c r="E107">
        <f>IFERROR(__xludf.DUMMYFUNCTION("""COMPUTED_VALUE"""),4.0)</f>
        <v>4</v>
      </c>
      <c r="F107" t="str">
        <f>IFERROR(__xludf.DUMMYFUNCTION("""COMPUTED_VALUE"""),"Rap")</f>
        <v>Rap</v>
      </c>
      <c r="G107" t="str">
        <f>IFERROR(__xludf.DUMMYFUNCTION("""COMPUTED_VALUE"""),"Musique, Cinéma")</f>
        <v>Musique, Cinéma</v>
      </c>
      <c r="H107" t="str">
        <f>IFERROR(__xludf.DUMMYFUNCTION("""COMPUTED_VALUE"""),"Une fois de temps en temps")</f>
        <v>Une fois de temps en temps</v>
      </c>
      <c r="I107" t="str">
        <f>IFERROR(__xludf.DUMMYFUNCTION("""COMPUTED_VALUE"""),"Plusieurs fois par semaine")</f>
        <v>Plusieurs fois par semaine</v>
      </c>
      <c r="J107" t="str">
        <f>IFERROR(__xludf.DUMMYFUNCTION("""COMPUTED_VALUE"""),"Pour le développement perso et se dépasser")</f>
        <v>Pour le développement perso et se dépasser</v>
      </c>
      <c r="K107" t="str">
        <f>IFERROR(__xludf.DUMMYFUNCTION("""COMPUTED_VALUE"""),"Sports collectifs, Sports de raquette, Sports de combat, Autre")</f>
        <v>Sports collectifs, Sports de raquette, Sports de combat, Autre</v>
      </c>
      <c r="L107" t="str">
        <f>IFERROR(__xludf.DUMMYFUNCTION("""COMPUTED_VALUE"""),"J'aime cuisiner le WE ou quand j'ai le temps")</f>
        <v>J'aime cuisiner le WE ou quand j'ai le temps</v>
      </c>
      <c r="M107">
        <f>IFERROR(__xludf.DUMMYFUNCTION("""COMPUTED_VALUE"""),8.0)</f>
        <v>8</v>
      </c>
      <c r="N107" t="str">
        <f>IFERROR(__xludf.DUMMYFUNCTION("""COMPUTED_VALUE"""),"Une fois par semaine")</f>
        <v>Une fois par semaine</v>
      </c>
      <c r="O107" t="str">
        <f>IFERROR(__xludf.DUMMYFUNCTION("""COMPUTED_VALUE"""),"Objectif grosse défonce")</f>
        <v>Objectif grosse défonce</v>
      </c>
      <c r="P107">
        <f>IFERROR(__xludf.DUMMYFUNCTION("""COMPUTED_VALUE"""),3.0)</f>
        <v>3</v>
      </c>
      <c r="Q107" t="str">
        <f>IFERROR(__xludf.DUMMYFUNCTION("""COMPUTED_VALUE"""),"Non")</f>
        <v>Non</v>
      </c>
      <c r="R107" t="str">
        <f>IFERROR(__xludf.DUMMYFUNCTION("""COMPUTED_VALUE"""),"Non")</f>
        <v>Non</v>
      </c>
      <c r="S107" t="str">
        <f>IFERROR(__xludf.DUMMYFUNCTION("""COMPUTED_VALUE"""),"Summerf'aigle")</f>
        <v>Summerf'aigle</v>
      </c>
      <c r="T107" t="str">
        <f>IFERROR(__xludf.DUMMYFUNCTION("""COMPUTED_VALUE"""),"album l'entourage ")</f>
        <v>album l'entourage </v>
      </c>
      <c r="U107" t="str">
        <f>IFERROR(__xludf.DUMMYFUNCTION("""COMPUTED_VALUE"""),"")</f>
        <v/>
      </c>
      <c r="V107" t="str">
        <f>IFERROR(__xludf.DUMMYFUNCTION("""COMPUTED_VALUE"""),"")</f>
        <v/>
      </c>
      <c r="W107" t="str">
        <f>IFERROR(__xludf.DUMMYFUNCTION("""COMPUTED_VALUE"""),"")</f>
        <v/>
      </c>
      <c r="X107" t="str">
        <f>IFERROR(__xludf.DUMMYFUNCTION("""COMPUTED_VALUE"""),"")</f>
        <v/>
      </c>
      <c r="Y107" t="str">
        <f>IFERROR(__xludf.DUMMYFUNCTION("""COMPUTED_VALUE"""),"")</f>
        <v/>
      </c>
      <c r="Z107" t="str">
        <f>IFERROR(__xludf.DUMMYFUNCTION("""COMPUTED_VALUE"""),"")</f>
        <v/>
      </c>
      <c r="AA107" t="str">
        <f>IFERROR(__xludf.DUMMYFUNCTION("""COMPUTED_VALUE"""),"")</f>
        <v/>
      </c>
      <c r="AB107" t="str">
        <f>IFERROR(__xludf.DUMMYFUNCTION("""COMPUTED_VALUE"""),"")</f>
        <v/>
      </c>
    </row>
    <row r="108">
      <c r="A108" s="2">
        <f>IFERROR(__xludf.DUMMYFUNCTION("""COMPUTED_VALUE"""),43631.71950875)</f>
        <v>43631.71951</v>
      </c>
      <c r="B108" t="str">
        <f>IFERROR(__xludf.DUMMYFUNCTION("""COMPUTED_VALUE"""),"Alizée DIATCHENKO")</f>
        <v>Alizée DIATCHENKO</v>
      </c>
      <c r="C108" t="str">
        <f>IFERROR(__xludf.DUMMYFUNCTION("""COMPUTED_VALUE"""),"Deux inconnus")</f>
        <v>Deux inconnus</v>
      </c>
      <c r="D108" t="str">
        <f>IFERROR(__xludf.DUMMYFUNCTION("""COMPUTED_VALUE"""),"BDS")</f>
        <v>BDS</v>
      </c>
      <c r="E108">
        <f>IFERROR(__xludf.DUMMYFUNCTION("""COMPUTED_VALUE"""),3.0)</f>
        <v>3</v>
      </c>
      <c r="F108" t="str">
        <f>IFERROR(__xludf.DUMMYFUNCTION("""COMPUTED_VALUE"""),"Electro posée, Rap, Musique fançaise")</f>
        <v>Electro posée, Rap, Musique fançaise</v>
      </c>
      <c r="G108" t="str">
        <f>IFERROR(__xludf.DUMMYFUNCTION("""COMPUTED_VALUE"""),"Pas du tout")</f>
        <v>Pas du tout</v>
      </c>
      <c r="H108" t="str">
        <f>IFERROR(__xludf.DUMMYFUNCTION("""COMPUTED_VALUE"""),"Seulement les soirs de pleine lune")</f>
        <v>Seulement les soirs de pleine lune</v>
      </c>
      <c r="I108" t="str">
        <f>IFERROR(__xludf.DUMMYFUNCTION("""COMPUTED_VALUE"""),"Plusieurs fois par semaine")</f>
        <v>Plusieurs fois par semaine</v>
      </c>
      <c r="J108" t="str">
        <f>IFERROR(__xludf.DUMMYFUNCTION("""COMPUTED_VALUE"""),"Pour la compet")</f>
        <v>Pour la compet</v>
      </c>
      <c r="K108" t="str">
        <f>IFERROR(__xludf.DUMMYFUNCTION("""COMPUTED_VALUE"""),"Sports collectifs, Autre")</f>
        <v>Sports collectifs, Autre</v>
      </c>
      <c r="L108" t="str">
        <f>IFERROR(__xludf.DUMMYFUNCTION("""COMPUTED_VALUE"""),"Oh oui, et les trucs bien gras ça me connait !")</f>
        <v>Oh oui, et les trucs bien gras ça me connait !</v>
      </c>
      <c r="M108">
        <f>IFERROR(__xludf.DUMMYFUNCTION("""COMPUTED_VALUE"""),7.0)</f>
        <v>7</v>
      </c>
      <c r="N108" t="str">
        <f>IFERROR(__xludf.DUMMYFUNCTION("""COMPUTED_VALUE"""),"Une fois par semaine")</f>
        <v>Une fois par semaine</v>
      </c>
      <c r="O108" t="str">
        <f>IFERROR(__xludf.DUMMYFUNCTION("""COMPUTED_VALUE"""),"Tu te poses dans un coin, chill !!")</f>
        <v>Tu te poses dans un coin, chill !!</v>
      </c>
      <c r="P108">
        <f>IFERROR(__xludf.DUMMYFUNCTION("""COMPUTED_VALUE"""),1.0)</f>
        <v>1</v>
      </c>
      <c r="Q108" t="str">
        <f>IFERROR(__xludf.DUMMYFUNCTION("""COMPUTED_VALUE"""),"Non")</f>
        <v>Non</v>
      </c>
      <c r="R108" t="str">
        <f>IFERROR(__xludf.DUMMYFUNCTION("""COMPUTED_VALUE"""),"Non")</f>
        <v>Non</v>
      </c>
      <c r="S108" t="str">
        <f>IFERROR(__xludf.DUMMYFUNCTION("""COMPUTED_VALUE"""),"La 4 étoiles")</f>
        <v>La 4 étoiles</v>
      </c>
      <c r="T108" t="str">
        <f>IFERROR(__xludf.DUMMYFUNCTION("""COMPUTED_VALUE"""),"Une étoile")</f>
        <v>Une étoile</v>
      </c>
      <c r="U108" t="str">
        <f>IFERROR(__xludf.DUMMYFUNCTION("""COMPUTED_VALUE"""),"")</f>
        <v/>
      </c>
      <c r="V108" t="str">
        <f>IFERROR(__xludf.DUMMYFUNCTION("""COMPUTED_VALUE"""),"")</f>
        <v/>
      </c>
      <c r="W108" t="str">
        <f>IFERROR(__xludf.DUMMYFUNCTION("""COMPUTED_VALUE"""),"")</f>
        <v/>
      </c>
      <c r="X108" t="str">
        <f>IFERROR(__xludf.DUMMYFUNCTION("""COMPUTED_VALUE"""),"")</f>
        <v/>
      </c>
      <c r="Y108" t="str">
        <f>IFERROR(__xludf.DUMMYFUNCTION("""COMPUTED_VALUE"""),"")</f>
        <v/>
      </c>
      <c r="Z108" t="str">
        <f>IFERROR(__xludf.DUMMYFUNCTION("""COMPUTED_VALUE"""),"")</f>
        <v/>
      </c>
      <c r="AA108" t="str">
        <f>IFERROR(__xludf.DUMMYFUNCTION("""COMPUTED_VALUE"""),"")</f>
        <v/>
      </c>
      <c r="AB108" t="str">
        <f>IFERROR(__xludf.DUMMYFUNCTION("""COMPUTED_VALUE"""),"")</f>
        <v/>
      </c>
    </row>
    <row r="109">
      <c r="A109" s="2">
        <f>IFERROR(__xludf.DUMMYFUNCTION("""COMPUTED_VALUE"""),43631.78352391203)</f>
        <v>43631.78352</v>
      </c>
      <c r="B109" t="str">
        <f>IFERROR(__xludf.DUMMYFUNCTION("""COMPUTED_VALUE"""),"Thibaut BERTHOMÉ")</f>
        <v>Thibaut BERTHOMÉ</v>
      </c>
      <c r="C109" t="str">
        <f>IFERROR(__xludf.DUMMYFUNCTION("""COMPUTED_VALUE"""),"Deux inconnus")</f>
        <v>Deux inconnus</v>
      </c>
      <c r="D109" t="str">
        <f>IFERROR(__xludf.DUMMYFUNCTION("""COMPUTED_VALUE"""),"BDE")</f>
        <v>BDE</v>
      </c>
      <c r="E109">
        <f>IFERROR(__xludf.DUMMYFUNCTION("""COMPUTED_VALUE"""),5.0)</f>
        <v>5</v>
      </c>
      <c r="F109" t="str">
        <f>IFERROR(__xludf.DUMMYFUNCTION("""COMPUTED_VALUE"""),"Electro posée, Pop, Musique fançaise")</f>
        <v>Electro posée, Pop, Musique fançaise</v>
      </c>
      <c r="G109" t="str">
        <f>IFERROR(__xludf.DUMMYFUNCTION("""COMPUTED_VALUE"""),"Littérature, Danse, Musique, Théâtre")</f>
        <v>Littérature, Danse, Musique, Théâtre</v>
      </c>
      <c r="H109" t="str">
        <f>IFERROR(__xludf.DUMMYFUNCTION("""COMPUTED_VALUE"""),"Seulement les soirs de pleine lune")</f>
        <v>Seulement les soirs de pleine lune</v>
      </c>
      <c r="I109" t="str">
        <f>IFERROR(__xludf.DUMMYFUNCTION("""COMPUTED_VALUE"""),"Une fois par semaine")</f>
        <v>Une fois par semaine</v>
      </c>
      <c r="J109" t="str">
        <f>IFERROR(__xludf.DUMMYFUNCTION("""COMPUTED_VALUE"""),"Pour le fun")</f>
        <v>Pour le fun</v>
      </c>
      <c r="K109" t="str">
        <f>IFERROR(__xludf.DUMMYFUNCTION("""COMPUTED_VALUE"""),"Sports de rames")</f>
        <v>Sports de rames</v>
      </c>
      <c r="L109" t="str">
        <f>IFERROR(__xludf.DUMMYFUNCTION("""COMPUTED_VALUE"""),"J'aime cuisiner le WE ou quand j'ai le temps")</f>
        <v>J'aime cuisiner le WE ou quand j'ai le temps</v>
      </c>
      <c r="M109">
        <f>IFERROR(__xludf.DUMMYFUNCTION("""COMPUTED_VALUE"""),7.0)</f>
        <v>7</v>
      </c>
      <c r="N109" t="str">
        <f>IFERROR(__xludf.DUMMYFUNCTION("""COMPUTED_VALUE"""),"Plusieurs fois par semaine")</f>
        <v>Plusieurs fois par semaine</v>
      </c>
      <c r="O109" t="str">
        <f>IFERROR(__xludf.DUMMYFUNCTION("""COMPUTED_VALUE"""),"T'enflammes le dancefloor")</f>
        <v>T'enflammes le dancefloor</v>
      </c>
      <c r="P109">
        <f>IFERROR(__xludf.DUMMYFUNCTION("""COMPUTED_VALUE"""),1.0)</f>
        <v>1</v>
      </c>
      <c r="Q109" t="str">
        <f>IFERROR(__xludf.DUMMYFUNCTION("""COMPUTED_VALUE"""),"Oui")</f>
        <v>Oui</v>
      </c>
      <c r="R109" t="str">
        <f>IFERROR(__xludf.DUMMYFUNCTION("""COMPUTED_VALUE"""),"Non")</f>
        <v>Non</v>
      </c>
      <c r="S109" t="str">
        <f>IFERROR(__xludf.DUMMYFUNCTION("""COMPUTED_VALUE"""),"Summerf'aigle")</f>
        <v>Summerf'aigle</v>
      </c>
      <c r="T109" t="str">
        <f>IFERROR(__xludf.DUMMYFUNCTION("""COMPUTED_VALUE"""),"Une maquette d'archi lol")</f>
        <v>Une maquette d'archi lol</v>
      </c>
      <c r="U109" t="str">
        <f>IFERROR(__xludf.DUMMYFUNCTION("""COMPUTED_VALUE"""),"")</f>
        <v/>
      </c>
      <c r="V109" t="str">
        <f>IFERROR(__xludf.DUMMYFUNCTION("""COMPUTED_VALUE"""),"")</f>
        <v/>
      </c>
      <c r="W109" t="str">
        <f>IFERROR(__xludf.DUMMYFUNCTION("""COMPUTED_VALUE"""),"")</f>
        <v/>
      </c>
      <c r="X109" t="str">
        <f>IFERROR(__xludf.DUMMYFUNCTION("""COMPUTED_VALUE"""),"")</f>
        <v/>
      </c>
      <c r="Y109" t="str">
        <f>IFERROR(__xludf.DUMMYFUNCTION("""COMPUTED_VALUE"""),"")</f>
        <v/>
      </c>
      <c r="Z109" t="str">
        <f>IFERROR(__xludf.DUMMYFUNCTION("""COMPUTED_VALUE"""),"")</f>
        <v/>
      </c>
      <c r="AA109" t="str">
        <f>IFERROR(__xludf.DUMMYFUNCTION("""COMPUTED_VALUE"""),"")</f>
        <v/>
      </c>
      <c r="AB109" t="str">
        <f>IFERROR(__xludf.DUMMYFUNCTION("""COMPUTED_VALUE"""),"")</f>
        <v/>
      </c>
    </row>
    <row r="110">
      <c r="A110" s="2">
        <f>IFERROR(__xludf.DUMMYFUNCTION("""COMPUTED_VALUE"""),43631.87937807871)</f>
        <v>43631.87938</v>
      </c>
      <c r="B110" t="str">
        <f>IFERROR(__xludf.DUMMYFUNCTION("""COMPUTED_VALUE"""),"Claire TRINQUET")</f>
        <v>Claire TRINQUET</v>
      </c>
      <c r="C110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0" t="str">
        <f>IFERROR(__xludf.DUMMYFUNCTION("""COMPUTED_VALUE"""),"BDA")</f>
        <v>BDA</v>
      </c>
      <c r="E110">
        <f>IFERROR(__xludf.DUMMYFUNCTION("""COMPUTED_VALUE"""),5.0)</f>
        <v>5</v>
      </c>
      <c r="F110" t="str">
        <f>IFERROR(__xludf.DUMMYFUNCTION("""COMPUTED_VALUE"""),"Rock, Rap, Kpop")</f>
        <v>Rock, Rap, Kpop</v>
      </c>
      <c r="G110" t="str">
        <f>IFERROR(__xludf.DUMMYFUNCTION("""COMPUTED_VALUE"""),"Littérature, Danse, Musique, Théâtre")</f>
        <v>Littérature, Danse, Musique, Théâtre</v>
      </c>
      <c r="H110" t="str">
        <f>IFERROR(__xludf.DUMMYFUNCTION("""COMPUTED_VALUE"""),"Une fois de temps en temps")</f>
        <v>Une fois de temps en temps</v>
      </c>
      <c r="I110" t="str">
        <f>IFERROR(__xludf.DUMMYFUNCTION("""COMPUTED_VALUE"""),"Une fois par semaine")</f>
        <v>Une fois par semaine</v>
      </c>
      <c r="J110" t="str">
        <f>IFERROR(__xludf.DUMMYFUNCTION("""COMPUTED_VALUE"""),"Pour les autres")</f>
        <v>Pour les autres</v>
      </c>
      <c r="K110" t="str">
        <f>IFERROR(__xludf.DUMMYFUNCTION("""COMPUTED_VALUE"""),"Autre")</f>
        <v>Autre</v>
      </c>
      <c r="L110" t="str">
        <f>IFERROR(__xludf.DUMMYFUNCTION("""COMPUTED_VALUE"""),"J'aime cuisiner le WE ou quand j'ai le temps")</f>
        <v>J'aime cuisiner le WE ou quand j'ai le temps</v>
      </c>
      <c r="M110">
        <f>IFERROR(__xludf.DUMMYFUNCTION("""COMPUTED_VALUE"""),6.0)</f>
        <v>6</v>
      </c>
      <c r="N110" t="str">
        <f>IFERROR(__xludf.DUMMYFUNCTION("""COMPUTED_VALUE"""),"Une fois par semaine")</f>
        <v>Une fois par semaine</v>
      </c>
      <c r="O110" t="str">
        <f>IFERROR(__xludf.DUMMYFUNCTION("""COMPUTED_VALUE"""),"Tu te poses dans un coin, chill !!")</f>
        <v>Tu te poses dans un coin, chill !!</v>
      </c>
      <c r="P110">
        <f>IFERROR(__xludf.DUMMYFUNCTION("""COMPUTED_VALUE"""),1.0)</f>
        <v>1</v>
      </c>
      <c r="Q110" t="str">
        <f>IFERROR(__xludf.DUMMYFUNCTION("""COMPUTED_VALUE"""),"Non")</f>
        <v>Non</v>
      </c>
      <c r="R110" t="str">
        <f>IFERROR(__xludf.DUMMYFUNCTION("""COMPUTED_VALUE"""),"Non")</f>
        <v>Non</v>
      </c>
      <c r="S110" t="str">
        <f>IFERROR(__xludf.DUMMYFUNCTION("""COMPUTED_VALUE"""),"Auberge-Monastère")</f>
        <v>Auberge-Monastère</v>
      </c>
      <c r="T110" t="str">
        <f>IFERROR(__xludf.DUMMYFUNCTION("""COMPUTED_VALUE"""),"Un domino")</f>
        <v>Un domino</v>
      </c>
      <c r="U110" t="str">
        <f>IFERROR(__xludf.DUMMYFUNCTION("""COMPUTED_VALUE"""),"")</f>
        <v/>
      </c>
      <c r="V110" t="str">
        <f>IFERROR(__xludf.DUMMYFUNCTION("""COMPUTED_VALUE"""),"")</f>
        <v/>
      </c>
      <c r="W110" t="str">
        <f>IFERROR(__xludf.DUMMYFUNCTION("""COMPUTED_VALUE"""),"")</f>
        <v/>
      </c>
      <c r="X110" t="str">
        <f>IFERROR(__xludf.DUMMYFUNCTION("""COMPUTED_VALUE"""),"")</f>
        <v/>
      </c>
      <c r="Y110" t="str">
        <f>IFERROR(__xludf.DUMMYFUNCTION("""COMPUTED_VALUE"""),"")</f>
        <v/>
      </c>
      <c r="Z110" t="str">
        <f>IFERROR(__xludf.DUMMYFUNCTION("""COMPUTED_VALUE"""),"")</f>
        <v/>
      </c>
      <c r="AA110" t="str">
        <f>IFERROR(__xludf.DUMMYFUNCTION("""COMPUTED_VALUE"""),"")</f>
        <v/>
      </c>
      <c r="AB110" t="str">
        <f>IFERROR(__xludf.DUMMYFUNCTION("""COMPUTED_VALUE"""),"")</f>
        <v/>
      </c>
    </row>
    <row r="111">
      <c r="A111" s="2">
        <f>IFERROR(__xludf.DUMMYFUNCTION("""COMPUTED_VALUE"""),43632.395954594904)</f>
        <v>43632.39595</v>
      </c>
      <c r="B111" t="str">
        <f>IFERROR(__xludf.DUMMYFUNCTION("""COMPUTED_VALUE"""),"Sol VILLEGAS")</f>
        <v>Sol VILLEGAS</v>
      </c>
      <c r="C11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1" t="str">
        <f>IFERROR(__xludf.DUMMYFUNCTION("""COMPUTED_VALUE"""),"BDE, BDS")</f>
        <v>BDE, BDS</v>
      </c>
      <c r="E111">
        <f>IFERROR(__xludf.DUMMYFUNCTION("""COMPUTED_VALUE"""),1.0)</f>
        <v>1</v>
      </c>
      <c r="F111" t="str">
        <f>IFERROR(__xludf.DUMMYFUNCTION("""COMPUTED_VALUE"""),"Rock, Pop")</f>
        <v>Rock, Pop</v>
      </c>
      <c r="G111" t="str">
        <f>IFERROR(__xludf.DUMMYFUNCTION("""COMPUTED_VALUE"""),"Pas du tout")</f>
        <v>Pas du tout</v>
      </c>
      <c r="H111" t="str">
        <f>IFERROR(__xludf.DUMMYFUNCTION("""COMPUTED_VALUE"""),"Seulement les soirs de pleine lune")</f>
        <v>Seulement les soirs de pleine lune</v>
      </c>
      <c r="I111" t="str">
        <f>IFERROR(__xludf.DUMMYFUNCTION("""COMPUTED_VALUE"""),"Plusieurs fois par semaine")</f>
        <v>Plusieurs fois par semaine</v>
      </c>
      <c r="J111" t="str">
        <f>IFERROR(__xludf.DUMMYFUNCTION("""COMPUTED_VALUE"""),"Pour le développement perso et se dépasser")</f>
        <v>Pour le développement perso et se dépasser</v>
      </c>
      <c r="K111" t="str">
        <f>IFERROR(__xludf.DUMMYFUNCTION("""COMPUTED_VALUE"""),"Autre")</f>
        <v>Autre</v>
      </c>
      <c r="L111" t="str">
        <f>IFERROR(__xludf.DUMMYFUNCTION("""COMPUTED_VALUE"""),"J'aime cuisiner le WE ou quand j'ai le temps")</f>
        <v>J'aime cuisiner le WE ou quand j'ai le temps</v>
      </c>
      <c r="M111">
        <f>IFERROR(__xludf.DUMMYFUNCTION("""COMPUTED_VALUE"""),8.0)</f>
        <v>8</v>
      </c>
      <c r="N111" t="str">
        <f>IFERROR(__xludf.DUMMYFUNCTION("""COMPUTED_VALUE"""),"Plusieurs fois par semaine")</f>
        <v>Plusieurs fois par semaine</v>
      </c>
      <c r="O111" t="str">
        <f>IFERROR(__xludf.DUMMYFUNCTION("""COMPUTED_VALUE"""),"T'enflammes le dancefloor")</f>
        <v>T'enflammes le dancefloor</v>
      </c>
      <c r="P111">
        <f>IFERROR(__xludf.DUMMYFUNCTION("""COMPUTED_VALUE"""),1.0)</f>
        <v>1</v>
      </c>
      <c r="Q111" t="str">
        <f>IFERROR(__xludf.DUMMYFUNCTION("""COMPUTED_VALUE"""),"Oui")</f>
        <v>Oui</v>
      </c>
      <c r="R111" t="str">
        <f>IFERROR(__xludf.DUMMYFUNCTION("""COMPUTED_VALUE"""),"Non")</f>
        <v>Non</v>
      </c>
      <c r="S111" t="str">
        <f>IFERROR(__xludf.DUMMYFUNCTION("""COMPUTED_VALUE"""),"Pimp my ride")</f>
        <v>Pimp my ride</v>
      </c>
      <c r="T111" t="str">
        <f>IFERROR(__xludf.DUMMYFUNCTION("""COMPUTED_VALUE"""),"JAMONN")</f>
        <v>JAMONN</v>
      </c>
      <c r="U111" t="str">
        <f>IFERROR(__xludf.DUMMYFUNCTION("""COMPUTED_VALUE"""),"")</f>
        <v/>
      </c>
      <c r="V111" t="str">
        <f>IFERROR(__xludf.DUMMYFUNCTION("""COMPUTED_VALUE"""),"")</f>
        <v/>
      </c>
      <c r="W111" t="str">
        <f>IFERROR(__xludf.DUMMYFUNCTION("""COMPUTED_VALUE"""),"")</f>
        <v/>
      </c>
      <c r="X111" t="str">
        <f>IFERROR(__xludf.DUMMYFUNCTION("""COMPUTED_VALUE"""),"")</f>
        <v/>
      </c>
      <c r="Y111" t="str">
        <f>IFERROR(__xludf.DUMMYFUNCTION("""COMPUTED_VALUE"""),"")</f>
        <v/>
      </c>
      <c r="Z111" t="str">
        <f>IFERROR(__xludf.DUMMYFUNCTION("""COMPUTED_VALUE"""),"")</f>
        <v/>
      </c>
      <c r="AA111" t="str">
        <f>IFERROR(__xludf.DUMMYFUNCTION("""COMPUTED_VALUE"""),"")</f>
        <v/>
      </c>
      <c r="AB111" t="str">
        <f>IFERROR(__xludf.DUMMYFUNCTION("""COMPUTED_VALUE"""),"")</f>
        <v/>
      </c>
    </row>
    <row r="112">
      <c r="A112" s="2">
        <f>IFERROR(__xludf.DUMMYFUNCTION("""COMPUTED_VALUE"""),43632.427157303246)</f>
        <v>43632.42716</v>
      </c>
      <c r="B112" t="str">
        <f>IFERROR(__xludf.DUMMYFUNCTION("""COMPUTED_VALUE"""),"Mario ALVAREZ-CASTRILLON")</f>
        <v>Mario ALVAREZ-CASTRILLON</v>
      </c>
      <c r="C112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2" t="str">
        <f>IFERROR(__xludf.DUMMYFUNCTION("""COMPUTED_VALUE"""),"BDS")</f>
        <v>BDS</v>
      </c>
      <c r="E112">
        <f>IFERROR(__xludf.DUMMYFUNCTION("""COMPUTED_VALUE"""),3.0)</f>
        <v>3</v>
      </c>
      <c r="F112" t="str">
        <f>IFERROR(__xludf.DUMMYFUNCTION("""COMPUTED_VALUE"""),"Rock, Jazz")</f>
        <v>Rock, Jazz</v>
      </c>
      <c r="G112" t="str">
        <f>IFERROR(__xludf.DUMMYFUNCTION("""COMPUTED_VALUE"""),"Musique")</f>
        <v>Musique</v>
      </c>
      <c r="H112" t="str">
        <f>IFERROR(__xludf.DUMMYFUNCTION("""COMPUTED_VALUE"""),"Seulement les soirs de pleine lune")</f>
        <v>Seulement les soirs de pleine lune</v>
      </c>
      <c r="I112" t="str">
        <f>IFERROR(__xludf.DUMMYFUNCTION("""COMPUTED_VALUE"""),"Une fois par semaine")</f>
        <v>Une fois par semaine</v>
      </c>
      <c r="J112" t="str">
        <f>IFERROR(__xludf.DUMMYFUNCTION("""COMPUTED_VALUE"""),"Pour le fun")</f>
        <v>Pour le fun</v>
      </c>
      <c r="K112" t="str">
        <f>IFERROR(__xludf.DUMMYFUNCTION("""COMPUTED_VALUE"""),"Sports collectifs")</f>
        <v>Sports collectifs</v>
      </c>
      <c r="L112" t="str">
        <f>IFERROR(__xludf.DUMMYFUNCTION("""COMPUTED_VALUE"""),"Je fais toujours attention à bien manger")</f>
        <v>Je fais toujours attention à bien manger</v>
      </c>
      <c r="M112">
        <f>IFERROR(__xludf.DUMMYFUNCTION("""COMPUTED_VALUE"""),10.0)</f>
        <v>10</v>
      </c>
      <c r="N112" t="str">
        <f>IFERROR(__xludf.DUMMYFUNCTION("""COMPUTED_VALUE"""),"Plusieurs fois par semaine")</f>
        <v>Plusieurs fois par semaine</v>
      </c>
      <c r="O112" t="str">
        <f>IFERROR(__xludf.DUMMYFUNCTION("""COMPUTED_VALUE"""),"Tu te poses dans un coin, chill !!")</f>
        <v>Tu te poses dans un coin, chill !!</v>
      </c>
      <c r="P112">
        <f>IFERROR(__xludf.DUMMYFUNCTION("""COMPUTED_VALUE"""),4.0)</f>
        <v>4</v>
      </c>
      <c r="Q112" t="str">
        <f>IFERROR(__xludf.DUMMYFUNCTION("""COMPUTED_VALUE"""),"Non")</f>
        <v>Non</v>
      </c>
      <c r="R112" t="str">
        <f>IFERROR(__xludf.DUMMYFUNCTION("""COMPUTED_VALUE"""),"Non")</f>
        <v>Non</v>
      </c>
      <c r="S112" t="str">
        <f>IFERROR(__xludf.DUMMYFUNCTION("""COMPUTED_VALUE"""),"Pimp my Ride")</f>
        <v>Pimp my Ride</v>
      </c>
      <c r="T112" t="str">
        <f>IFERROR(__xludf.DUMMYFUNCTION("""COMPUTED_VALUE"""),"Guitare")</f>
        <v>Guitare</v>
      </c>
      <c r="U112" t="str">
        <f>IFERROR(__xludf.DUMMYFUNCTION("""COMPUTED_VALUE"""),"")</f>
        <v/>
      </c>
      <c r="V112" t="str">
        <f>IFERROR(__xludf.DUMMYFUNCTION("""COMPUTED_VALUE"""),"")</f>
        <v/>
      </c>
      <c r="W112" t="str">
        <f>IFERROR(__xludf.DUMMYFUNCTION("""COMPUTED_VALUE"""),"")</f>
        <v/>
      </c>
      <c r="X112" t="str">
        <f>IFERROR(__xludf.DUMMYFUNCTION("""COMPUTED_VALUE"""),"")</f>
        <v/>
      </c>
      <c r="Y112" t="str">
        <f>IFERROR(__xludf.DUMMYFUNCTION("""COMPUTED_VALUE"""),"")</f>
        <v/>
      </c>
      <c r="Z112" t="str">
        <f>IFERROR(__xludf.DUMMYFUNCTION("""COMPUTED_VALUE"""),"")</f>
        <v/>
      </c>
      <c r="AA112" t="str">
        <f>IFERROR(__xludf.DUMMYFUNCTION("""COMPUTED_VALUE"""),"")</f>
        <v/>
      </c>
      <c r="AB112" t="str">
        <f>IFERROR(__xludf.DUMMYFUNCTION("""COMPUTED_VALUE"""),"")</f>
        <v/>
      </c>
    </row>
    <row r="113">
      <c r="A113" s="2">
        <f>IFERROR(__xludf.DUMMYFUNCTION("""COMPUTED_VALUE"""),43632.43029020833)</f>
        <v>43632.43029</v>
      </c>
      <c r="B113" t="str">
        <f>IFERROR(__xludf.DUMMYFUNCTION("""COMPUTED_VALUE"""),"Marie-Jeanne PAUL")</f>
        <v>Marie-Jeanne PAUL</v>
      </c>
      <c r="C113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3" t="str">
        <f>IFERROR(__xludf.DUMMYFUNCTION("""COMPUTED_VALUE"""),"BDA")</f>
        <v>BDA</v>
      </c>
      <c r="E113">
        <f>IFERROR(__xludf.DUMMYFUNCTION("""COMPUTED_VALUE"""),5.0)</f>
        <v>5</v>
      </c>
      <c r="F113" t="str">
        <f>IFERROR(__xludf.DUMMYFUNCTION("""COMPUTED_VALUE"""),"Rock, Metal, Electro posée, Electro hard, Pop, Musique fançaise, Jazz, Musique classique, Kpop")</f>
        <v>Rock, Metal, Electro posée, Electro hard, Pop, Musique fançaise, Jazz, Musique classique, Kpop</v>
      </c>
      <c r="G113" t="str">
        <f>IFERROR(__xludf.DUMMYFUNCTION("""COMPUTED_VALUE"""),"Peinture, Littérature, Danse, Musique, Théâtre, Cinéma")</f>
        <v>Peinture, Littérature, Danse, Musique, Théâtre, Cinéma</v>
      </c>
      <c r="H113" t="str">
        <f>IFERROR(__xludf.DUMMYFUNCTION("""COMPUTED_VALUE"""),"Seulement les soirs de pleine lune")</f>
        <v>Seulement les soirs de pleine lune</v>
      </c>
      <c r="I113" t="str">
        <f>IFERROR(__xludf.DUMMYFUNCTION("""COMPUTED_VALUE"""),"Une fois par semaine")</f>
        <v>Une fois par semaine</v>
      </c>
      <c r="J113" t="str">
        <f>IFERROR(__xludf.DUMMYFUNCTION("""COMPUTED_VALUE"""),"Pour le fun")</f>
        <v>Pour le fun</v>
      </c>
      <c r="K113" t="str">
        <f>IFERROR(__xludf.DUMMYFUNCTION("""COMPUTED_VALUE"""),"Sports aquatiques, Escalade")</f>
        <v>Sports aquatiques, Escalade</v>
      </c>
      <c r="L113" t="str">
        <f>IFERROR(__xludf.DUMMYFUNCTION("""COMPUTED_VALUE"""),"J'aime cuisiner le WE ou quand j'ai le temps")</f>
        <v>J'aime cuisiner le WE ou quand j'ai le temps</v>
      </c>
      <c r="M113">
        <f>IFERROR(__xludf.DUMMYFUNCTION("""COMPUTED_VALUE"""),8.0)</f>
        <v>8</v>
      </c>
      <c r="N113" t="str">
        <f>IFERROR(__xludf.DUMMYFUNCTION("""COMPUTED_VALUE"""),"Une fois par semaine")</f>
        <v>Une fois par semaine</v>
      </c>
      <c r="O113" t="str">
        <f>IFERROR(__xludf.DUMMYFUNCTION("""COMPUTED_VALUE"""),"Tu te poses dans un coin, chill !!")</f>
        <v>Tu te poses dans un coin, chill !!</v>
      </c>
      <c r="P113">
        <f>IFERROR(__xludf.DUMMYFUNCTION("""COMPUTED_VALUE"""),1.0)</f>
        <v>1</v>
      </c>
      <c r="Q113" t="str">
        <f>IFERROR(__xludf.DUMMYFUNCTION("""COMPUTED_VALUE"""),"Non")</f>
        <v>Non</v>
      </c>
      <c r="R113" t="str">
        <f>IFERROR(__xludf.DUMMYFUNCTION("""COMPUTED_VALUE"""),"Non")</f>
        <v>Non</v>
      </c>
      <c r="S113" t="str">
        <f>IFERROR(__xludf.DUMMYFUNCTION("""COMPUTED_VALUE"""),"Auberge/Monastere")</f>
        <v>Auberge/Monastere</v>
      </c>
      <c r="T113" t="str">
        <f>IFERROR(__xludf.DUMMYFUNCTION("""COMPUTED_VALUE"""),"Je sais pas")</f>
        <v>Je sais pas</v>
      </c>
      <c r="U113" t="str">
        <f>IFERROR(__xludf.DUMMYFUNCTION("""COMPUTED_VALUE"""),"")</f>
        <v/>
      </c>
      <c r="V113" t="str">
        <f>IFERROR(__xludf.DUMMYFUNCTION("""COMPUTED_VALUE"""),"")</f>
        <v/>
      </c>
      <c r="W113" t="str">
        <f>IFERROR(__xludf.DUMMYFUNCTION("""COMPUTED_VALUE"""),"")</f>
        <v/>
      </c>
      <c r="X113" t="str">
        <f>IFERROR(__xludf.DUMMYFUNCTION("""COMPUTED_VALUE"""),"")</f>
        <v/>
      </c>
      <c r="Y113" t="str">
        <f>IFERROR(__xludf.DUMMYFUNCTION("""COMPUTED_VALUE"""),"")</f>
        <v/>
      </c>
      <c r="Z113" t="str">
        <f>IFERROR(__xludf.DUMMYFUNCTION("""COMPUTED_VALUE"""),"")</f>
        <v/>
      </c>
      <c r="AA113" t="str">
        <f>IFERROR(__xludf.DUMMYFUNCTION("""COMPUTED_VALUE"""),"")</f>
        <v/>
      </c>
      <c r="AB113" t="str">
        <f>IFERROR(__xludf.DUMMYFUNCTION("""COMPUTED_VALUE"""),"")</f>
        <v/>
      </c>
    </row>
    <row r="114">
      <c r="A114" s="2">
        <f>IFERROR(__xludf.DUMMYFUNCTION("""COMPUTED_VALUE"""),43632.43691355324)</f>
        <v>43632.43691</v>
      </c>
      <c r="B114" t="str">
        <f>IFERROR(__xludf.DUMMYFUNCTION("""COMPUTED_VALUE"""),"Vincent Maillou")</f>
        <v>Vincent Maillou</v>
      </c>
      <c r="C114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4" t="str">
        <f>IFERROR(__xludf.DUMMYFUNCTION("""COMPUTED_VALUE"""),"BDE")</f>
        <v>BDE</v>
      </c>
      <c r="E114">
        <f>IFERROR(__xludf.DUMMYFUNCTION("""COMPUTED_VALUE"""),4.0)</f>
        <v>4</v>
      </c>
      <c r="F114" t="str">
        <f>IFERROR(__xludf.DUMMYFUNCTION("""COMPUTED_VALUE"""),"Electro posée, Electro hard, Rap, Pop, Jazz")</f>
        <v>Electro posée, Electro hard, Rap, Pop, Jazz</v>
      </c>
      <c r="G114" t="str">
        <f>IFERROR(__xludf.DUMMYFUNCTION("""COMPUTED_VALUE"""),"Musique, Graphisme")</f>
        <v>Musique, Graphisme</v>
      </c>
      <c r="H114" t="str">
        <f>IFERROR(__xludf.DUMMYFUNCTION("""COMPUTED_VALUE"""),"Une fois de temps en temps")</f>
        <v>Une fois de temps en temps</v>
      </c>
      <c r="I114" t="str">
        <f>IFERROR(__xludf.DUMMYFUNCTION("""COMPUTED_VALUE"""),"Une fois par jour")</f>
        <v>Une fois par jour</v>
      </c>
      <c r="J114" t="str">
        <f>IFERROR(__xludf.DUMMYFUNCTION("""COMPUTED_VALUE"""),"Pour le développement perso et se dépasser")</f>
        <v>Pour le développement perso et se dépasser</v>
      </c>
      <c r="K114" t="str">
        <f>IFERROR(__xludf.DUMMYFUNCTION("""COMPUTED_VALUE"""),"Sports de rames, Autre")</f>
        <v>Sports de rames, Autre</v>
      </c>
      <c r="L114" t="str">
        <f>IFERROR(__xludf.DUMMYFUNCTION("""COMPUTED_VALUE"""),"Je fais toujours attention à bien manger")</f>
        <v>Je fais toujours attention à bien manger</v>
      </c>
      <c r="M114">
        <f>IFERROR(__xludf.DUMMYFUNCTION("""COMPUTED_VALUE"""),2.0)</f>
        <v>2</v>
      </c>
      <c r="N114" t="str">
        <f>IFERROR(__xludf.DUMMYFUNCTION("""COMPUTED_VALUE"""),"Une fois par semaine")</f>
        <v>Une fois par semaine</v>
      </c>
      <c r="O114" t="str">
        <f>IFERROR(__xludf.DUMMYFUNCTION("""COMPUTED_VALUE"""),"Tu te poses dans un coin, chill !!")</f>
        <v>Tu te poses dans un coin, chill !!</v>
      </c>
      <c r="P114">
        <f>IFERROR(__xludf.DUMMYFUNCTION("""COMPUTED_VALUE"""),1.0)</f>
        <v>1</v>
      </c>
      <c r="Q114" t="str">
        <f>IFERROR(__xludf.DUMMYFUNCTION("""COMPUTED_VALUE"""),"Oui")</f>
        <v>Oui</v>
      </c>
      <c r="R114" t="str">
        <f>IFERROR(__xludf.DUMMYFUNCTION("""COMPUTED_VALUE"""),"Non")</f>
        <v>Non</v>
      </c>
      <c r="S114" t="str">
        <f>IFERROR(__xludf.DUMMYFUNCTION("""COMPUTED_VALUE"""),"Pimp my ride")</f>
        <v>Pimp my ride</v>
      </c>
      <c r="T114" t="str">
        <f>IFERROR(__xludf.DUMMYFUNCTION("""COMPUTED_VALUE"""),"Un aviron (la rame)")</f>
        <v>Un aviron (la rame)</v>
      </c>
      <c r="U114" t="str">
        <f>IFERROR(__xludf.DUMMYFUNCTION("""COMPUTED_VALUE"""),"")</f>
        <v/>
      </c>
      <c r="V114" t="str">
        <f>IFERROR(__xludf.DUMMYFUNCTION("""COMPUTED_VALUE"""),"")</f>
        <v/>
      </c>
      <c r="W114" t="str">
        <f>IFERROR(__xludf.DUMMYFUNCTION("""COMPUTED_VALUE"""),"")</f>
        <v/>
      </c>
      <c r="X114" t="str">
        <f>IFERROR(__xludf.DUMMYFUNCTION("""COMPUTED_VALUE"""),"")</f>
        <v/>
      </c>
      <c r="Y114" t="str">
        <f>IFERROR(__xludf.DUMMYFUNCTION("""COMPUTED_VALUE"""),"")</f>
        <v/>
      </c>
      <c r="Z114" t="str">
        <f>IFERROR(__xludf.DUMMYFUNCTION("""COMPUTED_VALUE"""),"")</f>
        <v/>
      </c>
      <c r="AA114" t="str">
        <f>IFERROR(__xludf.DUMMYFUNCTION("""COMPUTED_VALUE"""),"")</f>
        <v/>
      </c>
      <c r="AB114" t="str">
        <f>IFERROR(__xludf.DUMMYFUNCTION("""COMPUTED_VALUE"""),"")</f>
        <v/>
      </c>
    </row>
    <row r="115">
      <c r="A115" s="2">
        <f>IFERROR(__xludf.DUMMYFUNCTION("""COMPUTED_VALUE"""),43632.71924884259)</f>
        <v>43632.71925</v>
      </c>
      <c r="B115" s="1" t="str">
        <f>IFERROR(__xludf.DUMMYFUNCTION("""COMPUTED_VALUE"""),"Benjamin Martin")</f>
        <v>Benjamin Martin</v>
      </c>
      <c r="C11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5" s="1" t="str">
        <f>IFERROR(__xludf.DUMMYFUNCTION("""COMPUTED_VALUE"""),"BDS")</f>
        <v>BDS</v>
      </c>
      <c r="E115" s="1">
        <f>IFERROR(__xludf.DUMMYFUNCTION("""COMPUTED_VALUE"""),4.0)</f>
        <v>4</v>
      </c>
      <c r="F115" s="1" t="str">
        <f>IFERROR(__xludf.DUMMYFUNCTION("""COMPUTED_VALUE"""),"Je suis aigri et j'aime pas la musique, Rock, Metal, Electro posée, Rap, Pop, Musique fançaise, Jazz, Musique classique, Kpop")</f>
        <v>Je suis aigri et j'aime pas la musique, Rock, Metal, Electro posée, Rap, Pop, Musique fançaise, Jazz, Musique classique, Kpop</v>
      </c>
      <c r="G115" s="1" t="str">
        <f>IFERROR(__xludf.DUMMYFUNCTION("""COMPUTED_VALUE"""),"Musique, Cinéma")</f>
        <v>Musique, Cinéma</v>
      </c>
      <c r="H115" s="1" t="str">
        <f>IFERROR(__xludf.DUMMYFUNCTION("""COMPUTED_VALUE"""),"Quelques fois par semaine")</f>
        <v>Quelques fois par semaine</v>
      </c>
      <c r="I115" s="1" t="str">
        <f>IFERROR(__xludf.DUMMYFUNCTION("""COMPUTED_VALUE"""),"Plusieurs fois par semaine")</f>
        <v>Plusieurs fois par semaine</v>
      </c>
      <c r="J115" s="1" t="str">
        <f>IFERROR(__xludf.DUMMYFUNCTION("""COMPUTED_VALUE"""),"Pour le développement perso et se dépasser")</f>
        <v>Pour le développement perso et se dépasser</v>
      </c>
      <c r="K115" s="1" t="str">
        <f>IFERROR(__xludf.DUMMYFUNCTION("""COMPUTED_VALUE"""),"Escalade")</f>
        <v>Escalade</v>
      </c>
      <c r="L115" s="1" t="str">
        <f>IFERROR(__xludf.DUMMYFUNCTION("""COMPUTED_VALUE"""),"J'aime cuisiner le WE ou quand j'ai le temps")</f>
        <v>J'aime cuisiner le WE ou quand j'ai le temps</v>
      </c>
      <c r="M115" s="1">
        <f>IFERROR(__xludf.DUMMYFUNCTION("""COMPUTED_VALUE"""),8.0)</f>
        <v>8</v>
      </c>
      <c r="N115" s="1" t="str">
        <f>IFERROR(__xludf.DUMMYFUNCTION("""COMPUTED_VALUE"""),"Une fois par semaine")</f>
        <v>Une fois par semaine</v>
      </c>
      <c r="O115" s="1" t="str">
        <f>IFERROR(__xludf.DUMMYFUNCTION("""COMPUTED_VALUE"""),"Objectif grosse défonce")</f>
        <v>Objectif grosse défonce</v>
      </c>
      <c r="P115" s="1">
        <f>IFERROR(__xludf.DUMMYFUNCTION("""COMPUTED_VALUE"""),3.0)</f>
        <v>3</v>
      </c>
      <c r="Q115" s="1" t="str">
        <f>IFERROR(__xludf.DUMMYFUNCTION("""COMPUTED_VALUE"""),"Non")</f>
        <v>Non</v>
      </c>
      <c r="R115" s="1" t="str">
        <f>IFERROR(__xludf.DUMMYFUNCTION("""COMPUTED_VALUE"""),"Non")</f>
        <v>Non</v>
      </c>
      <c r="S115" s="1" t="str">
        <f>IFERROR(__xludf.DUMMYFUNCTION("""COMPUTED_VALUE"""),"Les Mages")</f>
        <v>Les Mages</v>
      </c>
      <c r="T115" s="1" t="str">
        <f>IFERROR(__xludf.DUMMYFUNCTION("""COMPUTED_VALUE"""),"Le parchemin magique du Sorcier")</f>
        <v>Le parchemin magique du Sorcier</v>
      </c>
      <c r="U115" t="str">
        <f>IFERROR(__xludf.DUMMYFUNCTION("""COMPUTED_VALUE"""),"")</f>
        <v/>
      </c>
      <c r="V115" t="str">
        <f>IFERROR(__xludf.DUMMYFUNCTION("""COMPUTED_VALUE"""),"")</f>
        <v/>
      </c>
      <c r="W115" t="str">
        <f>IFERROR(__xludf.DUMMYFUNCTION("""COMPUTED_VALUE"""),"")</f>
        <v/>
      </c>
      <c r="X115" t="str">
        <f>IFERROR(__xludf.DUMMYFUNCTION("""COMPUTED_VALUE"""),"")</f>
        <v/>
      </c>
      <c r="Y115" t="str">
        <f>IFERROR(__xludf.DUMMYFUNCTION("""COMPUTED_VALUE"""),"")</f>
        <v/>
      </c>
      <c r="Z115" t="str">
        <f>IFERROR(__xludf.DUMMYFUNCTION("""COMPUTED_VALUE"""),"")</f>
        <v/>
      </c>
      <c r="AA115" t="str">
        <f>IFERROR(__xludf.DUMMYFUNCTION("""COMPUTED_VALUE"""),"")</f>
        <v/>
      </c>
      <c r="AB115" t="str">
        <f>IFERROR(__xludf.DUMMYFUNCTION("""COMPUTED_VALUE"""),"")</f>
        <v/>
      </c>
    </row>
    <row r="116">
      <c r="A116" s="2">
        <f>IFERROR(__xludf.DUMMYFUNCTION("""COMPUTED_VALUE"""),43632.72089271991)</f>
        <v>43632.72089</v>
      </c>
      <c r="B116" s="1" t="str">
        <f>IFERROR(__xludf.DUMMYFUNCTION("""COMPUTED_VALUE"""),"Alix BOSSU")</f>
        <v>Alix BOSSU</v>
      </c>
      <c r="C11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6" s="1" t="str">
        <f>IFERROR(__xludf.DUMMYFUNCTION("""COMPUTED_VALUE"""),"BDS")</f>
        <v>BDS</v>
      </c>
      <c r="E116" s="1">
        <f>IFERROR(__xludf.DUMMYFUNCTION("""COMPUTED_VALUE"""),3.0)</f>
        <v>3</v>
      </c>
      <c r="F116" s="1" t="str">
        <f>IFERROR(__xludf.DUMMYFUNCTION("""COMPUTED_VALUE"""),"Electro posée, Electro hard, Pop, Musique fançaise, Jazz, Musique classique")</f>
        <v>Electro posée, Electro hard, Pop, Musique fançaise, Jazz, Musique classique</v>
      </c>
      <c r="G116" s="1" t="str">
        <f>IFERROR(__xludf.DUMMYFUNCTION("""COMPUTED_VALUE"""),"Littérature, Musique, Cinéma")</f>
        <v>Littérature, Musique, Cinéma</v>
      </c>
      <c r="H116" s="1" t="str">
        <f>IFERROR(__xludf.DUMMYFUNCTION("""COMPUTED_VALUE"""),"Seulement les soirs de pleine lune")</f>
        <v>Seulement les soirs de pleine lune</v>
      </c>
      <c r="I116" s="1" t="str">
        <f>IFERROR(__xludf.DUMMYFUNCTION("""COMPUTED_VALUE"""),"Une fois par semaine")</f>
        <v>Une fois par semaine</v>
      </c>
      <c r="J116" s="1" t="str">
        <f>IFERROR(__xludf.DUMMYFUNCTION("""COMPUTED_VALUE"""),"Pour le développement perso et se dépasser")</f>
        <v>Pour le développement perso et se dépasser</v>
      </c>
      <c r="K116" s="1" t="str">
        <f>IFERROR(__xludf.DUMMYFUNCTION("""COMPUTED_VALUE"""),"Sports collectifs, Sports de raquette")</f>
        <v>Sports collectifs, Sports de raquette</v>
      </c>
      <c r="L116" s="1" t="str">
        <f>IFERROR(__xludf.DUMMYFUNCTION("""COMPUTED_VALUE"""),"Je fais toujours attention à bien manger")</f>
        <v>Je fais toujours attention à bien manger</v>
      </c>
      <c r="M116" s="1">
        <f>IFERROR(__xludf.DUMMYFUNCTION("""COMPUTED_VALUE"""),9.0)</f>
        <v>9</v>
      </c>
      <c r="N116" s="1" t="str">
        <f>IFERROR(__xludf.DUMMYFUNCTION("""COMPUTED_VALUE"""),"Une fois par semaine")</f>
        <v>Une fois par semaine</v>
      </c>
      <c r="O116" s="1" t="str">
        <f>IFERROR(__xludf.DUMMYFUNCTION("""COMPUTED_VALUE"""),"Objectif grosse défonce")</f>
        <v>Objectif grosse défonce</v>
      </c>
      <c r="P116" s="1">
        <f>IFERROR(__xludf.DUMMYFUNCTION("""COMPUTED_VALUE"""),1.0)</f>
        <v>1</v>
      </c>
      <c r="Q116" s="1" t="str">
        <f>IFERROR(__xludf.DUMMYFUNCTION("""COMPUTED_VALUE"""),"Non")</f>
        <v>Non</v>
      </c>
      <c r="R116" s="1" t="str">
        <f>IFERROR(__xludf.DUMMYFUNCTION("""COMPUTED_VALUE"""),"Non")</f>
        <v>Non</v>
      </c>
      <c r="S116" s="1" t="str">
        <f>IFERROR(__xludf.DUMMYFUNCTION("""COMPUTED_VALUE"""),"Les Mages")</f>
        <v>Les Mages</v>
      </c>
      <c r="T116" s="1" t="str">
        <f>IFERROR(__xludf.DUMMYFUNCTION("""COMPUTED_VALUE"""),"une kro vide")</f>
        <v>une kro vide</v>
      </c>
      <c r="U116" t="str">
        <f>IFERROR(__xludf.DUMMYFUNCTION("""COMPUTED_VALUE"""),"")</f>
        <v/>
      </c>
      <c r="V116" t="str">
        <f>IFERROR(__xludf.DUMMYFUNCTION("""COMPUTED_VALUE"""),"")</f>
        <v/>
      </c>
      <c r="W116" t="str">
        <f>IFERROR(__xludf.DUMMYFUNCTION("""COMPUTED_VALUE"""),"")</f>
        <v/>
      </c>
      <c r="X116" t="str">
        <f>IFERROR(__xludf.DUMMYFUNCTION("""COMPUTED_VALUE"""),"")</f>
        <v/>
      </c>
      <c r="Y116" t="str">
        <f>IFERROR(__xludf.DUMMYFUNCTION("""COMPUTED_VALUE"""),"")</f>
        <v/>
      </c>
      <c r="Z116" t="str">
        <f>IFERROR(__xludf.DUMMYFUNCTION("""COMPUTED_VALUE"""),"")</f>
        <v/>
      </c>
      <c r="AA116" t="str">
        <f>IFERROR(__xludf.DUMMYFUNCTION("""COMPUTED_VALUE"""),"")</f>
        <v/>
      </c>
      <c r="AB116" t="str">
        <f>IFERROR(__xludf.DUMMYFUNCTION("""COMPUTED_VALUE"""),"")</f>
        <v/>
      </c>
    </row>
    <row r="117">
      <c r="A117" s="2">
        <f>IFERROR(__xludf.DUMMYFUNCTION("""COMPUTED_VALUE"""),43632.72176505787)</f>
        <v>43632.72177</v>
      </c>
      <c r="B117" s="1" t="str">
        <f>IFERROR(__xludf.DUMMYFUNCTION("""COMPUTED_VALUE"""),"Oscar JACINTHO")</f>
        <v>Oscar JACINTHO</v>
      </c>
      <c r="C11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7" s="1" t="str">
        <f>IFERROR(__xludf.DUMMYFUNCTION("""COMPUTED_VALUE"""),"BDS")</f>
        <v>BDS</v>
      </c>
      <c r="E117" s="1">
        <f>IFERROR(__xludf.DUMMYFUNCTION("""COMPUTED_VALUE"""),4.0)</f>
        <v>4</v>
      </c>
      <c r="F117" s="1" t="str">
        <f>IFERROR(__xludf.DUMMYFUNCTION("""COMPUTED_VALUE"""),"Rock, Metal, Electro posée, Electro hard, Rap, Jazz, Musique classique")</f>
        <v>Rock, Metal, Electro posée, Electro hard, Rap, Jazz, Musique classique</v>
      </c>
      <c r="G117" s="1" t="str">
        <f>IFERROR(__xludf.DUMMYFUNCTION("""COMPUTED_VALUE"""),"Littérature, Musique")</f>
        <v>Littérature, Musique</v>
      </c>
      <c r="H117" s="1" t="str">
        <f>IFERROR(__xludf.DUMMYFUNCTION("""COMPUTED_VALUE"""),"Quelques fois par semaine")</f>
        <v>Quelques fois par semaine</v>
      </c>
      <c r="I117" s="1" t="str">
        <f>IFERROR(__xludf.DUMMYFUNCTION("""COMPUTED_VALUE"""),"Une fois par semaine")</f>
        <v>Une fois par semaine</v>
      </c>
      <c r="J117" s="1" t="str">
        <f>IFERROR(__xludf.DUMMYFUNCTION("""COMPUTED_VALUE"""),"Pour le développement perso et se dépasser")</f>
        <v>Pour le développement perso et se dépasser</v>
      </c>
      <c r="K117" s="1" t="str">
        <f>IFERROR(__xludf.DUMMYFUNCTION("""COMPUTED_VALUE"""),"Sports collectifs, Autre")</f>
        <v>Sports collectifs, Autre</v>
      </c>
      <c r="L117" s="1" t="str">
        <f>IFERROR(__xludf.DUMMYFUNCTION("""COMPUTED_VALUE"""),"J'aime cuisiner le WE ou quand j'ai le temps")</f>
        <v>J'aime cuisiner le WE ou quand j'ai le temps</v>
      </c>
      <c r="M117" s="1">
        <f>IFERROR(__xludf.DUMMYFUNCTION("""COMPUTED_VALUE"""),8.0)</f>
        <v>8</v>
      </c>
      <c r="N117" s="1" t="str">
        <f>IFERROR(__xludf.DUMMYFUNCTION("""COMPUTED_VALUE"""),"Une fois par semaine")</f>
        <v>Une fois par semaine</v>
      </c>
      <c r="O117" s="1" t="str">
        <f>IFERROR(__xludf.DUMMYFUNCTION("""COMPUTED_VALUE"""),"Objectif grosse défonce")</f>
        <v>Objectif grosse défonce</v>
      </c>
      <c r="P117" s="1">
        <f>IFERROR(__xludf.DUMMYFUNCTION("""COMPUTED_VALUE"""),3.0)</f>
        <v>3</v>
      </c>
      <c r="Q117" s="1" t="str">
        <f>IFERROR(__xludf.DUMMYFUNCTION("""COMPUTED_VALUE"""),"Non")</f>
        <v>Non</v>
      </c>
      <c r="R117" s="1" t="str">
        <f>IFERROR(__xludf.DUMMYFUNCTION("""COMPUTED_VALUE"""),"Non")</f>
        <v>Non</v>
      </c>
      <c r="S117" s="1" t="str">
        <f>IFERROR(__xludf.DUMMYFUNCTION("""COMPUTED_VALUE"""),"Les Mages")</f>
        <v>Les Mages</v>
      </c>
      <c r="T117" s="1" t="str">
        <f>IFERROR(__xludf.DUMMYFUNCTION("""COMPUTED_VALUE"""),"De la sorcière")</f>
        <v>De la sorcière</v>
      </c>
      <c r="U117" t="str">
        <f>IFERROR(__xludf.DUMMYFUNCTION("""COMPUTED_VALUE"""),"")</f>
        <v/>
      </c>
      <c r="V117" t="str">
        <f>IFERROR(__xludf.DUMMYFUNCTION("""COMPUTED_VALUE"""),"")</f>
        <v/>
      </c>
      <c r="W117" t="str">
        <f>IFERROR(__xludf.DUMMYFUNCTION("""COMPUTED_VALUE"""),"")</f>
        <v/>
      </c>
      <c r="X117" t="str">
        <f>IFERROR(__xludf.DUMMYFUNCTION("""COMPUTED_VALUE"""),"")</f>
        <v/>
      </c>
      <c r="Y117" t="str">
        <f>IFERROR(__xludf.DUMMYFUNCTION("""COMPUTED_VALUE"""),"")</f>
        <v/>
      </c>
      <c r="Z117" t="str">
        <f>IFERROR(__xludf.DUMMYFUNCTION("""COMPUTED_VALUE"""),"")</f>
        <v/>
      </c>
      <c r="AA117" t="str">
        <f>IFERROR(__xludf.DUMMYFUNCTION("""COMPUTED_VALUE"""),"")</f>
        <v/>
      </c>
      <c r="AB117" t="str">
        <f>IFERROR(__xludf.DUMMYFUNCTION("""COMPUTED_VALUE"""),"")</f>
        <v/>
      </c>
    </row>
    <row r="118">
      <c r="A118" s="2">
        <f>IFERROR(__xludf.DUMMYFUNCTION("""COMPUTED_VALUE"""),43632.86679369213)</f>
        <v>43632.86679</v>
      </c>
      <c r="B118" s="1" t="str">
        <f>IFERROR(__xludf.DUMMYFUNCTION("""COMPUTED_VALUE"""),"Henri CHHOA")</f>
        <v>Henri CHHOA</v>
      </c>
      <c r="C11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8" s="1" t="str">
        <f>IFERROR(__xludf.DUMMYFUNCTION("""COMPUTED_VALUE"""),"BDS")</f>
        <v>BDS</v>
      </c>
      <c r="E118" s="1">
        <f>IFERROR(__xludf.DUMMYFUNCTION("""COMPUTED_VALUE"""),3.0)</f>
        <v>3</v>
      </c>
      <c r="F118" s="1" t="str">
        <f>IFERROR(__xludf.DUMMYFUNCTION("""COMPUTED_VALUE"""),"Rap, Pop, Musique classique, Kpop")</f>
        <v>Rap, Pop, Musique classique, Kpop</v>
      </c>
      <c r="G118" s="1" t="str">
        <f>IFERROR(__xludf.DUMMYFUNCTION("""COMPUTED_VALUE"""),"Danse, Musique, Théâtre, Cinéma")</f>
        <v>Danse, Musique, Théâtre, Cinéma</v>
      </c>
      <c r="H118" s="1" t="str">
        <f>IFERROR(__xludf.DUMMYFUNCTION("""COMPUTED_VALUE"""),"Une fois de temps en temps")</f>
        <v>Une fois de temps en temps</v>
      </c>
      <c r="I118" s="1" t="str">
        <f>IFERROR(__xludf.DUMMYFUNCTION("""COMPUTED_VALUE"""),"Plusieurs fois par semaine")</f>
        <v>Plusieurs fois par semaine</v>
      </c>
      <c r="J118" s="1" t="str">
        <f>IFERROR(__xludf.DUMMYFUNCTION("""COMPUTED_VALUE"""),"Pour le développement perso et se dépasser")</f>
        <v>Pour le développement perso et se dépasser</v>
      </c>
      <c r="K118" s="1" t="str">
        <f>IFERROR(__xludf.DUMMYFUNCTION("""COMPUTED_VALUE"""),"Sports collectifs, Sports de raquette, Equitation")</f>
        <v>Sports collectifs, Sports de raquette, Equitation</v>
      </c>
      <c r="L118" s="1" t="str">
        <f>IFERROR(__xludf.DUMMYFUNCTION("""COMPUTED_VALUE"""),"J'aime cuisiner le WE ou quand j'ai le temps")</f>
        <v>J'aime cuisiner le WE ou quand j'ai le temps</v>
      </c>
      <c r="M118" s="1">
        <f>IFERROR(__xludf.DUMMYFUNCTION("""COMPUTED_VALUE"""),7.0)</f>
        <v>7</v>
      </c>
      <c r="N118" s="1" t="str">
        <f>IFERROR(__xludf.DUMMYFUNCTION("""COMPUTED_VALUE"""),"Plusieurs fois par semaine")</f>
        <v>Plusieurs fois par semaine</v>
      </c>
      <c r="O118" s="1" t="str">
        <f>IFERROR(__xludf.DUMMYFUNCTION("""COMPUTED_VALUE"""),"T'enflammes le dancefloor")</f>
        <v>T'enflammes le dancefloor</v>
      </c>
      <c r="P118" s="1">
        <f>IFERROR(__xludf.DUMMYFUNCTION("""COMPUTED_VALUE"""),1.0)</f>
        <v>1</v>
      </c>
      <c r="Q118" s="1" t="str">
        <f>IFERROR(__xludf.DUMMYFUNCTION("""COMPUTED_VALUE"""),"Oui")</f>
        <v>Oui</v>
      </c>
      <c r="R118" s="1" t="str">
        <f>IFERROR(__xludf.DUMMYFUNCTION("""COMPUTED_VALUE"""),"Non")</f>
        <v>Non</v>
      </c>
      <c r="S118" s="1" t="str">
        <f>IFERROR(__xludf.DUMMYFUNCTION("""COMPUTED_VALUE"""),"Dusex")</f>
        <v>Dusex</v>
      </c>
      <c r="T118" s="1" t="str">
        <f>IFERROR(__xludf.DUMMYFUNCTION("""COMPUTED_VALUE"""),"Pshit pshit")</f>
        <v>Pshit pshit</v>
      </c>
      <c r="U118" t="str">
        <f>IFERROR(__xludf.DUMMYFUNCTION("""COMPUTED_VALUE"""),"")</f>
        <v/>
      </c>
      <c r="V118" t="str">
        <f>IFERROR(__xludf.DUMMYFUNCTION("""COMPUTED_VALUE"""),"")</f>
        <v/>
      </c>
      <c r="W118" t="str">
        <f>IFERROR(__xludf.DUMMYFUNCTION("""COMPUTED_VALUE"""),"")</f>
        <v/>
      </c>
      <c r="X118" t="str">
        <f>IFERROR(__xludf.DUMMYFUNCTION("""COMPUTED_VALUE"""),"")</f>
        <v/>
      </c>
      <c r="Y118" t="str">
        <f>IFERROR(__xludf.DUMMYFUNCTION("""COMPUTED_VALUE"""),"")</f>
        <v/>
      </c>
      <c r="Z118" t="str">
        <f>IFERROR(__xludf.DUMMYFUNCTION("""COMPUTED_VALUE"""),"")</f>
        <v/>
      </c>
      <c r="AA118" t="str">
        <f>IFERROR(__xludf.DUMMYFUNCTION("""COMPUTED_VALUE"""),"")</f>
        <v/>
      </c>
      <c r="AB118" t="str">
        <f>IFERROR(__xludf.DUMMYFUNCTION("""COMPUTED_VALUE"""),"")</f>
        <v/>
      </c>
    </row>
    <row r="119">
      <c r="A119" s="2">
        <f>IFERROR(__xludf.DUMMYFUNCTION("""COMPUTED_VALUE"""),43632.89690358796)</f>
        <v>43632.8969</v>
      </c>
      <c r="B119" s="1" t="str">
        <f>IFERROR(__xludf.DUMMYFUNCTION("""COMPUTED_VALUE"""),"Juan Felipe GÓMEZ ALFARO")</f>
        <v>Juan Felipe GÓMEZ ALFARO</v>
      </c>
      <c r="C11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19" s="1" t="str">
        <f>IFERROR(__xludf.DUMMYFUNCTION("""COMPUTED_VALUE"""),"BDS")</f>
        <v>BDS</v>
      </c>
      <c r="E119" s="1">
        <f>IFERROR(__xludf.DUMMYFUNCTION("""COMPUTED_VALUE"""),5.0)</f>
        <v>5</v>
      </c>
      <c r="F119" s="1" t="str">
        <f>IFERROR(__xludf.DUMMYFUNCTION("""COMPUTED_VALUE"""),"Rock, Jazz, Kpop")</f>
        <v>Rock, Jazz, Kpop</v>
      </c>
      <c r="G119" s="1" t="str">
        <f>IFERROR(__xludf.DUMMYFUNCTION("""COMPUTED_VALUE"""),"Peinture, Littérature, Musique, Théâtre, Cinéma")</f>
        <v>Peinture, Littérature, Musique, Théâtre, Cinéma</v>
      </c>
      <c r="H119" s="1" t="str">
        <f>IFERROR(__xludf.DUMMYFUNCTION("""COMPUTED_VALUE"""),"Seulement les soirs de pleine lune")</f>
        <v>Seulement les soirs de pleine lune</v>
      </c>
      <c r="I119" s="1" t="str">
        <f>IFERROR(__xludf.DUMMYFUNCTION("""COMPUTED_VALUE"""),"Plusieurs fois par semaine")</f>
        <v>Plusieurs fois par semaine</v>
      </c>
      <c r="J119" s="1" t="str">
        <f>IFERROR(__xludf.DUMMYFUNCTION("""COMPUTED_VALUE"""),"Pour le développement perso et se dépasser")</f>
        <v>Pour le développement perso et se dépasser</v>
      </c>
      <c r="K119" s="1" t="str">
        <f>IFERROR(__xludf.DUMMYFUNCTION("""COMPUTED_VALUE"""),"Athlétisme, Sports aquatiques")</f>
        <v>Athlétisme, Sports aquatiques</v>
      </c>
      <c r="L119" s="1" t="str">
        <f>IFERROR(__xludf.DUMMYFUNCTION("""COMPUTED_VALUE"""),"Je fais toujours attention à bien manger")</f>
        <v>Je fais toujours attention à bien manger</v>
      </c>
      <c r="M119" s="1">
        <f>IFERROR(__xludf.DUMMYFUNCTION("""COMPUTED_VALUE"""),9.0)</f>
        <v>9</v>
      </c>
      <c r="N119" s="1" t="str">
        <f>IFERROR(__xludf.DUMMYFUNCTION("""COMPUTED_VALUE"""),"Une fois par jour (voire plus)")</f>
        <v>Une fois par jour (voire plus)</v>
      </c>
      <c r="O119" s="1" t="str">
        <f>IFERROR(__xludf.DUMMYFUNCTION("""COMPUTED_VALUE"""),"T'enflammes le dancefloor")</f>
        <v>T'enflammes le dancefloor</v>
      </c>
      <c r="P119" s="1">
        <f>IFERROR(__xludf.DUMMYFUNCTION("""COMPUTED_VALUE"""),3.0)</f>
        <v>3</v>
      </c>
      <c r="Q119" s="1" t="str">
        <f>IFERROR(__xludf.DUMMYFUNCTION("""COMPUTED_VALUE"""),"Oui")</f>
        <v>Oui</v>
      </c>
      <c r="R119" s="1" t="str">
        <f>IFERROR(__xludf.DUMMYFUNCTION("""COMPUTED_VALUE"""),"Non")</f>
        <v>Non</v>
      </c>
      <c r="S119" s="1" t="str">
        <f>IFERROR(__xludf.DUMMYFUNCTION("""COMPUTED_VALUE"""),"Malandros Team")</f>
        <v>Malandros Team</v>
      </c>
      <c r="T119" s="1" t="str">
        <f>IFERROR(__xludf.DUMMYFUNCTION("""COMPUTED_VALUE"""),"Aucune idée")</f>
        <v>Aucune idée</v>
      </c>
      <c r="U119" t="str">
        <f>IFERROR(__xludf.DUMMYFUNCTION("""COMPUTED_VALUE"""),"")</f>
        <v/>
      </c>
      <c r="V119" t="str">
        <f>IFERROR(__xludf.DUMMYFUNCTION("""COMPUTED_VALUE"""),"")</f>
        <v/>
      </c>
      <c r="W119" t="str">
        <f>IFERROR(__xludf.DUMMYFUNCTION("""COMPUTED_VALUE"""),"")</f>
        <v/>
      </c>
      <c r="X119" t="str">
        <f>IFERROR(__xludf.DUMMYFUNCTION("""COMPUTED_VALUE"""),"")</f>
        <v/>
      </c>
      <c r="Y119" t="str">
        <f>IFERROR(__xludf.DUMMYFUNCTION("""COMPUTED_VALUE"""),"")</f>
        <v/>
      </c>
      <c r="Z119" t="str">
        <f>IFERROR(__xludf.DUMMYFUNCTION("""COMPUTED_VALUE"""),"")</f>
        <v/>
      </c>
      <c r="AA119" t="str">
        <f>IFERROR(__xludf.DUMMYFUNCTION("""COMPUTED_VALUE"""),"")</f>
        <v/>
      </c>
      <c r="AB119" t="str">
        <f>IFERROR(__xludf.DUMMYFUNCTION("""COMPUTED_VALUE"""),"")</f>
        <v/>
      </c>
    </row>
    <row r="120">
      <c r="A120" s="2">
        <f>IFERROR(__xludf.DUMMYFUNCTION("""COMPUTED_VALUE"""),43632.908729421295)</f>
        <v>43632.90873</v>
      </c>
      <c r="B120" s="1" t="str">
        <f>IFERROR(__xludf.DUMMYFUNCTION("""COMPUTED_VALUE"""),"Alfonso COLON DE CARVAJAL")</f>
        <v>Alfonso COLON DE CARVAJAL</v>
      </c>
      <c r="C12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0" s="1" t="str">
        <f>IFERROR(__xludf.DUMMYFUNCTION("""COMPUTED_VALUE"""),"BDS")</f>
        <v>BDS</v>
      </c>
      <c r="E120" s="1">
        <f>IFERROR(__xludf.DUMMYFUNCTION("""COMPUTED_VALUE"""),4.0)</f>
        <v>4</v>
      </c>
      <c r="F120" s="1" t="str">
        <f>IFERROR(__xludf.DUMMYFUNCTION("""COMPUTED_VALUE"""),"Electro hard, Rap, Jazz")</f>
        <v>Electro hard, Rap, Jazz</v>
      </c>
      <c r="G120" s="1" t="str">
        <f>IFERROR(__xludf.DUMMYFUNCTION("""COMPUTED_VALUE"""),"Peinture, Musique")</f>
        <v>Peinture, Musique</v>
      </c>
      <c r="H120" s="1" t="str">
        <f>IFERROR(__xludf.DUMMYFUNCTION("""COMPUTED_VALUE"""),"Une fois de temps en temps")</f>
        <v>Une fois de temps en temps</v>
      </c>
      <c r="I120" s="1" t="str">
        <f>IFERROR(__xludf.DUMMYFUNCTION("""COMPUTED_VALUE"""),"Une fois par jour")</f>
        <v>Une fois par jour</v>
      </c>
      <c r="J120" s="1" t="str">
        <f>IFERROR(__xludf.DUMMYFUNCTION("""COMPUTED_VALUE"""),"Pour le développement perso et se dépasser")</f>
        <v>Pour le développement perso et se dépasser</v>
      </c>
      <c r="K120" s="1" t="str">
        <f>IFERROR(__xludf.DUMMYFUNCTION("""COMPUTED_VALUE"""),"Sports collectifs, Sports de rames, Sports de combat, Autre")</f>
        <v>Sports collectifs, Sports de rames, Sports de combat, Autre</v>
      </c>
      <c r="L120" s="1" t="str">
        <f>IFERROR(__xludf.DUMMYFUNCTION("""COMPUTED_VALUE"""),"J'aime cuisiner le WE ou quand j'ai le temps")</f>
        <v>J'aime cuisiner le WE ou quand j'ai le temps</v>
      </c>
      <c r="M120" s="1">
        <f>IFERROR(__xludf.DUMMYFUNCTION("""COMPUTED_VALUE"""),10.0)</f>
        <v>10</v>
      </c>
      <c r="N120" s="1" t="str">
        <f>IFERROR(__xludf.DUMMYFUNCTION("""COMPUTED_VALUE"""),"Plusieurs fois par semaine")</f>
        <v>Plusieurs fois par semaine</v>
      </c>
      <c r="O120" s="1" t="str">
        <f>IFERROR(__xludf.DUMMYFUNCTION("""COMPUTED_VALUE"""),"Objectif grosse défonce")</f>
        <v>Objectif grosse défonce</v>
      </c>
      <c r="P120" s="1">
        <f>IFERROR(__xludf.DUMMYFUNCTION("""COMPUTED_VALUE"""),5.0)</f>
        <v>5</v>
      </c>
      <c r="Q120" s="1" t="str">
        <f>IFERROR(__xludf.DUMMYFUNCTION("""COMPUTED_VALUE"""),"Non")</f>
        <v>Non</v>
      </c>
      <c r="R120" s="1" t="str">
        <f>IFERROR(__xludf.DUMMYFUNCTION("""COMPUTED_VALUE"""),"Non")</f>
        <v>Non</v>
      </c>
      <c r="S120" s="1" t="str">
        <f>IFERROR(__xludf.DUMMYFUNCTION("""COMPUTED_VALUE"""),"Malandros Team")</f>
        <v>Malandros Team</v>
      </c>
      <c r="T120" s="1" t="str">
        <f>IFERROR(__xludf.DUMMYFUNCTION("""COMPUTED_VALUE"""),"Vêtements")</f>
        <v>Vêtements</v>
      </c>
      <c r="U120" t="str">
        <f>IFERROR(__xludf.DUMMYFUNCTION("""COMPUTED_VALUE"""),"")</f>
        <v/>
      </c>
      <c r="V120" t="str">
        <f>IFERROR(__xludf.DUMMYFUNCTION("""COMPUTED_VALUE"""),"")</f>
        <v/>
      </c>
      <c r="W120" t="str">
        <f>IFERROR(__xludf.DUMMYFUNCTION("""COMPUTED_VALUE"""),"")</f>
        <v/>
      </c>
      <c r="X120" t="str">
        <f>IFERROR(__xludf.DUMMYFUNCTION("""COMPUTED_VALUE"""),"")</f>
        <v/>
      </c>
      <c r="Y120" t="str">
        <f>IFERROR(__xludf.DUMMYFUNCTION("""COMPUTED_VALUE"""),"")</f>
        <v/>
      </c>
      <c r="Z120" t="str">
        <f>IFERROR(__xludf.DUMMYFUNCTION("""COMPUTED_VALUE"""),"")</f>
        <v/>
      </c>
      <c r="AA120" t="str">
        <f>IFERROR(__xludf.DUMMYFUNCTION("""COMPUTED_VALUE"""),"")</f>
        <v/>
      </c>
      <c r="AB120" t="str">
        <f>IFERROR(__xludf.DUMMYFUNCTION("""COMPUTED_VALUE"""),"")</f>
        <v/>
      </c>
    </row>
    <row r="121">
      <c r="A121" s="2">
        <f>IFERROR(__xludf.DUMMYFUNCTION("""COMPUTED_VALUE"""),43633.26695217592)</f>
        <v>43633.26695</v>
      </c>
      <c r="B121" s="1" t="str">
        <f>IFERROR(__xludf.DUMMYFUNCTION("""COMPUTED_VALUE"""),"Sarah PETROCCHI")</f>
        <v>Sarah PETROCCHI</v>
      </c>
      <c r="C12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1" s="1" t="str">
        <f>IFERROR(__xludf.DUMMYFUNCTION("""COMPUTED_VALUE"""),"BDS")</f>
        <v>BDS</v>
      </c>
      <c r="E121" s="1">
        <f>IFERROR(__xludf.DUMMYFUNCTION("""COMPUTED_VALUE"""),5.0)</f>
        <v>5</v>
      </c>
      <c r="F121" s="1" t="str">
        <f>IFERROR(__xludf.DUMMYFUNCTION("""COMPUTED_VALUE"""),"Rock, Metal, Electro posée, Rap, Pop, Kpop, Autre")</f>
        <v>Rock, Metal, Electro posée, Rap, Pop, Kpop, Autre</v>
      </c>
      <c r="G121" s="1" t="str">
        <f>IFERROR(__xludf.DUMMYFUNCTION("""COMPUTED_VALUE"""),"Peinture, Littérature, Danse, Musique, Cinéma")</f>
        <v>Peinture, Littérature, Danse, Musique, Cinéma</v>
      </c>
      <c r="H121" s="1" t="str">
        <f>IFERROR(__xludf.DUMMYFUNCTION("""COMPUTED_VALUE"""),"Quelques fois par semaine")</f>
        <v>Quelques fois par semaine</v>
      </c>
      <c r="I121" s="1" t="str">
        <f>IFERROR(__xludf.DUMMYFUNCTION("""COMPUTED_VALUE"""),"Le dimanche à 15h32 s'il fait beau")</f>
        <v>Le dimanche à 15h32 s'il fait beau</v>
      </c>
      <c r="J121" s="1" t="str">
        <f>IFERROR(__xludf.DUMMYFUNCTION("""COMPUTED_VALUE"""),"Pour le fun")</f>
        <v>Pour le fun</v>
      </c>
      <c r="K121" s="1" t="str">
        <f>IFERROR(__xludf.DUMMYFUNCTION("""COMPUTED_VALUE"""),"Sports de combat, Equitation")</f>
        <v>Sports de combat, Equitation</v>
      </c>
      <c r="L121" s="1" t="str">
        <f>IFERROR(__xludf.DUMMYFUNCTION("""COMPUTED_VALUE"""),"J'aime cuisiner le WE ou quand j'ai le temps")</f>
        <v>J'aime cuisiner le WE ou quand j'ai le temps</v>
      </c>
      <c r="M121" s="1">
        <f>IFERROR(__xludf.DUMMYFUNCTION("""COMPUTED_VALUE"""),7.0)</f>
        <v>7</v>
      </c>
      <c r="N121" s="1" t="str">
        <f>IFERROR(__xludf.DUMMYFUNCTION("""COMPUTED_VALUE"""),"Une fois par mois")</f>
        <v>Une fois par mois</v>
      </c>
      <c r="O121" s="1" t="str">
        <f>IFERROR(__xludf.DUMMYFUNCTION("""COMPUTED_VALUE"""),"T'enflammes le dancefloor")</f>
        <v>T'enflammes le dancefloor</v>
      </c>
      <c r="P121" s="1">
        <f>IFERROR(__xludf.DUMMYFUNCTION("""COMPUTED_VALUE"""),1.0)</f>
        <v>1</v>
      </c>
      <c r="Q121" s="1" t="str">
        <f>IFERROR(__xludf.DUMMYFUNCTION("""COMPUTED_VALUE"""),"Non")</f>
        <v>Non</v>
      </c>
      <c r="R121" s="1" t="str">
        <f>IFERROR(__xludf.DUMMYFUNCTION("""COMPUTED_VALUE"""),"Non")</f>
        <v>Non</v>
      </c>
      <c r="S121" s="1" t="str">
        <f>IFERROR(__xludf.DUMMYFUNCTION("""COMPUTED_VALUE"""),"Le Donjon")</f>
        <v>Le Donjon</v>
      </c>
      <c r="T121" s="1" t="str">
        <f>IFERROR(__xludf.DUMMYFUNCTION("""COMPUTED_VALUE"""),"Une carte de salon de tatouage")</f>
        <v>Une carte de salon de tatouage</v>
      </c>
      <c r="U121" t="str">
        <f>IFERROR(__xludf.DUMMYFUNCTION("""COMPUTED_VALUE"""),"")</f>
        <v/>
      </c>
      <c r="V121" t="str">
        <f>IFERROR(__xludf.DUMMYFUNCTION("""COMPUTED_VALUE"""),"")</f>
        <v/>
      </c>
      <c r="W121" t="str">
        <f>IFERROR(__xludf.DUMMYFUNCTION("""COMPUTED_VALUE"""),"")</f>
        <v/>
      </c>
      <c r="X121" t="str">
        <f>IFERROR(__xludf.DUMMYFUNCTION("""COMPUTED_VALUE"""),"")</f>
        <v/>
      </c>
      <c r="Y121" t="str">
        <f>IFERROR(__xludf.DUMMYFUNCTION("""COMPUTED_VALUE"""),"")</f>
        <v/>
      </c>
      <c r="Z121" t="str">
        <f>IFERROR(__xludf.DUMMYFUNCTION("""COMPUTED_VALUE"""),"")</f>
        <v/>
      </c>
      <c r="AA121" t="str">
        <f>IFERROR(__xludf.DUMMYFUNCTION("""COMPUTED_VALUE"""),"")</f>
        <v/>
      </c>
      <c r="AB121" t="str">
        <f>IFERROR(__xludf.DUMMYFUNCTION("""COMPUTED_VALUE"""),"")</f>
        <v/>
      </c>
    </row>
    <row r="122">
      <c r="A122" s="2">
        <f>IFERROR(__xludf.DUMMYFUNCTION("""COMPUTED_VALUE"""),43633.47264905093)</f>
        <v>43633.47265</v>
      </c>
      <c r="B122" s="1" t="str">
        <f>IFERROR(__xludf.DUMMYFUNCTION("""COMPUTED_VALUE"""),"Constance PHILIPPE")</f>
        <v>Constance PHILIPPE</v>
      </c>
      <c r="C12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2" s="1" t="str">
        <f>IFERROR(__xludf.DUMMYFUNCTION("""COMPUTED_VALUE"""),"BDS")</f>
        <v>BDS</v>
      </c>
      <c r="E122" s="1">
        <f>IFERROR(__xludf.DUMMYFUNCTION("""COMPUTED_VALUE"""),5.0)</f>
        <v>5</v>
      </c>
      <c r="F122" s="1" t="str">
        <f>IFERROR(__xludf.DUMMYFUNCTION("""COMPUTED_VALUE"""),"Rock, Metal, Musique classique, Autre")</f>
        <v>Rock, Metal, Musique classique, Autre</v>
      </c>
      <c r="G122" s="1" t="str">
        <f>IFERROR(__xludf.DUMMYFUNCTION("""COMPUTED_VALUE"""),"Peinture, Littérature, Danse, Musique, Théâtre, Graphisme")</f>
        <v>Peinture, Littérature, Danse, Musique, Théâtre, Graphisme</v>
      </c>
      <c r="H122" s="1" t="str">
        <f>IFERROR(__xludf.DUMMYFUNCTION("""COMPUTED_VALUE"""),"Une fois de temps en temps")</f>
        <v>Une fois de temps en temps</v>
      </c>
      <c r="I122" s="1" t="str">
        <f>IFERROR(__xludf.DUMMYFUNCTION("""COMPUTED_VALUE"""),"Une fois par semaine")</f>
        <v>Une fois par semaine</v>
      </c>
      <c r="J122" s="1" t="str">
        <f>IFERROR(__xludf.DUMMYFUNCTION("""COMPUTED_VALUE"""),"Pour le fun")</f>
        <v>Pour le fun</v>
      </c>
      <c r="K122" s="1" t="str">
        <f>IFERROR(__xludf.DUMMYFUNCTION("""COMPUTED_VALUE"""),"Sports de combat, Autre")</f>
        <v>Sports de combat, Autre</v>
      </c>
      <c r="L122" s="1" t="str">
        <f>IFERROR(__xludf.DUMMYFUNCTION("""COMPUTED_VALUE"""),"Je fais toujours attention à bien manger")</f>
        <v>Je fais toujours attention à bien manger</v>
      </c>
      <c r="M122" s="1">
        <f>IFERROR(__xludf.DUMMYFUNCTION("""COMPUTED_VALUE"""),7.0)</f>
        <v>7</v>
      </c>
      <c r="N122" s="1" t="str">
        <f>IFERROR(__xludf.DUMMYFUNCTION("""COMPUTED_VALUE"""),"Une fois par semaine")</f>
        <v>Une fois par semaine</v>
      </c>
      <c r="O122" s="1" t="str">
        <f>IFERROR(__xludf.DUMMYFUNCTION("""COMPUTED_VALUE"""),"T'enflammes le dancefloor")</f>
        <v>T'enflammes le dancefloor</v>
      </c>
      <c r="P122" s="1">
        <f>IFERROR(__xludf.DUMMYFUNCTION("""COMPUTED_VALUE"""),1.0)</f>
        <v>1</v>
      </c>
      <c r="Q122" s="1" t="str">
        <f>IFERROR(__xludf.DUMMYFUNCTION("""COMPUTED_VALUE"""),"Oui")</f>
        <v>Oui</v>
      </c>
      <c r="R122" s="1" t="str">
        <f>IFERROR(__xludf.DUMMYFUNCTION("""COMPUTED_VALUE"""),"Non")</f>
        <v>Non</v>
      </c>
      <c r="S122" s="1" t="str">
        <f>IFERROR(__xludf.DUMMYFUNCTION("""COMPUTED_VALUE"""),"Le Donjon")</f>
        <v>Le Donjon</v>
      </c>
      <c r="T122" s="1" t="str">
        <f>IFERROR(__xludf.DUMMYFUNCTION("""COMPUTED_VALUE"""),"Pygama")</f>
        <v>Pygama</v>
      </c>
      <c r="U122" t="str">
        <f>IFERROR(__xludf.DUMMYFUNCTION("""COMPUTED_VALUE"""),"")</f>
        <v/>
      </c>
      <c r="V122" t="str">
        <f>IFERROR(__xludf.DUMMYFUNCTION("""COMPUTED_VALUE"""),"")</f>
        <v/>
      </c>
      <c r="W122" t="str">
        <f>IFERROR(__xludf.DUMMYFUNCTION("""COMPUTED_VALUE"""),"")</f>
        <v/>
      </c>
      <c r="X122" t="str">
        <f>IFERROR(__xludf.DUMMYFUNCTION("""COMPUTED_VALUE"""),"")</f>
        <v/>
      </c>
      <c r="Y122" t="str">
        <f>IFERROR(__xludf.DUMMYFUNCTION("""COMPUTED_VALUE"""),"")</f>
        <v/>
      </c>
      <c r="Z122" t="str">
        <f>IFERROR(__xludf.DUMMYFUNCTION("""COMPUTED_VALUE"""),"")</f>
        <v/>
      </c>
      <c r="AA122" t="str">
        <f>IFERROR(__xludf.DUMMYFUNCTION("""COMPUTED_VALUE"""),"")</f>
        <v/>
      </c>
      <c r="AB122" t="str">
        <f>IFERROR(__xludf.DUMMYFUNCTION("""COMPUTED_VALUE"""),"")</f>
        <v/>
      </c>
    </row>
    <row r="123">
      <c r="A123" s="2">
        <f>IFERROR(__xludf.DUMMYFUNCTION("""COMPUTED_VALUE"""),43633.505344687495)</f>
        <v>43633.50534</v>
      </c>
      <c r="B123" s="1" t="str">
        <f>IFERROR(__xludf.DUMMYFUNCTION("""COMPUTED_VALUE"""),"Alban VILLEDIEU")</f>
        <v>Alban VILLEDIEU</v>
      </c>
      <c r="C12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3" s="1" t="str">
        <f>IFERROR(__xludf.DUMMYFUNCTION("""COMPUTED_VALUE"""),"BDA")</f>
        <v>BDA</v>
      </c>
      <c r="E123" s="1">
        <f>IFERROR(__xludf.DUMMYFUNCTION("""COMPUTED_VALUE"""),3.0)</f>
        <v>3</v>
      </c>
      <c r="F123" s="1" t="str">
        <f>IFERROR(__xludf.DUMMYFUNCTION("""COMPUTED_VALUE"""),"Rock, Electro posée, Pop")</f>
        <v>Rock, Electro posée, Pop</v>
      </c>
      <c r="G123" s="1" t="str">
        <f>IFERROR(__xludf.DUMMYFUNCTION("""COMPUTED_VALUE"""),"Peinture, Sculpture, Cinéma")</f>
        <v>Peinture, Sculpture, Cinéma</v>
      </c>
      <c r="H123" s="1" t="str">
        <f>IFERROR(__xludf.DUMMYFUNCTION("""COMPUTED_VALUE"""),"Quelques fois par semaine")</f>
        <v>Quelques fois par semaine</v>
      </c>
      <c r="I123" s="1" t="str">
        <f>IFERROR(__xludf.DUMMYFUNCTION("""COMPUTED_VALUE"""),"Plusieurs fois par semaine")</f>
        <v>Plusieurs fois par semaine</v>
      </c>
      <c r="J123" s="1" t="str">
        <f>IFERROR(__xludf.DUMMYFUNCTION("""COMPUTED_VALUE"""),"Pour le fun")</f>
        <v>Pour le fun</v>
      </c>
      <c r="K123" s="1" t="str">
        <f>IFERROR(__xludf.DUMMYFUNCTION("""COMPUTED_VALUE"""),"Sports collectifs, Sports de raquette, Sports de combat")</f>
        <v>Sports collectifs, Sports de raquette, Sports de combat</v>
      </c>
      <c r="L123" s="1" t="str">
        <f>IFERROR(__xludf.DUMMYFUNCTION("""COMPUTED_VALUE"""),"Oh oui, et les trucs bien gras ça me connait !")</f>
        <v>Oh oui, et les trucs bien gras ça me connait !</v>
      </c>
      <c r="M123" s="1">
        <f>IFERROR(__xludf.DUMMYFUNCTION("""COMPUTED_VALUE"""),7.0)</f>
        <v>7</v>
      </c>
      <c r="N123" s="1" t="str">
        <f>IFERROR(__xludf.DUMMYFUNCTION("""COMPUTED_VALUE"""),"Plusieurs fois par semaine")</f>
        <v>Plusieurs fois par semaine</v>
      </c>
      <c r="O123" s="1" t="str">
        <f>IFERROR(__xludf.DUMMYFUNCTION("""COMPUTED_VALUE"""),"T'enflammes le dancefloor")</f>
        <v>T'enflammes le dancefloor</v>
      </c>
      <c r="P123" s="1">
        <f>IFERROR(__xludf.DUMMYFUNCTION("""COMPUTED_VALUE"""),2.0)</f>
        <v>2</v>
      </c>
      <c r="Q123" s="1" t="str">
        <f>IFERROR(__xludf.DUMMYFUNCTION("""COMPUTED_VALUE"""),"Non")</f>
        <v>Non</v>
      </c>
      <c r="R123" s="1" t="str">
        <f>IFERROR(__xludf.DUMMYFUNCTION("""COMPUTED_VALUE"""),"Non")</f>
        <v>Non</v>
      </c>
      <c r="S123" s="1" t="str">
        <f>IFERROR(__xludf.DUMMYFUNCTION("""COMPUTED_VALUE"""),"Barton")</f>
        <v>Barton</v>
      </c>
      <c r="T123" s="1" t="str">
        <f>IFERROR(__xludf.DUMMYFUNCTION("""COMPUTED_VALUE"""),"Jsp wsh")</f>
        <v>Jsp wsh</v>
      </c>
      <c r="U123" t="str">
        <f>IFERROR(__xludf.DUMMYFUNCTION("""COMPUTED_VALUE"""),"")</f>
        <v/>
      </c>
      <c r="V123" t="str">
        <f>IFERROR(__xludf.DUMMYFUNCTION("""COMPUTED_VALUE"""),"")</f>
        <v/>
      </c>
      <c r="W123" t="str">
        <f>IFERROR(__xludf.DUMMYFUNCTION("""COMPUTED_VALUE"""),"")</f>
        <v/>
      </c>
      <c r="X123" t="str">
        <f>IFERROR(__xludf.DUMMYFUNCTION("""COMPUTED_VALUE"""),"")</f>
        <v/>
      </c>
      <c r="Y123" t="str">
        <f>IFERROR(__xludf.DUMMYFUNCTION("""COMPUTED_VALUE"""),"")</f>
        <v/>
      </c>
      <c r="Z123" t="str">
        <f>IFERROR(__xludf.DUMMYFUNCTION("""COMPUTED_VALUE"""),"")</f>
        <v/>
      </c>
      <c r="AA123" t="str">
        <f>IFERROR(__xludf.DUMMYFUNCTION("""COMPUTED_VALUE"""),"")</f>
        <v/>
      </c>
      <c r="AB123" t="str">
        <f>IFERROR(__xludf.DUMMYFUNCTION("""COMPUTED_VALUE"""),"")</f>
        <v/>
      </c>
    </row>
    <row r="124">
      <c r="A124" s="2">
        <f>IFERROR(__xludf.DUMMYFUNCTION("""COMPUTED_VALUE"""),43633.56493561342)</f>
        <v>43633.56494</v>
      </c>
      <c r="B124" s="1" t="str">
        <f>IFERROR(__xludf.DUMMYFUNCTION("""COMPUTED_VALUE"""),"Marius DUVILLARD")</f>
        <v>Marius DUVILLARD</v>
      </c>
      <c r="C12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4" s="1" t="str">
        <f>IFERROR(__xludf.DUMMYFUNCTION("""COMPUTED_VALUE"""),"BDA")</f>
        <v>BDA</v>
      </c>
      <c r="E124" s="1">
        <f>IFERROR(__xludf.DUMMYFUNCTION("""COMPUTED_VALUE"""),3.0)</f>
        <v>3</v>
      </c>
      <c r="F124" s="1" t="str">
        <f>IFERROR(__xludf.DUMMYFUNCTION("""COMPUTED_VALUE"""),"Rock, Electro posée, Pop, Musique fançaise, Jazz, Musique classique")</f>
        <v>Rock, Electro posée, Pop, Musique fançaise, Jazz, Musique classique</v>
      </c>
      <c r="G124" s="1" t="str">
        <f>IFERROR(__xludf.DUMMYFUNCTION("""COMPUTED_VALUE"""),"Peinture, Danse, Musique, Théâtre, Cinéma")</f>
        <v>Peinture, Danse, Musique, Théâtre, Cinéma</v>
      </c>
      <c r="H124" s="1" t="str">
        <f>IFERROR(__xludf.DUMMYFUNCTION("""COMPUTED_VALUE"""),"Seulement les soirs de pleine lune")</f>
        <v>Seulement les soirs de pleine lune</v>
      </c>
      <c r="I124" s="1" t="str">
        <f>IFERROR(__xludf.DUMMYFUNCTION("""COMPUTED_VALUE"""),"Plusieurs fois par semaine")</f>
        <v>Plusieurs fois par semaine</v>
      </c>
      <c r="J124" s="1" t="str">
        <f>IFERROR(__xludf.DUMMYFUNCTION("""COMPUTED_VALUE"""),"Pour le développement perso et se dépasser")</f>
        <v>Pour le développement perso et se dépasser</v>
      </c>
      <c r="K124" s="1" t="str">
        <f>IFERROR(__xludf.DUMMYFUNCTION("""COMPUTED_VALUE"""),"Sports de rames, Autre")</f>
        <v>Sports de rames, Autre</v>
      </c>
      <c r="L124" s="1" t="str">
        <f>IFERROR(__xludf.DUMMYFUNCTION("""COMPUTED_VALUE"""),"J'aime cuisiner le WE ou quand j'ai le temps")</f>
        <v>J'aime cuisiner le WE ou quand j'ai le temps</v>
      </c>
      <c r="M124" s="1">
        <f>IFERROR(__xludf.DUMMYFUNCTION("""COMPUTED_VALUE"""),7.0)</f>
        <v>7</v>
      </c>
      <c r="N124" s="1" t="str">
        <f>IFERROR(__xludf.DUMMYFUNCTION("""COMPUTED_VALUE"""),"Une fois par semaine")</f>
        <v>Une fois par semaine</v>
      </c>
      <c r="O124" s="1" t="str">
        <f>IFERROR(__xludf.DUMMYFUNCTION("""COMPUTED_VALUE"""),"T'enflammes le dancefloor")</f>
        <v>T'enflammes le dancefloor</v>
      </c>
      <c r="P124" s="1">
        <f>IFERROR(__xludf.DUMMYFUNCTION("""COMPUTED_VALUE"""),1.0)</f>
        <v>1</v>
      </c>
      <c r="Q124" s="1" t="str">
        <f>IFERROR(__xludf.DUMMYFUNCTION("""COMPUTED_VALUE"""),"Oui")</f>
        <v>Oui</v>
      </c>
      <c r="R124" s="1" t="str">
        <f>IFERROR(__xludf.DUMMYFUNCTION("""COMPUTED_VALUE"""),"Non")</f>
        <v>Non</v>
      </c>
      <c r="S124" s="1" t="str">
        <f>IFERROR(__xludf.DUMMYFUNCTION("""COMPUTED_VALUE"""),"La Crypte")</f>
        <v>La Crypte</v>
      </c>
      <c r="T124" s="1" t="str">
        <f>IFERROR(__xludf.DUMMYFUNCTION("""COMPUTED_VALUE"""),"une fi'sel")</f>
        <v>une fi'sel</v>
      </c>
      <c r="U124" t="str">
        <f>IFERROR(__xludf.DUMMYFUNCTION("""COMPUTED_VALUE"""),"")</f>
        <v/>
      </c>
      <c r="V124" t="str">
        <f>IFERROR(__xludf.DUMMYFUNCTION("""COMPUTED_VALUE"""),"")</f>
        <v/>
      </c>
      <c r="W124" t="str">
        <f>IFERROR(__xludf.DUMMYFUNCTION("""COMPUTED_VALUE"""),"")</f>
        <v/>
      </c>
      <c r="X124" t="str">
        <f>IFERROR(__xludf.DUMMYFUNCTION("""COMPUTED_VALUE"""),"")</f>
        <v/>
      </c>
      <c r="Y124" t="str">
        <f>IFERROR(__xludf.DUMMYFUNCTION("""COMPUTED_VALUE"""),"")</f>
        <v/>
      </c>
      <c r="Z124" t="str">
        <f>IFERROR(__xludf.DUMMYFUNCTION("""COMPUTED_VALUE"""),"")</f>
        <v/>
      </c>
      <c r="AA124" t="str">
        <f>IFERROR(__xludf.DUMMYFUNCTION("""COMPUTED_VALUE"""),"")</f>
        <v/>
      </c>
      <c r="AB124" t="str">
        <f>IFERROR(__xludf.DUMMYFUNCTION("""COMPUTED_VALUE"""),"")</f>
        <v/>
      </c>
    </row>
    <row r="125">
      <c r="A125" s="2">
        <f>IFERROR(__xludf.DUMMYFUNCTION("""COMPUTED_VALUE"""),43633.71841052083)</f>
        <v>43633.71841</v>
      </c>
      <c r="B125" s="1" t="str">
        <f>IFERROR(__xludf.DUMMYFUNCTION("""COMPUTED_VALUE"""),"Pierre Go")</f>
        <v>Pierre Go</v>
      </c>
      <c r="C12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5" s="1" t="str">
        <f>IFERROR(__xludf.DUMMYFUNCTION("""COMPUTED_VALUE"""),"BDA")</f>
        <v>BDA</v>
      </c>
      <c r="E125" s="1">
        <f>IFERROR(__xludf.DUMMYFUNCTION("""COMPUTED_VALUE"""),4.0)</f>
        <v>4</v>
      </c>
      <c r="F125" s="1" t="str">
        <f>IFERROR(__xludf.DUMMYFUNCTION("""COMPUTED_VALUE"""),"Rock, Metal, Electro posée, Rap, Pop, Musique classique")</f>
        <v>Rock, Metal, Electro posée, Rap, Pop, Musique classique</v>
      </c>
      <c r="G125" s="1" t="str">
        <f>IFERROR(__xludf.DUMMYFUNCTION("""COMPUTED_VALUE"""),"Littérature, Musique, Cinéma")</f>
        <v>Littérature, Musique, Cinéma</v>
      </c>
      <c r="H125" s="1" t="str">
        <f>IFERROR(__xludf.DUMMYFUNCTION("""COMPUTED_VALUE"""),"Seulement les soirs de pleine lune")</f>
        <v>Seulement les soirs de pleine lune</v>
      </c>
      <c r="I125" s="1" t="str">
        <f>IFERROR(__xludf.DUMMYFUNCTION("""COMPUTED_VALUE"""),"Une fois par jour")</f>
        <v>Une fois par jour</v>
      </c>
      <c r="J125" s="1" t="str">
        <f>IFERROR(__xludf.DUMMYFUNCTION("""COMPUTED_VALUE"""),"Pour le développement perso et se dépasser")</f>
        <v>Pour le développement perso et se dépasser</v>
      </c>
      <c r="K125" s="1" t="str">
        <f>IFERROR(__xludf.DUMMYFUNCTION("""COMPUTED_VALUE"""),"Sports collectifs, Sports de raquette, Sports de rames")</f>
        <v>Sports collectifs, Sports de raquette, Sports de rames</v>
      </c>
      <c r="L125" s="1" t="str">
        <f>IFERROR(__xludf.DUMMYFUNCTION("""COMPUTED_VALUE"""),"Je fais toujours attention à bien manger")</f>
        <v>Je fais toujours attention à bien manger</v>
      </c>
      <c r="M125" s="1">
        <f>IFERROR(__xludf.DUMMYFUNCTION("""COMPUTED_VALUE"""),7.0)</f>
        <v>7</v>
      </c>
      <c r="N125" s="1" t="str">
        <f>IFERROR(__xludf.DUMMYFUNCTION("""COMPUTED_VALUE"""),"Une fois par semaine")</f>
        <v>Une fois par semaine</v>
      </c>
      <c r="O125" s="1" t="str">
        <f>IFERROR(__xludf.DUMMYFUNCTION("""COMPUTED_VALUE"""),"Tu te poses dans un coin, chill !!")</f>
        <v>Tu te poses dans un coin, chill !!</v>
      </c>
      <c r="P125" s="1">
        <f>IFERROR(__xludf.DUMMYFUNCTION("""COMPUTED_VALUE"""),2.0)</f>
        <v>2</v>
      </c>
      <c r="Q125" s="1" t="str">
        <f>IFERROR(__xludf.DUMMYFUNCTION("""COMPUTED_VALUE"""),"Non")</f>
        <v>Non</v>
      </c>
      <c r="R125" s="1" t="str">
        <f>IFERROR(__xludf.DUMMYFUNCTION("""COMPUTED_VALUE"""),"Non")</f>
        <v>Non</v>
      </c>
      <c r="S125" s="1" t="str">
        <f>IFERROR(__xludf.DUMMYFUNCTION("""COMPUTED_VALUE"""),"Barton")</f>
        <v>Barton</v>
      </c>
      <c r="T125" s="1" t="str">
        <f>IFERROR(__xludf.DUMMYFUNCTION("""COMPUTED_VALUE"""),"Une machine à barbe a papa")</f>
        <v>Une machine à barbe a papa</v>
      </c>
      <c r="U125" t="str">
        <f>IFERROR(__xludf.DUMMYFUNCTION("""COMPUTED_VALUE"""),"")</f>
        <v/>
      </c>
      <c r="V125" t="str">
        <f>IFERROR(__xludf.DUMMYFUNCTION("""COMPUTED_VALUE"""),"")</f>
        <v/>
      </c>
      <c r="W125" t="str">
        <f>IFERROR(__xludf.DUMMYFUNCTION("""COMPUTED_VALUE"""),"")</f>
        <v/>
      </c>
      <c r="X125" t="str">
        <f>IFERROR(__xludf.DUMMYFUNCTION("""COMPUTED_VALUE"""),"")</f>
        <v/>
      </c>
      <c r="Y125" t="str">
        <f>IFERROR(__xludf.DUMMYFUNCTION("""COMPUTED_VALUE"""),"")</f>
        <v/>
      </c>
      <c r="Z125" t="str">
        <f>IFERROR(__xludf.DUMMYFUNCTION("""COMPUTED_VALUE"""),"")</f>
        <v/>
      </c>
      <c r="AA125" t="str">
        <f>IFERROR(__xludf.DUMMYFUNCTION("""COMPUTED_VALUE"""),"")</f>
        <v/>
      </c>
      <c r="AB125" t="str">
        <f>IFERROR(__xludf.DUMMYFUNCTION("""COMPUTED_VALUE"""),"")</f>
        <v/>
      </c>
    </row>
    <row r="126">
      <c r="A126" s="2">
        <f>IFERROR(__xludf.DUMMYFUNCTION("""COMPUTED_VALUE"""),43633.72251902778)</f>
        <v>43633.72252</v>
      </c>
      <c r="B126" s="1" t="str">
        <f>IFERROR(__xludf.DUMMYFUNCTION("""COMPUTED_VALUE"""),"Mitsi R.")</f>
        <v>Mitsi R.</v>
      </c>
      <c r="C126" s="1" t="str">
        <f>IFERROR(__xludf.DUMMYFUNCTION("""COMPUTED_VALUE"""),"Le président et un inconnu")</f>
        <v>Le président et un inconnu</v>
      </c>
      <c r="D126" s="1" t="str">
        <f>IFERROR(__xludf.DUMMYFUNCTION("""COMPUTED_VALUE"""),"BDA")</f>
        <v>BDA</v>
      </c>
      <c r="E126" s="1">
        <f>IFERROR(__xludf.DUMMYFUNCTION("""COMPUTED_VALUE"""),3.0)</f>
        <v>3</v>
      </c>
      <c r="F126" s="1" t="str">
        <f>IFERROR(__xludf.DUMMYFUNCTION("""COMPUTED_VALUE"""),"Rock, Electro posée, Rap, Pop, Musique fançaise")</f>
        <v>Rock, Electro posée, Rap, Pop, Musique fançaise</v>
      </c>
      <c r="G126" s="1" t="str">
        <f>IFERROR(__xludf.DUMMYFUNCTION("""COMPUTED_VALUE"""),"Musique, Cinéma")</f>
        <v>Musique, Cinéma</v>
      </c>
      <c r="H126" s="1" t="str">
        <f>IFERROR(__xludf.DUMMYFUNCTION("""COMPUTED_VALUE"""),"Une fois de temps en temps")</f>
        <v>Une fois de temps en temps</v>
      </c>
      <c r="I126" s="1" t="str">
        <f>IFERROR(__xludf.DUMMYFUNCTION("""COMPUTED_VALUE"""),"Une fois par semaine")</f>
        <v>Une fois par semaine</v>
      </c>
      <c r="J126" s="1" t="str">
        <f>IFERROR(__xludf.DUMMYFUNCTION("""COMPUTED_VALUE"""),"Pour le fun")</f>
        <v>Pour le fun</v>
      </c>
      <c r="K126" s="1" t="str">
        <f>IFERROR(__xludf.DUMMYFUNCTION("""COMPUTED_VALUE"""),"Sports collectifs")</f>
        <v>Sports collectifs</v>
      </c>
      <c r="L126" s="1" t="str">
        <f>IFERROR(__xludf.DUMMYFUNCTION("""COMPUTED_VALUE"""),"J'aime cuisiner le WE ou quand j'ai le temps")</f>
        <v>J'aime cuisiner le WE ou quand j'ai le temps</v>
      </c>
      <c r="M126" s="1">
        <f>IFERROR(__xludf.DUMMYFUNCTION("""COMPUTED_VALUE"""),8.0)</f>
        <v>8</v>
      </c>
      <c r="N126" s="1" t="str">
        <f>IFERROR(__xludf.DUMMYFUNCTION("""COMPUTED_VALUE"""),"Une fois par semaine")</f>
        <v>Une fois par semaine</v>
      </c>
      <c r="O126" s="1" t="str">
        <f>IFERROR(__xludf.DUMMYFUNCTION("""COMPUTED_VALUE"""),"T'enflammes le dancefloor")</f>
        <v>T'enflammes le dancefloor</v>
      </c>
      <c r="P126" s="1">
        <f>IFERROR(__xludf.DUMMYFUNCTION("""COMPUTED_VALUE"""),2.0)</f>
        <v>2</v>
      </c>
      <c r="Q126" s="1" t="str">
        <f>IFERROR(__xludf.DUMMYFUNCTION("""COMPUTED_VALUE"""),"Non")</f>
        <v>Non</v>
      </c>
      <c r="R126" s="1" t="str">
        <f>IFERROR(__xludf.DUMMYFUNCTION("""COMPUTED_VALUE"""),"Non")</f>
        <v>Non</v>
      </c>
      <c r="S126" s="1" t="str">
        <f>IFERROR(__xludf.DUMMYFUNCTION("""COMPUTED_VALUE"""),"Barton")</f>
        <v>Barton</v>
      </c>
      <c r="T126" s="1" t="str">
        <f>IFERROR(__xludf.DUMMYFUNCTION("""COMPUTED_VALUE"""),"El sombrero")</f>
        <v>El sombrero</v>
      </c>
      <c r="U126" t="str">
        <f>IFERROR(__xludf.DUMMYFUNCTION("""COMPUTED_VALUE"""),"")</f>
        <v/>
      </c>
      <c r="V126" t="str">
        <f>IFERROR(__xludf.DUMMYFUNCTION("""COMPUTED_VALUE"""),"")</f>
        <v/>
      </c>
      <c r="W126" t="str">
        <f>IFERROR(__xludf.DUMMYFUNCTION("""COMPUTED_VALUE"""),"")</f>
        <v/>
      </c>
      <c r="X126" t="str">
        <f>IFERROR(__xludf.DUMMYFUNCTION("""COMPUTED_VALUE"""),"")</f>
        <v/>
      </c>
      <c r="Y126" t="str">
        <f>IFERROR(__xludf.DUMMYFUNCTION("""COMPUTED_VALUE"""),"")</f>
        <v/>
      </c>
      <c r="Z126" t="str">
        <f>IFERROR(__xludf.DUMMYFUNCTION("""COMPUTED_VALUE"""),"")</f>
        <v/>
      </c>
      <c r="AA126" t="str">
        <f>IFERROR(__xludf.DUMMYFUNCTION("""COMPUTED_VALUE"""),"")</f>
        <v/>
      </c>
      <c r="AB126" t="str">
        <f>IFERROR(__xludf.DUMMYFUNCTION("""COMPUTED_VALUE"""),"")</f>
        <v/>
      </c>
    </row>
    <row r="127">
      <c r="A127" s="2">
        <f>IFERROR(__xludf.DUMMYFUNCTION("""COMPUTED_VALUE"""),43633.81577555556)</f>
        <v>43633.81578</v>
      </c>
      <c r="B127" s="1" t="str">
        <f>IFERROR(__xludf.DUMMYFUNCTION("""COMPUTED_VALUE"""),"Valentin Antonio")</f>
        <v>Valentin Antonio</v>
      </c>
      <c r="C127" s="1" t="str">
        <f>IFERROR(__xludf.DUMMYFUNCTION("""COMPUTED_VALUE"""),"Deux inconnus")</f>
        <v>Deux inconnus</v>
      </c>
      <c r="D127" s="1" t="str">
        <f>IFERROR(__xludf.DUMMYFUNCTION("""COMPUTED_VALUE"""),"BDS")</f>
        <v>BDS</v>
      </c>
      <c r="E127" s="1">
        <f>IFERROR(__xludf.DUMMYFUNCTION("""COMPUTED_VALUE"""),3.0)</f>
        <v>3</v>
      </c>
      <c r="F127" s="1" t="str">
        <f>IFERROR(__xludf.DUMMYFUNCTION("""COMPUTED_VALUE"""),"Rock, Electro posée, Rap, Pop")</f>
        <v>Rock, Electro posée, Rap, Pop</v>
      </c>
      <c r="G127" s="1" t="str">
        <f>IFERROR(__xludf.DUMMYFUNCTION("""COMPUTED_VALUE"""),"Peinture, Littérature, Cinéma")</f>
        <v>Peinture, Littérature, Cinéma</v>
      </c>
      <c r="H127" s="1" t="str">
        <f>IFERROR(__xludf.DUMMYFUNCTION("""COMPUTED_VALUE"""),"Une fois de temps en temps")</f>
        <v>Une fois de temps en temps</v>
      </c>
      <c r="I127" s="1" t="str">
        <f>IFERROR(__xludf.DUMMYFUNCTION("""COMPUTED_VALUE"""),"Plusieurs fois par semaine")</f>
        <v>Plusieurs fois par semaine</v>
      </c>
      <c r="J127" s="1" t="str">
        <f>IFERROR(__xludf.DUMMYFUNCTION("""COMPUTED_VALUE"""),"Pour la compet")</f>
        <v>Pour la compet</v>
      </c>
      <c r="K127" s="1" t="str">
        <f>IFERROR(__xludf.DUMMYFUNCTION("""COMPUTED_VALUE"""),"Sports collectifs, Equitation")</f>
        <v>Sports collectifs, Equitation</v>
      </c>
      <c r="L127" s="1" t="str">
        <f>IFERROR(__xludf.DUMMYFUNCTION("""COMPUTED_VALUE"""),"Je fais toujours attention à bien manger")</f>
        <v>Je fais toujours attention à bien manger</v>
      </c>
      <c r="M127" s="1">
        <f>IFERROR(__xludf.DUMMYFUNCTION("""COMPUTED_VALUE"""),8.0)</f>
        <v>8</v>
      </c>
      <c r="N127" s="1" t="str">
        <f>IFERROR(__xludf.DUMMYFUNCTION("""COMPUTED_VALUE"""),"Plusieurs fois par semaine")</f>
        <v>Plusieurs fois par semaine</v>
      </c>
      <c r="O127" s="1" t="str">
        <f>IFERROR(__xludf.DUMMYFUNCTION("""COMPUTED_VALUE"""),"T'enflammes le dancefloor")</f>
        <v>T'enflammes le dancefloor</v>
      </c>
      <c r="P127" s="1">
        <f>IFERROR(__xludf.DUMMYFUNCTION("""COMPUTED_VALUE"""),2.0)</f>
        <v>2</v>
      </c>
      <c r="Q127" s="1" t="str">
        <f>IFERROR(__xludf.DUMMYFUNCTION("""COMPUTED_VALUE"""),"Oui")</f>
        <v>Oui</v>
      </c>
      <c r="R127" s="1" t="str">
        <f>IFERROR(__xludf.DUMMYFUNCTION("""COMPUTED_VALUE"""),"Non")</f>
        <v>Non</v>
      </c>
      <c r="S127" s="1" t="str">
        <f>IFERROR(__xludf.DUMMYFUNCTION("""COMPUTED_VALUE"""),"Dusex")</f>
        <v>Dusex</v>
      </c>
      <c r="T127" s="1" t="str">
        <f>IFERROR(__xludf.DUMMYFUNCTION("""COMPUTED_VALUE"""),"une balle de hand")</f>
        <v>une balle de hand</v>
      </c>
      <c r="U127" t="str">
        <f>IFERROR(__xludf.DUMMYFUNCTION("""COMPUTED_VALUE"""),"")</f>
        <v/>
      </c>
      <c r="V127" t="str">
        <f>IFERROR(__xludf.DUMMYFUNCTION("""COMPUTED_VALUE"""),"")</f>
        <v/>
      </c>
      <c r="W127" t="str">
        <f>IFERROR(__xludf.DUMMYFUNCTION("""COMPUTED_VALUE"""),"")</f>
        <v/>
      </c>
      <c r="X127" t="str">
        <f>IFERROR(__xludf.DUMMYFUNCTION("""COMPUTED_VALUE"""),"")</f>
        <v/>
      </c>
      <c r="Y127" t="str">
        <f>IFERROR(__xludf.DUMMYFUNCTION("""COMPUTED_VALUE"""),"")</f>
        <v/>
      </c>
      <c r="Z127" t="str">
        <f>IFERROR(__xludf.DUMMYFUNCTION("""COMPUTED_VALUE"""),"")</f>
        <v/>
      </c>
      <c r="AA127" t="str">
        <f>IFERROR(__xludf.DUMMYFUNCTION("""COMPUTED_VALUE"""),"")</f>
        <v/>
      </c>
      <c r="AB127" t="str">
        <f>IFERROR(__xludf.DUMMYFUNCTION("""COMPUTED_VALUE"""),"")</f>
        <v/>
      </c>
    </row>
    <row r="128">
      <c r="A128" s="2">
        <f>IFERROR(__xludf.DUMMYFUNCTION("""COMPUTED_VALUE"""),43633.8201212037)</f>
        <v>43633.82012</v>
      </c>
      <c r="B128" s="1" t="str">
        <f>IFERROR(__xludf.DUMMYFUNCTION("""COMPUTED_VALUE"""),"Juline CORNET-GOY")</f>
        <v>Juline CORNET-GOY</v>
      </c>
      <c r="C12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8" s="1" t="str">
        <f>IFERROR(__xludf.DUMMYFUNCTION("""COMPUTED_VALUE"""),"BDS")</f>
        <v>BDS</v>
      </c>
      <c r="E128" s="1">
        <f>IFERROR(__xludf.DUMMYFUNCTION("""COMPUTED_VALUE"""),4.0)</f>
        <v>4</v>
      </c>
      <c r="F128" s="1" t="str">
        <f>IFERROR(__xludf.DUMMYFUNCTION("""COMPUTED_VALUE"""),"Electro posée, Rap, Pop, Musique fançaise")</f>
        <v>Electro posée, Rap, Pop, Musique fançaise</v>
      </c>
      <c r="G128" s="1" t="str">
        <f>IFERROR(__xludf.DUMMYFUNCTION("""COMPUTED_VALUE"""),"Pas du tout")</f>
        <v>Pas du tout</v>
      </c>
      <c r="H128" s="1" t="str">
        <f>IFERROR(__xludf.DUMMYFUNCTION("""COMPUTED_VALUE"""),"Seulement les soirs de pleine lune")</f>
        <v>Seulement les soirs de pleine lune</v>
      </c>
      <c r="I128" s="1" t="str">
        <f>IFERROR(__xludf.DUMMYFUNCTION("""COMPUTED_VALUE"""),"Plusieurs fois par semaine")</f>
        <v>Plusieurs fois par semaine</v>
      </c>
      <c r="J128" s="1" t="str">
        <f>IFERROR(__xludf.DUMMYFUNCTION("""COMPUTED_VALUE"""),"Pour la compet")</f>
        <v>Pour la compet</v>
      </c>
      <c r="K128" s="1" t="str">
        <f>IFERROR(__xludf.DUMMYFUNCTION("""COMPUTED_VALUE"""),"Sports collectifs, Sports aquatiques")</f>
        <v>Sports collectifs, Sports aquatiques</v>
      </c>
      <c r="L128" s="1" t="str">
        <f>IFERROR(__xludf.DUMMYFUNCTION("""COMPUTED_VALUE"""),"J'aime cuisiner le WE ou quand j'ai le temps")</f>
        <v>J'aime cuisiner le WE ou quand j'ai le temps</v>
      </c>
      <c r="M128" s="1">
        <f>IFERROR(__xludf.DUMMYFUNCTION("""COMPUTED_VALUE"""),8.0)</f>
        <v>8</v>
      </c>
      <c r="N128" s="1" t="str">
        <f>IFERROR(__xludf.DUMMYFUNCTION("""COMPUTED_VALUE"""),"Plusieurs fois par semaine")</f>
        <v>Plusieurs fois par semaine</v>
      </c>
      <c r="O128" s="1" t="str">
        <f>IFERROR(__xludf.DUMMYFUNCTION("""COMPUTED_VALUE"""),"T'enflammes le dancefloor")</f>
        <v>T'enflammes le dancefloor</v>
      </c>
      <c r="P128" s="1">
        <f>IFERROR(__xludf.DUMMYFUNCTION("""COMPUTED_VALUE"""),3.0)</f>
        <v>3</v>
      </c>
      <c r="Q128" s="1" t="str">
        <f>IFERROR(__xludf.DUMMYFUNCTION("""COMPUTED_VALUE"""),"Non")</f>
        <v>Non</v>
      </c>
      <c r="R128" s="1" t="str">
        <f>IFERROR(__xludf.DUMMYFUNCTION("""COMPUTED_VALUE"""),"Non")</f>
        <v>Non</v>
      </c>
      <c r="S128" s="1" t="str">
        <f>IFERROR(__xludf.DUMMYFUNCTION("""COMPUTED_VALUE"""),"Jodyssée")</f>
        <v>Jodyssée</v>
      </c>
      <c r="T128" s="1" t="str">
        <f>IFERROR(__xludf.DUMMYFUNCTION("""COMPUTED_VALUE"""),"Don’t know yet")</f>
        <v>Don’t know yet</v>
      </c>
      <c r="U128" t="str">
        <f>IFERROR(__xludf.DUMMYFUNCTION("""COMPUTED_VALUE"""),"")</f>
        <v/>
      </c>
      <c r="V128" t="str">
        <f>IFERROR(__xludf.DUMMYFUNCTION("""COMPUTED_VALUE"""),"")</f>
        <v/>
      </c>
      <c r="W128" t="str">
        <f>IFERROR(__xludf.DUMMYFUNCTION("""COMPUTED_VALUE"""),"")</f>
        <v/>
      </c>
      <c r="X128" t="str">
        <f>IFERROR(__xludf.DUMMYFUNCTION("""COMPUTED_VALUE"""),"")</f>
        <v/>
      </c>
      <c r="Y128" t="str">
        <f>IFERROR(__xludf.DUMMYFUNCTION("""COMPUTED_VALUE"""),"")</f>
        <v/>
      </c>
      <c r="Z128" t="str">
        <f>IFERROR(__xludf.DUMMYFUNCTION("""COMPUTED_VALUE"""),"")</f>
        <v/>
      </c>
      <c r="AA128" t="str">
        <f>IFERROR(__xludf.DUMMYFUNCTION("""COMPUTED_VALUE"""),"")</f>
        <v/>
      </c>
      <c r="AB128" t="str">
        <f>IFERROR(__xludf.DUMMYFUNCTION("""COMPUTED_VALUE"""),"")</f>
        <v/>
      </c>
    </row>
    <row r="129">
      <c r="A129" s="2">
        <f>IFERROR(__xludf.DUMMYFUNCTION("""COMPUTED_VALUE"""),43633.820647650464)</f>
        <v>43633.82065</v>
      </c>
      <c r="B129" s="1" t="str">
        <f>IFERROR(__xludf.DUMMYFUNCTION("""COMPUTED_VALUE"""),"Lise GERMON")</f>
        <v>Lise GERMON</v>
      </c>
      <c r="C12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29" s="1" t="str">
        <f>IFERROR(__xludf.DUMMYFUNCTION("""COMPUTED_VALUE"""),"BDS")</f>
        <v>BDS</v>
      </c>
      <c r="E129" s="1">
        <f>IFERROR(__xludf.DUMMYFUNCTION("""COMPUTED_VALUE"""),4.0)</f>
        <v>4</v>
      </c>
      <c r="F129" s="1" t="str">
        <f>IFERROR(__xludf.DUMMYFUNCTION("""COMPUTED_VALUE"""),"Electro posée, Pop, Musique fançaise")</f>
        <v>Electro posée, Pop, Musique fançaise</v>
      </c>
      <c r="G129" s="1" t="str">
        <f>IFERROR(__xludf.DUMMYFUNCTION("""COMPUTED_VALUE"""),"Musique, Cinéma")</f>
        <v>Musique, Cinéma</v>
      </c>
      <c r="H129" s="1" t="str">
        <f>IFERROR(__xludf.DUMMYFUNCTION("""COMPUTED_VALUE"""),"Une fois de temps en temps")</f>
        <v>Une fois de temps en temps</v>
      </c>
      <c r="I129" s="1" t="str">
        <f>IFERROR(__xludf.DUMMYFUNCTION("""COMPUTED_VALUE"""),"Plusieurs fois par semaine")</f>
        <v>Plusieurs fois par semaine</v>
      </c>
      <c r="J129" s="1" t="str">
        <f>IFERROR(__xludf.DUMMYFUNCTION("""COMPUTED_VALUE"""),"Pour le fun")</f>
        <v>Pour le fun</v>
      </c>
      <c r="K129" s="1" t="str">
        <f>IFERROR(__xludf.DUMMYFUNCTION("""COMPUTED_VALUE"""),"Sports collectifs")</f>
        <v>Sports collectifs</v>
      </c>
      <c r="L129" s="1" t="str">
        <f>IFERROR(__xludf.DUMMYFUNCTION("""COMPUTED_VALUE"""),"Je fais toujours attention à bien manger")</f>
        <v>Je fais toujours attention à bien manger</v>
      </c>
      <c r="M129" s="1">
        <f>IFERROR(__xludf.DUMMYFUNCTION("""COMPUTED_VALUE"""),8.0)</f>
        <v>8</v>
      </c>
      <c r="N129" s="1" t="str">
        <f>IFERROR(__xludf.DUMMYFUNCTION("""COMPUTED_VALUE"""),"Une fois par semaine")</f>
        <v>Une fois par semaine</v>
      </c>
      <c r="O129" s="1" t="str">
        <f>IFERROR(__xludf.DUMMYFUNCTION("""COMPUTED_VALUE"""),"T'enflammes le dancefloor")</f>
        <v>T'enflammes le dancefloor</v>
      </c>
      <c r="P129" s="1">
        <f>IFERROR(__xludf.DUMMYFUNCTION("""COMPUTED_VALUE"""),1.0)</f>
        <v>1</v>
      </c>
      <c r="Q129" s="1" t="str">
        <f>IFERROR(__xludf.DUMMYFUNCTION("""COMPUTED_VALUE"""),"Non")</f>
        <v>Non</v>
      </c>
      <c r="R129" s="1" t="str">
        <f>IFERROR(__xludf.DUMMYFUNCTION("""COMPUTED_VALUE"""),"Non")</f>
        <v>Non</v>
      </c>
      <c r="S129" s="1" t="str">
        <f>IFERROR(__xludf.DUMMYFUNCTION("""COMPUTED_VALUE"""),"Jodyssée")</f>
        <v>Jodyssée</v>
      </c>
      <c r="T129" s="1" t="str">
        <f>IFERROR(__xludf.DUMMYFUNCTION("""COMPUTED_VALUE"""),"Livre Odyssée")</f>
        <v>Livre Odyssée</v>
      </c>
      <c r="U129" t="str">
        <f>IFERROR(__xludf.DUMMYFUNCTION("""COMPUTED_VALUE"""),"")</f>
        <v/>
      </c>
      <c r="V129" t="str">
        <f>IFERROR(__xludf.DUMMYFUNCTION("""COMPUTED_VALUE"""),"")</f>
        <v/>
      </c>
      <c r="W129" t="str">
        <f>IFERROR(__xludf.DUMMYFUNCTION("""COMPUTED_VALUE"""),"")</f>
        <v/>
      </c>
      <c r="X129" t="str">
        <f>IFERROR(__xludf.DUMMYFUNCTION("""COMPUTED_VALUE"""),"")</f>
        <v/>
      </c>
      <c r="Y129" t="str">
        <f>IFERROR(__xludf.DUMMYFUNCTION("""COMPUTED_VALUE"""),"")</f>
        <v/>
      </c>
      <c r="Z129" t="str">
        <f>IFERROR(__xludf.DUMMYFUNCTION("""COMPUTED_VALUE"""),"")</f>
        <v/>
      </c>
      <c r="AA129" t="str">
        <f>IFERROR(__xludf.DUMMYFUNCTION("""COMPUTED_VALUE"""),"")</f>
        <v/>
      </c>
      <c r="AB129" t="str">
        <f>IFERROR(__xludf.DUMMYFUNCTION("""COMPUTED_VALUE"""),"")</f>
        <v/>
      </c>
    </row>
    <row r="130">
      <c r="A130" s="2">
        <f>IFERROR(__xludf.DUMMYFUNCTION("""COMPUTED_VALUE"""),43633.82228949074)</f>
        <v>43633.82229</v>
      </c>
      <c r="B130" s="1" t="str">
        <f>IFERROR(__xludf.DUMMYFUNCTION("""COMPUTED_VALUE"""),"Alizée AMSLER")</f>
        <v>Alizée AMSLER</v>
      </c>
      <c r="C13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0" s="1" t="str">
        <f>IFERROR(__xludf.DUMMYFUNCTION("""COMPUTED_VALUE"""),"BDS")</f>
        <v>BDS</v>
      </c>
      <c r="E130" s="1">
        <f>IFERROR(__xludf.DUMMYFUNCTION("""COMPUTED_VALUE"""),4.0)</f>
        <v>4</v>
      </c>
      <c r="F130" s="1" t="str">
        <f>IFERROR(__xludf.DUMMYFUNCTION("""COMPUTED_VALUE"""),"Rock, Electro posée, Pop")</f>
        <v>Rock, Electro posée, Pop</v>
      </c>
      <c r="G130" s="1" t="str">
        <f>IFERROR(__xludf.DUMMYFUNCTION("""COMPUTED_VALUE"""),"Littérature, Musique, Cinéma")</f>
        <v>Littérature, Musique, Cinéma</v>
      </c>
      <c r="H130" s="1" t="str">
        <f>IFERROR(__xludf.DUMMYFUNCTION("""COMPUTED_VALUE"""),"Quelques fois par semaine")</f>
        <v>Quelques fois par semaine</v>
      </c>
      <c r="I130" s="1" t="str">
        <f>IFERROR(__xludf.DUMMYFUNCTION("""COMPUTED_VALUE"""),"Une fois par jour")</f>
        <v>Une fois par jour</v>
      </c>
      <c r="J130" s="1" t="str">
        <f>IFERROR(__xludf.DUMMYFUNCTION("""COMPUTED_VALUE"""),"Pour la compet")</f>
        <v>Pour la compet</v>
      </c>
      <c r="K130" s="1" t="str">
        <f>IFERROR(__xludf.DUMMYFUNCTION("""COMPUTED_VALUE"""),"Athlétisme")</f>
        <v>Athlétisme</v>
      </c>
      <c r="L130" s="1" t="str">
        <f>IFERROR(__xludf.DUMMYFUNCTION("""COMPUTED_VALUE"""),"Oh oui, et les trucs bien gras ça me connait !")</f>
        <v>Oh oui, et les trucs bien gras ça me connait !</v>
      </c>
      <c r="M130" s="1">
        <f>IFERROR(__xludf.DUMMYFUNCTION("""COMPUTED_VALUE"""),7.0)</f>
        <v>7</v>
      </c>
      <c r="N130" s="1" t="str">
        <f>IFERROR(__xludf.DUMMYFUNCTION("""COMPUTED_VALUE"""),"Une fois par semaine")</f>
        <v>Une fois par semaine</v>
      </c>
      <c r="O130" s="1" t="str">
        <f>IFERROR(__xludf.DUMMYFUNCTION("""COMPUTED_VALUE"""),"T'enflammes le dancefloor")</f>
        <v>T'enflammes le dancefloor</v>
      </c>
      <c r="P130" s="1">
        <f>IFERROR(__xludf.DUMMYFUNCTION("""COMPUTED_VALUE"""),1.0)</f>
        <v>1</v>
      </c>
      <c r="Q130" s="1" t="str">
        <f>IFERROR(__xludf.DUMMYFUNCTION("""COMPUTED_VALUE"""),"Non")</f>
        <v>Non</v>
      </c>
      <c r="R130" s="1" t="str">
        <f>IFERROR(__xludf.DUMMYFUNCTION("""COMPUTED_VALUE"""),"Non")</f>
        <v>Non</v>
      </c>
      <c r="S130" s="1" t="str">
        <f>IFERROR(__xludf.DUMMYFUNCTION("""COMPUTED_VALUE"""),"Jodyssée")</f>
        <v>Jodyssée</v>
      </c>
      <c r="T130" s="1" t="str">
        <f>IFERROR(__xludf.DUMMYFUNCTION("""COMPUTED_VALUE"""),"Jeu de wii ")</f>
        <v>Jeu de wii </v>
      </c>
      <c r="U130" t="str">
        <f>IFERROR(__xludf.DUMMYFUNCTION("""COMPUTED_VALUE"""),"")</f>
        <v/>
      </c>
      <c r="V130" t="str">
        <f>IFERROR(__xludf.DUMMYFUNCTION("""COMPUTED_VALUE"""),"")</f>
        <v/>
      </c>
      <c r="W130" t="str">
        <f>IFERROR(__xludf.DUMMYFUNCTION("""COMPUTED_VALUE"""),"")</f>
        <v/>
      </c>
      <c r="X130" t="str">
        <f>IFERROR(__xludf.DUMMYFUNCTION("""COMPUTED_VALUE"""),"")</f>
        <v/>
      </c>
      <c r="Y130" t="str">
        <f>IFERROR(__xludf.DUMMYFUNCTION("""COMPUTED_VALUE"""),"")</f>
        <v/>
      </c>
      <c r="Z130" t="str">
        <f>IFERROR(__xludf.DUMMYFUNCTION("""COMPUTED_VALUE"""),"")</f>
        <v/>
      </c>
      <c r="AA130" t="str">
        <f>IFERROR(__xludf.DUMMYFUNCTION("""COMPUTED_VALUE"""),"")</f>
        <v/>
      </c>
      <c r="AB130" t="str">
        <f>IFERROR(__xludf.DUMMYFUNCTION("""COMPUTED_VALUE"""),"")</f>
        <v/>
      </c>
    </row>
    <row r="131">
      <c r="A131" s="2">
        <f>IFERROR(__xludf.DUMMYFUNCTION("""COMPUTED_VALUE"""),43633.82981752315)</f>
        <v>43633.82982</v>
      </c>
      <c r="B131" s="1" t="str">
        <f>IFERROR(__xludf.DUMMYFUNCTION("""COMPUTED_VALUE"""),"Mai-Vi VU")</f>
        <v>Mai-Vi VU</v>
      </c>
      <c r="C13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1" s="1" t="str">
        <f>IFERROR(__xludf.DUMMYFUNCTION("""COMPUTED_VALUE"""),"BDS")</f>
        <v>BDS</v>
      </c>
      <c r="E131" s="1">
        <f>IFERROR(__xludf.DUMMYFUNCTION("""COMPUTED_VALUE"""),4.0)</f>
        <v>4</v>
      </c>
      <c r="F131" s="1" t="str">
        <f>IFERROR(__xludf.DUMMYFUNCTION("""COMPUTED_VALUE"""),"Rock, Electro posée, Pop")</f>
        <v>Rock, Electro posée, Pop</v>
      </c>
      <c r="G131" s="1" t="str">
        <f>IFERROR(__xludf.DUMMYFUNCTION("""COMPUTED_VALUE"""),"Musique")</f>
        <v>Musique</v>
      </c>
      <c r="H131" s="1" t="str">
        <f>IFERROR(__xludf.DUMMYFUNCTION("""COMPUTED_VALUE"""),"Une fois de temps en temps")</f>
        <v>Une fois de temps en temps</v>
      </c>
      <c r="I131" s="1" t="str">
        <f>IFERROR(__xludf.DUMMYFUNCTION("""COMPUTED_VALUE"""),"Une fois par semaine")</f>
        <v>Une fois par semaine</v>
      </c>
      <c r="J131" s="1" t="str">
        <f>IFERROR(__xludf.DUMMYFUNCTION("""COMPUTED_VALUE"""),"Pour le fun")</f>
        <v>Pour le fun</v>
      </c>
      <c r="K131" s="1" t="str">
        <f>IFERROR(__xludf.DUMMYFUNCTION("""COMPUTED_VALUE"""),"Pas de sport, Sports collectifs")</f>
        <v>Pas de sport, Sports collectifs</v>
      </c>
      <c r="L131" s="1" t="str">
        <f>IFERROR(__xludf.DUMMYFUNCTION("""COMPUTED_VALUE"""),"J'aime cuisiner le WE ou quand j'ai le temps")</f>
        <v>J'aime cuisiner le WE ou quand j'ai le temps</v>
      </c>
      <c r="M131" s="1">
        <f>IFERROR(__xludf.DUMMYFUNCTION("""COMPUTED_VALUE"""),8.0)</f>
        <v>8</v>
      </c>
      <c r="N131" s="1" t="str">
        <f>IFERROR(__xludf.DUMMYFUNCTION("""COMPUTED_VALUE"""),"Une fois par semaine")</f>
        <v>Une fois par semaine</v>
      </c>
      <c r="O131" s="1" t="str">
        <f>IFERROR(__xludf.DUMMYFUNCTION("""COMPUTED_VALUE"""),"Tu te poses dans un coin, chill !!")</f>
        <v>Tu te poses dans un coin, chill !!</v>
      </c>
      <c r="P131" s="1">
        <f>IFERROR(__xludf.DUMMYFUNCTION("""COMPUTED_VALUE"""),1.0)</f>
        <v>1</v>
      </c>
      <c r="Q131" s="1" t="str">
        <f>IFERROR(__xludf.DUMMYFUNCTION("""COMPUTED_VALUE"""),"Non")</f>
        <v>Non</v>
      </c>
      <c r="R131" s="1" t="str">
        <f>IFERROR(__xludf.DUMMYFUNCTION("""COMPUTED_VALUE"""),"Non")</f>
        <v>Non</v>
      </c>
      <c r="S131" s="1" t="str">
        <f>IFERROR(__xludf.DUMMYFUNCTION("""COMPUTED_VALUE"""),"Jodyssée")</f>
        <v>Jodyssée</v>
      </c>
      <c r="T131" s="1" t="str">
        <f>IFERROR(__xludf.DUMMYFUNCTION("""COMPUTED_VALUE"""),"Une genouillère ")</f>
        <v>Une genouillère </v>
      </c>
      <c r="U131" t="str">
        <f>IFERROR(__xludf.DUMMYFUNCTION("""COMPUTED_VALUE"""),"")</f>
        <v/>
      </c>
      <c r="V131" t="str">
        <f>IFERROR(__xludf.DUMMYFUNCTION("""COMPUTED_VALUE"""),"")</f>
        <v/>
      </c>
      <c r="W131" t="str">
        <f>IFERROR(__xludf.DUMMYFUNCTION("""COMPUTED_VALUE"""),"")</f>
        <v/>
      </c>
      <c r="X131" t="str">
        <f>IFERROR(__xludf.DUMMYFUNCTION("""COMPUTED_VALUE"""),"")</f>
        <v/>
      </c>
      <c r="Y131" t="str">
        <f>IFERROR(__xludf.DUMMYFUNCTION("""COMPUTED_VALUE"""),"")</f>
        <v/>
      </c>
      <c r="Z131" t="str">
        <f>IFERROR(__xludf.DUMMYFUNCTION("""COMPUTED_VALUE"""),"")</f>
        <v/>
      </c>
      <c r="AA131" t="str">
        <f>IFERROR(__xludf.DUMMYFUNCTION("""COMPUTED_VALUE"""),"")</f>
        <v/>
      </c>
      <c r="AB131" t="str">
        <f>IFERROR(__xludf.DUMMYFUNCTION("""COMPUTED_VALUE"""),"")</f>
        <v/>
      </c>
    </row>
    <row r="132">
      <c r="A132" s="2">
        <f>IFERROR(__xludf.DUMMYFUNCTION("""COMPUTED_VALUE"""),43633.83582342592)</f>
        <v>43633.83582</v>
      </c>
      <c r="B132" s="1" t="str">
        <f>IFERROR(__xludf.DUMMYFUNCTION("""COMPUTED_VALUE"""),"Perrine JUILLET")</f>
        <v>Perrine JUILLET</v>
      </c>
      <c r="C13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2" s="1" t="str">
        <f>IFERROR(__xludf.DUMMYFUNCTION("""COMPUTED_VALUE"""),"BDS")</f>
        <v>BDS</v>
      </c>
      <c r="E132" s="1">
        <f>IFERROR(__xludf.DUMMYFUNCTION("""COMPUTED_VALUE"""),3.0)</f>
        <v>3</v>
      </c>
      <c r="F132" s="1" t="str">
        <f>IFERROR(__xludf.DUMMYFUNCTION("""COMPUTED_VALUE"""),"Je suis aigri et j'aime pas la musique")</f>
        <v>Je suis aigri et j'aime pas la musique</v>
      </c>
      <c r="G132" s="1" t="str">
        <f>IFERROR(__xludf.DUMMYFUNCTION("""COMPUTED_VALUE"""),"Pas du tout")</f>
        <v>Pas du tout</v>
      </c>
      <c r="H132" s="1" t="str">
        <f>IFERROR(__xludf.DUMMYFUNCTION("""COMPUTED_VALUE"""),"Seulement les soirs de pleine lune")</f>
        <v>Seulement les soirs de pleine lune</v>
      </c>
      <c r="I132" s="1" t="str">
        <f>IFERROR(__xludf.DUMMYFUNCTION("""COMPUTED_VALUE"""),"Plusieurs fois par semaine")</f>
        <v>Plusieurs fois par semaine</v>
      </c>
      <c r="J132" s="1" t="str">
        <f>IFERROR(__xludf.DUMMYFUNCTION("""COMPUTED_VALUE"""),"Pour le développement perso et se dépasser")</f>
        <v>Pour le développement perso et se dépasser</v>
      </c>
      <c r="K132" s="1" t="str">
        <f>IFERROR(__xludf.DUMMYFUNCTION("""COMPUTED_VALUE"""),"Equitation, Escalade")</f>
        <v>Equitation, Escalade</v>
      </c>
      <c r="L132" s="1" t="str">
        <f>IFERROR(__xludf.DUMMYFUNCTION("""COMPUTED_VALUE"""),"J'aime cuisiner le WE ou quand j'ai le temps")</f>
        <v>J'aime cuisiner le WE ou quand j'ai le temps</v>
      </c>
      <c r="M132" s="1">
        <f>IFERROR(__xludf.DUMMYFUNCTION("""COMPUTED_VALUE"""),7.0)</f>
        <v>7</v>
      </c>
      <c r="N132" s="1" t="str">
        <f>IFERROR(__xludf.DUMMYFUNCTION("""COMPUTED_VALUE"""),"Une fois par semaine")</f>
        <v>Une fois par semaine</v>
      </c>
      <c r="O132" s="1" t="str">
        <f>IFERROR(__xludf.DUMMYFUNCTION("""COMPUTED_VALUE"""),"T'enflammes le dancefloor")</f>
        <v>T'enflammes le dancefloor</v>
      </c>
      <c r="P132" s="1">
        <f>IFERROR(__xludf.DUMMYFUNCTION("""COMPUTED_VALUE"""),2.0)</f>
        <v>2</v>
      </c>
      <c r="Q132" s="1" t="str">
        <f>IFERROR(__xludf.DUMMYFUNCTION("""COMPUTED_VALUE"""),"Non")</f>
        <v>Non</v>
      </c>
      <c r="R132" s="1" t="str">
        <f>IFERROR(__xludf.DUMMYFUNCTION("""COMPUTED_VALUE"""),"Non")</f>
        <v>Non</v>
      </c>
      <c r="S132" s="1" t="str">
        <f>IFERROR(__xludf.DUMMYFUNCTION("""COMPUTED_VALUE"""),"Jodyssee")</f>
        <v>Jodyssee</v>
      </c>
      <c r="T132" s="1" t="str">
        <f>IFERROR(__xludf.DUMMYFUNCTION("""COMPUTED_VALUE"""),"Mon diplome de bac littéraire")</f>
        <v>Mon diplome de bac littéraire</v>
      </c>
      <c r="U132" t="str">
        <f>IFERROR(__xludf.DUMMYFUNCTION("""COMPUTED_VALUE"""),"")</f>
        <v/>
      </c>
      <c r="V132" t="str">
        <f>IFERROR(__xludf.DUMMYFUNCTION("""COMPUTED_VALUE"""),"")</f>
        <v/>
      </c>
      <c r="W132" t="str">
        <f>IFERROR(__xludf.DUMMYFUNCTION("""COMPUTED_VALUE"""),"")</f>
        <v/>
      </c>
      <c r="X132" t="str">
        <f>IFERROR(__xludf.DUMMYFUNCTION("""COMPUTED_VALUE"""),"")</f>
        <v/>
      </c>
      <c r="Y132" t="str">
        <f>IFERROR(__xludf.DUMMYFUNCTION("""COMPUTED_VALUE"""),"")</f>
        <v/>
      </c>
      <c r="Z132" t="str">
        <f>IFERROR(__xludf.DUMMYFUNCTION("""COMPUTED_VALUE"""),"")</f>
        <v/>
      </c>
      <c r="AA132" t="str">
        <f>IFERROR(__xludf.DUMMYFUNCTION("""COMPUTED_VALUE"""),"")</f>
        <v/>
      </c>
      <c r="AB132" t="str">
        <f>IFERROR(__xludf.DUMMYFUNCTION("""COMPUTED_VALUE"""),"")</f>
        <v/>
      </c>
    </row>
    <row r="133">
      <c r="A133" s="2">
        <f>IFERROR(__xludf.DUMMYFUNCTION("""COMPUTED_VALUE"""),43633.900661377316)</f>
        <v>43633.90066</v>
      </c>
      <c r="B133" s="1" t="str">
        <f>IFERROR(__xludf.DUMMYFUNCTION("""COMPUTED_VALUE"""),"Maxence PASCAL")</f>
        <v>Maxence PASCAL</v>
      </c>
      <c r="C133" s="1" t="str">
        <f>IFERROR(__xludf.DUMMYFUNCTION("""COMPUTED_VALUE"""),"Le président et un inconnu")</f>
        <v>Le président et un inconnu</v>
      </c>
      <c r="D133" s="1" t="str">
        <f>IFERROR(__xludf.DUMMYFUNCTION("""COMPUTED_VALUE"""),"BDS")</f>
        <v>BDS</v>
      </c>
      <c r="E133" s="1">
        <f>IFERROR(__xludf.DUMMYFUNCTION("""COMPUTED_VALUE"""),2.0)</f>
        <v>2</v>
      </c>
      <c r="F133" s="1" t="str">
        <f>IFERROR(__xludf.DUMMYFUNCTION("""COMPUTED_VALUE"""),"Rock, Pop")</f>
        <v>Rock, Pop</v>
      </c>
      <c r="G133" s="1" t="str">
        <f>IFERROR(__xludf.DUMMYFUNCTION("""COMPUTED_VALUE"""),"Musique, Cinéma")</f>
        <v>Musique, Cinéma</v>
      </c>
      <c r="H133" s="1" t="str">
        <f>IFERROR(__xludf.DUMMYFUNCTION("""COMPUTED_VALUE"""),"Une fois par jour")</f>
        <v>Une fois par jour</v>
      </c>
      <c r="I133" s="1" t="str">
        <f>IFERROR(__xludf.DUMMYFUNCTION("""COMPUTED_VALUE"""),"Une fois par semaine")</f>
        <v>Une fois par semaine</v>
      </c>
      <c r="J133" s="1" t="str">
        <f>IFERROR(__xludf.DUMMYFUNCTION("""COMPUTED_VALUE"""),"Pour le développement perso et se dépasser")</f>
        <v>Pour le développement perso et se dépasser</v>
      </c>
      <c r="K133" s="1" t="str">
        <f>IFERROR(__xludf.DUMMYFUNCTION("""COMPUTED_VALUE"""),"Sports collectifs, Athlétisme")</f>
        <v>Sports collectifs, Athlétisme</v>
      </c>
      <c r="L133" s="1" t="str">
        <f>IFERROR(__xludf.DUMMYFUNCTION("""COMPUTED_VALUE"""),"J'aime cuisiner le WE ou quand j'ai le temps")</f>
        <v>J'aime cuisiner le WE ou quand j'ai le temps</v>
      </c>
      <c r="M133" s="1">
        <f>IFERROR(__xludf.DUMMYFUNCTION("""COMPUTED_VALUE"""),3.0)</f>
        <v>3</v>
      </c>
      <c r="N133" s="1" t="str">
        <f>IFERROR(__xludf.DUMMYFUNCTION("""COMPUTED_VALUE"""),"Une fois par mois")</f>
        <v>Une fois par mois</v>
      </c>
      <c r="O133" s="1" t="str">
        <f>IFERROR(__xludf.DUMMYFUNCTION("""COMPUTED_VALUE"""),"Tu te poses dans un coin, chill !!")</f>
        <v>Tu te poses dans un coin, chill !!</v>
      </c>
      <c r="P133" s="1">
        <f>IFERROR(__xludf.DUMMYFUNCTION("""COMPUTED_VALUE"""),1.0)</f>
        <v>1</v>
      </c>
      <c r="Q133" s="1" t="str">
        <f>IFERROR(__xludf.DUMMYFUNCTION("""COMPUTED_VALUE"""),"Non")</f>
        <v>Non</v>
      </c>
      <c r="R133" s="1" t="str">
        <f>IFERROR(__xludf.DUMMYFUNCTION("""COMPUTED_VALUE"""),"Non")</f>
        <v>Non</v>
      </c>
      <c r="S133" s="1" t="str">
        <f>IFERROR(__xludf.DUMMYFUNCTION("""COMPUTED_VALUE"""),"Les trutitas")</f>
        <v>Les trutitas</v>
      </c>
      <c r="T133" s="1" t="str">
        <f>IFERROR(__xludf.DUMMYFUNCTION("""COMPUTED_VALUE"""),"Manette de console")</f>
        <v>Manette de console</v>
      </c>
      <c r="U133" t="str">
        <f>IFERROR(__xludf.DUMMYFUNCTION("""COMPUTED_VALUE"""),"")</f>
        <v/>
      </c>
      <c r="V133" t="str">
        <f>IFERROR(__xludf.DUMMYFUNCTION("""COMPUTED_VALUE"""),"")</f>
        <v/>
      </c>
      <c r="W133" t="str">
        <f>IFERROR(__xludf.DUMMYFUNCTION("""COMPUTED_VALUE"""),"")</f>
        <v/>
      </c>
      <c r="X133" t="str">
        <f>IFERROR(__xludf.DUMMYFUNCTION("""COMPUTED_VALUE"""),"")</f>
        <v/>
      </c>
      <c r="Y133" t="str">
        <f>IFERROR(__xludf.DUMMYFUNCTION("""COMPUTED_VALUE"""),"")</f>
        <v/>
      </c>
      <c r="Z133" t="str">
        <f>IFERROR(__xludf.DUMMYFUNCTION("""COMPUTED_VALUE"""),"")</f>
        <v/>
      </c>
      <c r="AA133" t="str">
        <f>IFERROR(__xludf.DUMMYFUNCTION("""COMPUTED_VALUE"""),"")</f>
        <v/>
      </c>
      <c r="AB133" t="str">
        <f>IFERROR(__xludf.DUMMYFUNCTION("""COMPUTED_VALUE"""),"")</f>
        <v/>
      </c>
    </row>
    <row r="134">
      <c r="A134" s="2">
        <f>IFERROR(__xludf.DUMMYFUNCTION("""COMPUTED_VALUE"""),43634.44562158565)</f>
        <v>43634.44562</v>
      </c>
      <c r="B134" s="1" t="str">
        <f>IFERROR(__xludf.DUMMYFUNCTION("""COMPUTED_VALUE"""),"Lisa SAVARIEAU")</f>
        <v>Lisa SAVARIEAU</v>
      </c>
      <c r="C13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4" s="1" t="str">
        <f>IFERROR(__xludf.DUMMYFUNCTION("""COMPUTED_VALUE"""),"BDS")</f>
        <v>BDS</v>
      </c>
      <c r="E134" s="1">
        <f>IFERROR(__xludf.DUMMYFUNCTION("""COMPUTED_VALUE"""),4.0)</f>
        <v>4</v>
      </c>
      <c r="F134" s="1" t="str">
        <f>IFERROR(__xludf.DUMMYFUNCTION("""COMPUTED_VALUE"""),"Musique fançaise")</f>
        <v>Musique fançaise</v>
      </c>
      <c r="G134" s="1" t="str">
        <f>IFERROR(__xludf.DUMMYFUNCTION("""COMPUTED_VALUE"""),"Cinéma")</f>
        <v>Cinéma</v>
      </c>
      <c r="H134" s="1" t="str">
        <f>IFERROR(__xludf.DUMMYFUNCTION("""COMPUTED_VALUE"""),"Seulement les soirs de pleine lune")</f>
        <v>Seulement les soirs de pleine lune</v>
      </c>
      <c r="I134" s="1" t="str">
        <f>IFERROR(__xludf.DUMMYFUNCTION("""COMPUTED_VALUE"""),"Plusieurs fois par semaine")</f>
        <v>Plusieurs fois par semaine</v>
      </c>
      <c r="J134" s="1" t="str">
        <f>IFERROR(__xludf.DUMMYFUNCTION("""COMPUTED_VALUE"""),"Pour le développement perso et se dépasser")</f>
        <v>Pour le développement perso et se dépasser</v>
      </c>
      <c r="K134" s="1" t="str">
        <f>IFERROR(__xludf.DUMMYFUNCTION("""COMPUTED_VALUE"""),"Sports collectifs")</f>
        <v>Sports collectifs</v>
      </c>
      <c r="L134" s="1" t="str">
        <f>IFERROR(__xludf.DUMMYFUNCTION("""COMPUTED_VALUE"""),"Alterner entre grec et coquillettes ça compte ?")</f>
        <v>Alterner entre grec et coquillettes ça compte ?</v>
      </c>
      <c r="M134" s="1">
        <f>IFERROR(__xludf.DUMMYFUNCTION("""COMPUTED_VALUE"""),6.0)</f>
        <v>6</v>
      </c>
      <c r="N134" s="1" t="str">
        <f>IFERROR(__xludf.DUMMYFUNCTION("""COMPUTED_VALUE"""),"Une fois par semaine")</f>
        <v>Une fois par semaine</v>
      </c>
      <c r="O134" s="1" t="str">
        <f>IFERROR(__xludf.DUMMYFUNCTION("""COMPUTED_VALUE"""),"Tu te poses dans un coin, chill !!")</f>
        <v>Tu te poses dans un coin, chill !!</v>
      </c>
      <c r="P134" s="1">
        <f>IFERROR(__xludf.DUMMYFUNCTION("""COMPUTED_VALUE"""),2.0)</f>
        <v>2</v>
      </c>
      <c r="Q134" s="1" t="str">
        <f>IFERROR(__xludf.DUMMYFUNCTION("""COMPUTED_VALUE"""),"Non")</f>
        <v>Non</v>
      </c>
      <c r="R134" s="1" t="str">
        <f>IFERROR(__xludf.DUMMYFUNCTION("""COMPUTED_VALUE"""),"Non")</f>
        <v>Non</v>
      </c>
      <c r="S134" s="1" t="str">
        <f>IFERROR(__xludf.DUMMYFUNCTION("""COMPUTED_VALUE"""),"DarkLudi et ses copines")</f>
        <v>DarkLudi et ses copines</v>
      </c>
      <c r="T134" s="1" t="str">
        <f>IFERROR(__xludf.DUMMYFUNCTION("""COMPUTED_VALUE"""),"Tomates cerises")</f>
        <v>Tomates cerises</v>
      </c>
      <c r="U134" t="str">
        <f>IFERROR(__xludf.DUMMYFUNCTION("""COMPUTED_VALUE"""),"")</f>
        <v/>
      </c>
      <c r="V134" t="str">
        <f>IFERROR(__xludf.DUMMYFUNCTION("""COMPUTED_VALUE"""),"")</f>
        <v/>
      </c>
      <c r="W134" t="str">
        <f>IFERROR(__xludf.DUMMYFUNCTION("""COMPUTED_VALUE"""),"")</f>
        <v/>
      </c>
      <c r="X134" t="str">
        <f>IFERROR(__xludf.DUMMYFUNCTION("""COMPUTED_VALUE"""),"")</f>
        <v/>
      </c>
      <c r="Y134" t="str">
        <f>IFERROR(__xludf.DUMMYFUNCTION("""COMPUTED_VALUE"""),"")</f>
        <v/>
      </c>
      <c r="Z134" t="str">
        <f>IFERROR(__xludf.DUMMYFUNCTION("""COMPUTED_VALUE"""),"")</f>
        <v/>
      </c>
      <c r="AA134" t="str">
        <f>IFERROR(__xludf.DUMMYFUNCTION("""COMPUTED_VALUE"""),"")</f>
        <v/>
      </c>
      <c r="AB134" t="str">
        <f>IFERROR(__xludf.DUMMYFUNCTION("""COMPUTED_VALUE"""),"")</f>
        <v/>
      </c>
    </row>
    <row r="135">
      <c r="A135" s="2">
        <f>IFERROR(__xludf.DUMMYFUNCTION("""COMPUTED_VALUE"""),43634.446225555555)</f>
        <v>43634.44623</v>
      </c>
      <c r="B135" s="1" t="str">
        <f>IFERROR(__xludf.DUMMYFUNCTION("""COMPUTED_VALUE"""),"Ludivine LUXEY")</f>
        <v>Ludivine LUXEY</v>
      </c>
      <c r="C13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5" s="1" t="str">
        <f>IFERROR(__xludf.DUMMYFUNCTION("""COMPUTED_VALUE"""),"BDS")</f>
        <v>BDS</v>
      </c>
      <c r="E135" s="1">
        <f>IFERROR(__xludf.DUMMYFUNCTION("""COMPUTED_VALUE"""),4.0)</f>
        <v>4</v>
      </c>
      <c r="F135" s="1" t="str">
        <f>IFERROR(__xludf.DUMMYFUNCTION("""COMPUTED_VALUE"""),"Pop")</f>
        <v>Pop</v>
      </c>
      <c r="G135" s="1" t="str">
        <f>IFERROR(__xludf.DUMMYFUNCTION("""COMPUTED_VALUE"""),"Musique")</f>
        <v>Musique</v>
      </c>
      <c r="H135" s="1" t="str">
        <f>IFERROR(__xludf.DUMMYFUNCTION("""COMPUTED_VALUE"""),"Seulement les soirs de pleine lune")</f>
        <v>Seulement les soirs de pleine lune</v>
      </c>
      <c r="I135" s="1" t="str">
        <f>IFERROR(__xludf.DUMMYFUNCTION("""COMPUTED_VALUE"""),"Plusieurs fois par semaine")</f>
        <v>Plusieurs fois par semaine</v>
      </c>
      <c r="J135" s="1" t="str">
        <f>IFERROR(__xludf.DUMMYFUNCTION("""COMPUTED_VALUE"""),"Pour le développement perso et se dépasser")</f>
        <v>Pour le développement perso et se dépasser</v>
      </c>
      <c r="K135" s="1" t="str">
        <f>IFERROR(__xludf.DUMMYFUNCTION("""COMPUTED_VALUE"""),"Sports collectifs")</f>
        <v>Sports collectifs</v>
      </c>
      <c r="L135" s="1" t="str">
        <f>IFERROR(__xludf.DUMMYFUNCTION("""COMPUTED_VALUE"""),"Oh oui, et les trucs bien gras ça me connait !")</f>
        <v>Oh oui, et les trucs bien gras ça me connait !</v>
      </c>
      <c r="M135" s="1">
        <f>IFERROR(__xludf.DUMMYFUNCTION("""COMPUTED_VALUE"""),7.0)</f>
        <v>7</v>
      </c>
      <c r="N135" s="1" t="str">
        <f>IFERROR(__xludf.DUMMYFUNCTION("""COMPUTED_VALUE"""),"Plusieurs fois par semaine")</f>
        <v>Plusieurs fois par semaine</v>
      </c>
      <c r="O135" s="1" t="str">
        <f>IFERROR(__xludf.DUMMYFUNCTION("""COMPUTED_VALUE"""),"T'enflammes le dancefloor")</f>
        <v>T'enflammes le dancefloor</v>
      </c>
      <c r="P135" s="1">
        <f>IFERROR(__xludf.DUMMYFUNCTION("""COMPUTED_VALUE"""),1.0)</f>
        <v>1</v>
      </c>
      <c r="Q135" s="1" t="str">
        <f>IFERROR(__xludf.DUMMYFUNCTION("""COMPUTED_VALUE"""),"Non")</f>
        <v>Non</v>
      </c>
      <c r="R135" s="1" t="str">
        <f>IFERROR(__xludf.DUMMYFUNCTION("""COMPUTED_VALUE"""),"Non")</f>
        <v>Non</v>
      </c>
      <c r="S135" s="1" t="str">
        <f>IFERROR(__xludf.DUMMYFUNCTION("""COMPUTED_VALUE"""),"DarkLudi et ses copines ")</f>
        <v>DarkLudi et ses copines </v>
      </c>
      <c r="T135" s="1" t="str">
        <f>IFERROR(__xludf.DUMMYFUNCTION("""COMPUTED_VALUE"""),"Drapeau rugby ")</f>
        <v>Drapeau rugby </v>
      </c>
      <c r="U135" t="str">
        <f>IFERROR(__xludf.DUMMYFUNCTION("""COMPUTED_VALUE"""),"")</f>
        <v/>
      </c>
      <c r="V135" t="str">
        <f>IFERROR(__xludf.DUMMYFUNCTION("""COMPUTED_VALUE"""),"")</f>
        <v/>
      </c>
      <c r="W135" t="str">
        <f>IFERROR(__xludf.DUMMYFUNCTION("""COMPUTED_VALUE"""),"")</f>
        <v/>
      </c>
      <c r="X135" t="str">
        <f>IFERROR(__xludf.DUMMYFUNCTION("""COMPUTED_VALUE"""),"")</f>
        <v/>
      </c>
      <c r="Y135" t="str">
        <f>IFERROR(__xludf.DUMMYFUNCTION("""COMPUTED_VALUE"""),"")</f>
        <v/>
      </c>
      <c r="Z135" t="str">
        <f>IFERROR(__xludf.DUMMYFUNCTION("""COMPUTED_VALUE"""),"")</f>
        <v/>
      </c>
      <c r="AA135" t="str">
        <f>IFERROR(__xludf.DUMMYFUNCTION("""COMPUTED_VALUE"""),"")</f>
        <v/>
      </c>
      <c r="AB135" t="str">
        <f>IFERROR(__xludf.DUMMYFUNCTION("""COMPUTED_VALUE"""),"")</f>
        <v/>
      </c>
    </row>
    <row r="136">
      <c r="A136" s="2">
        <f>IFERROR(__xludf.DUMMYFUNCTION("""COMPUTED_VALUE"""),43634.48000619213)</f>
        <v>43634.48001</v>
      </c>
      <c r="B136" t="str">
        <f>IFERROR(__xludf.DUMMYFUNCTION("""COMPUTED_VALUE"""),"Henrique MARTINEZ DE AZEVEDO")</f>
        <v>Henrique MARTINEZ DE AZEVEDO</v>
      </c>
      <c r="C13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6" t="str">
        <f>IFERROR(__xludf.DUMMYFUNCTION("""COMPUTED_VALUE"""),"BDS")</f>
        <v>BDS</v>
      </c>
      <c r="E136">
        <f>IFERROR(__xludf.DUMMYFUNCTION("""COMPUTED_VALUE"""),3.0)</f>
        <v>3</v>
      </c>
      <c r="F136" t="str">
        <f>IFERROR(__xludf.DUMMYFUNCTION("""COMPUTED_VALUE"""),"Rock, Electro posée, Rap, Jazz, Autre")</f>
        <v>Rock, Electro posée, Rap, Jazz, Autre</v>
      </c>
      <c r="G136" t="str">
        <f>IFERROR(__xludf.DUMMYFUNCTION("""COMPUTED_VALUE"""),"Peinture, Sculpture, Cinéma")</f>
        <v>Peinture, Sculpture, Cinéma</v>
      </c>
      <c r="H136" t="str">
        <f>IFERROR(__xludf.DUMMYFUNCTION("""COMPUTED_VALUE"""),"Quelques fois par semaine")</f>
        <v>Quelques fois par semaine</v>
      </c>
      <c r="I136" t="str">
        <f>IFERROR(__xludf.DUMMYFUNCTION("""COMPUTED_VALUE"""),"Une fois par semaine")</f>
        <v>Une fois par semaine</v>
      </c>
      <c r="J136" t="str">
        <f>IFERROR(__xludf.DUMMYFUNCTION("""COMPUTED_VALUE"""),"Pour le fun")</f>
        <v>Pour le fun</v>
      </c>
      <c r="K136" t="str">
        <f>IFERROR(__xludf.DUMMYFUNCTION("""COMPUTED_VALUE"""),"Sports collectifs")</f>
        <v>Sports collectifs</v>
      </c>
      <c r="L136" t="str">
        <f>IFERROR(__xludf.DUMMYFUNCTION("""COMPUTED_VALUE"""),"Je fais toujours attention à bien manger")</f>
        <v>Je fais toujours attention à bien manger</v>
      </c>
      <c r="M136">
        <f>IFERROR(__xludf.DUMMYFUNCTION("""COMPUTED_VALUE"""),8.0)</f>
        <v>8</v>
      </c>
      <c r="N136" t="str">
        <f>IFERROR(__xludf.DUMMYFUNCTION("""COMPUTED_VALUE"""),"Plusieurs fois par semaine")</f>
        <v>Plusieurs fois par semaine</v>
      </c>
      <c r="O136" t="str">
        <f>IFERROR(__xludf.DUMMYFUNCTION("""COMPUTED_VALUE"""),"T'enflammes le dancefloor")</f>
        <v>T'enflammes le dancefloor</v>
      </c>
      <c r="P136">
        <f>IFERROR(__xludf.DUMMYFUNCTION("""COMPUTED_VALUE"""),2.0)</f>
        <v>2</v>
      </c>
      <c r="Q136" t="str">
        <f>IFERROR(__xludf.DUMMYFUNCTION("""COMPUTED_VALUE"""),"Oui")</f>
        <v>Oui</v>
      </c>
      <c r="R136" t="str">
        <f>IFERROR(__xludf.DUMMYFUNCTION("""COMPUTED_VALUE"""),"Non")</f>
        <v>Non</v>
      </c>
      <c r="S136" t="str">
        <f>IFERROR(__xludf.DUMMYFUNCTION("""COMPUTED_VALUE"""),"Les trutitas")</f>
        <v>Les trutitas</v>
      </c>
      <c r="T136" t="str">
        <f>IFERROR(__xludf.DUMMYFUNCTION("""COMPUTED_VALUE"""),"une fausse canne a peche, peut-etre")</f>
        <v>une fausse canne a peche, peut-etre</v>
      </c>
      <c r="U136" t="str">
        <f>IFERROR(__xludf.DUMMYFUNCTION("""COMPUTED_VALUE"""),"")</f>
        <v/>
      </c>
      <c r="V136" t="str">
        <f>IFERROR(__xludf.DUMMYFUNCTION("""COMPUTED_VALUE"""),"")</f>
        <v/>
      </c>
      <c r="W136" t="str">
        <f>IFERROR(__xludf.DUMMYFUNCTION("""COMPUTED_VALUE"""),"")</f>
        <v/>
      </c>
      <c r="X136" t="str">
        <f>IFERROR(__xludf.DUMMYFUNCTION("""COMPUTED_VALUE"""),"")</f>
        <v/>
      </c>
      <c r="Y136" t="str">
        <f>IFERROR(__xludf.DUMMYFUNCTION("""COMPUTED_VALUE"""),"")</f>
        <v/>
      </c>
      <c r="Z136" t="str">
        <f>IFERROR(__xludf.DUMMYFUNCTION("""COMPUTED_VALUE"""),"")</f>
        <v/>
      </c>
      <c r="AA136" t="str">
        <f>IFERROR(__xludf.DUMMYFUNCTION("""COMPUTED_VALUE"""),"")</f>
        <v/>
      </c>
      <c r="AB136" t="str">
        <f>IFERROR(__xludf.DUMMYFUNCTION("""COMPUTED_VALUE"""),"")</f>
        <v/>
      </c>
    </row>
    <row r="137">
      <c r="A137" s="2">
        <f>IFERROR(__xludf.DUMMYFUNCTION("""COMPUTED_VALUE"""),43634.48752957176)</f>
        <v>43634.48753</v>
      </c>
      <c r="B137" s="1" t="str">
        <f>IFERROR(__xludf.DUMMYFUNCTION("""COMPUTED_VALUE"""),"Ariane BERGER")</f>
        <v>Ariane BERGER</v>
      </c>
      <c r="C13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7" s="1" t="str">
        <f>IFERROR(__xludf.DUMMYFUNCTION("""COMPUTED_VALUE"""),"BDS")</f>
        <v>BDS</v>
      </c>
      <c r="E137" s="1">
        <f>IFERROR(__xludf.DUMMYFUNCTION("""COMPUTED_VALUE"""),4.0)</f>
        <v>4</v>
      </c>
      <c r="F137" s="1" t="str">
        <f>IFERROR(__xludf.DUMMYFUNCTION("""COMPUTED_VALUE"""),"Pop, Musique fançaise")</f>
        <v>Pop, Musique fançaise</v>
      </c>
      <c r="G137" s="1" t="str">
        <f>IFERROR(__xludf.DUMMYFUNCTION("""COMPUTED_VALUE"""),"Pas du tout")</f>
        <v>Pas du tout</v>
      </c>
      <c r="H137" s="1" t="str">
        <f>IFERROR(__xludf.DUMMYFUNCTION("""COMPUTED_VALUE"""),"Seulement les soirs de pleine lune")</f>
        <v>Seulement les soirs de pleine lune</v>
      </c>
      <c r="I137" s="1" t="str">
        <f>IFERROR(__xludf.DUMMYFUNCTION("""COMPUTED_VALUE"""),"Plusieurs fois par semaine")</f>
        <v>Plusieurs fois par semaine</v>
      </c>
      <c r="J137" s="1" t="str">
        <f>IFERROR(__xludf.DUMMYFUNCTION("""COMPUTED_VALUE"""),"Pour le fun")</f>
        <v>Pour le fun</v>
      </c>
      <c r="K137" s="1" t="str">
        <f>IFERROR(__xludf.DUMMYFUNCTION("""COMPUTED_VALUE"""),"Sports collectifs")</f>
        <v>Sports collectifs</v>
      </c>
      <c r="L137" s="1" t="str">
        <f>IFERROR(__xludf.DUMMYFUNCTION("""COMPUTED_VALUE"""),"J'aime cuisiner le WE ou quand j'ai le temps")</f>
        <v>J'aime cuisiner le WE ou quand j'ai le temps</v>
      </c>
      <c r="M137" s="1">
        <f>IFERROR(__xludf.DUMMYFUNCTION("""COMPUTED_VALUE"""),8.0)</f>
        <v>8</v>
      </c>
      <c r="N137" s="1" t="str">
        <f>IFERROR(__xludf.DUMMYFUNCTION("""COMPUTED_VALUE"""),"Plusieurs fois par semaine")</f>
        <v>Plusieurs fois par semaine</v>
      </c>
      <c r="O137" s="1" t="str">
        <f>IFERROR(__xludf.DUMMYFUNCTION("""COMPUTED_VALUE"""),"T'enflammes le dancefloor")</f>
        <v>T'enflammes le dancefloor</v>
      </c>
      <c r="P137" s="1">
        <f>IFERROR(__xludf.DUMMYFUNCTION("""COMPUTED_VALUE"""),1.0)</f>
        <v>1</v>
      </c>
      <c r="Q137" s="1" t="str">
        <f>IFERROR(__xludf.DUMMYFUNCTION("""COMPUTED_VALUE"""),"Non")</f>
        <v>Non</v>
      </c>
      <c r="R137" s="1" t="str">
        <f>IFERROR(__xludf.DUMMYFUNCTION("""COMPUTED_VALUE"""),"Non")</f>
        <v>Non</v>
      </c>
      <c r="S137" s="1" t="str">
        <f>IFERROR(__xludf.DUMMYFUNCTION("""COMPUTED_VALUE"""),"DarkLudi et ses copines")</f>
        <v>DarkLudi et ses copines</v>
      </c>
      <c r="T137" s="1" t="str">
        <f>IFERROR(__xludf.DUMMYFUNCTION("""COMPUTED_VALUE"""),"Une bougie")</f>
        <v>Une bougie</v>
      </c>
      <c r="U137" t="str">
        <f>IFERROR(__xludf.DUMMYFUNCTION("""COMPUTED_VALUE"""),"")</f>
        <v/>
      </c>
      <c r="V137" t="str">
        <f>IFERROR(__xludf.DUMMYFUNCTION("""COMPUTED_VALUE"""),"")</f>
        <v/>
      </c>
      <c r="W137" t="str">
        <f>IFERROR(__xludf.DUMMYFUNCTION("""COMPUTED_VALUE"""),"")</f>
        <v/>
      </c>
      <c r="X137" t="str">
        <f>IFERROR(__xludf.DUMMYFUNCTION("""COMPUTED_VALUE"""),"")</f>
        <v/>
      </c>
      <c r="Y137" t="str">
        <f>IFERROR(__xludf.DUMMYFUNCTION("""COMPUTED_VALUE"""),"")</f>
        <v/>
      </c>
      <c r="Z137" t="str">
        <f>IFERROR(__xludf.DUMMYFUNCTION("""COMPUTED_VALUE"""),"")</f>
        <v/>
      </c>
      <c r="AA137" t="str">
        <f>IFERROR(__xludf.DUMMYFUNCTION("""COMPUTED_VALUE"""),"")</f>
        <v/>
      </c>
      <c r="AB137" t="str">
        <f>IFERROR(__xludf.DUMMYFUNCTION("""COMPUTED_VALUE"""),"")</f>
        <v/>
      </c>
    </row>
    <row r="138">
      <c r="A138" s="2">
        <f>IFERROR(__xludf.DUMMYFUNCTION("""COMPUTED_VALUE"""),43634.523350104166)</f>
        <v>43634.52335</v>
      </c>
      <c r="B138" s="1" t="str">
        <f>IFERROR(__xludf.DUMMYFUNCTION("""COMPUTED_VALUE"""),"Alice Mennesson")</f>
        <v>Alice Mennesson</v>
      </c>
      <c r="C138" s="1" t="str">
        <f>IFERROR(__xludf.DUMMYFUNCTION("""COMPUTED_VALUE"""),"Le président et un inconnu")</f>
        <v>Le président et un inconnu</v>
      </c>
      <c r="D138" s="1" t="str">
        <f>IFERROR(__xludf.DUMMYFUNCTION("""COMPUTED_VALUE"""),"BDS")</f>
        <v>BDS</v>
      </c>
      <c r="E138" s="1">
        <f>IFERROR(__xludf.DUMMYFUNCTION("""COMPUTED_VALUE"""),4.0)</f>
        <v>4</v>
      </c>
      <c r="F138" s="1" t="str">
        <f>IFERROR(__xludf.DUMMYFUNCTION("""COMPUTED_VALUE"""),"Electro posée, Rap, Pop, Musique fançaise")</f>
        <v>Electro posée, Rap, Pop, Musique fançaise</v>
      </c>
      <c r="G138" s="1" t="str">
        <f>IFERROR(__xludf.DUMMYFUNCTION("""COMPUTED_VALUE"""),"Littérature, Théâtre, Cinéma")</f>
        <v>Littérature, Théâtre, Cinéma</v>
      </c>
      <c r="H138" s="1" t="str">
        <f>IFERROR(__xludf.DUMMYFUNCTION("""COMPUTED_VALUE"""),"Seulement les soirs de pleine lune")</f>
        <v>Seulement les soirs de pleine lune</v>
      </c>
      <c r="I138" s="1" t="str">
        <f>IFERROR(__xludf.DUMMYFUNCTION("""COMPUTED_VALUE"""),"Plusieurs fois par semaine")</f>
        <v>Plusieurs fois par semaine</v>
      </c>
      <c r="J138" s="1" t="str">
        <f>IFERROR(__xludf.DUMMYFUNCTION("""COMPUTED_VALUE"""),"Pour le développement perso et se dépasser")</f>
        <v>Pour le développement perso et se dépasser</v>
      </c>
      <c r="K138" s="1" t="str">
        <f>IFERROR(__xludf.DUMMYFUNCTION("""COMPUTED_VALUE"""),"Sports collectifs")</f>
        <v>Sports collectifs</v>
      </c>
      <c r="L138" s="1" t="str">
        <f>IFERROR(__xludf.DUMMYFUNCTION("""COMPUTED_VALUE"""),"J'aime cuisiner le WE ou quand j'ai le temps")</f>
        <v>J'aime cuisiner le WE ou quand j'ai le temps</v>
      </c>
      <c r="M138" s="1">
        <f>IFERROR(__xludf.DUMMYFUNCTION("""COMPUTED_VALUE"""),9.0)</f>
        <v>9</v>
      </c>
      <c r="N138" s="1" t="str">
        <f>IFERROR(__xludf.DUMMYFUNCTION("""COMPUTED_VALUE"""),"Plusieurs fois par semaine")</f>
        <v>Plusieurs fois par semaine</v>
      </c>
      <c r="O138" s="1" t="str">
        <f>IFERROR(__xludf.DUMMYFUNCTION("""COMPUTED_VALUE"""),"Tu te poses dans un coin, chill !!")</f>
        <v>Tu te poses dans un coin, chill !!</v>
      </c>
      <c r="P138" s="1">
        <f>IFERROR(__xludf.DUMMYFUNCTION("""COMPUTED_VALUE"""),3.0)</f>
        <v>3</v>
      </c>
      <c r="Q138" s="1" t="str">
        <f>IFERROR(__xludf.DUMMYFUNCTION("""COMPUTED_VALUE"""),"Non")</f>
        <v>Non</v>
      </c>
      <c r="R138" s="1" t="str">
        <f>IFERROR(__xludf.DUMMYFUNCTION("""COMPUTED_VALUE"""),"Non")</f>
        <v>Non</v>
      </c>
      <c r="S138" s="1" t="str">
        <f>IFERROR(__xludf.DUMMYFUNCTION("""COMPUTED_VALUE"""),"Dark Ludi et ses copines ")</f>
        <v>Dark Ludi et ses copines </v>
      </c>
      <c r="T138" s="1" t="str">
        <f>IFERROR(__xludf.DUMMYFUNCTION("""COMPUTED_VALUE"""),"Une planche de snow")</f>
        <v>Une planche de snow</v>
      </c>
      <c r="U138" t="str">
        <f>IFERROR(__xludf.DUMMYFUNCTION("""COMPUTED_VALUE"""),"")</f>
        <v/>
      </c>
      <c r="V138" t="str">
        <f>IFERROR(__xludf.DUMMYFUNCTION("""COMPUTED_VALUE"""),"")</f>
        <v/>
      </c>
      <c r="W138" t="str">
        <f>IFERROR(__xludf.DUMMYFUNCTION("""COMPUTED_VALUE"""),"")</f>
        <v/>
      </c>
      <c r="X138" t="str">
        <f>IFERROR(__xludf.DUMMYFUNCTION("""COMPUTED_VALUE"""),"")</f>
        <v/>
      </c>
      <c r="Y138" t="str">
        <f>IFERROR(__xludf.DUMMYFUNCTION("""COMPUTED_VALUE"""),"")</f>
        <v/>
      </c>
      <c r="Z138" t="str">
        <f>IFERROR(__xludf.DUMMYFUNCTION("""COMPUTED_VALUE"""),"")</f>
        <v/>
      </c>
      <c r="AA138" t="str">
        <f>IFERROR(__xludf.DUMMYFUNCTION("""COMPUTED_VALUE"""),"")</f>
        <v/>
      </c>
      <c r="AB138" t="str">
        <f>IFERROR(__xludf.DUMMYFUNCTION("""COMPUTED_VALUE"""),"")</f>
        <v/>
      </c>
    </row>
    <row r="139">
      <c r="A139" s="2">
        <f>IFERROR(__xludf.DUMMYFUNCTION("""COMPUTED_VALUE"""),43634.56438787037)</f>
        <v>43634.56439</v>
      </c>
      <c r="B139" s="1" t="str">
        <f>IFERROR(__xludf.DUMMYFUNCTION("""COMPUTED_VALUE"""),"José Ronzel")</f>
        <v>José Ronzel</v>
      </c>
      <c r="C13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39" s="1" t="str">
        <f>IFERROR(__xludf.DUMMYFUNCTION("""COMPUTED_VALUE"""),"BDS")</f>
        <v>BDS</v>
      </c>
      <c r="E139" s="1">
        <f>IFERROR(__xludf.DUMMYFUNCTION("""COMPUTED_VALUE"""),3.0)</f>
        <v>3</v>
      </c>
      <c r="F139" s="1" t="str">
        <f>IFERROR(__xludf.DUMMYFUNCTION("""COMPUTED_VALUE"""),"Rock, Metal, Electro posée, Electro hard, Rap, Pop, Musique fançaise, Jazz, Musique classique, Kpop, Autre")</f>
        <v>Rock, Metal, Electro posée, Electro hard, Rap, Pop, Musique fançaise, Jazz, Musique classique, Kpop, Autre</v>
      </c>
      <c r="G139" s="1" t="str">
        <f>IFERROR(__xludf.DUMMYFUNCTION("""COMPUTED_VALUE"""),"Peinture, Littérature, Sculpture, Danse, Musique, Théâtre, Cinéma, Graphisme, Autre")</f>
        <v>Peinture, Littérature, Sculpture, Danse, Musique, Théâtre, Cinéma, Graphisme, Autre</v>
      </c>
      <c r="H139" s="1" t="str">
        <f>IFERROR(__xludf.DUMMYFUNCTION("""COMPUTED_VALUE"""),"Seulement les soirs de pleine lune")</f>
        <v>Seulement les soirs de pleine lune</v>
      </c>
      <c r="I139" s="1" t="str">
        <f>IFERROR(__xludf.DUMMYFUNCTION("""COMPUTED_VALUE"""),"Le dimanche à 15h32 s'il fait beau")</f>
        <v>Le dimanche à 15h32 s'il fait beau</v>
      </c>
      <c r="J139" s="1" t="str">
        <f>IFERROR(__xludf.DUMMYFUNCTION("""COMPUTED_VALUE"""),"Pour le fun")</f>
        <v>Pour le fun</v>
      </c>
      <c r="K139" s="1" t="str">
        <f>IFERROR(__xludf.DUMMYFUNCTION("""COMPUTED_VALUE"""),"Sports collectifs, Sports de raquette, Athlétisme, Voile, Sports de rames, Sports aquatiques, Sports de combat, Equitation, Escalade, Autre")</f>
        <v>Sports collectifs, Sports de raquette, Athlétisme, Voile, Sports de rames, Sports aquatiques, Sports de combat, Equitation, Escalade, Autre</v>
      </c>
      <c r="L139" s="1" t="str">
        <f>IFERROR(__xludf.DUMMYFUNCTION("""COMPUTED_VALUE"""),"J'aime cuisiner le WE ou quand j'ai le temps")</f>
        <v>J'aime cuisiner le WE ou quand j'ai le temps</v>
      </c>
      <c r="M139" s="1">
        <f>IFERROR(__xludf.DUMMYFUNCTION("""COMPUTED_VALUE"""),7.0)</f>
        <v>7</v>
      </c>
      <c r="N139" s="1" t="str">
        <f>IFERROR(__xludf.DUMMYFUNCTION("""COMPUTED_VALUE"""),"Une fois par semaine")</f>
        <v>Une fois par semaine</v>
      </c>
      <c r="O139" s="1" t="str">
        <f>IFERROR(__xludf.DUMMYFUNCTION("""COMPUTED_VALUE"""),"Tu te poses dans un coin, chill !!")</f>
        <v>Tu te poses dans un coin, chill !!</v>
      </c>
      <c r="P139" s="1">
        <f>IFERROR(__xludf.DUMMYFUNCTION("""COMPUTED_VALUE"""),3.0)</f>
        <v>3</v>
      </c>
      <c r="Q139" s="1" t="str">
        <f>IFERROR(__xludf.DUMMYFUNCTION("""COMPUTED_VALUE"""),"Oui")</f>
        <v>Oui</v>
      </c>
      <c r="R139" s="1" t="str">
        <f>IFERROR(__xludf.DUMMYFUNCTION("""COMPUTED_VALUE"""),"Non")</f>
        <v>Non</v>
      </c>
      <c r="S139" s="1" t="str">
        <f>IFERROR(__xludf.DUMMYFUNCTION("""COMPUTED_VALUE"""),"les trutitas")</f>
        <v>les trutitas</v>
      </c>
      <c r="T139" s="1" t="str">
        <f>IFERROR(__xludf.DUMMYFUNCTION("""COMPUTED_VALUE"""),"Feo le chat")</f>
        <v>Feo le chat</v>
      </c>
      <c r="U139" t="str">
        <f>IFERROR(__xludf.DUMMYFUNCTION("""COMPUTED_VALUE"""),"")</f>
        <v/>
      </c>
      <c r="V139" t="str">
        <f>IFERROR(__xludf.DUMMYFUNCTION("""COMPUTED_VALUE"""),"")</f>
        <v/>
      </c>
      <c r="W139" t="str">
        <f>IFERROR(__xludf.DUMMYFUNCTION("""COMPUTED_VALUE"""),"")</f>
        <v/>
      </c>
      <c r="X139" t="str">
        <f>IFERROR(__xludf.DUMMYFUNCTION("""COMPUTED_VALUE"""),"")</f>
        <v/>
      </c>
      <c r="Y139" t="str">
        <f>IFERROR(__xludf.DUMMYFUNCTION("""COMPUTED_VALUE"""),"")</f>
        <v/>
      </c>
      <c r="Z139" t="str">
        <f>IFERROR(__xludf.DUMMYFUNCTION("""COMPUTED_VALUE"""),"")</f>
        <v/>
      </c>
      <c r="AA139" t="str">
        <f>IFERROR(__xludf.DUMMYFUNCTION("""COMPUTED_VALUE"""),"")</f>
        <v/>
      </c>
      <c r="AB139" t="str">
        <f>IFERROR(__xludf.DUMMYFUNCTION("""COMPUTED_VALUE"""),"")</f>
        <v/>
      </c>
    </row>
    <row r="140">
      <c r="A140" s="2">
        <f>IFERROR(__xludf.DUMMYFUNCTION("""COMPUTED_VALUE"""),43634.59127744213)</f>
        <v>43634.59128</v>
      </c>
      <c r="B140" s="1" t="str">
        <f>IFERROR(__xludf.DUMMYFUNCTION("""COMPUTED_VALUE"""),"Exequiel")</f>
        <v>Exequiel</v>
      </c>
      <c r="C14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0" s="1" t="str">
        <f>IFERROR(__xludf.DUMMYFUNCTION("""COMPUTED_VALUE"""),"Pas de liste")</f>
        <v>Pas de liste</v>
      </c>
      <c r="E140" s="1">
        <f>IFERROR(__xludf.DUMMYFUNCTION("""COMPUTED_VALUE"""),2.0)</f>
        <v>2</v>
      </c>
      <c r="F140" s="1" t="str">
        <f>IFERROR(__xludf.DUMMYFUNCTION("""COMPUTED_VALUE"""),"Musique classique")</f>
        <v>Musique classique</v>
      </c>
      <c r="G140" s="1" t="str">
        <f>IFERROR(__xludf.DUMMYFUNCTION("""COMPUTED_VALUE"""),"Littérature, Musique")</f>
        <v>Littérature, Musique</v>
      </c>
      <c r="H140" s="1" t="str">
        <f>IFERROR(__xludf.DUMMYFUNCTION("""COMPUTED_VALUE"""),"Seulement les soirs de pleine lune")</f>
        <v>Seulement les soirs de pleine lune</v>
      </c>
      <c r="I140" s="1" t="str">
        <f>IFERROR(__xludf.DUMMYFUNCTION("""COMPUTED_VALUE"""),"Plusieurs fois par semaine")</f>
        <v>Plusieurs fois par semaine</v>
      </c>
      <c r="J140" s="1" t="str">
        <f>IFERROR(__xludf.DUMMYFUNCTION("""COMPUTED_VALUE"""),"Pour le fun")</f>
        <v>Pour le fun</v>
      </c>
      <c r="K140" s="1" t="str">
        <f>IFERROR(__xludf.DUMMYFUNCTION("""COMPUTED_VALUE"""),"Sports collectifs, Sports de raquette")</f>
        <v>Sports collectifs, Sports de raquette</v>
      </c>
      <c r="L140" s="1" t="str">
        <f>IFERROR(__xludf.DUMMYFUNCTION("""COMPUTED_VALUE"""),"Je fais toujours attention à bien manger")</f>
        <v>Je fais toujours attention à bien manger</v>
      </c>
      <c r="M140" s="1">
        <f>IFERROR(__xludf.DUMMYFUNCTION("""COMPUTED_VALUE"""),1.0)</f>
        <v>1</v>
      </c>
      <c r="N140" s="1" t="str">
        <f>IFERROR(__xludf.DUMMYFUNCTION("""COMPUTED_VALUE"""),"Une fois par mois")</f>
        <v>Une fois par mois</v>
      </c>
      <c r="O140" s="1" t="str">
        <f>IFERROR(__xludf.DUMMYFUNCTION("""COMPUTED_VALUE"""),"Tu viens pas")</f>
        <v>Tu viens pas</v>
      </c>
      <c r="P140" s="1">
        <f>IFERROR(__xludf.DUMMYFUNCTION("""COMPUTED_VALUE"""),1.0)</f>
        <v>1</v>
      </c>
      <c r="Q140" s="1" t="str">
        <f>IFERROR(__xludf.DUMMYFUNCTION("""COMPUTED_VALUE"""),"Oui")</f>
        <v>Oui</v>
      </c>
      <c r="R140" s="1" t="str">
        <f>IFERROR(__xludf.DUMMYFUNCTION("""COMPUTED_VALUE"""),"Non")</f>
        <v>Non</v>
      </c>
      <c r="S140" s="1" t="str">
        <f>IFERROR(__xludf.DUMMYFUNCTION("""COMPUTED_VALUE"""),"Les trutitas")</f>
        <v>Les trutitas</v>
      </c>
      <c r="T140" s="1" t="str">
        <f>IFERROR(__xludf.DUMMYFUNCTION("""COMPUTED_VALUE"""),"Une flute")</f>
        <v>Une flute</v>
      </c>
      <c r="U140" t="str">
        <f>IFERROR(__xludf.DUMMYFUNCTION("""COMPUTED_VALUE"""),"")</f>
        <v/>
      </c>
      <c r="V140" t="str">
        <f>IFERROR(__xludf.DUMMYFUNCTION("""COMPUTED_VALUE"""),"")</f>
        <v/>
      </c>
      <c r="W140" t="str">
        <f>IFERROR(__xludf.DUMMYFUNCTION("""COMPUTED_VALUE"""),"")</f>
        <v/>
      </c>
      <c r="X140" t="str">
        <f>IFERROR(__xludf.DUMMYFUNCTION("""COMPUTED_VALUE"""),"")</f>
        <v/>
      </c>
      <c r="Y140" t="str">
        <f>IFERROR(__xludf.DUMMYFUNCTION("""COMPUTED_VALUE"""),"")</f>
        <v/>
      </c>
      <c r="Z140" t="str">
        <f>IFERROR(__xludf.DUMMYFUNCTION("""COMPUTED_VALUE"""),"")</f>
        <v/>
      </c>
      <c r="AA140" t="str">
        <f>IFERROR(__xludf.DUMMYFUNCTION("""COMPUTED_VALUE"""),"")</f>
        <v/>
      </c>
      <c r="AB140" t="str">
        <f>IFERROR(__xludf.DUMMYFUNCTION("""COMPUTED_VALUE"""),"")</f>
        <v/>
      </c>
    </row>
    <row r="141">
      <c r="A141" s="2">
        <f>IFERROR(__xludf.DUMMYFUNCTION("""COMPUTED_VALUE"""),43634.773569212965)</f>
        <v>43634.77357</v>
      </c>
      <c r="B141" s="1" t="str">
        <f>IFERROR(__xludf.DUMMYFUNCTION("""COMPUTED_VALUE"""),"Léa SCETBUN")</f>
        <v>Léa SCETBUN</v>
      </c>
      <c r="C14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1" s="1" t="str">
        <f>IFERROR(__xludf.DUMMYFUNCTION("""COMPUTED_VALUE"""),"BDE")</f>
        <v>BDE</v>
      </c>
      <c r="E141" s="1">
        <f>IFERROR(__xludf.DUMMYFUNCTION("""COMPUTED_VALUE"""),2.0)</f>
        <v>2</v>
      </c>
      <c r="F141" s="1" t="str">
        <f>IFERROR(__xludf.DUMMYFUNCTION("""COMPUTED_VALUE"""),"Musique fançaise")</f>
        <v>Musique fançaise</v>
      </c>
      <c r="G141" s="1" t="str">
        <f>IFERROR(__xludf.DUMMYFUNCTION("""COMPUTED_VALUE"""),"Musique, Théâtre")</f>
        <v>Musique, Théâtre</v>
      </c>
      <c r="H141" s="1" t="str">
        <f>IFERROR(__xludf.DUMMYFUNCTION("""COMPUTED_VALUE"""),"Seulement les soirs de pleine lune")</f>
        <v>Seulement les soirs de pleine lune</v>
      </c>
      <c r="I141" s="1" t="str">
        <f>IFERROR(__xludf.DUMMYFUNCTION("""COMPUTED_VALUE"""),"Le dimanche à 15h32 s'il fait beau")</f>
        <v>Le dimanche à 15h32 s'il fait beau</v>
      </c>
      <c r="J141" s="1" t="str">
        <f>IFERROR(__xludf.DUMMYFUNCTION("""COMPUTED_VALUE"""),"Pour le développement perso et se dépasser")</f>
        <v>Pour le développement perso et se dépasser</v>
      </c>
      <c r="K141" s="1" t="str">
        <f>IFERROR(__xludf.DUMMYFUNCTION("""COMPUTED_VALUE"""),"Autre")</f>
        <v>Autre</v>
      </c>
      <c r="L141" s="1" t="str">
        <f>IFERROR(__xludf.DUMMYFUNCTION("""COMPUTED_VALUE"""),"Je fais toujours attention à bien manger")</f>
        <v>Je fais toujours attention à bien manger</v>
      </c>
      <c r="M141" s="1">
        <f>IFERROR(__xludf.DUMMYFUNCTION("""COMPUTED_VALUE"""),5.0)</f>
        <v>5</v>
      </c>
      <c r="N141" s="1" t="str">
        <f>IFERROR(__xludf.DUMMYFUNCTION("""COMPUTED_VALUE"""),"Une fois par semaine")</f>
        <v>Une fois par semaine</v>
      </c>
      <c r="O141" s="1" t="str">
        <f>IFERROR(__xludf.DUMMYFUNCTION("""COMPUTED_VALUE"""),"T'enflammes le dancefloor")</f>
        <v>T'enflammes le dancefloor</v>
      </c>
      <c r="P141" s="1">
        <f>IFERROR(__xludf.DUMMYFUNCTION("""COMPUTED_VALUE"""),1.0)</f>
        <v>1</v>
      </c>
      <c r="Q141" s="1" t="str">
        <f>IFERROR(__xludf.DUMMYFUNCTION("""COMPUTED_VALUE"""),"Non")</f>
        <v>Non</v>
      </c>
      <c r="R141" s="1" t="str">
        <f>IFERROR(__xludf.DUMMYFUNCTION("""COMPUTED_VALUE"""),"Non")</f>
        <v>Non</v>
      </c>
      <c r="S141" s="1" t="str">
        <f>IFERROR(__xludf.DUMMYFUNCTION("""COMPUTED_VALUE"""),"Les grosses cochonnes")</f>
        <v>Les grosses cochonnes</v>
      </c>
      <c r="T141" s="1" t="str">
        <f>IFERROR(__xludf.DUMMYFUNCTION("""COMPUTED_VALUE"""),"Un porte clé")</f>
        <v>Un porte clé</v>
      </c>
      <c r="U141" t="str">
        <f>IFERROR(__xludf.DUMMYFUNCTION("""COMPUTED_VALUE"""),"")</f>
        <v/>
      </c>
      <c r="V141" t="str">
        <f>IFERROR(__xludf.DUMMYFUNCTION("""COMPUTED_VALUE"""),"")</f>
        <v/>
      </c>
      <c r="W141" t="str">
        <f>IFERROR(__xludf.DUMMYFUNCTION("""COMPUTED_VALUE"""),"")</f>
        <v/>
      </c>
      <c r="X141" t="str">
        <f>IFERROR(__xludf.DUMMYFUNCTION("""COMPUTED_VALUE"""),"")</f>
        <v/>
      </c>
      <c r="Y141" t="str">
        <f>IFERROR(__xludf.DUMMYFUNCTION("""COMPUTED_VALUE"""),"")</f>
        <v/>
      </c>
      <c r="Z141" t="str">
        <f>IFERROR(__xludf.DUMMYFUNCTION("""COMPUTED_VALUE"""),"")</f>
        <v/>
      </c>
      <c r="AA141" t="str">
        <f>IFERROR(__xludf.DUMMYFUNCTION("""COMPUTED_VALUE"""),"")</f>
        <v/>
      </c>
      <c r="AB141" t="str">
        <f>IFERROR(__xludf.DUMMYFUNCTION("""COMPUTED_VALUE"""),"")</f>
        <v/>
      </c>
    </row>
    <row r="142">
      <c r="A142" s="2">
        <f>IFERROR(__xludf.DUMMYFUNCTION("""COMPUTED_VALUE"""),43634.77729375)</f>
        <v>43634.77729</v>
      </c>
      <c r="B142" s="1" t="str">
        <f>IFERROR(__xludf.DUMMYFUNCTION("""COMPUTED_VALUE"""),"Théo DELOBEL")</f>
        <v>Théo DELOBEL</v>
      </c>
      <c r="C14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2" s="1" t="str">
        <f>IFERROR(__xludf.DUMMYFUNCTION("""COMPUTED_VALUE"""),"BDE")</f>
        <v>BDE</v>
      </c>
      <c r="E142" s="1">
        <f>IFERROR(__xludf.DUMMYFUNCTION("""COMPUTED_VALUE"""),3.0)</f>
        <v>3</v>
      </c>
      <c r="F142" s="1" t="str">
        <f>IFERROR(__xludf.DUMMYFUNCTION("""COMPUTED_VALUE"""),"Rock, Electro posée, Pop, Musique fançaise")</f>
        <v>Rock, Electro posée, Pop, Musique fançaise</v>
      </c>
      <c r="G142" s="1" t="str">
        <f>IFERROR(__xludf.DUMMYFUNCTION("""COMPUTED_VALUE"""),"Littérature, Musique, Théâtre, Cinéma")</f>
        <v>Littérature, Musique, Théâtre, Cinéma</v>
      </c>
      <c r="H142" s="1" t="str">
        <f>IFERROR(__xludf.DUMMYFUNCTION("""COMPUTED_VALUE"""),"Quelques fois par semaine")</f>
        <v>Quelques fois par semaine</v>
      </c>
      <c r="I142" s="1" t="str">
        <f>IFERROR(__xludf.DUMMYFUNCTION("""COMPUTED_VALUE"""),"Une fois par semaine")</f>
        <v>Une fois par semaine</v>
      </c>
      <c r="J142" s="1" t="str">
        <f>IFERROR(__xludf.DUMMYFUNCTION("""COMPUTED_VALUE"""),"Pour le développement perso et se dépasser")</f>
        <v>Pour le développement perso et se dépasser</v>
      </c>
      <c r="K142" s="1" t="str">
        <f>IFERROR(__xludf.DUMMYFUNCTION("""COMPUTED_VALUE"""),"Autre")</f>
        <v>Autre</v>
      </c>
      <c r="L142" s="1" t="str">
        <f>IFERROR(__xludf.DUMMYFUNCTION("""COMPUTED_VALUE"""),"J'aime cuisiner le WE ou quand j'ai le temps")</f>
        <v>J'aime cuisiner le WE ou quand j'ai le temps</v>
      </c>
      <c r="M142" s="1">
        <f>IFERROR(__xludf.DUMMYFUNCTION("""COMPUTED_VALUE"""),3.0)</f>
        <v>3</v>
      </c>
      <c r="N142" s="1" t="str">
        <f>IFERROR(__xludf.DUMMYFUNCTION("""COMPUTED_VALUE"""),"Une fois par mois")</f>
        <v>Une fois par mois</v>
      </c>
      <c r="O142" s="1" t="str">
        <f>IFERROR(__xludf.DUMMYFUNCTION("""COMPUTED_VALUE"""),"T'enflammes le dancefloor")</f>
        <v>T'enflammes le dancefloor</v>
      </c>
      <c r="P142" s="1">
        <f>IFERROR(__xludf.DUMMYFUNCTION("""COMPUTED_VALUE"""),1.0)</f>
        <v>1</v>
      </c>
      <c r="Q142" s="1" t="str">
        <f>IFERROR(__xludf.DUMMYFUNCTION("""COMPUTED_VALUE"""),"Non")</f>
        <v>Non</v>
      </c>
      <c r="R142" s="1" t="str">
        <f>IFERROR(__xludf.DUMMYFUNCTION("""COMPUTED_VALUE"""),"Non")</f>
        <v>Non</v>
      </c>
      <c r="S142" s="1" t="str">
        <f>IFERROR(__xludf.DUMMYFUNCTION("""COMPUTED_VALUE"""),"Les Grosses Cochonnes")</f>
        <v>Les Grosses Cochonnes</v>
      </c>
      <c r="T142" s="1" t="str">
        <f>IFERROR(__xludf.DUMMYFUNCTION("""COMPUTED_VALUE"""),"Le fleurs du mal/pin's Brio/autrechoselol")</f>
        <v>Le fleurs du mal/pin's Brio/autrechoselol</v>
      </c>
      <c r="U142" t="str">
        <f>IFERROR(__xludf.DUMMYFUNCTION("""COMPUTED_VALUE"""),"")</f>
        <v/>
      </c>
      <c r="V142" t="str">
        <f>IFERROR(__xludf.DUMMYFUNCTION("""COMPUTED_VALUE"""),"")</f>
        <v/>
      </c>
      <c r="W142" t="str">
        <f>IFERROR(__xludf.DUMMYFUNCTION("""COMPUTED_VALUE"""),"")</f>
        <v/>
      </c>
      <c r="X142" t="str">
        <f>IFERROR(__xludf.DUMMYFUNCTION("""COMPUTED_VALUE"""),"")</f>
        <v/>
      </c>
      <c r="Y142" t="str">
        <f>IFERROR(__xludf.DUMMYFUNCTION("""COMPUTED_VALUE"""),"")</f>
        <v/>
      </c>
      <c r="Z142" t="str">
        <f>IFERROR(__xludf.DUMMYFUNCTION("""COMPUTED_VALUE"""),"")</f>
        <v/>
      </c>
      <c r="AA142" t="str">
        <f>IFERROR(__xludf.DUMMYFUNCTION("""COMPUTED_VALUE"""),"")</f>
        <v/>
      </c>
      <c r="AB142" t="str">
        <f>IFERROR(__xludf.DUMMYFUNCTION("""COMPUTED_VALUE"""),"")</f>
        <v/>
      </c>
    </row>
    <row r="143">
      <c r="A143" s="2">
        <f>IFERROR(__xludf.DUMMYFUNCTION("""COMPUTED_VALUE"""),43634.77771288194)</f>
        <v>43634.77771</v>
      </c>
      <c r="B143" s="1" t="str">
        <f>IFERROR(__xludf.DUMMYFUNCTION("""COMPUTED_VALUE"""),"Jérôme KAYSER")</f>
        <v>Jérôme KAYSER</v>
      </c>
      <c r="C14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3" s="1" t="str">
        <f>IFERROR(__xludf.DUMMYFUNCTION("""COMPUTED_VALUE"""),"BDE")</f>
        <v>BDE</v>
      </c>
      <c r="E143" s="1">
        <f>IFERROR(__xludf.DUMMYFUNCTION("""COMPUTED_VALUE"""),5.0)</f>
        <v>5</v>
      </c>
      <c r="F143" s="1" t="str">
        <f>IFERROR(__xludf.DUMMYFUNCTION("""COMPUTED_VALUE"""),"Rock, Musique fançaise, Musique classique")</f>
        <v>Rock, Musique fançaise, Musique classique</v>
      </c>
      <c r="G143" s="1" t="str">
        <f>IFERROR(__xludf.DUMMYFUNCTION("""COMPUTED_VALUE"""),"Peinture, Littérature, Théâtre")</f>
        <v>Peinture, Littérature, Théâtre</v>
      </c>
      <c r="H143" s="1" t="str">
        <f>IFERROR(__xludf.DUMMYFUNCTION("""COMPUTED_VALUE"""),"Quelques fois par semaine")</f>
        <v>Quelques fois par semaine</v>
      </c>
      <c r="I143" s="1" t="str">
        <f>IFERROR(__xludf.DUMMYFUNCTION("""COMPUTED_VALUE"""),"Plusieurs fois par semaine")</f>
        <v>Plusieurs fois par semaine</v>
      </c>
      <c r="J143" s="1" t="str">
        <f>IFERROR(__xludf.DUMMYFUNCTION("""COMPUTED_VALUE"""),"Pour le développement perso et se dépasser")</f>
        <v>Pour le développement perso et se dépasser</v>
      </c>
      <c r="K143" s="1" t="str">
        <f>IFERROR(__xludf.DUMMYFUNCTION("""COMPUTED_VALUE"""),"Athlétisme")</f>
        <v>Athlétisme</v>
      </c>
      <c r="L143" s="1" t="str">
        <f>IFERROR(__xludf.DUMMYFUNCTION("""COMPUTED_VALUE"""),"J'aime cuisiner le WE ou quand j'ai le temps")</f>
        <v>J'aime cuisiner le WE ou quand j'ai le temps</v>
      </c>
      <c r="M143" s="1">
        <f>IFERROR(__xludf.DUMMYFUNCTION("""COMPUTED_VALUE"""),6.0)</f>
        <v>6</v>
      </c>
      <c r="N143" s="1" t="str">
        <f>IFERROR(__xludf.DUMMYFUNCTION("""COMPUTED_VALUE"""),"Une fois par mois")</f>
        <v>Une fois par mois</v>
      </c>
      <c r="O143" s="1" t="str">
        <f>IFERROR(__xludf.DUMMYFUNCTION("""COMPUTED_VALUE"""),"Tu te poses dans un coin, chill !!")</f>
        <v>Tu te poses dans un coin, chill !!</v>
      </c>
      <c r="P143" s="1">
        <f>IFERROR(__xludf.DUMMYFUNCTION("""COMPUTED_VALUE"""),1.0)</f>
        <v>1</v>
      </c>
      <c r="Q143" s="1" t="str">
        <f>IFERROR(__xludf.DUMMYFUNCTION("""COMPUTED_VALUE"""),"Non")</f>
        <v>Non</v>
      </c>
      <c r="R143" s="1" t="str">
        <f>IFERROR(__xludf.DUMMYFUNCTION("""COMPUTED_VALUE"""),"Non")</f>
        <v>Non</v>
      </c>
      <c r="S143" s="1" t="str">
        <f>IFERROR(__xludf.DUMMYFUNCTION("""COMPUTED_VALUE"""),"Les Grosses Cochonnes")</f>
        <v>Les Grosses Cochonnes</v>
      </c>
      <c r="T143" s="1" t="str">
        <f>IFERROR(__xludf.DUMMYFUNCTION("""COMPUTED_VALUE"""),"Les Fleurs du mal/Un pins FA/autre chose lol")</f>
        <v>Les Fleurs du mal/Un pins FA/autre chose lol</v>
      </c>
      <c r="U143" t="str">
        <f>IFERROR(__xludf.DUMMYFUNCTION("""COMPUTED_VALUE"""),"")</f>
        <v/>
      </c>
      <c r="V143" t="str">
        <f>IFERROR(__xludf.DUMMYFUNCTION("""COMPUTED_VALUE"""),"")</f>
        <v/>
      </c>
      <c r="W143" t="str">
        <f>IFERROR(__xludf.DUMMYFUNCTION("""COMPUTED_VALUE"""),"")</f>
        <v/>
      </c>
      <c r="X143" t="str">
        <f>IFERROR(__xludf.DUMMYFUNCTION("""COMPUTED_VALUE"""),"")</f>
        <v/>
      </c>
      <c r="Y143" t="str">
        <f>IFERROR(__xludf.DUMMYFUNCTION("""COMPUTED_VALUE"""),"")</f>
        <v/>
      </c>
      <c r="Z143" t="str">
        <f>IFERROR(__xludf.DUMMYFUNCTION("""COMPUTED_VALUE"""),"")</f>
        <v/>
      </c>
      <c r="AA143" t="str">
        <f>IFERROR(__xludf.DUMMYFUNCTION("""COMPUTED_VALUE"""),"")</f>
        <v/>
      </c>
      <c r="AB143" t="str">
        <f>IFERROR(__xludf.DUMMYFUNCTION("""COMPUTED_VALUE"""),"")</f>
        <v/>
      </c>
    </row>
    <row r="144">
      <c r="A144" s="2">
        <f>IFERROR(__xludf.DUMMYFUNCTION("""COMPUTED_VALUE"""),43634.78386790509)</f>
        <v>43634.78387</v>
      </c>
      <c r="B144" s="1" t="str">
        <f>IFERROR(__xludf.DUMMYFUNCTION("""COMPUTED_VALUE"""),"Esteban LECOURT")</f>
        <v>Esteban LECOURT</v>
      </c>
      <c r="C14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4" s="1" t="str">
        <f>IFERROR(__xludf.DUMMYFUNCTION("""COMPUTED_VALUE"""),"Pas de liste")</f>
        <v>Pas de liste</v>
      </c>
      <c r="E144" s="1">
        <f>IFERROR(__xludf.DUMMYFUNCTION("""COMPUTED_VALUE"""),2.0)</f>
        <v>2</v>
      </c>
      <c r="F144" s="1" t="str">
        <f>IFERROR(__xludf.DUMMYFUNCTION("""COMPUTED_VALUE"""),"Rock, Metal, Musique classique")</f>
        <v>Rock, Metal, Musique classique</v>
      </c>
      <c r="G144" s="1" t="str">
        <f>IFERROR(__xludf.DUMMYFUNCTION("""COMPUTED_VALUE"""),"Musique, Cinéma")</f>
        <v>Musique, Cinéma</v>
      </c>
      <c r="H144" s="1" t="str">
        <f>IFERROR(__xludf.DUMMYFUNCTION("""COMPUTED_VALUE"""),"Une fois par jour")</f>
        <v>Une fois par jour</v>
      </c>
      <c r="I144" s="1" t="str">
        <f>IFERROR(__xludf.DUMMYFUNCTION("""COMPUTED_VALUE"""),"Le dimanche à 15h32 s'il fait beau")</f>
        <v>Le dimanche à 15h32 s'il fait beau</v>
      </c>
      <c r="J144" s="1" t="str">
        <f>IFERROR(__xludf.DUMMYFUNCTION("""COMPUTED_VALUE"""),"Pour le développement perso et se dépasser")</f>
        <v>Pour le développement perso et se dépasser</v>
      </c>
      <c r="K144" s="1" t="str">
        <f>IFERROR(__xludf.DUMMYFUNCTION("""COMPUTED_VALUE"""),"Pas de sport")</f>
        <v>Pas de sport</v>
      </c>
      <c r="L144" s="1" t="str">
        <f>IFERROR(__xludf.DUMMYFUNCTION("""COMPUTED_VALUE"""),"Oh oui, et les trucs bien gras ça me connait !")</f>
        <v>Oh oui, et les trucs bien gras ça me connait !</v>
      </c>
      <c r="M144" s="1">
        <f>IFERROR(__xludf.DUMMYFUNCTION("""COMPUTED_VALUE"""),2.0)</f>
        <v>2</v>
      </c>
      <c r="N144" s="1" t="str">
        <f>IFERROR(__xludf.DUMMYFUNCTION("""COMPUTED_VALUE"""),"Jamais")</f>
        <v>Jamais</v>
      </c>
      <c r="O144" s="1" t="str">
        <f>IFERROR(__xludf.DUMMYFUNCTION("""COMPUTED_VALUE"""),"Tu te poses dans un coin, chill !!")</f>
        <v>Tu te poses dans un coin, chill !!</v>
      </c>
      <c r="P144" s="1">
        <f>IFERROR(__xludf.DUMMYFUNCTION("""COMPUTED_VALUE"""),1.0)</f>
        <v>1</v>
      </c>
      <c r="Q144" s="1" t="str">
        <f>IFERROR(__xludf.DUMMYFUNCTION("""COMPUTED_VALUE"""),"Non")</f>
        <v>Non</v>
      </c>
      <c r="R144" s="1" t="str">
        <f>IFERROR(__xludf.DUMMYFUNCTION("""COMPUTED_VALUE"""),"Non")</f>
        <v>Non</v>
      </c>
      <c r="S144" s="1" t="str">
        <f>IFERROR(__xludf.DUMMYFUNCTION("""COMPUTED_VALUE"""),"Les Grosses Cochonnes")</f>
        <v>Les Grosses Cochonnes</v>
      </c>
      <c r="T144" s="1" t="str">
        <f>IFERROR(__xludf.DUMMYFUNCTION("""COMPUTED_VALUE"""),"Un sweat SKT")</f>
        <v>Un sweat SKT</v>
      </c>
      <c r="U144" t="str">
        <f>IFERROR(__xludf.DUMMYFUNCTION("""COMPUTED_VALUE"""),"")</f>
        <v/>
      </c>
      <c r="V144" t="str">
        <f>IFERROR(__xludf.DUMMYFUNCTION("""COMPUTED_VALUE"""),"")</f>
        <v/>
      </c>
      <c r="W144" t="str">
        <f>IFERROR(__xludf.DUMMYFUNCTION("""COMPUTED_VALUE"""),"")</f>
        <v/>
      </c>
      <c r="X144" t="str">
        <f>IFERROR(__xludf.DUMMYFUNCTION("""COMPUTED_VALUE"""),"")</f>
        <v/>
      </c>
      <c r="Y144" t="str">
        <f>IFERROR(__xludf.DUMMYFUNCTION("""COMPUTED_VALUE"""),"")</f>
        <v/>
      </c>
      <c r="Z144" t="str">
        <f>IFERROR(__xludf.DUMMYFUNCTION("""COMPUTED_VALUE"""),"")</f>
        <v/>
      </c>
      <c r="AA144" t="str">
        <f>IFERROR(__xludf.DUMMYFUNCTION("""COMPUTED_VALUE"""),"")</f>
        <v/>
      </c>
      <c r="AB144" t="str">
        <f>IFERROR(__xludf.DUMMYFUNCTION("""COMPUTED_VALUE"""),"")</f>
        <v/>
      </c>
    </row>
    <row r="145">
      <c r="A145" s="2">
        <f>IFERROR(__xludf.DUMMYFUNCTION("""COMPUTED_VALUE"""),43634.9620274537)</f>
        <v>43634.96203</v>
      </c>
      <c r="B145" s="1" t="str">
        <f>IFERROR(__xludf.DUMMYFUNCTION("""COMPUTED_VALUE"""),"Luis FERNANDEZ")</f>
        <v>Luis FERNANDEZ</v>
      </c>
      <c r="C145" s="1" t="str">
        <f>IFERROR(__xludf.DUMMYFUNCTION("""COMPUTED_VALUE"""),"Deux inconnus")</f>
        <v>Deux inconnus</v>
      </c>
      <c r="D145" s="1" t="str">
        <f>IFERROR(__xludf.DUMMYFUNCTION("""COMPUTED_VALUE"""),"BDE")</f>
        <v>BDE</v>
      </c>
      <c r="E145" s="1">
        <f>IFERROR(__xludf.DUMMYFUNCTION("""COMPUTED_VALUE"""),3.0)</f>
        <v>3</v>
      </c>
      <c r="F145" s="1" t="str">
        <f>IFERROR(__xludf.DUMMYFUNCTION("""COMPUTED_VALUE"""),"Electro posée, Rap, Musique fançaise, Jazz")</f>
        <v>Electro posée, Rap, Musique fançaise, Jazz</v>
      </c>
      <c r="G145" s="1" t="str">
        <f>IFERROR(__xludf.DUMMYFUNCTION("""COMPUTED_VALUE"""),"Peinture, Sculpture, Graphisme")</f>
        <v>Peinture, Sculpture, Graphisme</v>
      </c>
      <c r="H145" s="1" t="str">
        <f>IFERROR(__xludf.DUMMYFUNCTION("""COMPUTED_VALUE"""),"Seulement les soirs de pleine lune")</f>
        <v>Seulement les soirs de pleine lune</v>
      </c>
      <c r="I145" s="1" t="str">
        <f>IFERROR(__xludf.DUMMYFUNCTION("""COMPUTED_VALUE"""),"Plusieurs fois par semaine")</f>
        <v>Plusieurs fois par semaine</v>
      </c>
      <c r="J145" s="1" t="str">
        <f>IFERROR(__xludf.DUMMYFUNCTION("""COMPUTED_VALUE"""),"Pour le développement perso et se dépasser")</f>
        <v>Pour le développement perso et se dépasser</v>
      </c>
      <c r="K145" s="1" t="str">
        <f>IFERROR(__xludf.DUMMYFUNCTION("""COMPUTED_VALUE"""),"Voile, Escalade")</f>
        <v>Voile, Escalade</v>
      </c>
      <c r="L145" s="1" t="str">
        <f>IFERROR(__xludf.DUMMYFUNCTION("""COMPUTED_VALUE"""),"J'aime cuisiner le WE ou quand j'ai le temps")</f>
        <v>J'aime cuisiner le WE ou quand j'ai le temps</v>
      </c>
      <c r="M145" s="1">
        <f>IFERROR(__xludf.DUMMYFUNCTION("""COMPUTED_VALUE"""),8.0)</f>
        <v>8</v>
      </c>
      <c r="N145" s="1" t="str">
        <f>IFERROR(__xludf.DUMMYFUNCTION("""COMPUTED_VALUE"""),"Plusieurs fois par semaine")</f>
        <v>Plusieurs fois par semaine</v>
      </c>
      <c r="O145" s="1" t="str">
        <f>IFERROR(__xludf.DUMMYFUNCTION("""COMPUTED_VALUE"""),"Objectif grosse défonce")</f>
        <v>Objectif grosse défonce</v>
      </c>
      <c r="P145" s="1">
        <f>IFERROR(__xludf.DUMMYFUNCTION("""COMPUTED_VALUE"""),3.0)</f>
        <v>3</v>
      </c>
      <c r="Q145" s="1" t="str">
        <f>IFERROR(__xludf.DUMMYFUNCTION("""COMPUTED_VALUE"""),"Non")</f>
        <v>Non</v>
      </c>
      <c r="R145" s="1" t="str">
        <f>IFERROR(__xludf.DUMMYFUNCTION("""COMPUTED_VALUE"""),"Non")</f>
        <v>Non</v>
      </c>
      <c r="S145" s="1" t="str">
        <f>IFERROR(__xludf.DUMMYFUNCTION("""COMPUTED_VALUE"""),"Malandros ")</f>
        <v>Malandros </v>
      </c>
      <c r="T145" s="1" t="str">
        <f>IFERROR(__xludf.DUMMYFUNCTION("""COMPUTED_VALUE"""),"Chaussons escalade")</f>
        <v>Chaussons escalade</v>
      </c>
      <c r="U145" t="str">
        <f>IFERROR(__xludf.DUMMYFUNCTION("""COMPUTED_VALUE"""),"")</f>
        <v/>
      </c>
      <c r="V145" t="str">
        <f>IFERROR(__xludf.DUMMYFUNCTION("""COMPUTED_VALUE"""),"")</f>
        <v/>
      </c>
      <c r="W145" t="str">
        <f>IFERROR(__xludf.DUMMYFUNCTION("""COMPUTED_VALUE"""),"")</f>
        <v/>
      </c>
      <c r="X145" t="str">
        <f>IFERROR(__xludf.DUMMYFUNCTION("""COMPUTED_VALUE"""),"")</f>
        <v/>
      </c>
      <c r="Y145" t="str">
        <f>IFERROR(__xludf.DUMMYFUNCTION("""COMPUTED_VALUE"""),"")</f>
        <v/>
      </c>
      <c r="Z145" t="str">
        <f>IFERROR(__xludf.DUMMYFUNCTION("""COMPUTED_VALUE"""),"")</f>
        <v/>
      </c>
      <c r="AA145" t="str">
        <f>IFERROR(__xludf.DUMMYFUNCTION("""COMPUTED_VALUE"""),"")</f>
        <v/>
      </c>
      <c r="AB145" t="str">
        <f>IFERROR(__xludf.DUMMYFUNCTION("""COMPUTED_VALUE"""),"")</f>
        <v/>
      </c>
    </row>
    <row r="146">
      <c r="A146" s="2">
        <f>IFERROR(__xludf.DUMMYFUNCTION("""COMPUTED_VALUE"""),43635.554665752315)</f>
        <v>43635.55467</v>
      </c>
      <c r="B146" s="1" t="str">
        <f>IFERROR(__xludf.DUMMYFUNCTION("""COMPUTED_VALUE"""),"Solene LE FUR")</f>
        <v>Solene LE FUR</v>
      </c>
      <c r="C14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6" s="1" t="str">
        <f>IFERROR(__xludf.DUMMYFUNCTION("""COMPUTED_VALUE"""),"BDE")</f>
        <v>BDE</v>
      </c>
      <c r="E146" s="1">
        <f>IFERROR(__xludf.DUMMYFUNCTION("""COMPUTED_VALUE"""),2.0)</f>
        <v>2</v>
      </c>
      <c r="F146" s="1" t="str">
        <f>IFERROR(__xludf.DUMMYFUNCTION("""COMPUTED_VALUE"""),"Rock, Pop, Musique fançaise")</f>
        <v>Rock, Pop, Musique fançaise</v>
      </c>
      <c r="G146" s="1" t="str">
        <f>IFERROR(__xludf.DUMMYFUNCTION("""COMPUTED_VALUE"""),"Pas du tout")</f>
        <v>Pas du tout</v>
      </c>
      <c r="H146" s="1" t="str">
        <f>IFERROR(__xludf.DUMMYFUNCTION("""COMPUTED_VALUE"""),"Seulement les soirs de pleine lune")</f>
        <v>Seulement les soirs de pleine lune</v>
      </c>
      <c r="I146" s="1" t="str">
        <f>IFERROR(__xludf.DUMMYFUNCTION("""COMPUTED_VALUE"""),"Plusieurs fois par semaine")</f>
        <v>Plusieurs fois par semaine</v>
      </c>
      <c r="J146" s="1" t="str">
        <f>IFERROR(__xludf.DUMMYFUNCTION("""COMPUTED_VALUE"""),"Pour le développement perso et se dépasser")</f>
        <v>Pour le développement perso et se dépasser</v>
      </c>
      <c r="K146" s="1" t="str">
        <f>IFERROR(__xludf.DUMMYFUNCTION("""COMPUTED_VALUE"""),"Voile, Sports aquatiques")</f>
        <v>Voile, Sports aquatiques</v>
      </c>
      <c r="L146" s="1" t="str">
        <f>IFERROR(__xludf.DUMMYFUNCTION("""COMPUTED_VALUE"""),"J'aime cuisiner le WE ou quand j'ai le temps")</f>
        <v>J'aime cuisiner le WE ou quand j'ai le temps</v>
      </c>
      <c r="M146" s="1">
        <f>IFERROR(__xludf.DUMMYFUNCTION("""COMPUTED_VALUE"""),9.0)</f>
        <v>9</v>
      </c>
      <c r="N146" s="1" t="str">
        <f>IFERROR(__xludf.DUMMYFUNCTION("""COMPUTED_VALUE"""),"Plusieurs fois par semaine")</f>
        <v>Plusieurs fois par semaine</v>
      </c>
      <c r="O146" s="1" t="str">
        <f>IFERROR(__xludf.DUMMYFUNCTION("""COMPUTED_VALUE"""),"T'enflammes le dancefloor")</f>
        <v>T'enflammes le dancefloor</v>
      </c>
      <c r="P146" s="1">
        <f>IFERROR(__xludf.DUMMYFUNCTION("""COMPUTED_VALUE"""),2.0)</f>
        <v>2</v>
      </c>
      <c r="Q146" s="1" t="str">
        <f>IFERROR(__xludf.DUMMYFUNCTION("""COMPUTED_VALUE"""),"Non")</f>
        <v>Non</v>
      </c>
      <c r="R146" s="1" t="str">
        <f>IFERROR(__xludf.DUMMYFUNCTION("""COMPUTED_VALUE"""),"Non")</f>
        <v>Non</v>
      </c>
      <c r="S146" s="1" t="str">
        <f>IFERROR(__xludf.DUMMYFUNCTION("""COMPUTED_VALUE"""),"Sans-abri ")</f>
        <v>Sans-abri </v>
      </c>
      <c r="T146" s="1" t="str">
        <f>IFERROR(__xludf.DUMMYFUNCTION("""COMPUTED_VALUE"""),"Je sais pas encore")</f>
        <v>Je sais pas encore</v>
      </c>
      <c r="U146" t="str">
        <f>IFERROR(__xludf.DUMMYFUNCTION("""COMPUTED_VALUE"""),"")</f>
        <v/>
      </c>
      <c r="V146" t="str">
        <f>IFERROR(__xludf.DUMMYFUNCTION("""COMPUTED_VALUE"""),"")</f>
        <v/>
      </c>
      <c r="W146" t="str">
        <f>IFERROR(__xludf.DUMMYFUNCTION("""COMPUTED_VALUE"""),"")</f>
        <v/>
      </c>
      <c r="X146" t="str">
        <f>IFERROR(__xludf.DUMMYFUNCTION("""COMPUTED_VALUE"""),"")</f>
        <v/>
      </c>
      <c r="Y146" t="str">
        <f>IFERROR(__xludf.DUMMYFUNCTION("""COMPUTED_VALUE"""),"")</f>
        <v/>
      </c>
      <c r="Z146" t="str">
        <f>IFERROR(__xludf.DUMMYFUNCTION("""COMPUTED_VALUE"""),"")</f>
        <v/>
      </c>
      <c r="AA146" t="str">
        <f>IFERROR(__xludf.DUMMYFUNCTION("""COMPUTED_VALUE"""),"")</f>
        <v/>
      </c>
      <c r="AB146" t="str">
        <f>IFERROR(__xludf.DUMMYFUNCTION("""COMPUTED_VALUE"""),"")</f>
        <v/>
      </c>
    </row>
    <row r="147">
      <c r="A147" s="2">
        <f>IFERROR(__xludf.DUMMYFUNCTION("""COMPUTED_VALUE"""),43635.55771915509)</f>
        <v>43635.55772</v>
      </c>
      <c r="B147" s="1" t="str">
        <f>IFERROR(__xludf.DUMMYFUNCTION("""COMPUTED_VALUE"""),"Eugénie cotte")</f>
        <v>Eugénie cotte</v>
      </c>
      <c r="C147" s="1" t="str">
        <f>IFERROR(__xludf.DUMMYFUNCTION("""COMPUTED_VALUE"""),"Le président et un inconnu")</f>
        <v>Le président et un inconnu</v>
      </c>
      <c r="D147" s="1" t="str">
        <f>IFERROR(__xludf.DUMMYFUNCTION("""COMPUTED_VALUE"""),"BDE")</f>
        <v>BDE</v>
      </c>
      <c r="E147" s="1">
        <f>IFERROR(__xludf.DUMMYFUNCTION("""COMPUTED_VALUE"""),4.0)</f>
        <v>4</v>
      </c>
      <c r="F147" s="1" t="str">
        <f>IFERROR(__xludf.DUMMYFUNCTION("""COMPUTED_VALUE"""),"Electro posée, Pop, Musique fançaise, Jazz")</f>
        <v>Electro posée, Pop, Musique fançaise, Jazz</v>
      </c>
      <c r="G147" s="1" t="str">
        <f>IFERROR(__xludf.DUMMYFUNCTION("""COMPUTED_VALUE"""),"Littérature, Théâtre, Cinéma")</f>
        <v>Littérature, Théâtre, Cinéma</v>
      </c>
      <c r="H147" s="1" t="str">
        <f>IFERROR(__xludf.DUMMYFUNCTION("""COMPUTED_VALUE"""),"Seulement les soirs de pleine lune")</f>
        <v>Seulement les soirs de pleine lune</v>
      </c>
      <c r="I147" s="1" t="str">
        <f>IFERROR(__xludf.DUMMYFUNCTION("""COMPUTED_VALUE"""),"Plusieurs fois par semaine")</f>
        <v>Plusieurs fois par semaine</v>
      </c>
      <c r="J147" s="1" t="str">
        <f>IFERROR(__xludf.DUMMYFUNCTION("""COMPUTED_VALUE"""),"Pour le développement perso et se dépasser")</f>
        <v>Pour le développement perso et se dépasser</v>
      </c>
      <c r="K147" s="1" t="str">
        <f>IFERROR(__xludf.DUMMYFUNCTION("""COMPUTED_VALUE"""),"Sports de raquette, Voile, Sports de rames, Sports aquatiques, Sports de combat")</f>
        <v>Sports de raquette, Voile, Sports de rames, Sports aquatiques, Sports de combat</v>
      </c>
      <c r="L147" s="1" t="str">
        <f>IFERROR(__xludf.DUMMYFUNCTION("""COMPUTED_VALUE"""),"Je fais toujours attention à bien manger")</f>
        <v>Je fais toujours attention à bien manger</v>
      </c>
      <c r="M147" s="1">
        <f>IFERROR(__xludf.DUMMYFUNCTION("""COMPUTED_VALUE"""),8.0)</f>
        <v>8</v>
      </c>
      <c r="N147" s="1" t="str">
        <f>IFERROR(__xludf.DUMMYFUNCTION("""COMPUTED_VALUE"""),"Plusieurs fois par semaine")</f>
        <v>Plusieurs fois par semaine</v>
      </c>
      <c r="O147" s="1" t="str">
        <f>IFERROR(__xludf.DUMMYFUNCTION("""COMPUTED_VALUE"""),"T'enflammes le dancefloor")</f>
        <v>T'enflammes le dancefloor</v>
      </c>
      <c r="P147" s="1">
        <f>IFERROR(__xludf.DUMMYFUNCTION("""COMPUTED_VALUE"""),1.0)</f>
        <v>1</v>
      </c>
      <c r="Q147" s="1" t="str">
        <f>IFERROR(__xludf.DUMMYFUNCTION("""COMPUTED_VALUE"""),"Oui")</f>
        <v>Oui</v>
      </c>
      <c r="R147" s="1" t="str">
        <f>IFERROR(__xludf.DUMMYFUNCTION("""COMPUTED_VALUE"""),"Non")</f>
        <v>Non</v>
      </c>
      <c r="S147" s="1" t="str">
        <f>IFERROR(__xludf.DUMMYFUNCTION("""COMPUTED_VALUE"""),"sans-abri")</f>
        <v>sans-abri</v>
      </c>
      <c r="T147" s="1" t="str">
        <f>IFERROR(__xludf.DUMMYFUNCTION("""COMPUTED_VALUE"""),"Des oreilles de cochon")</f>
        <v>Des oreilles de cochon</v>
      </c>
      <c r="U147" t="str">
        <f>IFERROR(__xludf.DUMMYFUNCTION("""COMPUTED_VALUE"""),"")</f>
        <v/>
      </c>
      <c r="V147" t="str">
        <f>IFERROR(__xludf.DUMMYFUNCTION("""COMPUTED_VALUE"""),"")</f>
        <v/>
      </c>
      <c r="W147" t="str">
        <f>IFERROR(__xludf.DUMMYFUNCTION("""COMPUTED_VALUE"""),"")</f>
        <v/>
      </c>
      <c r="X147" t="str">
        <f>IFERROR(__xludf.DUMMYFUNCTION("""COMPUTED_VALUE"""),"")</f>
        <v/>
      </c>
      <c r="Y147" t="str">
        <f>IFERROR(__xludf.DUMMYFUNCTION("""COMPUTED_VALUE"""),"")</f>
        <v/>
      </c>
      <c r="Z147" t="str">
        <f>IFERROR(__xludf.DUMMYFUNCTION("""COMPUTED_VALUE"""),"")</f>
        <v/>
      </c>
      <c r="AA147" t="str">
        <f>IFERROR(__xludf.DUMMYFUNCTION("""COMPUTED_VALUE"""),"")</f>
        <v/>
      </c>
      <c r="AB147" t="str">
        <f>IFERROR(__xludf.DUMMYFUNCTION("""COMPUTED_VALUE"""),"")</f>
        <v/>
      </c>
    </row>
    <row r="148">
      <c r="A148" s="2">
        <f>IFERROR(__xludf.DUMMYFUNCTION("""COMPUTED_VALUE"""),43635.56833282407)</f>
        <v>43635.56833</v>
      </c>
      <c r="B148" s="1" t="str">
        <f>IFERROR(__xludf.DUMMYFUNCTION("""COMPUTED_VALUE"""),"Samuel BISMUT")</f>
        <v>Samuel BISMUT</v>
      </c>
      <c r="C14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8" s="1" t="str">
        <f>IFERROR(__xludf.DUMMYFUNCTION("""COMPUTED_VALUE"""),"BDE")</f>
        <v>BDE</v>
      </c>
      <c r="E148" s="1">
        <f>IFERROR(__xludf.DUMMYFUNCTION("""COMPUTED_VALUE"""),3.0)</f>
        <v>3</v>
      </c>
      <c r="F148" s="1" t="str">
        <f>IFERROR(__xludf.DUMMYFUNCTION("""COMPUTED_VALUE"""),"Rock, Electro posée, Electro hard, Rap, Pop, Musique fançaise, Jazz")</f>
        <v>Rock, Electro posée, Electro hard, Rap, Pop, Musique fançaise, Jazz</v>
      </c>
      <c r="G148" s="1" t="str">
        <f>IFERROR(__xludf.DUMMYFUNCTION("""COMPUTED_VALUE"""),"Cinéma")</f>
        <v>Cinéma</v>
      </c>
      <c r="H148" s="1" t="str">
        <f>IFERROR(__xludf.DUMMYFUNCTION("""COMPUTED_VALUE"""),"Une fois de temps en temps")</f>
        <v>Une fois de temps en temps</v>
      </c>
      <c r="I148" s="1" t="str">
        <f>IFERROR(__xludf.DUMMYFUNCTION("""COMPUTED_VALUE"""),"Plusieurs fois par semaine")</f>
        <v>Plusieurs fois par semaine</v>
      </c>
      <c r="J148" s="1" t="str">
        <f>IFERROR(__xludf.DUMMYFUNCTION("""COMPUTED_VALUE"""),"Pour le fun")</f>
        <v>Pour le fun</v>
      </c>
      <c r="K148" s="1" t="str">
        <f>IFERROR(__xludf.DUMMYFUNCTION("""COMPUTED_VALUE"""),"Sports collectifs, Sports de raquette, Sports de combat")</f>
        <v>Sports collectifs, Sports de raquette, Sports de combat</v>
      </c>
      <c r="L148" s="1" t="str">
        <f>IFERROR(__xludf.DUMMYFUNCTION("""COMPUTED_VALUE"""),"J'aime cuisiner le WE ou quand j'ai le temps")</f>
        <v>J'aime cuisiner le WE ou quand j'ai le temps</v>
      </c>
      <c r="M148" s="1">
        <f>IFERROR(__xludf.DUMMYFUNCTION("""COMPUTED_VALUE"""),10.0)</f>
        <v>10</v>
      </c>
      <c r="N148" s="1" t="str">
        <f>IFERROR(__xludf.DUMMYFUNCTION("""COMPUTED_VALUE"""),"Plusieurs fois par semaine")</f>
        <v>Plusieurs fois par semaine</v>
      </c>
      <c r="O148" s="1" t="str">
        <f>IFERROR(__xludf.DUMMYFUNCTION("""COMPUTED_VALUE"""),"Objectif grosse défonce")</f>
        <v>Objectif grosse défonce</v>
      </c>
      <c r="P148" s="1">
        <f>IFERROR(__xludf.DUMMYFUNCTION("""COMPUTED_VALUE"""),5.0)</f>
        <v>5</v>
      </c>
      <c r="Q148" s="1" t="str">
        <f>IFERROR(__xludf.DUMMYFUNCTION("""COMPUTED_VALUE"""),"Non")</f>
        <v>Non</v>
      </c>
      <c r="R148" s="1" t="str">
        <f>IFERROR(__xludf.DUMMYFUNCTION("""COMPUTED_VALUE"""),"Non")</f>
        <v>Non</v>
      </c>
      <c r="S148" s="1" t="str">
        <f>IFERROR(__xludf.DUMMYFUNCTION("""COMPUTED_VALUE"""),"Sans abris")</f>
        <v>Sans abris</v>
      </c>
      <c r="T148" s="1" t="str">
        <f>IFERROR(__xludf.DUMMYFUNCTION("""COMPUTED_VALUE"""),"Chapeau Ricard ")</f>
        <v>Chapeau Ricard </v>
      </c>
      <c r="U148" t="str">
        <f>IFERROR(__xludf.DUMMYFUNCTION("""COMPUTED_VALUE"""),"")</f>
        <v/>
      </c>
      <c r="V148" t="str">
        <f>IFERROR(__xludf.DUMMYFUNCTION("""COMPUTED_VALUE"""),"")</f>
        <v/>
      </c>
      <c r="W148" t="str">
        <f>IFERROR(__xludf.DUMMYFUNCTION("""COMPUTED_VALUE"""),"")</f>
        <v/>
      </c>
      <c r="X148" t="str">
        <f>IFERROR(__xludf.DUMMYFUNCTION("""COMPUTED_VALUE"""),"")</f>
        <v/>
      </c>
      <c r="Y148" t="str">
        <f>IFERROR(__xludf.DUMMYFUNCTION("""COMPUTED_VALUE"""),"")</f>
        <v/>
      </c>
      <c r="Z148" t="str">
        <f>IFERROR(__xludf.DUMMYFUNCTION("""COMPUTED_VALUE"""),"")</f>
        <v/>
      </c>
      <c r="AA148" t="str">
        <f>IFERROR(__xludf.DUMMYFUNCTION("""COMPUTED_VALUE"""),"")</f>
        <v/>
      </c>
      <c r="AB148" t="str">
        <f>IFERROR(__xludf.DUMMYFUNCTION("""COMPUTED_VALUE"""),"")</f>
        <v/>
      </c>
    </row>
    <row r="149">
      <c r="A149" s="2">
        <f>IFERROR(__xludf.DUMMYFUNCTION("""COMPUTED_VALUE"""),43635.6267071412)</f>
        <v>43635.62671</v>
      </c>
      <c r="B149" s="1" t="str">
        <f>IFERROR(__xludf.DUMMYFUNCTION("""COMPUTED_VALUE"""),"Victor BLANCART")</f>
        <v>Victor BLANCART</v>
      </c>
      <c r="C14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49" s="1" t="str">
        <f>IFERROR(__xludf.DUMMYFUNCTION("""COMPUTED_VALUE"""),"BDS")</f>
        <v>BDS</v>
      </c>
      <c r="E149" s="1">
        <f>IFERROR(__xludf.DUMMYFUNCTION("""COMPUTED_VALUE"""),3.0)</f>
        <v>3</v>
      </c>
      <c r="F149" s="1" t="str">
        <f>IFERROR(__xludf.DUMMYFUNCTION("""COMPUTED_VALUE"""),"Rock, Electro hard, Rap, Musique fançaise, Jazz, Musique classique")</f>
        <v>Rock, Electro hard, Rap, Musique fançaise, Jazz, Musique classique</v>
      </c>
      <c r="G149" s="1" t="str">
        <f>IFERROR(__xludf.DUMMYFUNCTION("""COMPUTED_VALUE"""),"Peinture, Littérature, Musique, Cinéma")</f>
        <v>Peinture, Littérature, Musique, Cinéma</v>
      </c>
      <c r="H149" s="1" t="str">
        <f>IFERROR(__xludf.DUMMYFUNCTION("""COMPUTED_VALUE"""),"Quelques fois par semaine")</f>
        <v>Quelques fois par semaine</v>
      </c>
      <c r="I149" s="1" t="str">
        <f>IFERROR(__xludf.DUMMYFUNCTION("""COMPUTED_VALUE"""),"Plusieurs fois par semaine")</f>
        <v>Plusieurs fois par semaine</v>
      </c>
      <c r="J149" s="1" t="str">
        <f>IFERROR(__xludf.DUMMYFUNCTION("""COMPUTED_VALUE"""),"Pour le fun")</f>
        <v>Pour le fun</v>
      </c>
      <c r="K149" s="1" t="str">
        <f>IFERROR(__xludf.DUMMYFUNCTION("""COMPUTED_VALUE"""),"Sports collectifs, Sports de raquette")</f>
        <v>Sports collectifs, Sports de raquette</v>
      </c>
      <c r="L149" s="1" t="str">
        <f>IFERROR(__xludf.DUMMYFUNCTION("""COMPUTED_VALUE"""),"Je fais toujours attention à bien manger")</f>
        <v>Je fais toujours attention à bien manger</v>
      </c>
      <c r="M149" s="1">
        <f>IFERROR(__xludf.DUMMYFUNCTION("""COMPUTED_VALUE"""),7.0)</f>
        <v>7</v>
      </c>
      <c r="N149" s="1" t="str">
        <f>IFERROR(__xludf.DUMMYFUNCTION("""COMPUTED_VALUE"""),"Une fois par semaine")</f>
        <v>Une fois par semaine</v>
      </c>
      <c r="O149" s="1" t="str">
        <f>IFERROR(__xludf.DUMMYFUNCTION("""COMPUTED_VALUE"""),"Tu te poses dans un coin, chill !!")</f>
        <v>Tu te poses dans un coin, chill !!</v>
      </c>
      <c r="P149" s="1">
        <f>IFERROR(__xludf.DUMMYFUNCTION("""COMPUTED_VALUE"""),4.0)</f>
        <v>4</v>
      </c>
      <c r="Q149" s="1" t="str">
        <f>IFERROR(__xludf.DUMMYFUNCTION("""COMPUTED_VALUE"""),"Oui")</f>
        <v>Oui</v>
      </c>
      <c r="R149" s="1" t="str">
        <f>IFERROR(__xludf.DUMMYFUNCTION("""COMPUTED_VALUE"""),"Non")</f>
        <v>Non</v>
      </c>
      <c r="S149" s="1" t="str">
        <f>IFERROR(__xludf.DUMMYFUNCTION("""COMPUTED_VALUE"""),"Les mages")</f>
        <v>Les mages</v>
      </c>
      <c r="T149" s="1" t="str">
        <f>IFERROR(__xludf.DUMMYFUNCTION("""COMPUTED_VALUE"""),"Une gourde")</f>
        <v>Une gourde</v>
      </c>
      <c r="U149" t="str">
        <f>IFERROR(__xludf.DUMMYFUNCTION("""COMPUTED_VALUE"""),"")</f>
        <v/>
      </c>
      <c r="V149" t="str">
        <f>IFERROR(__xludf.DUMMYFUNCTION("""COMPUTED_VALUE"""),"")</f>
        <v/>
      </c>
      <c r="W149" t="str">
        <f>IFERROR(__xludf.DUMMYFUNCTION("""COMPUTED_VALUE"""),"")</f>
        <v/>
      </c>
      <c r="X149" t="str">
        <f>IFERROR(__xludf.DUMMYFUNCTION("""COMPUTED_VALUE"""),"")</f>
        <v/>
      </c>
      <c r="Y149" t="str">
        <f>IFERROR(__xludf.DUMMYFUNCTION("""COMPUTED_VALUE"""),"")</f>
        <v/>
      </c>
      <c r="Z149" t="str">
        <f>IFERROR(__xludf.DUMMYFUNCTION("""COMPUTED_VALUE"""),"")</f>
        <v/>
      </c>
      <c r="AA149" t="str">
        <f>IFERROR(__xludf.DUMMYFUNCTION("""COMPUTED_VALUE"""),"")</f>
        <v/>
      </c>
      <c r="AB149" t="str">
        <f>IFERROR(__xludf.DUMMYFUNCTION("""COMPUTED_VALUE"""),"")</f>
        <v/>
      </c>
    </row>
    <row r="150">
      <c r="A150" s="2">
        <f>IFERROR(__xludf.DUMMYFUNCTION("""COMPUTED_VALUE"""),43635.75019092593)</f>
        <v>43635.75019</v>
      </c>
      <c r="B150" s="1" t="str">
        <f>IFERROR(__xludf.DUMMYFUNCTION("""COMPUTED_VALUE"""),"Tommy GEHENIAU")</f>
        <v>Tommy GEHENIAU</v>
      </c>
      <c r="C15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0" s="1" t="str">
        <f>IFERROR(__xludf.DUMMYFUNCTION("""COMPUTED_VALUE"""),"BDS")</f>
        <v>BDS</v>
      </c>
      <c r="E150" s="1">
        <f>IFERROR(__xludf.DUMMYFUNCTION("""COMPUTED_VALUE"""),3.0)</f>
        <v>3</v>
      </c>
      <c r="F150" s="1" t="str">
        <f>IFERROR(__xludf.DUMMYFUNCTION("""COMPUTED_VALUE"""),"Rock, Electro posée, Rap, Jazz")</f>
        <v>Rock, Electro posée, Rap, Jazz</v>
      </c>
      <c r="G150" s="1" t="str">
        <f>IFERROR(__xludf.DUMMYFUNCTION("""COMPUTED_VALUE"""),"Littérature, Musique")</f>
        <v>Littérature, Musique</v>
      </c>
      <c r="H150" s="1" t="str">
        <f>IFERROR(__xludf.DUMMYFUNCTION("""COMPUTED_VALUE"""),"Une fois par jour")</f>
        <v>Une fois par jour</v>
      </c>
      <c r="I150" s="1" t="str">
        <f>IFERROR(__xludf.DUMMYFUNCTION("""COMPUTED_VALUE"""),"Plusieurs fois par semaine")</f>
        <v>Plusieurs fois par semaine</v>
      </c>
      <c r="J150" s="1" t="str">
        <f>IFERROR(__xludf.DUMMYFUNCTION("""COMPUTED_VALUE"""),"Pour le développement perso et se dépasser")</f>
        <v>Pour le développement perso et se dépasser</v>
      </c>
      <c r="K150" s="1" t="str">
        <f>IFERROR(__xludf.DUMMYFUNCTION("""COMPUTED_VALUE"""),"Sports de raquette, Escalade, Autre")</f>
        <v>Sports de raquette, Escalade, Autre</v>
      </c>
      <c r="L150" s="1" t="str">
        <f>IFERROR(__xludf.DUMMYFUNCTION("""COMPUTED_VALUE"""),"Oh oui, et les trucs bien gras ça me connait !")</f>
        <v>Oh oui, et les trucs bien gras ça me connait !</v>
      </c>
      <c r="M150" s="1">
        <f>IFERROR(__xludf.DUMMYFUNCTION("""COMPUTED_VALUE"""),5.0)</f>
        <v>5</v>
      </c>
      <c r="N150" s="1" t="str">
        <f>IFERROR(__xludf.DUMMYFUNCTION("""COMPUTED_VALUE"""),"Une fois par semaine")</f>
        <v>Une fois par semaine</v>
      </c>
      <c r="O150" s="1" t="str">
        <f>IFERROR(__xludf.DUMMYFUNCTION("""COMPUTED_VALUE"""),"Tu te poses dans un coin, chill !!")</f>
        <v>Tu te poses dans un coin, chill !!</v>
      </c>
      <c r="P150" s="1">
        <f>IFERROR(__xludf.DUMMYFUNCTION("""COMPUTED_VALUE"""),4.0)</f>
        <v>4</v>
      </c>
      <c r="Q150" s="1" t="str">
        <f>IFERROR(__xludf.DUMMYFUNCTION("""COMPUTED_VALUE"""),"Non")</f>
        <v>Non</v>
      </c>
      <c r="R150" s="1" t="str">
        <f>IFERROR(__xludf.DUMMYFUNCTION("""COMPUTED_VALUE"""),"Non")</f>
        <v>Non</v>
      </c>
      <c r="S150" s="1" t="str">
        <f>IFERROR(__xludf.DUMMYFUNCTION("""COMPUTED_VALUE"""),"L'aquamif")</f>
        <v>L'aquamif</v>
      </c>
      <c r="T150" s="1" t="str">
        <f>IFERROR(__xludf.DUMMYFUNCTION("""COMPUTED_VALUE"""),"Aurèle")</f>
        <v>Aurèle</v>
      </c>
      <c r="U150" t="str">
        <f>IFERROR(__xludf.DUMMYFUNCTION("""COMPUTED_VALUE"""),"")</f>
        <v/>
      </c>
      <c r="V150" t="str">
        <f>IFERROR(__xludf.DUMMYFUNCTION("""COMPUTED_VALUE"""),"")</f>
        <v/>
      </c>
      <c r="W150" t="str">
        <f>IFERROR(__xludf.DUMMYFUNCTION("""COMPUTED_VALUE"""),"")</f>
        <v/>
      </c>
      <c r="X150" t="str">
        <f>IFERROR(__xludf.DUMMYFUNCTION("""COMPUTED_VALUE"""),"")</f>
        <v/>
      </c>
      <c r="Y150" t="str">
        <f>IFERROR(__xludf.DUMMYFUNCTION("""COMPUTED_VALUE"""),"")</f>
        <v/>
      </c>
      <c r="Z150" t="str">
        <f>IFERROR(__xludf.DUMMYFUNCTION("""COMPUTED_VALUE"""),"")</f>
        <v/>
      </c>
      <c r="AA150" t="str">
        <f>IFERROR(__xludf.DUMMYFUNCTION("""COMPUTED_VALUE"""),"")</f>
        <v/>
      </c>
      <c r="AB150" t="str">
        <f>IFERROR(__xludf.DUMMYFUNCTION("""COMPUTED_VALUE"""),"")</f>
        <v/>
      </c>
    </row>
    <row r="151">
      <c r="A151" s="2">
        <f>IFERROR(__xludf.DUMMYFUNCTION("""COMPUTED_VALUE"""),43636.40884797454)</f>
        <v>43636.40885</v>
      </c>
      <c r="B151" s="1" t="str">
        <f>IFERROR(__xludf.DUMMYFUNCTION("""COMPUTED_VALUE"""),"Léo HUREAU")</f>
        <v>Léo HUREAU</v>
      </c>
      <c r="C15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1" s="1" t="str">
        <f>IFERROR(__xludf.DUMMYFUNCTION("""COMPUTED_VALUE"""),"BDS")</f>
        <v>BDS</v>
      </c>
      <c r="E151" s="1">
        <f>IFERROR(__xludf.DUMMYFUNCTION("""COMPUTED_VALUE"""),5.0)</f>
        <v>5</v>
      </c>
      <c r="F151" s="1" t="str">
        <f>IFERROR(__xludf.DUMMYFUNCTION("""COMPUTED_VALUE"""),"Rock, Electro posée, Rap, Pop, Musique fançaise, Musique classique")</f>
        <v>Rock, Electro posée, Rap, Pop, Musique fançaise, Musique classique</v>
      </c>
      <c r="G151" s="1" t="str">
        <f>IFERROR(__xludf.DUMMYFUNCTION("""COMPUTED_VALUE"""),"Peinture, Littérature, Sculpture, Musique, Théâtre, Cinéma")</f>
        <v>Peinture, Littérature, Sculpture, Musique, Théâtre, Cinéma</v>
      </c>
      <c r="H151" s="1" t="str">
        <f>IFERROR(__xludf.DUMMYFUNCTION("""COMPUTED_VALUE"""),"Quelques fois par semaine")</f>
        <v>Quelques fois par semaine</v>
      </c>
      <c r="I151" s="1" t="str">
        <f>IFERROR(__xludf.DUMMYFUNCTION("""COMPUTED_VALUE"""),"Plusieurs fois par semaine")</f>
        <v>Plusieurs fois par semaine</v>
      </c>
      <c r="J151" s="1" t="str">
        <f>IFERROR(__xludf.DUMMYFUNCTION("""COMPUTED_VALUE"""),"Pour le développement perso et se dépasser")</f>
        <v>Pour le développement perso et se dépasser</v>
      </c>
      <c r="K151" s="1" t="str">
        <f>IFERROR(__xludf.DUMMYFUNCTION("""COMPUTED_VALUE"""),"Sports collectifs, Sports de raquette, Athlétisme")</f>
        <v>Sports collectifs, Sports de raquette, Athlétisme</v>
      </c>
      <c r="L151" s="1" t="str">
        <f>IFERROR(__xludf.DUMMYFUNCTION("""COMPUTED_VALUE"""),"J'aime cuisiner le WE ou quand j'ai le temps")</f>
        <v>J'aime cuisiner le WE ou quand j'ai le temps</v>
      </c>
      <c r="M151" s="1">
        <f>IFERROR(__xludf.DUMMYFUNCTION("""COMPUTED_VALUE"""),5.0)</f>
        <v>5</v>
      </c>
      <c r="N151" s="1" t="str">
        <f>IFERROR(__xludf.DUMMYFUNCTION("""COMPUTED_VALUE"""),"Une fois par semaine")</f>
        <v>Une fois par semaine</v>
      </c>
      <c r="O151" s="1" t="str">
        <f>IFERROR(__xludf.DUMMYFUNCTION("""COMPUTED_VALUE"""),"Tu te poses dans un coin, chill !!")</f>
        <v>Tu te poses dans un coin, chill !!</v>
      </c>
      <c r="P151" s="1">
        <f>IFERROR(__xludf.DUMMYFUNCTION("""COMPUTED_VALUE"""),1.0)</f>
        <v>1</v>
      </c>
      <c r="Q151" s="1" t="str">
        <f>IFERROR(__xludf.DUMMYFUNCTION("""COMPUTED_VALUE"""),"Oui")</f>
        <v>Oui</v>
      </c>
      <c r="R151" s="1" t="str">
        <f>IFERROR(__xludf.DUMMYFUNCTION("""COMPUTED_VALUE"""),"Non")</f>
        <v>Non</v>
      </c>
      <c r="S151" s="1" t="str">
        <f>IFERROR(__xludf.DUMMYFUNCTION("""COMPUTED_VALUE"""),"Le Panthéon")</f>
        <v>Le Panthéon</v>
      </c>
      <c r="T151" s="1" t="str">
        <f>IFERROR(__xludf.DUMMYFUNCTION("""COMPUTED_VALUE"""),"Une voiture ")</f>
        <v>Une voiture </v>
      </c>
      <c r="U151" t="str">
        <f>IFERROR(__xludf.DUMMYFUNCTION("""COMPUTED_VALUE"""),"")</f>
        <v/>
      </c>
      <c r="V151" t="str">
        <f>IFERROR(__xludf.DUMMYFUNCTION("""COMPUTED_VALUE"""),"")</f>
        <v/>
      </c>
      <c r="W151" t="str">
        <f>IFERROR(__xludf.DUMMYFUNCTION("""COMPUTED_VALUE"""),"")</f>
        <v/>
      </c>
      <c r="X151" t="str">
        <f>IFERROR(__xludf.DUMMYFUNCTION("""COMPUTED_VALUE"""),"")</f>
        <v/>
      </c>
      <c r="Y151" t="str">
        <f>IFERROR(__xludf.DUMMYFUNCTION("""COMPUTED_VALUE"""),"")</f>
        <v/>
      </c>
      <c r="Z151" t="str">
        <f>IFERROR(__xludf.DUMMYFUNCTION("""COMPUTED_VALUE"""),"")</f>
        <v/>
      </c>
      <c r="AA151" t="str">
        <f>IFERROR(__xludf.DUMMYFUNCTION("""COMPUTED_VALUE"""),"")</f>
        <v/>
      </c>
      <c r="AB151" t="str">
        <f>IFERROR(__xludf.DUMMYFUNCTION("""COMPUTED_VALUE"""),"")</f>
        <v/>
      </c>
    </row>
    <row r="152">
      <c r="A152" s="2">
        <f>IFERROR(__xludf.DUMMYFUNCTION("""COMPUTED_VALUE"""),43636.41036388889)</f>
        <v>43636.41036</v>
      </c>
      <c r="B152" s="1" t="str">
        <f>IFERROR(__xludf.DUMMYFUNCTION("""COMPUTED_VALUE"""),"Awen BRUNEAU")</f>
        <v>Awen BRUNEAU</v>
      </c>
      <c r="C15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2" s="1" t="str">
        <f>IFERROR(__xludf.DUMMYFUNCTION("""COMPUTED_VALUE"""),"BDS")</f>
        <v>BDS</v>
      </c>
      <c r="E152" s="1">
        <f>IFERROR(__xludf.DUMMYFUNCTION("""COMPUTED_VALUE"""),4.0)</f>
        <v>4</v>
      </c>
      <c r="F152" s="1" t="str">
        <f>IFERROR(__xludf.DUMMYFUNCTION("""COMPUTED_VALUE"""),"Rock, Pop, Musique fançaise")</f>
        <v>Rock, Pop, Musique fançaise</v>
      </c>
      <c r="G152" s="1" t="str">
        <f>IFERROR(__xludf.DUMMYFUNCTION("""COMPUTED_VALUE"""),"Musique, Théâtre, Cinéma")</f>
        <v>Musique, Théâtre, Cinéma</v>
      </c>
      <c r="H152" s="1" t="str">
        <f>IFERROR(__xludf.DUMMYFUNCTION("""COMPUTED_VALUE"""),"Une fois de temps en temps")</f>
        <v>Une fois de temps en temps</v>
      </c>
      <c r="I152" s="1" t="str">
        <f>IFERROR(__xludf.DUMMYFUNCTION("""COMPUTED_VALUE"""),"Plusieurs fois par semaine")</f>
        <v>Plusieurs fois par semaine</v>
      </c>
      <c r="J152" s="1" t="str">
        <f>IFERROR(__xludf.DUMMYFUNCTION("""COMPUTED_VALUE"""),"Pour la compet")</f>
        <v>Pour la compet</v>
      </c>
      <c r="K152" s="1" t="str">
        <f>IFERROR(__xludf.DUMMYFUNCTION("""COMPUTED_VALUE"""),"Sports de raquette")</f>
        <v>Sports de raquette</v>
      </c>
      <c r="L152" s="1" t="str">
        <f>IFERROR(__xludf.DUMMYFUNCTION("""COMPUTED_VALUE"""),"Je fais toujours attention à bien manger")</f>
        <v>Je fais toujours attention à bien manger</v>
      </c>
      <c r="M152" s="1">
        <f>IFERROR(__xludf.DUMMYFUNCTION("""COMPUTED_VALUE"""),5.0)</f>
        <v>5</v>
      </c>
      <c r="N152" s="1" t="str">
        <f>IFERROR(__xludf.DUMMYFUNCTION("""COMPUTED_VALUE"""),"Une fois par semaine")</f>
        <v>Une fois par semaine</v>
      </c>
      <c r="O152" s="1" t="str">
        <f>IFERROR(__xludf.DUMMYFUNCTION("""COMPUTED_VALUE"""),"Tu te poses dans un coin, chill !!")</f>
        <v>Tu te poses dans un coin, chill !!</v>
      </c>
      <c r="P152" s="1">
        <f>IFERROR(__xludf.DUMMYFUNCTION("""COMPUTED_VALUE"""),1.0)</f>
        <v>1</v>
      </c>
      <c r="Q152" s="1" t="str">
        <f>IFERROR(__xludf.DUMMYFUNCTION("""COMPUTED_VALUE"""),"Non")</f>
        <v>Non</v>
      </c>
      <c r="R152" s="1" t="str">
        <f>IFERROR(__xludf.DUMMYFUNCTION("""COMPUTED_VALUE"""),"Non")</f>
        <v>Non</v>
      </c>
      <c r="S152" s="1" t="str">
        <f>IFERROR(__xludf.DUMMYFUNCTION("""COMPUTED_VALUE"""),"Le Panthéon")</f>
        <v>Le Panthéon</v>
      </c>
      <c r="T152" s="1" t="str">
        <f>IFERROR(__xludf.DUMMYFUNCTION("""COMPUTED_VALUE"""),"Objet relatif aux vieilles charrues")</f>
        <v>Objet relatif aux vieilles charrues</v>
      </c>
      <c r="U152" t="str">
        <f>IFERROR(__xludf.DUMMYFUNCTION("""COMPUTED_VALUE"""),"")</f>
        <v/>
      </c>
      <c r="V152" t="str">
        <f>IFERROR(__xludf.DUMMYFUNCTION("""COMPUTED_VALUE"""),"")</f>
        <v/>
      </c>
      <c r="W152" t="str">
        <f>IFERROR(__xludf.DUMMYFUNCTION("""COMPUTED_VALUE"""),"")</f>
        <v/>
      </c>
      <c r="X152" t="str">
        <f>IFERROR(__xludf.DUMMYFUNCTION("""COMPUTED_VALUE"""),"")</f>
        <v/>
      </c>
      <c r="Y152" t="str">
        <f>IFERROR(__xludf.DUMMYFUNCTION("""COMPUTED_VALUE"""),"")</f>
        <v/>
      </c>
      <c r="Z152" t="str">
        <f>IFERROR(__xludf.DUMMYFUNCTION("""COMPUTED_VALUE"""),"")</f>
        <v/>
      </c>
      <c r="AA152" t="str">
        <f>IFERROR(__xludf.DUMMYFUNCTION("""COMPUTED_VALUE"""),"")</f>
        <v/>
      </c>
      <c r="AB152" t="str">
        <f>IFERROR(__xludf.DUMMYFUNCTION("""COMPUTED_VALUE"""),"")</f>
        <v/>
      </c>
    </row>
    <row r="153">
      <c r="A153" s="2">
        <f>IFERROR(__xludf.DUMMYFUNCTION("""COMPUTED_VALUE"""),43636.46121340278)</f>
        <v>43636.46121</v>
      </c>
      <c r="B153" s="1" t="str">
        <f>IFERROR(__xludf.DUMMYFUNCTION("""COMPUTED_VALUE"""),"simeo Potiron")</f>
        <v>simeo Potiron</v>
      </c>
      <c r="C15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3" s="1" t="str">
        <f>IFERROR(__xludf.DUMMYFUNCTION("""COMPUTED_VALUE"""),"BDS")</f>
        <v>BDS</v>
      </c>
      <c r="E153" s="1">
        <f>IFERROR(__xludf.DUMMYFUNCTION("""COMPUTED_VALUE"""),4.0)</f>
        <v>4</v>
      </c>
      <c r="F153" s="1" t="str">
        <f>IFERROR(__xludf.DUMMYFUNCTION("""COMPUTED_VALUE"""),"Electro posée, Rap, Pop, Musique fançaise")</f>
        <v>Electro posée, Rap, Pop, Musique fançaise</v>
      </c>
      <c r="G153" s="1" t="str">
        <f>IFERROR(__xludf.DUMMYFUNCTION("""COMPUTED_VALUE"""),"Pas du tout")</f>
        <v>Pas du tout</v>
      </c>
      <c r="H153" s="1" t="str">
        <f>IFERROR(__xludf.DUMMYFUNCTION("""COMPUTED_VALUE"""),"Une fois de temps en temps")</f>
        <v>Une fois de temps en temps</v>
      </c>
      <c r="I153" s="1" t="str">
        <f>IFERROR(__xludf.DUMMYFUNCTION("""COMPUTED_VALUE"""),"Plusieurs fois par semaine")</f>
        <v>Plusieurs fois par semaine</v>
      </c>
      <c r="J153" s="1" t="str">
        <f>IFERROR(__xludf.DUMMYFUNCTION("""COMPUTED_VALUE"""),"Pour le développement perso et se dépasser")</f>
        <v>Pour le développement perso et se dépasser</v>
      </c>
      <c r="K153" s="1" t="str">
        <f>IFERROR(__xludf.DUMMYFUNCTION("""COMPUTED_VALUE"""),"Sports collectifs, Sports de raquette")</f>
        <v>Sports collectifs, Sports de raquette</v>
      </c>
      <c r="L153" s="1" t="str">
        <f>IFERROR(__xludf.DUMMYFUNCTION("""COMPUTED_VALUE"""),"Alterner entre grec et coquillettes ça compte ?")</f>
        <v>Alterner entre grec et coquillettes ça compte ?</v>
      </c>
      <c r="M153" s="1">
        <f>IFERROR(__xludf.DUMMYFUNCTION("""COMPUTED_VALUE"""),8.0)</f>
        <v>8</v>
      </c>
      <c r="N153" s="1" t="str">
        <f>IFERROR(__xludf.DUMMYFUNCTION("""COMPUTED_VALUE"""),"Plusieurs fois par semaine")</f>
        <v>Plusieurs fois par semaine</v>
      </c>
      <c r="O153" s="1" t="str">
        <f>IFERROR(__xludf.DUMMYFUNCTION("""COMPUTED_VALUE"""),"T'enflammes le dancefloor")</f>
        <v>T'enflammes le dancefloor</v>
      </c>
      <c r="P153" s="1">
        <f>IFERROR(__xludf.DUMMYFUNCTION("""COMPUTED_VALUE"""),1.0)</f>
        <v>1</v>
      </c>
      <c r="Q153" s="1" t="str">
        <f>IFERROR(__xludf.DUMMYFUNCTION("""COMPUTED_VALUE"""),"Non")</f>
        <v>Non</v>
      </c>
      <c r="R153" s="1" t="str">
        <f>IFERROR(__xludf.DUMMYFUNCTION("""COMPUTED_VALUE"""),"Non")</f>
        <v>Non</v>
      </c>
      <c r="S153" s="1" t="str">
        <f>IFERROR(__xludf.DUMMYFUNCTION("""COMPUTED_VALUE"""),"la team corlay")</f>
        <v>la team corlay</v>
      </c>
      <c r="T153" s="1" t="str">
        <f>IFERROR(__xludf.DUMMYFUNCTION("""COMPUTED_VALUE"""),"no se")</f>
        <v>no se</v>
      </c>
      <c r="U153" t="str">
        <f>IFERROR(__xludf.DUMMYFUNCTION("""COMPUTED_VALUE"""),"")</f>
        <v/>
      </c>
      <c r="V153" t="str">
        <f>IFERROR(__xludf.DUMMYFUNCTION("""COMPUTED_VALUE"""),"")</f>
        <v/>
      </c>
      <c r="W153" t="str">
        <f>IFERROR(__xludf.DUMMYFUNCTION("""COMPUTED_VALUE"""),"")</f>
        <v/>
      </c>
      <c r="X153" t="str">
        <f>IFERROR(__xludf.DUMMYFUNCTION("""COMPUTED_VALUE"""),"")</f>
        <v/>
      </c>
      <c r="Y153" t="str">
        <f>IFERROR(__xludf.DUMMYFUNCTION("""COMPUTED_VALUE"""),"")</f>
        <v/>
      </c>
      <c r="Z153" t="str">
        <f>IFERROR(__xludf.DUMMYFUNCTION("""COMPUTED_VALUE"""),"")</f>
        <v/>
      </c>
      <c r="AA153" t="str">
        <f>IFERROR(__xludf.DUMMYFUNCTION("""COMPUTED_VALUE"""),"")</f>
        <v/>
      </c>
      <c r="AB153" t="str">
        <f>IFERROR(__xludf.DUMMYFUNCTION("""COMPUTED_VALUE"""),"")</f>
        <v/>
      </c>
    </row>
    <row r="154">
      <c r="A154" s="2">
        <f>IFERROR(__xludf.DUMMYFUNCTION("""COMPUTED_VALUE"""),43636.47463164352)</f>
        <v>43636.47463</v>
      </c>
      <c r="B154" s="1" t="str">
        <f>IFERROR(__xludf.DUMMYFUNCTION("""COMPUTED_VALUE"""),"Pierre MAQUET")</f>
        <v>Pierre MAQUET</v>
      </c>
      <c r="C15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4" s="1" t="str">
        <f>IFERROR(__xludf.DUMMYFUNCTION("""COMPUTED_VALUE"""),"BDS")</f>
        <v>BDS</v>
      </c>
      <c r="E154" s="1">
        <f>IFERROR(__xludf.DUMMYFUNCTION("""COMPUTED_VALUE"""),5.0)</f>
        <v>5</v>
      </c>
      <c r="F154" s="1" t="str">
        <f>IFERROR(__xludf.DUMMYFUNCTION("""COMPUTED_VALUE"""),"Rock, Rap, Musique classique")</f>
        <v>Rock, Rap, Musique classique</v>
      </c>
      <c r="G154" s="1" t="str">
        <f>IFERROR(__xludf.DUMMYFUNCTION("""COMPUTED_VALUE"""),"Peinture, Littérature, Musique, Théâtre, Cinéma")</f>
        <v>Peinture, Littérature, Musique, Théâtre, Cinéma</v>
      </c>
      <c r="H154" s="1" t="str">
        <f>IFERROR(__xludf.DUMMYFUNCTION("""COMPUTED_VALUE"""),"Quelques fois par semaine")</f>
        <v>Quelques fois par semaine</v>
      </c>
      <c r="I154" s="1" t="str">
        <f>IFERROR(__xludf.DUMMYFUNCTION("""COMPUTED_VALUE"""),"Une fois par semaine")</f>
        <v>Une fois par semaine</v>
      </c>
      <c r="J154" s="1" t="str">
        <f>IFERROR(__xludf.DUMMYFUNCTION("""COMPUTED_VALUE"""),"Pour le fun")</f>
        <v>Pour le fun</v>
      </c>
      <c r="K154" s="1" t="str">
        <f>IFERROR(__xludf.DUMMYFUNCTION("""COMPUTED_VALUE"""),"Sports collectifs")</f>
        <v>Sports collectifs</v>
      </c>
      <c r="L154" s="1" t="str">
        <f>IFERROR(__xludf.DUMMYFUNCTION("""COMPUTED_VALUE"""),"Je fais toujours attention à bien manger")</f>
        <v>Je fais toujours attention à bien manger</v>
      </c>
      <c r="M154" s="1">
        <f>IFERROR(__xludf.DUMMYFUNCTION("""COMPUTED_VALUE"""),7.0)</f>
        <v>7</v>
      </c>
      <c r="N154" s="1" t="str">
        <f>IFERROR(__xludf.DUMMYFUNCTION("""COMPUTED_VALUE"""),"Une fois par semaine")</f>
        <v>Une fois par semaine</v>
      </c>
      <c r="O154" s="1" t="str">
        <f>IFERROR(__xludf.DUMMYFUNCTION("""COMPUTED_VALUE"""),"T'enflammes le dancefloor")</f>
        <v>T'enflammes le dancefloor</v>
      </c>
      <c r="P154" s="1">
        <f>IFERROR(__xludf.DUMMYFUNCTION("""COMPUTED_VALUE"""),1.0)</f>
        <v>1</v>
      </c>
      <c r="Q154" s="1" t="str">
        <f>IFERROR(__xludf.DUMMYFUNCTION("""COMPUTED_VALUE"""),"Non")</f>
        <v>Non</v>
      </c>
      <c r="R154" s="1" t="str">
        <f>IFERROR(__xludf.DUMMYFUNCTION("""COMPUTED_VALUE"""),"Non")</f>
        <v>Non</v>
      </c>
      <c r="S154" s="1" t="str">
        <f>IFERROR(__xludf.DUMMYFUNCTION("""COMPUTED_VALUE"""),"Le Panthéon")</f>
        <v>Le Panthéon</v>
      </c>
      <c r="T154" s="1" t="str">
        <f>IFERROR(__xludf.DUMMYFUNCTION("""COMPUTED_VALUE"""),"Une partition")</f>
        <v>Une partition</v>
      </c>
      <c r="U154" t="str">
        <f>IFERROR(__xludf.DUMMYFUNCTION("""COMPUTED_VALUE"""),"")</f>
        <v/>
      </c>
      <c r="V154" t="str">
        <f>IFERROR(__xludf.DUMMYFUNCTION("""COMPUTED_VALUE"""),"")</f>
        <v/>
      </c>
      <c r="W154" t="str">
        <f>IFERROR(__xludf.DUMMYFUNCTION("""COMPUTED_VALUE"""),"")</f>
        <v/>
      </c>
      <c r="X154" t="str">
        <f>IFERROR(__xludf.DUMMYFUNCTION("""COMPUTED_VALUE"""),"")</f>
        <v/>
      </c>
      <c r="Y154" t="str">
        <f>IFERROR(__xludf.DUMMYFUNCTION("""COMPUTED_VALUE"""),"")</f>
        <v/>
      </c>
      <c r="Z154" t="str">
        <f>IFERROR(__xludf.DUMMYFUNCTION("""COMPUTED_VALUE"""),"")</f>
        <v/>
      </c>
      <c r="AA154" t="str">
        <f>IFERROR(__xludf.DUMMYFUNCTION("""COMPUTED_VALUE"""),"")</f>
        <v/>
      </c>
      <c r="AB154" t="str">
        <f>IFERROR(__xludf.DUMMYFUNCTION("""COMPUTED_VALUE"""),"")</f>
        <v/>
      </c>
    </row>
    <row r="155">
      <c r="A155" s="2">
        <f>IFERROR(__xludf.DUMMYFUNCTION("""COMPUTED_VALUE"""),43636.48126422454)</f>
        <v>43636.48126</v>
      </c>
      <c r="B155" s="1" t="str">
        <f>IFERROR(__xludf.DUMMYFUNCTION("""COMPUTED_VALUE"""),"Céline FEREC")</f>
        <v>Céline FEREC</v>
      </c>
      <c r="C15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5" s="1" t="str">
        <f>IFERROR(__xludf.DUMMYFUNCTION("""COMPUTED_VALUE"""),"BDS")</f>
        <v>BDS</v>
      </c>
      <c r="E155" s="1">
        <f>IFERROR(__xludf.DUMMYFUNCTION("""COMPUTED_VALUE"""),4.0)</f>
        <v>4</v>
      </c>
      <c r="F155" s="1" t="str">
        <f>IFERROR(__xludf.DUMMYFUNCTION("""COMPUTED_VALUE"""),"Rock, Rap, Pop")</f>
        <v>Rock, Rap, Pop</v>
      </c>
      <c r="G155" s="1" t="str">
        <f>IFERROR(__xludf.DUMMYFUNCTION("""COMPUTED_VALUE"""),"Cinéma")</f>
        <v>Cinéma</v>
      </c>
      <c r="H155" s="1" t="str">
        <f>IFERROR(__xludf.DUMMYFUNCTION("""COMPUTED_VALUE"""),"Une fois de temps en temps")</f>
        <v>Une fois de temps en temps</v>
      </c>
      <c r="I155" s="1" t="str">
        <f>IFERROR(__xludf.DUMMYFUNCTION("""COMPUTED_VALUE"""),"Plusieurs fois par semaine")</f>
        <v>Plusieurs fois par semaine</v>
      </c>
      <c r="J155" s="1" t="str">
        <f>IFERROR(__xludf.DUMMYFUNCTION("""COMPUTED_VALUE"""),"Pour le fun")</f>
        <v>Pour le fun</v>
      </c>
      <c r="K155" s="1" t="str">
        <f>IFERROR(__xludf.DUMMYFUNCTION("""COMPUTED_VALUE"""),"Sports collectifs")</f>
        <v>Sports collectifs</v>
      </c>
      <c r="L155" s="1" t="str">
        <f>IFERROR(__xludf.DUMMYFUNCTION("""COMPUTED_VALUE"""),"J'aime cuisiner le WE ou quand j'ai le temps")</f>
        <v>J'aime cuisiner le WE ou quand j'ai le temps</v>
      </c>
      <c r="M155" s="1">
        <f>IFERROR(__xludf.DUMMYFUNCTION("""COMPUTED_VALUE"""),7.0)</f>
        <v>7</v>
      </c>
      <c r="N155" s="1" t="str">
        <f>IFERROR(__xludf.DUMMYFUNCTION("""COMPUTED_VALUE"""),"Une fois par semaine")</f>
        <v>Une fois par semaine</v>
      </c>
      <c r="O155" s="1" t="str">
        <f>IFERROR(__xludf.DUMMYFUNCTION("""COMPUTED_VALUE"""),"Tu te poses dans un coin, chill !!")</f>
        <v>Tu te poses dans un coin, chill !!</v>
      </c>
      <c r="P155" s="1">
        <f>IFERROR(__xludf.DUMMYFUNCTION("""COMPUTED_VALUE"""),1.0)</f>
        <v>1</v>
      </c>
      <c r="Q155" s="1" t="str">
        <f>IFERROR(__xludf.DUMMYFUNCTION("""COMPUTED_VALUE"""),"Non")</f>
        <v>Non</v>
      </c>
      <c r="R155" s="1" t="str">
        <f>IFERROR(__xludf.DUMMYFUNCTION("""COMPUTED_VALUE"""),"Non")</f>
        <v>Non</v>
      </c>
      <c r="S155" s="1" t="str">
        <f>IFERROR(__xludf.DUMMYFUNCTION("""COMPUTED_VALUE"""),"Le Panthéon")</f>
        <v>Le Panthéon</v>
      </c>
      <c r="T155" s="1" t="str">
        <f>IFERROR(__xludf.DUMMYFUNCTION("""COMPUTED_VALUE"""),"une feuille d'admission aux urgences ;)")</f>
        <v>une feuille d'admission aux urgences ;)</v>
      </c>
      <c r="U155" t="str">
        <f>IFERROR(__xludf.DUMMYFUNCTION("""COMPUTED_VALUE"""),"")</f>
        <v/>
      </c>
      <c r="V155" t="str">
        <f>IFERROR(__xludf.DUMMYFUNCTION("""COMPUTED_VALUE"""),"")</f>
        <v/>
      </c>
      <c r="W155" t="str">
        <f>IFERROR(__xludf.DUMMYFUNCTION("""COMPUTED_VALUE"""),"")</f>
        <v/>
      </c>
      <c r="X155" t="str">
        <f>IFERROR(__xludf.DUMMYFUNCTION("""COMPUTED_VALUE"""),"")</f>
        <v/>
      </c>
      <c r="Y155" t="str">
        <f>IFERROR(__xludf.DUMMYFUNCTION("""COMPUTED_VALUE"""),"")</f>
        <v/>
      </c>
      <c r="Z155" t="str">
        <f>IFERROR(__xludf.DUMMYFUNCTION("""COMPUTED_VALUE"""),"")</f>
        <v/>
      </c>
      <c r="AA155" t="str">
        <f>IFERROR(__xludf.DUMMYFUNCTION("""COMPUTED_VALUE"""),"")</f>
        <v/>
      </c>
      <c r="AB155" t="str">
        <f>IFERROR(__xludf.DUMMYFUNCTION("""COMPUTED_VALUE"""),"")</f>
        <v/>
      </c>
    </row>
    <row r="156">
      <c r="A156" s="2">
        <f>IFERROR(__xludf.DUMMYFUNCTION("""COMPUTED_VALUE"""),43636.63281678241)</f>
        <v>43636.63282</v>
      </c>
      <c r="B156" s="1" t="str">
        <f>IFERROR(__xludf.DUMMYFUNCTION("""COMPUTED_VALUE"""),"Maxime GRAS")</f>
        <v>Maxime GRAS</v>
      </c>
      <c r="C15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6" s="1" t="str">
        <f>IFERROR(__xludf.DUMMYFUNCTION("""COMPUTED_VALUE"""),"BDA, BDE")</f>
        <v>BDA, BDE</v>
      </c>
      <c r="E156" s="1">
        <f>IFERROR(__xludf.DUMMYFUNCTION("""COMPUTED_VALUE"""),5.0)</f>
        <v>5</v>
      </c>
      <c r="F156" s="1" t="str">
        <f>IFERROR(__xludf.DUMMYFUNCTION("""COMPUTED_VALUE"""),"Rock, Metal, Musique fançaise, Musique classique")</f>
        <v>Rock, Metal, Musique fançaise, Musique classique</v>
      </c>
      <c r="G156" s="1" t="str">
        <f>IFERROR(__xludf.DUMMYFUNCTION("""COMPUTED_VALUE"""),"Danse, Musique, Théâtre, Cinéma")</f>
        <v>Danse, Musique, Théâtre, Cinéma</v>
      </c>
      <c r="H156" s="1" t="str">
        <f>IFERROR(__xludf.DUMMYFUNCTION("""COMPUTED_VALUE"""),"Une fois de temps en temps")</f>
        <v>Une fois de temps en temps</v>
      </c>
      <c r="I156" s="1" t="str">
        <f>IFERROR(__xludf.DUMMYFUNCTION("""COMPUTED_VALUE"""),"Le dimanche à 15h32 s'il fait beau")</f>
        <v>Le dimanche à 15h32 s'il fait beau</v>
      </c>
      <c r="J156" s="1" t="str">
        <f>IFERROR(__xludf.DUMMYFUNCTION("""COMPUTED_VALUE"""),"Pour le fun")</f>
        <v>Pour le fun</v>
      </c>
      <c r="K156" s="1" t="str">
        <f>IFERROR(__xludf.DUMMYFUNCTION("""COMPUTED_VALUE"""),"Athlétisme, Sports de combat, Escalade, Autre")</f>
        <v>Athlétisme, Sports de combat, Escalade, Autre</v>
      </c>
      <c r="L156" s="1" t="str">
        <f>IFERROR(__xludf.DUMMYFUNCTION("""COMPUTED_VALUE"""),"Je fais toujours attention à bien manger")</f>
        <v>Je fais toujours attention à bien manger</v>
      </c>
      <c r="M156" s="1">
        <f>IFERROR(__xludf.DUMMYFUNCTION("""COMPUTED_VALUE"""),7.0)</f>
        <v>7</v>
      </c>
      <c r="N156" s="1" t="str">
        <f>IFERROR(__xludf.DUMMYFUNCTION("""COMPUTED_VALUE"""),"Une fois par mois")</f>
        <v>Une fois par mois</v>
      </c>
      <c r="O156" s="1" t="str">
        <f>IFERROR(__xludf.DUMMYFUNCTION("""COMPUTED_VALUE"""),"Tu te poses dans un coin, chill !!")</f>
        <v>Tu te poses dans un coin, chill !!</v>
      </c>
      <c r="P156" s="1">
        <f>IFERROR(__xludf.DUMMYFUNCTION("""COMPUTED_VALUE"""),1.0)</f>
        <v>1</v>
      </c>
      <c r="Q156" s="1" t="str">
        <f>IFERROR(__xludf.DUMMYFUNCTION("""COMPUTED_VALUE"""),"Non")</f>
        <v>Non</v>
      </c>
      <c r="R156" s="1" t="str">
        <f>IFERROR(__xludf.DUMMYFUNCTION("""COMPUTED_VALUE"""),"Non")</f>
        <v>Non</v>
      </c>
      <c r="S156" s="1" t="str">
        <f>IFERROR(__xludf.DUMMYFUNCTION("""COMPUTED_VALUE"""),"La Crypte")</f>
        <v>La Crypte</v>
      </c>
      <c r="T156" s="1" t="str">
        <f>IFERROR(__xludf.DUMMYFUNCTION("""COMPUTED_VALUE"""),"Sachet de meth/chapeau/silp/bouteille de Mr Propre/Truc de théâtre")</f>
        <v>Sachet de meth/chapeau/silp/bouteille de Mr Propre/Truc de théâtre</v>
      </c>
      <c r="U156" t="str">
        <f>IFERROR(__xludf.DUMMYFUNCTION("""COMPUTED_VALUE"""),"")</f>
        <v/>
      </c>
      <c r="V156" t="str">
        <f>IFERROR(__xludf.DUMMYFUNCTION("""COMPUTED_VALUE"""),"")</f>
        <v/>
      </c>
      <c r="W156" t="str">
        <f>IFERROR(__xludf.DUMMYFUNCTION("""COMPUTED_VALUE"""),"")</f>
        <v/>
      </c>
      <c r="X156" t="str">
        <f>IFERROR(__xludf.DUMMYFUNCTION("""COMPUTED_VALUE"""),"")</f>
        <v/>
      </c>
      <c r="Y156" t="str">
        <f>IFERROR(__xludf.DUMMYFUNCTION("""COMPUTED_VALUE"""),"")</f>
        <v/>
      </c>
      <c r="Z156" t="str">
        <f>IFERROR(__xludf.DUMMYFUNCTION("""COMPUTED_VALUE"""),"")</f>
        <v/>
      </c>
      <c r="AA156" t="str">
        <f>IFERROR(__xludf.DUMMYFUNCTION("""COMPUTED_VALUE"""),"")</f>
        <v/>
      </c>
      <c r="AB156" t="str">
        <f>IFERROR(__xludf.DUMMYFUNCTION("""COMPUTED_VALUE"""),"")</f>
        <v/>
      </c>
    </row>
    <row r="157">
      <c r="A157" s="2">
        <f>IFERROR(__xludf.DUMMYFUNCTION("""COMPUTED_VALUE"""),43636.63738990741)</f>
        <v>43636.63739</v>
      </c>
      <c r="B157" s="1" t="str">
        <f>IFERROR(__xludf.DUMMYFUNCTION("""COMPUTED_VALUE"""),"Audrey BOYENVAL")</f>
        <v>Audrey BOYENVAL</v>
      </c>
      <c r="C15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7" s="1" t="str">
        <f>IFERROR(__xludf.DUMMYFUNCTION("""COMPUTED_VALUE"""),"BDE")</f>
        <v>BDE</v>
      </c>
      <c r="E157" s="1">
        <f>IFERROR(__xludf.DUMMYFUNCTION("""COMPUTED_VALUE"""),5.0)</f>
        <v>5</v>
      </c>
      <c r="F157" s="1" t="str">
        <f>IFERROR(__xludf.DUMMYFUNCTION("""COMPUTED_VALUE"""),"Rap, Pop, Musique fançaise, Jazz, Musique classique")</f>
        <v>Rap, Pop, Musique fançaise, Jazz, Musique classique</v>
      </c>
      <c r="G157" s="1" t="str">
        <f>IFERROR(__xludf.DUMMYFUNCTION("""COMPUTED_VALUE"""),"Danse, Musique, Théâtre, Cinéma")</f>
        <v>Danse, Musique, Théâtre, Cinéma</v>
      </c>
      <c r="H157" s="1" t="str">
        <f>IFERROR(__xludf.DUMMYFUNCTION("""COMPUTED_VALUE"""),"Seulement les soirs de pleine lune")</f>
        <v>Seulement les soirs de pleine lune</v>
      </c>
      <c r="I157" s="1" t="str">
        <f>IFERROR(__xludf.DUMMYFUNCTION("""COMPUTED_VALUE"""),"Plusieurs fois par semaine")</f>
        <v>Plusieurs fois par semaine</v>
      </c>
      <c r="J157" s="1" t="str">
        <f>IFERROR(__xludf.DUMMYFUNCTION("""COMPUTED_VALUE"""),"Pour le fun")</f>
        <v>Pour le fun</v>
      </c>
      <c r="K157" s="1" t="str">
        <f>IFERROR(__xludf.DUMMYFUNCTION("""COMPUTED_VALUE"""),"Equitation, Autre")</f>
        <v>Equitation, Autre</v>
      </c>
      <c r="L157" s="1" t="str">
        <f>IFERROR(__xludf.DUMMYFUNCTION("""COMPUTED_VALUE"""),"J'aime cuisiner le WE ou quand j'ai le temps")</f>
        <v>J'aime cuisiner le WE ou quand j'ai le temps</v>
      </c>
      <c r="M157" s="1">
        <f>IFERROR(__xludf.DUMMYFUNCTION("""COMPUTED_VALUE"""),1.0)</f>
        <v>1</v>
      </c>
      <c r="N157" s="1" t="str">
        <f>IFERROR(__xludf.DUMMYFUNCTION("""COMPUTED_VALUE"""),"Plusieurs fois par semaine")</f>
        <v>Plusieurs fois par semaine</v>
      </c>
      <c r="O157" s="1" t="str">
        <f>IFERROR(__xludf.DUMMYFUNCTION("""COMPUTED_VALUE"""),"T'enflammes le dancefloor")</f>
        <v>T'enflammes le dancefloor</v>
      </c>
      <c r="P157" s="1">
        <f>IFERROR(__xludf.DUMMYFUNCTION("""COMPUTED_VALUE"""),1.0)</f>
        <v>1</v>
      </c>
      <c r="Q157" s="1" t="str">
        <f>IFERROR(__xludf.DUMMYFUNCTION("""COMPUTED_VALUE"""),"Oui")</f>
        <v>Oui</v>
      </c>
      <c r="R157" s="1" t="str">
        <f>IFERROR(__xludf.DUMMYFUNCTION("""COMPUTED_VALUE"""),"Non")</f>
        <v>Non</v>
      </c>
      <c r="S157" s="1" t="str">
        <f>IFERROR(__xludf.DUMMYFUNCTION("""COMPUTED_VALUE"""),"La Crypte")</f>
        <v>La Crypte</v>
      </c>
      <c r="T157" s="1" t="str">
        <f>IFERROR(__xludf.DUMMYFUNCTION("""COMPUTED_VALUE"""),"Un trophée")</f>
        <v>Un trophée</v>
      </c>
      <c r="U157" t="str">
        <f>IFERROR(__xludf.DUMMYFUNCTION("""COMPUTED_VALUE"""),"")</f>
        <v/>
      </c>
      <c r="V157" t="str">
        <f>IFERROR(__xludf.DUMMYFUNCTION("""COMPUTED_VALUE"""),"")</f>
        <v/>
      </c>
      <c r="W157" t="str">
        <f>IFERROR(__xludf.DUMMYFUNCTION("""COMPUTED_VALUE"""),"")</f>
        <v/>
      </c>
      <c r="X157" t="str">
        <f>IFERROR(__xludf.DUMMYFUNCTION("""COMPUTED_VALUE"""),"")</f>
        <v/>
      </c>
      <c r="Y157" t="str">
        <f>IFERROR(__xludf.DUMMYFUNCTION("""COMPUTED_VALUE"""),"")</f>
        <v/>
      </c>
      <c r="Z157" t="str">
        <f>IFERROR(__xludf.DUMMYFUNCTION("""COMPUTED_VALUE"""),"")</f>
        <v/>
      </c>
      <c r="AA157" t="str">
        <f>IFERROR(__xludf.DUMMYFUNCTION("""COMPUTED_VALUE"""),"")</f>
        <v/>
      </c>
      <c r="AB157" t="str">
        <f>IFERROR(__xludf.DUMMYFUNCTION("""COMPUTED_VALUE"""),"")</f>
        <v/>
      </c>
    </row>
    <row r="158">
      <c r="A158" s="2">
        <f>IFERROR(__xludf.DUMMYFUNCTION("""COMPUTED_VALUE"""),43636.64507254629)</f>
        <v>43636.64507</v>
      </c>
      <c r="B158" s="1" t="str">
        <f>IFERROR(__xludf.DUMMYFUNCTION("""COMPUTED_VALUE"""),"Chloé CANAVATE")</f>
        <v>Chloé CANAVATE</v>
      </c>
      <c r="C15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58" s="1" t="str">
        <f>IFERROR(__xludf.DUMMYFUNCTION("""COMPUTED_VALUE"""),"BDS")</f>
        <v>BDS</v>
      </c>
      <c r="E158" s="1">
        <f>IFERROR(__xludf.DUMMYFUNCTION("""COMPUTED_VALUE"""),2.0)</f>
        <v>2</v>
      </c>
      <c r="F158" s="1" t="str">
        <f>IFERROR(__xludf.DUMMYFUNCTION("""COMPUTED_VALUE"""),"Electro posée, Rap, Pop, Musique fançaise")</f>
        <v>Electro posée, Rap, Pop, Musique fançaise</v>
      </c>
      <c r="G158" s="1" t="str">
        <f>IFERROR(__xludf.DUMMYFUNCTION("""COMPUTED_VALUE"""),"Pas du tout")</f>
        <v>Pas du tout</v>
      </c>
      <c r="H158" s="1" t="str">
        <f>IFERROR(__xludf.DUMMYFUNCTION("""COMPUTED_VALUE"""),"Seulement les soirs de pleine lune")</f>
        <v>Seulement les soirs de pleine lune</v>
      </c>
      <c r="I158" s="1" t="str">
        <f>IFERROR(__xludf.DUMMYFUNCTION("""COMPUTED_VALUE"""),"Une fois par semaine")</f>
        <v>Une fois par semaine</v>
      </c>
      <c r="J158" s="1" t="str">
        <f>IFERROR(__xludf.DUMMYFUNCTION("""COMPUTED_VALUE"""),"Pour le fun")</f>
        <v>Pour le fun</v>
      </c>
      <c r="K158" s="1" t="str">
        <f>IFERROR(__xludf.DUMMYFUNCTION("""COMPUTED_VALUE"""),"Sports de raquette, Athlétisme")</f>
        <v>Sports de raquette, Athlétisme</v>
      </c>
      <c r="L158" s="1" t="str">
        <f>IFERROR(__xludf.DUMMYFUNCTION("""COMPUTED_VALUE"""),"Oh oui, et les trucs bien gras ça me connait !")</f>
        <v>Oh oui, et les trucs bien gras ça me connait !</v>
      </c>
      <c r="M158" s="1">
        <f>IFERROR(__xludf.DUMMYFUNCTION("""COMPUTED_VALUE"""),7.0)</f>
        <v>7</v>
      </c>
      <c r="N158" s="1" t="str">
        <f>IFERROR(__xludf.DUMMYFUNCTION("""COMPUTED_VALUE"""),"Plusieurs fois par semaine")</f>
        <v>Plusieurs fois par semaine</v>
      </c>
      <c r="O158" s="1" t="str">
        <f>IFERROR(__xludf.DUMMYFUNCTION("""COMPUTED_VALUE"""),"T'enflammes le dancefloor")</f>
        <v>T'enflammes le dancefloor</v>
      </c>
      <c r="P158" s="1">
        <f>IFERROR(__xludf.DUMMYFUNCTION("""COMPUTED_VALUE"""),1.0)</f>
        <v>1</v>
      </c>
      <c r="Q158" s="1" t="str">
        <f>IFERROR(__xludf.DUMMYFUNCTION("""COMPUTED_VALUE"""),"Non")</f>
        <v>Non</v>
      </c>
      <c r="R158" s="1" t="str">
        <f>IFERROR(__xludf.DUMMYFUNCTION("""COMPUTED_VALUE"""),"Non")</f>
        <v>Non</v>
      </c>
      <c r="S158" s="1" t="str">
        <f>IFERROR(__xludf.DUMMYFUNCTION("""COMPUTED_VALUE"""),"Le 4 étoiles ")</f>
        <v>Le 4 étoiles </v>
      </c>
      <c r="T158" s="1" t="str">
        <f>IFERROR(__xludf.DUMMYFUNCTION("""COMPUTED_VALUE"""),"Une bouteille de jagger")</f>
        <v>Une bouteille de jagger</v>
      </c>
      <c r="U158" t="str">
        <f>IFERROR(__xludf.DUMMYFUNCTION("""COMPUTED_VALUE"""),"")</f>
        <v/>
      </c>
      <c r="V158" t="str">
        <f>IFERROR(__xludf.DUMMYFUNCTION("""COMPUTED_VALUE"""),"")</f>
        <v/>
      </c>
      <c r="W158" t="str">
        <f>IFERROR(__xludf.DUMMYFUNCTION("""COMPUTED_VALUE"""),"")</f>
        <v/>
      </c>
      <c r="X158" t="str">
        <f>IFERROR(__xludf.DUMMYFUNCTION("""COMPUTED_VALUE"""),"")</f>
        <v/>
      </c>
      <c r="Y158" t="str">
        <f>IFERROR(__xludf.DUMMYFUNCTION("""COMPUTED_VALUE"""),"")</f>
        <v/>
      </c>
      <c r="Z158" t="str">
        <f>IFERROR(__xludf.DUMMYFUNCTION("""COMPUTED_VALUE"""),"")</f>
        <v/>
      </c>
      <c r="AA158" t="str">
        <f>IFERROR(__xludf.DUMMYFUNCTION("""COMPUTED_VALUE"""),"")</f>
        <v/>
      </c>
      <c r="AB158" t="str">
        <f>IFERROR(__xludf.DUMMYFUNCTION("""COMPUTED_VALUE"""),"")</f>
        <v/>
      </c>
    </row>
    <row r="159">
      <c r="A159" s="2">
        <f>IFERROR(__xludf.DUMMYFUNCTION("""COMPUTED_VALUE"""),43636.68045678241)</f>
        <v>43636.68046</v>
      </c>
      <c r="B159" s="1" t="str">
        <f>IFERROR(__xludf.DUMMYFUNCTION("""COMPUTED_VALUE"""),"Antoine TARDIVON")</f>
        <v>Antoine TARDIVON</v>
      </c>
      <c r="C159" s="1" t="str">
        <f>IFERROR(__xludf.DUMMYFUNCTION("""COMPUTED_VALUE"""),"Le président et un inconnu")</f>
        <v>Le président et un inconnu</v>
      </c>
      <c r="D159" s="1" t="str">
        <f>IFERROR(__xludf.DUMMYFUNCTION("""COMPUTED_VALUE"""),"BDS")</f>
        <v>BDS</v>
      </c>
      <c r="E159" s="1">
        <f>IFERROR(__xludf.DUMMYFUNCTION("""COMPUTED_VALUE"""),2.0)</f>
        <v>2</v>
      </c>
      <c r="F159" s="1" t="str">
        <f>IFERROR(__xludf.DUMMYFUNCTION("""COMPUTED_VALUE"""),"Rock, Rap, Pop, Musique fançaise")</f>
        <v>Rock, Rap, Pop, Musique fançaise</v>
      </c>
      <c r="G159" s="1" t="str">
        <f>IFERROR(__xludf.DUMMYFUNCTION("""COMPUTED_VALUE"""),"Cinéma")</f>
        <v>Cinéma</v>
      </c>
      <c r="H159" s="1" t="str">
        <f>IFERROR(__xludf.DUMMYFUNCTION("""COMPUTED_VALUE"""),"Une fois de temps en temps")</f>
        <v>Une fois de temps en temps</v>
      </c>
      <c r="I159" s="1" t="str">
        <f>IFERROR(__xludf.DUMMYFUNCTION("""COMPUTED_VALUE"""),"Plusieurs fois par semaine")</f>
        <v>Plusieurs fois par semaine</v>
      </c>
      <c r="J159" s="1" t="str">
        <f>IFERROR(__xludf.DUMMYFUNCTION("""COMPUTED_VALUE"""),"Pour la compet")</f>
        <v>Pour la compet</v>
      </c>
      <c r="K159" s="1" t="str">
        <f>IFERROR(__xludf.DUMMYFUNCTION("""COMPUTED_VALUE"""),"Sports collectifs")</f>
        <v>Sports collectifs</v>
      </c>
      <c r="L159" s="1" t="str">
        <f>IFERROR(__xludf.DUMMYFUNCTION("""COMPUTED_VALUE"""),"J'aime cuisiner le WE ou quand j'ai le temps")</f>
        <v>J'aime cuisiner le WE ou quand j'ai le temps</v>
      </c>
      <c r="M159" s="1">
        <f>IFERROR(__xludf.DUMMYFUNCTION("""COMPUTED_VALUE"""),4.0)</f>
        <v>4</v>
      </c>
      <c r="N159" s="1" t="str">
        <f>IFERROR(__xludf.DUMMYFUNCTION("""COMPUTED_VALUE"""),"Une fois par semaine")</f>
        <v>Une fois par semaine</v>
      </c>
      <c r="O159" s="1" t="str">
        <f>IFERROR(__xludf.DUMMYFUNCTION("""COMPUTED_VALUE"""),"Tu te poses dans un coin, chill !!")</f>
        <v>Tu te poses dans un coin, chill !!</v>
      </c>
      <c r="P159" s="1">
        <f>IFERROR(__xludf.DUMMYFUNCTION("""COMPUTED_VALUE"""),1.0)</f>
        <v>1</v>
      </c>
      <c r="Q159" s="1" t="str">
        <f>IFERROR(__xludf.DUMMYFUNCTION("""COMPUTED_VALUE"""),"Non")</f>
        <v>Non</v>
      </c>
      <c r="R159" s="1" t="str">
        <f>IFERROR(__xludf.DUMMYFUNCTION("""COMPUTED_VALUE"""),"Non")</f>
        <v>Non</v>
      </c>
      <c r="S159" s="1" t="str">
        <f>IFERROR(__xludf.DUMMYFUNCTION("""COMPUTED_VALUE"""),"La team Corlay")</f>
        <v>La team Corlay</v>
      </c>
      <c r="T159" s="1" t="str">
        <f>IFERROR(__xludf.DUMMYFUNCTION("""COMPUTED_VALUE"""),"No se")</f>
        <v>No se</v>
      </c>
      <c r="U159" t="str">
        <f>IFERROR(__xludf.DUMMYFUNCTION("""COMPUTED_VALUE"""),"")</f>
        <v/>
      </c>
      <c r="V159" t="str">
        <f>IFERROR(__xludf.DUMMYFUNCTION("""COMPUTED_VALUE"""),"")</f>
        <v/>
      </c>
      <c r="W159" t="str">
        <f>IFERROR(__xludf.DUMMYFUNCTION("""COMPUTED_VALUE"""),"")</f>
        <v/>
      </c>
      <c r="X159" t="str">
        <f>IFERROR(__xludf.DUMMYFUNCTION("""COMPUTED_VALUE"""),"")</f>
        <v/>
      </c>
      <c r="Y159" t="str">
        <f>IFERROR(__xludf.DUMMYFUNCTION("""COMPUTED_VALUE"""),"")</f>
        <v/>
      </c>
      <c r="Z159" t="str">
        <f>IFERROR(__xludf.DUMMYFUNCTION("""COMPUTED_VALUE"""),"")</f>
        <v/>
      </c>
      <c r="AA159" t="str">
        <f>IFERROR(__xludf.DUMMYFUNCTION("""COMPUTED_VALUE"""),"")</f>
        <v/>
      </c>
      <c r="AB159" t="str">
        <f>IFERROR(__xludf.DUMMYFUNCTION("""COMPUTED_VALUE"""),"")</f>
        <v/>
      </c>
    </row>
    <row r="160">
      <c r="A160" s="2">
        <f>IFERROR(__xludf.DUMMYFUNCTION("""COMPUTED_VALUE"""),43636.71909291667)</f>
        <v>43636.71909</v>
      </c>
      <c r="B160" s="1" t="str">
        <f>IFERROR(__xludf.DUMMYFUNCTION("""COMPUTED_VALUE"""),"Adrien Simonet")</f>
        <v>Adrien Simonet</v>
      </c>
      <c r="C160" s="1" t="str">
        <f>IFERROR(__xludf.DUMMYFUNCTION("""COMPUTED_VALUE"""),"Deux inconnus")</f>
        <v>Deux inconnus</v>
      </c>
      <c r="D160" s="1" t="str">
        <f>IFERROR(__xludf.DUMMYFUNCTION("""COMPUTED_VALUE"""),"BDS")</f>
        <v>BDS</v>
      </c>
      <c r="E160" s="1">
        <f>IFERROR(__xludf.DUMMYFUNCTION("""COMPUTED_VALUE"""),3.0)</f>
        <v>3</v>
      </c>
      <c r="F160" s="1" t="str">
        <f>IFERROR(__xludf.DUMMYFUNCTION("""COMPUTED_VALUE"""),"Rap, Pop, Musique fançaise")</f>
        <v>Rap, Pop, Musique fançaise</v>
      </c>
      <c r="G160" s="1" t="str">
        <f>IFERROR(__xludf.DUMMYFUNCTION("""COMPUTED_VALUE"""),"Pas du tout")</f>
        <v>Pas du tout</v>
      </c>
      <c r="H160" s="1" t="str">
        <f>IFERROR(__xludf.DUMMYFUNCTION("""COMPUTED_VALUE"""),"Une fois de temps en temps")</f>
        <v>Une fois de temps en temps</v>
      </c>
      <c r="I160" s="1" t="str">
        <f>IFERROR(__xludf.DUMMYFUNCTION("""COMPUTED_VALUE"""),"Une fois par jour")</f>
        <v>Une fois par jour</v>
      </c>
      <c r="J160" s="1" t="str">
        <f>IFERROR(__xludf.DUMMYFUNCTION("""COMPUTED_VALUE"""),"Pour la compet")</f>
        <v>Pour la compet</v>
      </c>
      <c r="K160" s="1" t="str">
        <f>IFERROR(__xludf.DUMMYFUNCTION("""COMPUTED_VALUE"""),"Sports collectifs, Autre")</f>
        <v>Sports collectifs, Autre</v>
      </c>
      <c r="L160" s="1" t="str">
        <f>IFERROR(__xludf.DUMMYFUNCTION("""COMPUTED_VALUE"""),"Je fais toujours attention à bien manger")</f>
        <v>Je fais toujours attention à bien manger</v>
      </c>
      <c r="M160" s="1">
        <f>IFERROR(__xludf.DUMMYFUNCTION("""COMPUTED_VALUE"""),7.0)</f>
        <v>7</v>
      </c>
      <c r="N160" s="1" t="str">
        <f>IFERROR(__xludf.DUMMYFUNCTION("""COMPUTED_VALUE"""),"Une fois par semaine")</f>
        <v>Une fois par semaine</v>
      </c>
      <c r="O160" s="1" t="str">
        <f>IFERROR(__xludf.DUMMYFUNCTION("""COMPUTED_VALUE"""),"Objectif grosse défonce")</f>
        <v>Objectif grosse défonce</v>
      </c>
      <c r="P160" s="1">
        <f>IFERROR(__xludf.DUMMYFUNCTION("""COMPUTED_VALUE"""),1.0)</f>
        <v>1</v>
      </c>
      <c r="Q160" s="1" t="str">
        <f>IFERROR(__xludf.DUMMYFUNCTION("""COMPUTED_VALUE"""),"Non")</f>
        <v>Non</v>
      </c>
      <c r="R160" s="1" t="str">
        <f>IFERROR(__xludf.DUMMYFUNCTION("""COMPUTED_VALUE"""),"Non")</f>
        <v>Non</v>
      </c>
      <c r="S160" s="1" t="str">
        <f>IFERROR(__xludf.DUMMYFUNCTION("""COMPUTED_VALUE"""),"La team corlay ")</f>
        <v>La team corlay </v>
      </c>
      <c r="T160" s="1" t="str">
        <f>IFERROR(__xludf.DUMMYFUNCTION("""COMPUTED_VALUE"""),"Rien")</f>
        <v>Rien</v>
      </c>
      <c r="U160" t="str">
        <f>IFERROR(__xludf.DUMMYFUNCTION("""COMPUTED_VALUE"""),"")</f>
        <v/>
      </c>
      <c r="V160" t="str">
        <f>IFERROR(__xludf.DUMMYFUNCTION("""COMPUTED_VALUE"""),"")</f>
        <v/>
      </c>
      <c r="W160" t="str">
        <f>IFERROR(__xludf.DUMMYFUNCTION("""COMPUTED_VALUE"""),"")</f>
        <v/>
      </c>
      <c r="X160" t="str">
        <f>IFERROR(__xludf.DUMMYFUNCTION("""COMPUTED_VALUE"""),"")</f>
        <v/>
      </c>
      <c r="Y160" t="str">
        <f>IFERROR(__xludf.DUMMYFUNCTION("""COMPUTED_VALUE"""),"")</f>
        <v/>
      </c>
      <c r="Z160" t="str">
        <f>IFERROR(__xludf.DUMMYFUNCTION("""COMPUTED_VALUE"""),"")</f>
        <v/>
      </c>
      <c r="AA160" t="str">
        <f>IFERROR(__xludf.DUMMYFUNCTION("""COMPUTED_VALUE"""),"")</f>
        <v/>
      </c>
      <c r="AB160" t="str">
        <f>IFERROR(__xludf.DUMMYFUNCTION("""COMPUTED_VALUE"""),"")</f>
        <v/>
      </c>
    </row>
    <row r="161">
      <c r="A161" s="2">
        <f>IFERROR(__xludf.DUMMYFUNCTION("""COMPUTED_VALUE"""),43636.71929787037)</f>
        <v>43636.7193</v>
      </c>
      <c r="B161" s="1" t="str">
        <f>IFERROR(__xludf.DUMMYFUNCTION("""COMPUTED_VALUE"""),"Maena GALERON")</f>
        <v>Maena GALERON</v>
      </c>
      <c r="C16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1" s="1" t="str">
        <f>IFERROR(__xludf.DUMMYFUNCTION("""COMPUTED_VALUE"""),"BDS")</f>
        <v>BDS</v>
      </c>
      <c r="E161" s="1">
        <f>IFERROR(__xludf.DUMMYFUNCTION("""COMPUTED_VALUE"""),4.0)</f>
        <v>4</v>
      </c>
      <c r="F161" s="1" t="str">
        <f>IFERROR(__xludf.DUMMYFUNCTION("""COMPUTED_VALUE"""),"Rap, Pop, Musique fançaise")</f>
        <v>Rap, Pop, Musique fançaise</v>
      </c>
      <c r="G161" s="1" t="str">
        <f>IFERROR(__xludf.DUMMYFUNCTION("""COMPUTED_VALUE"""),"Pas du tout")</f>
        <v>Pas du tout</v>
      </c>
      <c r="H161" s="1" t="str">
        <f>IFERROR(__xludf.DUMMYFUNCTION("""COMPUTED_VALUE"""),"Seulement les soirs de pleine lune")</f>
        <v>Seulement les soirs de pleine lune</v>
      </c>
      <c r="I161" s="1" t="str">
        <f>IFERROR(__xludf.DUMMYFUNCTION("""COMPUTED_VALUE"""),"Plusieurs fois par semaine")</f>
        <v>Plusieurs fois par semaine</v>
      </c>
      <c r="J161" s="1" t="str">
        <f>IFERROR(__xludf.DUMMYFUNCTION("""COMPUTED_VALUE"""),"Pour le fun")</f>
        <v>Pour le fun</v>
      </c>
      <c r="K161" s="1" t="str">
        <f>IFERROR(__xludf.DUMMYFUNCTION("""COMPUTED_VALUE"""),"Sports collectifs, Equitation")</f>
        <v>Sports collectifs, Equitation</v>
      </c>
      <c r="L161" s="1" t="str">
        <f>IFERROR(__xludf.DUMMYFUNCTION("""COMPUTED_VALUE"""),"Je fais toujours attention à bien manger")</f>
        <v>Je fais toujours attention à bien manger</v>
      </c>
      <c r="M161" s="1">
        <f>IFERROR(__xludf.DUMMYFUNCTION("""COMPUTED_VALUE"""),5.0)</f>
        <v>5</v>
      </c>
      <c r="N161" s="1" t="str">
        <f>IFERROR(__xludf.DUMMYFUNCTION("""COMPUTED_VALUE"""),"Une fois par semaine")</f>
        <v>Une fois par semaine</v>
      </c>
      <c r="O161" s="1" t="str">
        <f>IFERROR(__xludf.DUMMYFUNCTION("""COMPUTED_VALUE"""),"T'enflammes le dancefloor")</f>
        <v>T'enflammes le dancefloor</v>
      </c>
      <c r="P161" s="1">
        <f>IFERROR(__xludf.DUMMYFUNCTION("""COMPUTED_VALUE"""),1.0)</f>
        <v>1</v>
      </c>
      <c r="Q161" s="1" t="str">
        <f>IFERROR(__xludf.DUMMYFUNCTION("""COMPUTED_VALUE"""),"Non")</f>
        <v>Non</v>
      </c>
      <c r="R161" s="1" t="str">
        <f>IFERROR(__xludf.DUMMYFUNCTION("""COMPUTED_VALUE"""),"Non")</f>
        <v>Non</v>
      </c>
      <c r="S161" s="1" t="str">
        <f>IFERROR(__xludf.DUMMYFUNCTION("""COMPUTED_VALUE"""),"La 4 étoiles ")</f>
        <v>La 4 étoiles </v>
      </c>
      <c r="T161" s="1" t="str">
        <f>IFERROR(__xludf.DUMMYFUNCTION("""COMPUTED_VALUE"""),"Une étoile ")</f>
        <v>Une étoile </v>
      </c>
      <c r="U161" t="str">
        <f>IFERROR(__xludf.DUMMYFUNCTION("""COMPUTED_VALUE"""),"")</f>
        <v/>
      </c>
      <c r="V161" t="str">
        <f>IFERROR(__xludf.DUMMYFUNCTION("""COMPUTED_VALUE"""),"")</f>
        <v/>
      </c>
      <c r="W161" t="str">
        <f>IFERROR(__xludf.DUMMYFUNCTION("""COMPUTED_VALUE"""),"")</f>
        <v/>
      </c>
      <c r="X161" t="str">
        <f>IFERROR(__xludf.DUMMYFUNCTION("""COMPUTED_VALUE"""),"")</f>
        <v/>
      </c>
      <c r="Y161" t="str">
        <f>IFERROR(__xludf.DUMMYFUNCTION("""COMPUTED_VALUE"""),"")</f>
        <v/>
      </c>
      <c r="Z161" t="str">
        <f>IFERROR(__xludf.DUMMYFUNCTION("""COMPUTED_VALUE"""),"")</f>
        <v/>
      </c>
      <c r="AA161" t="str">
        <f>IFERROR(__xludf.DUMMYFUNCTION("""COMPUTED_VALUE"""),"")</f>
        <v/>
      </c>
      <c r="AB161" t="str">
        <f>IFERROR(__xludf.DUMMYFUNCTION("""COMPUTED_VALUE"""),"")</f>
        <v/>
      </c>
    </row>
    <row r="162">
      <c r="A162" s="2">
        <f>IFERROR(__xludf.DUMMYFUNCTION("""COMPUTED_VALUE"""),43636.720622685185)</f>
        <v>43636.72062</v>
      </c>
      <c r="B162" s="1" t="str">
        <f>IFERROR(__xludf.DUMMYFUNCTION("""COMPUTED_VALUE"""),"Antoine LETOFFET")</f>
        <v>Antoine LETOFFET</v>
      </c>
      <c r="C162" s="1" t="str">
        <f>IFERROR(__xludf.DUMMYFUNCTION("""COMPUTED_VALUE"""),"Le président et un inconnu")</f>
        <v>Le président et un inconnu</v>
      </c>
      <c r="D162" s="1" t="str">
        <f>IFERROR(__xludf.DUMMYFUNCTION("""COMPUTED_VALUE"""),"BDE")</f>
        <v>BDE</v>
      </c>
      <c r="E162" s="1">
        <f>IFERROR(__xludf.DUMMYFUNCTION("""COMPUTED_VALUE"""),5.0)</f>
        <v>5</v>
      </c>
      <c r="F162" s="1" t="str">
        <f>IFERROR(__xludf.DUMMYFUNCTION("""COMPUTED_VALUE"""),"Rock, Metal, Electro posée, Electro hard, Rap, Pop, Musique fançaise, Jazz, Musique classique, Autre")</f>
        <v>Rock, Metal, Electro posée, Electro hard, Rap, Pop, Musique fançaise, Jazz, Musique classique, Autre</v>
      </c>
      <c r="G162" s="1" t="str">
        <f>IFERROR(__xludf.DUMMYFUNCTION("""COMPUTED_VALUE"""),"Musique, Théâtre, Cinéma, Graphisme, Autre")</f>
        <v>Musique, Théâtre, Cinéma, Graphisme, Autre</v>
      </c>
      <c r="H162" s="1" t="str">
        <f>IFERROR(__xludf.DUMMYFUNCTION("""COMPUTED_VALUE"""),"Quelques fois par semaine")</f>
        <v>Quelques fois par semaine</v>
      </c>
      <c r="I162" s="1" t="str">
        <f>IFERROR(__xludf.DUMMYFUNCTION("""COMPUTED_VALUE"""),"Plusieurs fois par semaine")</f>
        <v>Plusieurs fois par semaine</v>
      </c>
      <c r="J162" s="1" t="str">
        <f>IFERROR(__xludf.DUMMYFUNCTION("""COMPUTED_VALUE"""),"Pour le développement perso et se dépasser")</f>
        <v>Pour le développement perso et se dépasser</v>
      </c>
      <c r="K162" s="1" t="str">
        <f>IFERROR(__xludf.DUMMYFUNCTION("""COMPUTED_VALUE"""),"Sports collectifs, Athlétisme, Sports aquatiques, Autre")</f>
        <v>Sports collectifs, Athlétisme, Sports aquatiques, Autre</v>
      </c>
      <c r="L162" s="1" t="str">
        <f>IFERROR(__xludf.DUMMYFUNCTION("""COMPUTED_VALUE"""),"J'aime cuisiner le WE ou quand j'ai le temps")</f>
        <v>J'aime cuisiner le WE ou quand j'ai le temps</v>
      </c>
      <c r="M162" s="1">
        <f>IFERROR(__xludf.DUMMYFUNCTION("""COMPUTED_VALUE"""),10.0)</f>
        <v>10</v>
      </c>
      <c r="N162" s="1" t="str">
        <f>IFERROR(__xludf.DUMMYFUNCTION("""COMPUTED_VALUE"""),"Une fois par jour (voire plus)")</f>
        <v>Une fois par jour (voire plus)</v>
      </c>
      <c r="O162" s="1" t="str">
        <f>IFERROR(__xludf.DUMMYFUNCTION("""COMPUTED_VALUE"""),"Objectif grosse défonce")</f>
        <v>Objectif grosse défonce</v>
      </c>
      <c r="P162" s="1">
        <f>IFERROR(__xludf.DUMMYFUNCTION("""COMPUTED_VALUE"""),3.0)</f>
        <v>3</v>
      </c>
      <c r="Q162" s="1" t="str">
        <f>IFERROR(__xludf.DUMMYFUNCTION("""COMPUTED_VALUE"""),"Non")</f>
        <v>Non</v>
      </c>
      <c r="R162" s="1" t="str">
        <f>IFERROR(__xludf.DUMMYFUNCTION("""COMPUTED_VALUE"""),"Non")</f>
        <v>Non</v>
      </c>
      <c r="S162" s="1" t="str">
        <f>IFERROR(__xludf.DUMMYFUNCTION("""COMPUTED_VALUE"""),"sans abri")</f>
        <v>sans abri</v>
      </c>
      <c r="T162" s="1" t="str">
        <f>IFERROR(__xludf.DUMMYFUNCTION("""COMPUTED_VALUE"""),"je sais pas encore")</f>
        <v>je sais pas encore</v>
      </c>
      <c r="U162" t="str">
        <f>IFERROR(__xludf.DUMMYFUNCTION("""COMPUTED_VALUE"""),"")</f>
        <v/>
      </c>
      <c r="V162" t="str">
        <f>IFERROR(__xludf.DUMMYFUNCTION("""COMPUTED_VALUE"""),"")</f>
        <v/>
      </c>
      <c r="W162" t="str">
        <f>IFERROR(__xludf.DUMMYFUNCTION("""COMPUTED_VALUE"""),"")</f>
        <v/>
      </c>
      <c r="X162" t="str">
        <f>IFERROR(__xludf.DUMMYFUNCTION("""COMPUTED_VALUE"""),"")</f>
        <v/>
      </c>
      <c r="Y162" t="str">
        <f>IFERROR(__xludf.DUMMYFUNCTION("""COMPUTED_VALUE"""),"")</f>
        <v/>
      </c>
      <c r="Z162" t="str">
        <f>IFERROR(__xludf.DUMMYFUNCTION("""COMPUTED_VALUE"""),"")</f>
        <v/>
      </c>
      <c r="AA162" t="str">
        <f>IFERROR(__xludf.DUMMYFUNCTION("""COMPUTED_VALUE"""),"")</f>
        <v/>
      </c>
      <c r="AB162" t="str">
        <f>IFERROR(__xludf.DUMMYFUNCTION("""COMPUTED_VALUE"""),"")</f>
        <v/>
      </c>
    </row>
    <row r="163">
      <c r="A163" s="2">
        <f>IFERROR(__xludf.DUMMYFUNCTION("""COMPUTED_VALUE"""),43636.776974259265)</f>
        <v>43636.77697</v>
      </c>
      <c r="B163" s="1" t="str">
        <f>IFERROR(__xludf.DUMMYFUNCTION("""COMPUTED_VALUE"""),"Grégoire Turzo")</f>
        <v>Grégoire Turzo</v>
      </c>
      <c r="C16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3" s="1" t="str">
        <f>IFERROR(__xludf.DUMMYFUNCTION("""COMPUTED_VALUE"""),"BDE")</f>
        <v>BDE</v>
      </c>
      <c r="E163" s="1">
        <f>IFERROR(__xludf.DUMMYFUNCTION("""COMPUTED_VALUE"""),3.0)</f>
        <v>3</v>
      </c>
      <c r="F163" s="1" t="str">
        <f>IFERROR(__xludf.DUMMYFUNCTION("""COMPUTED_VALUE"""),"Rock, Electro posée, Electro hard, Rap, Pop, Musique fançaise")</f>
        <v>Rock, Electro posée, Electro hard, Rap, Pop, Musique fançaise</v>
      </c>
      <c r="G163" s="1" t="str">
        <f>IFERROR(__xludf.DUMMYFUNCTION("""COMPUTED_VALUE"""),"Musique, Cinéma")</f>
        <v>Musique, Cinéma</v>
      </c>
      <c r="H163" s="1" t="str">
        <f>IFERROR(__xludf.DUMMYFUNCTION("""COMPUTED_VALUE"""),"Seulement les soirs de pleine lune")</f>
        <v>Seulement les soirs de pleine lune</v>
      </c>
      <c r="I163" s="1" t="str">
        <f>IFERROR(__xludf.DUMMYFUNCTION("""COMPUTED_VALUE"""),"Plusieurs fois par semaine")</f>
        <v>Plusieurs fois par semaine</v>
      </c>
      <c r="J163" s="1" t="str">
        <f>IFERROR(__xludf.DUMMYFUNCTION("""COMPUTED_VALUE"""),"Pour le fun")</f>
        <v>Pour le fun</v>
      </c>
      <c r="K163" s="1" t="str">
        <f>IFERROR(__xludf.DUMMYFUNCTION("""COMPUTED_VALUE"""),"Sports de raquette")</f>
        <v>Sports de raquette</v>
      </c>
      <c r="L163" s="1" t="str">
        <f>IFERROR(__xludf.DUMMYFUNCTION("""COMPUTED_VALUE"""),"J'aime cuisiner le WE ou quand j'ai le temps")</f>
        <v>J'aime cuisiner le WE ou quand j'ai le temps</v>
      </c>
      <c r="M163" s="1">
        <f>IFERROR(__xludf.DUMMYFUNCTION("""COMPUTED_VALUE"""),8.0)</f>
        <v>8</v>
      </c>
      <c r="N163" s="1" t="str">
        <f>IFERROR(__xludf.DUMMYFUNCTION("""COMPUTED_VALUE"""),"Une fois par semaine")</f>
        <v>Une fois par semaine</v>
      </c>
      <c r="O163" s="1" t="str">
        <f>IFERROR(__xludf.DUMMYFUNCTION("""COMPUTED_VALUE"""),"Objectif grosse défonce")</f>
        <v>Objectif grosse défonce</v>
      </c>
      <c r="P163" s="1">
        <f>IFERROR(__xludf.DUMMYFUNCTION("""COMPUTED_VALUE"""),2.0)</f>
        <v>2</v>
      </c>
      <c r="Q163" s="1" t="str">
        <f>IFERROR(__xludf.DUMMYFUNCTION("""COMPUTED_VALUE"""),"Oui")</f>
        <v>Oui</v>
      </c>
      <c r="R163" s="1" t="str">
        <f>IFERROR(__xludf.DUMMYFUNCTION("""COMPUTED_VALUE"""),"Non")</f>
        <v>Non</v>
      </c>
      <c r="S163" s="1" t="str">
        <f>IFERROR(__xludf.DUMMYFUNCTION("""COMPUTED_VALUE"""),"Les fortiches")</f>
        <v>Les fortiches</v>
      </c>
      <c r="T163" s="1" t="str">
        <f>IFERROR(__xludf.DUMMYFUNCTION("""COMPUTED_VALUE"""),"Lunette de toilettes")</f>
        <v>Lunette de toilettes</v>
      </c>
      <c r="U163" t="str">
        <f>IFERROR(__xludf.DUMMYFUNCTION("""COMPUTED_VALUE"""),"")</f>
        <v/>
      </c>
      <c r="V163" t="str">
        <f>IFERROR(__xludf.DUMMYFUNCTION("""COMPUTED_VALUE"""),"")</f>
        <v/>
      </c>
      <c r="W163" t="str">
        <f>IFERROR(__xludf.DUMMYFUNCTION("""COMPUTED_VALUE"""),"")</f>
        <v/>
      </c>
      <c r="X163" t="str">
        <f>IFERROR(__xludf.DUMMYFUNCTION("""COMPUTED_VALUE"""),"")</f>
        <v/>
      </c>
      <c r="Y163" t="str">
        <f>IFERROR(__xludf.DUMMYFUNCTION("""COMPUTED_VALUE"""),"")</f>
        <v/>
      </c>
      <c r="Z163" t="str">
        <f>IFERROR(__xludf.DUMMYFUNCTION("""COMPUTED_VALUE"""),"")</f>
        <v/>
      </c>
      <c r="AA163" t="str">
        <f>IFERROR(__xludf.DUMMYFUNCTION("""COMPUTED_VALUE"""),"")</f>
        <v/>
      </c>
      <c r="AB163" t="str">
        <f>IFERROR(__xludf.DUMMYFUNCTION("""COMPUTED_VALUE"""),"")</f>
        <v/>
      </c>
    </row>
    <row r="164">
      <c r="A164" s="2">
        <f>IFERROR(__xludf.DUMMYFUNCTION("""COMPUTED_VALUE"""),43636.79567208333)</f>
        <v>43636.79567</v>
      </c>
      <c r="B164" s="1" t="str">
        <f>IFERROR(__xludf.DUMMYFUNCTION("""COMPUTED_VALUE"""),"Henri de Chanterac")</f>
        <v>Henri de Chanterac</v>
      </c>
      <c r="C164" s="1" t="str">
        <f>IFERROR(__xludf.DUMMYFUNCTION("""COMPUTED_VALUE"""),"Deux inconnus")</f>
        <v>Deux inconnus</v>
      </c>
      <c r="D164" s="1" t="str">
        <f>IFERROR(__xludf.DUMMYFUNCTION("""COMPUTED_VALUE"""),"BDE")</f>
        <v>BDE</v>
      </c>
      <c r="E164" s="1">
        <f>IFERROR(__xludf.DUMMYFUNCTION("""COMPUTED_VALUE"""),5.0)</f>
        <v>5</v>
      </c>
      <c r="F164" s="1" t="str">
        <f>IFERROR(__xludf.DUMMYFUNCTION("""COMPUTED_VALUE"""),"Rock, Electro posée, Pop, Musique fançaise, Jazz, Musique classique")</f>
        <v>Rock, Electro posée, Pop, Musique fançaise, Jazz, Musique classique</v>
      </c>
      <c r="G164" s="1" t="str">
        <f>IFERROR(__xludf.DUMMYFUNCTION("""COMPUTED_VALUE"""),"Théâtre")</f>
        <v>Théâtre</v>
      </c>
      <c r="H164" s="1" t="str">
        <f>IFERROR(__xludf.DUMMYFUNCTION("""COMPUTED_VALUE"""),"Quelques fois par semaine")</f>
        <v>Quelques fois par semaine</v>
      </c>
      <c r="I164" s="1" t="str">
        <f>IFERROR(__xludf.DUMMYFUNCTION("""COMPUTED_VALUE"""),"Une fois par semaine")</f>
        <v>Une fois par semaine</v>
      </c>
      <c r="J164" s="1" t="str">
        <f>IFERROR(__xludf.DUMMYFUNCTION("""COMPUTED_VALUE"""),"Pour le fun")</f>
        <v>Pour le fun</v>
      </c>
      <c r="K164" s="1" t="str">
        <f>IFERROR(__xludf.DUMMYFUNCTION("""COMPUTED_VALUE"""),"Sports collectifs")</f>
        <v>Sports collectifs</v>
      </c>
      <c r="L164" s="1" t="str">
        <f>IFERROR(__xludf.DUMMYFUNCTION("""COMPUTED_VALUE"""),"J'aime cuisiner le WE ou quand j'ai le temps")</f>
        <v>J'aime cuisiner le WE ou quand j'ai le temps</v>
      </c>
      <c r="M164" s="1">
        <f>IFERROR(__xludf.DUMMYFUNCTION("""COMPUTED_VALUE"""),7.0)</f>
        <v>7</v>
      </c>
      <c r="N164" s="1" t="str">
        <f>IFERROR(__xludf.DUMMYFUNCTION("""COMPUTED_VALUE"""),"Une fois par semaine")</f>
        <v>Une fois par semaine</v>
      </c>
      <c r="O164" s="1" t="str">
        <f>IFERROR(__xludf.DUMMYFUNCTION("""COMPUTED_VALUE"""),"T'enflammes le dancefloor")</f>
        <v>T'enflammes le dancefloor</v>
      </c>
      <c r="P164" s="1">
        <f>IFERROR(__xludf.DUMMYFUNCTION("""COMPUTED_VALUE"""),2.0)</f>
        <v>2</v>
      </c>
      <c r="Q164" s="1" t="str">
        <f>IFERROR(__xludf.DUMMYFUNCTION("""COMPUTED_VALUE"""),"Oui")</f>
        <v>Oui</v>
      </c>
      <c r="R164" s="1" t="str">
        <f>IFERROR(__xludf.DUMMYFUNCTION("""COMPUTED_VALUE"""),"Non")</f>
        <v>Non</v>
      </c>
      <c r="S164" s="1" t="str">
        <f>IFERROR(__xludf.DUMMYFUNCTION("""COMPUTED_VALUE"""),"les fortiches")</f>
        <v>les fortiches</v>
      </c>
      <c r="T164" s="1" t="str">
        <f>IFERROR(__xludf.DUMMYFUNCTION("""COMPUTED_VALUE"""),"un pochon de houblon")</f>
        <v>un pochon de houblon</v>
      </c>
      <c r="U164" t="str">
        <f>IFERROR(__xludf.DUMMYFUNCTION("""COMPUTED_VALUE"""),"")</f>
        <v/>
      </c>
      <c r="V164" t="str">
        <f>IFERROR(__xludf.DUMMYFUNCTION("""COMPUTED_VALUE"""),"")</f>
        <v/>
      </c>
      <c r="W164" t="str">
        <f>IFERROR(__xludf.DUMMYFUNCTION("""COMPUTED_VALUE"""),"")</f>
        <v/>
      </c>
      <c r="X164" t="str">
        <f>IFERROR(__xludf.DUMMYFUNCTION("""COMPUTED_VALUE"""),"")</f>
        <v/>
      </c>
      <c r="Y164" t="str">
        <f>IFERROR(__xludf.DUMMYFUNCTION("""COMPUTED_VALUE"""),"")</f>
        <v/>
      </c>
      <c r="Z164" t="str">
        <f>IFERROR(__xludf.DUMMYFUNCTION("""COMPUTED_VALUE"""),"")</f>
        <v/>
      </c>
      <c r="AA164" t="str">
        <f>IFERROR(__xludf.DUMMYFUNCTION("""COMPUTED_VALUE"""),"")</f>
        <v/>
      </c>
      <c r="AB164" t="str">
        <f>IFERROR(__xludf.DUMMYFUNCTION("""COMPUTED_VALUE"""),"")</f>
        <v/>
      </c>
    </row>
    <row r="165">
      <c r="A165" s="2">
        <f>IFERROR(__xludf.DUMMYFUNCTION("""COMPUTED_VALUE"""),43636.85069790509)</f>
        <v>43636.8507</v>
      </c>
      <c r="B165" s="1" t="str">
        <f>IFERROR(__xludf.DUMMYFUNCTION("""COMPUTED_VALUE"""),"Elouan BARBEREAU")</f>
        <v>Elouan BARBEREAU</v>
      </c>
      <c r="C16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5" s="1" t="str">
        <f>IFERROR(__xludf.DUMMYFUNCTION("""COMPUTED_VALUE"""),"BDE")</f>
        <v>BDE</v>
      </c>
      <c r="E165" s="1">
        <f>IFERROR(__xludf.DUMMYFUNCTION("""COMPUTED_VALUE"""),1.0)</f>
        <v>1</v>
      </c>
      <c r="F165" s="1" t="str">
        <f>IFERROR(__xludf.DUMMYFUNCTION("""COMPUTED_VALUE"""),"Rap")</f>
        <v>Rap</v>
      </c>
      <c r="G165" s="1" t="str">
        <f>IFERROR(__xludf.DUMMYFUNCTION("""COMPUTED_VALUE"""),"Cinéma")</f>
        <v>Cinéma</v>
      </c>
      <c r="H165" s="1" t="str">
        <f>IFERROR(__xludf.DUMMYFUNCTION("""COMPUTED_VALUE"""),"Une fois par jour")</f>
        <v>Une fois par jour</v>
      </c>
      <c r="I165" s="1" t="str">
        <f>IFERROR(__xludf.DUMMYFUNCTION("""COMPUTED_VALUE"""),"Une fois par semaine")</f>
        <v>Une fois par semaine</v>
      </c>
      <c r="J165" s="1" t="str">
        <f>IFERROR(__xludf.DUMMYFUNCTION("""COMPUTED_VALUE"""),"Pour le fun")</f>
        <v>Pour le fun</v>
      </c>
      <c r="K165" s="1" t="str">
        <f>IFERROR(__xludf.DUMMYFUNCTION("""COMPUTED_VALUE"""),"Sports collectifs")</f>
        <v>Sports collectifs</v>
      </c>
      <c r="L165" s="1" t="str">
        <f>IFERROR(__xludf.DUMMYFUNCTION("""COMPUTED_VALUE"""),"Oh oui, et les trucs bien gras ça me connait !")</f>
        <v>Oh oui, et les trucs bien gras ça me connait !</v>
      </c>
      <c r="M165" s="1">
        <f>IFERROR(__xludf.DUMMYFUNCTION("""COMPUTED_VALUE"""),7.0)</f>
        <v>7</v>
      </c>
      <c r="N165" s="1" t="str">
        <f>IFERROR(__xludf.DUMMYFUNCTION("""COMPUTED_VALUE"""),"Une fois par mois")</f>
        <v>Une fois par mois</v>
      </c>
      <c r="O165" s="1" t="str">
        <f>IFERROR(__xludf.DUMMYFUNCTION("""COMPUTED_VALUE"""),"Tu te poses dans un coin, chill !!")</f>
        <v>Tu te poses dans un coin, chill !!</v>
      </c>
      <c r="P165" s="1">
        <f>IFERROR(__xludf.DUMMYFUNCTION("""COMPUTED_VALUE"""),2.0)</f>
        <v>2</v>
      </c>
      <c r="Q165" s="1" t="str">
        <f>IFERROR(__xludf.DUMMYFUNCTION("""COMPUTED_VALUE"""),"Non")</f>
        <v>Non</v>
      </c>
      <c r="R165" s="1" t="str">
        <f>IFERROR(__xludf.DUMMYFUNCTION("""COMPUTED_VALUE"""),"Non")</f>
        <v>Non</v>
      </c>
      <c r="S165" s="1" t="str">
        <f>IFERROR(__xludf.DUMMYFUNCTION("""COMPUTED_VALUE"""),"les fortiches")</f>
        <v>les fortiches</v>
      </c>
      <c r="T165" s="1" t="str">
        <f>IFERROR(__xludf.DUMMYFUNCTION("""COMPUTED_VALUE"""),"papier")</f>
        <v>papier</v>
      </c>
      <c r="U165" t="str">
        <f>IFERROR(__xludf.DUMMYFUNCTION("""COMPUTED_VALUE"""),"")</f>
        <v/>
      </c>
      <c r="V165" t="str">
        <f>IFERROR(__xludf.DUMMYFUNCTION("""COMPUTED_VALUE"""),"")</f>
        <v/>
      </c>
      <c r="W165" t="str">
        <f>IFERROR(__xludf.DUMMYFUNCTION("""COMPUTED_VALUE"""),"")</f>
        <v/>
      </c>
      <c r="X165" t="str">
        <f>IFERROR(__xludf.DUMMYFUNCTION("""COMPUTED_VALUE"""),"")</f>
        <v/>
      </c>
      <c r="Y165" t="str">
        <f>IFERROR(__xludf.DUMMYFUNCTION("""COMPUTED_VALUE"""),"")</f>
        <v/>
      </c>
      <c r="Z165" t="str">
        <f>IFERROR(__xludf.DUMMYFUNCTION("""COMPUTED_VALUE"""),"")</f>
        <v/>
      </c>
      <c r="AA165" t="str">
        <f>IFERROR(__xludf.DUMMYFUNCTION("""COMPUTED_VALUE"""),"")</f>
        <v/>
      </c>
      <c r="AB165" t="str">
        <f>IFERROR(__xludf.DUMMYFUNCTION("""COMPUTED_VALUE"""),"")</f>
        <v/>
      </c>
    </row>
    <row r="166">
      <c r="A166" s="2">
        <f>IFERROR(__xludf.DUMMYFUNCTION("""COMPUTED_VALUE"""),43636.8550290162)</f>
        <v>43636.85503</v>
      </c>
      <c r="B166" s="1" t="str">
        <f>IFERROR(__xludf.DUMMYFUNCTION("""COMPUTED_VALUE"""),"Moens Diego")</f>
        <v>Moens Diego</v>
      </c>
      <c r="C166" s="1" t="str">
        <f>IFERROR(__xludf.DUMMYFUNCTION("""COMPUTED_VALUE"""),"Le président et un inconnu")</f>
        <v>Le président et un inconnu</v>
      </c>
      <c r="D166" s="1" t="str">
        <f>IFERROR(__xludf.DUMMYFUNCTION("""COMPUTED_VALUE"""),"BDS")</f>
        <v>BDS</v>
      </c>
      <c r="E166" s="1">
        <f>IFERROR(__xludf.DUMMYFUNCTION("""COMPUTED_VALUE"""),3.0)</f>
        <v>3</v>
      </c>
      <c r="F166" s="1" t="str">
        <f>IFERROR(__xludf.DUMMYFUNCTION("""COMPUTED_VALUE"""),"Rock, Electro posée, Rap, Jazz, Autre")</f>
        <v>Rock, Electro posée, Rap, Jazz, Autre</v>
      </c>
      <c r="G166" s="1" t="str">
        <f>IFERROR(__xludf.DUMMYFUNCTION("""COMPUTED_VALUE"""),"Littérature, Danse, Théâtre, Cinéma")</f>
        <v>Littérature, Danse, Théâtre, Cinéma</v>
      </c>
      <c r="H166" s="1" t="str">
        <f>IFERROR(__xludf.DUMMYFUNCTION("""COMPUTED_VALUE"""),"Une fois par jour")</f>
        <v>Une fois par jour</v>
      </c>
      <c r="I166" s="1" t="str">
        <f>IFERROR(__xludf.DUMMYFUNCTION("""COMPUTED_VALUE"""),"Plusieurs fois par semaine")</f>
        <v>Plusieurs fois par semaine</v>
      </c>
      <c r="J166" s="1" t="str">
        <f>IFERROR(__xludf.DUMMYFUNCTION("""COMPUTED_VALUE"""),"Pour le développement perso et se dépasser")</f>
        <v>Pour le développement perso et se dépasser</v>
      </c>
      <c r="K166" s="1" t="str">
        <f>IFERROR(__xludf.DUMMYFUNCTION("""COMPUTED_VALUE"""),"Sports collectifs, Athlétisme, Sports de combat")</f>
        <v>Sports collectifs, Athlétisme, Sports de combat</v>
      </c>
      <c r="L166" s="1" t="str">
        <f>IFERROR(__xludf.DUMMYFUNCTION("""COMPUTED_VALUE"""),"Je fais toujours attention à bien manger")</f>
        <v>Je fais toujours attention à bien manger</v>
      </c>
      <c r="M166" s="1">
        <f>IFERROR(__xludf.DUMMYFUNCTION("""COMPUTED_VALUE"""),9.0)</f>
        <v>9</v>
      </c>
      <c r="N166" s="1" t="str">
        <f>IFERROR(__xludf.DUMMYFUNCTION("""COMPUTED_VALUE"""),"Plusieurs fois par semaine")</f>
        <v>Plusieurs fois par semaine</v>
      </c>
      <c r="O166" s="1" t="str">
        <f>IFERROR(__xludf.DUMMYFUNCTION("""COMPUTED_VALUE"""),"T'enflammes le dancefloor")</f>
        <v>T'enflammes le dancefloor</v>
      </c>
      <c r="P166" s="1">
        <f>IFERROR(__xludf.DUMMYFUNCTION("""COMPUTED_VALUE"""),5.0)</f>
        <v>5</v>
      </c>
      <c r="Q166" s="1" t="str">
        <f>IFERROR(__xludf.DUMMYFUNCTION("""COMPUTED_VALUE"""),"Non")</f>
        <v>Non</v>
      </c>
      <c r="R166" s="1" t="str">
        <f>IFERROR(__xludf.DUMMYFUNCTION("""COMPUTED_VALUE"""),"Non")</f>
        <v>Non</v>
      </c>
      <c r="S166" s="1" t="str">
        <f>IFERROR(__xludf.DUMMYFUNCTION("""COMPUTED_VALUE"""),"LePatio")</f>
        <v>LePatio</v>
      </c>
      <c r="T166" s="1" t="str">
        <f>IFERROR(__xludf.DUMMYFUNCTION("""COMPUTED_VALUE"""),"Grande feuille à rouler ")</f>
        <v>Grande feuille à rouler </v>
      </c>
      <c r="U166" t="str">
        <f>IFERROR(__xludf.DUMMYFUNCTION("""COMPUTED_VALUE"""),"")</f>
        <v/>
      </c>
      <c r="V166" t="str">
        <f>IFERROR(__xludf.DUMMYFUNCTION("""COMPUTED_VALUE"""),"")</f>
        <v/>
      </c>
      <c r="W166" t="str">
        <f>IFERROR(__xludf.DUMMYFUNCTION("""COMPUTED_VALUE"""),"")</f>
        <v/>
      </c>
      <c r="X166" t="str">
        <f>IFERROR(__xludf.DUMMYFUNCTION("""COMPUTED_VALUE"""),"")</f>
        <v/>
      </c>
      <c r="Y166" t="str">
        <f>IFERROR(__xludf.DUMMYFUNCTION("""COMPUTED_VALUE"""),"")</f>
        <v/>
      </c>
      <c r="Z166" t="str">
        <f>IFERROR(__xludf.DUMMYFUNCTION("""COMPUTED_VALUE"""),"")</f>
        <v/>
      </c>
      <c r="AA166" t="str">
        <f>IFERROR(__xludf.DUMMYFUNCTION("""COMPUTED_VALUE"""),"")</f>
        <v/>
      </c>
      <c r="AB166" t="str">
        <f>IFERROR(__xludf.DUMMYFUNCTION("""COMPUTED_VALUE"""),"")</f>
        <v/>
      </c>
    </row>
    <row r="167">
      <c r="A167" s="2">
        <f>IFERROR(__xludf.DUMMYFUNCTION("""COMPUTED_VALUE"""),43636.85505366898)</f>
        <v>43636.85505</v>
      </c>
      <c r="B167" s="1" t="str">
        <f>IFERROR(__xludf.DUMMYFUNCTION("""COMPUTED_VALUE"""),"Felipe Altamirano")</f>
        <v>Felipe Altamirano</v>
      </c>
      <c r="C167" s="1" t="str">
        <f>IFERROR(__xludf.DUMMYFUNCTION("""COMPUTED_VALUE"""),"Deux inconnus")</f>
        <v>Deux inconnus</v>
      </c>
      <c r="D167" s="1" t="str">
        <f>IFERROR(__xludf.DUMMYFUNCTION("""COMPUTED_VALUE"""),"Pas de liste")</f>
        <v>Pas de liste</v>
      </c>
      <c r="E167" s="1">
        <f>IFERROR(__xludf.DUMMYFUNCTION("""COMPUTED_VALUE"""),1.0)</f>
        <v>1</v>
      </c>
      <c r="F167" s="1" t="str">
        <f>IFERROR(__xludf.DUMMYFUNCTION("""COMPUTED_VALUE"""),"Metal, Musique classique, Autre")</f>
        <v>Metal, Musique classique, Autre</v>
      </c>
      <c r="G167" s="1" t="str">
        <f>IFERROR(__xludf.DUMMYFUNCTION("""COMPUTED_VALUE"""),"Danse")</f>
        <v>Danse</v>
      </c>
      <c r="H167" s="1" t="str">
        <f>IFERROR(__xludf.DUMMYFUNCTION("""COMPUTED_VALUE"""),"Seulement les soirs de pleine lune")</f>
        <v>Seulement les soirs de pleine lune</v>
      </c>
      <c r="I167" s="1" t="str">
        <f>IFERROR(__xludf.DUMMYFUNCTION("""COMPUTED_VALUE"""),"Le dimanche à 15h32 s'il fait beau")</f>
        <v>Le dimanche à 15h32 s'il fait beau</v>
      </c>
      <c r="J167" s="1" t="str">
        <f>IFERROR(__xludf.DUMMYFUNCTION("""COMPUTED_VALUE"""),"Pour le fun")</f>
        <v>Pour le fun</v>
      </c>
      <c r="K167" s="1" t="str">
        <f>IFERROR(__xludf.DUMMYFUNCTION("""COMPUTED_VALUE"""),"Athlétisme, Sports de combat")</f>
        <v>Athlétisme, Sports de combat</v>
      </c>
      <c r="L167" s="1" t="str">
        <f>IFERROR(__xludf.DUMMYFUNCTION("""COMPUTED_VALUE"""),"Oh oui, et les trucs bien gras ça me connait !")</f>
        <v>Oh oui, et les trucs bien gras ça me connait !</v>
      </c>
      <c r="M167" s="1">
        <f>IFERROR(__xludf.DUMMYFUNCTION("""COMPUTED_VALUE"""),10.0)</f>
        <v>10</v>
      </c>
      <c r="N167" s="1" t="str">
        <f>IFERROR(__xludf.DUMMYFUNCTION("""COMPUTED_VALUE"""),"Une fois par semaine")</f>
        <v>Une fois par semaine</v>
      </c>
      <c r="O167" s="1" t="str">
        <f>IFERROR(__xludf.DUMMYFUNCTION("""COMPUTED_VALUE"""),"T'enflammes le dancefloor")</f>
        <v>T'enflammes le dancefloor</v>
      </c>
      <c r="P167" s="1">
        <f>IFERROR(__xludf.DUMMYFUNCTION("""COMPUTED_VALUE"""),2.0)</f>
        <v>2</v>
      </c>
      <c r="Q167" s="1" t="str">
        <f>IFERROR(__xludf.DUMMYFUNCTION("""COMPUTED_VALUE"""),"Non")</f>
        <v>Non</v>
      </c>
      <c r="R167" s="1" t="str">
        <f>IFERROR(__xludf.DUMMYFUNCTION("""COMPUTED_VALUE"""),"Non")</f>
        <v>Non</v>
      </c>
      <c r="S167" s="1" t="str">
        <f>IFERROR(__xludf.DUMMYFUNCTION("""COMPUTED_VALUE"""),"LePatio")</f>
        <v>LePatio</v>
      </c>
      <c r="T167" s="1" t="str">
        <f>IFERROR(__xludf.DUMMYFUNCTION("""COMPUTED_VALUE"""),"Une bouteille de pisco vide")</f>
        <v>Une bouteille de pisco vide</v>
      </c>
      <c r="U167" t="str">
        <f>IFERROR(__xludf.DUMMYFUNCTION("""COMPUTED_VALUE"""),"")</f>
        <v/>
      </c>
      <c r="V167" t="str">
        <f>IFERROR(__xludf.DUMMYFUNCTION("""COMPUTED_VALUE"""),"")</f>
        <v/>
      </c>
      <c r="W167" t="str">
        <f>IFERROR(__xludf.DUMMYFUNCTION("""COMPUTED_VALUE"""),"")</f>
        <v/>
      </c>
      <c r="X167" t="str">
        <f>IFERROR(__xludf.DUMMYFUNCTION("""COMPUTED_VALUE"""),"")</f>
        <v/>
      </c>
      <c r="Y167" t="str">
        <f>IFERROR(__xludf.DUMMYFUNCTION("""COMPUTED_VALUE"""),"")</f>
        <v/>
      </c>
      <c r="Z167" t="str">
        <f>IFERROR(__xludf.DUMMYFUNCTION("""COMPUTED_VALUE"""),"")</f>
        <v/>
      </c>
      <c r="AA167" t="str">
        <f>IFERROR(__xludf.DUMMYFUNCTION("""COMPUTED_VALUE"""),"")</f>
        <v/>
      </c>
      <c r="AB167" t="str">
        <f>IFERROR(__xludf.DUMMYFUNCTION("""COMPUTED_VALUE"""),"")</f>
        <v/>
      </c>
    </row>
    <row r="168">
      <c r="A168" s="2">
        <f>IFERROR(__xludf.DUMMYFUNCTION("""COMPUTED_VALUE"""),43636.85668920139)</f>
        <v>43636.85669</v>
      </c>
      <c r="B168" s="1" t="str">
        <f>IFERROR(__xludf.DUMMYFUNCTION("""COMPUTED_VALUE"""),"Alison ALIAGA")</f>
        <v>Alison ALIAGA</v>
      </c>
      <c r="C168" s="1" t="str">
        <f>IFERROR(__xludf.DUMMYFUNCTION("""COMPUTED_VALUE"""),"Deux inconnus")</f>
        <v>Deux inconnus</v>
      </c>
      <c r="D168" s="1" t="str">
        <f>IFERROR(__xludf.DUMMYFUNCTION("""COMPUTED_VALUE"""),"Pas de liste")</f>
        <v>Pas de liste</v>
      </c>
      <c r="E168" s="1">
        <f>IFERROR(__xludf.DUMMYFUNCTION("""COMPUTED_VALUE"""),5.0)</f>
        <v>5</v>
      </c>
      <c r="F168" s="1" t="str">
        <f>IFERROR(__xludf.DUMMYFUNCTION("""COMPUTED_VALUE"""),"Electro hard, Autre")</f>
        <v>Electro hard, Autre</v>
      </c>
      <c r="G168" s="1" t="str">
        <f>IFERROR(__xludf.DUMMYFUNCTION("""COMPUTED_VALUE"""),"Pas du tout, Danse")</f>
        <v>Pas du tout, Danse</v>
      </c>
      <c r="H168" s="1" t="str">
        <f>IFERROR(__xludf.DUMMYFUNCTION("""COMPUTED_VALUE"""),"Seulement les soirs de pleine lune")</f>
        <v>Seulement les soirs de pleine lune</v>
      </c>
      <c r="I168" s="1" t="str">
        <f>IFERROR(__xludf.DUMMYFUNCTION("""COMPUTED_VALUE"""),"Une fois par semaine")</f>
        <v>Une fois par semaine</v>
      </c>
      <c r="J168" s="1" t="str">
        <f>IFERROR(__xludf.DUMMYFUNCTION("""COMPUTED_VALUE"""),"Pour le fun")</f>
        <v>Pour le fun</v>
      </c>
      <c r="K168" s="1" t="str">
        <f>IFERROR(__xludf.DUMMYFUNCTION("""COMPUTED_VALUE"""),"Autre")</f>
        <v>Autre</v>
      </c>
      <c r="L168" s="1" t="str">
        <f>IFERROR(__xludf.DUMMYFUNCTION("""COMPUTED_VALUE"""),"J'aime cuisiner le WE ou quand j'ai le temps")</f>
        <v>J'aime cuisiner le WE ou quand j'ai le temps</v>
      </c>
      <c r="M168" s="1">
        <f>IFERROR(__xludf.DUMMYFUNCTION("""COMPUTED_VALUE"""),10.0)</f>
        <v>10</v>
      </c>
      <c r="N168" s="1" t="str">
        <f>IFERROR(__xludf.DUMMYFUNCTION("""COMPUTED_VALUE"""),"Une fois par semaine")</f>
        <v>Une fois par semaine</v>
      </c>
      <c r="O168" s="1" t="str">
        <f>IFERROR(__xludf.DUMMYFUNCTION("""COMPUTED_VALUE"""),"T'enflammes le dancefloor")</f>
        <v>T'enflammes le dancefloor</v>
      </c>
      <c r="P168" s="1">
        <f>IFERROR(__xludf.DUMMYFUNCTION("""COMPUTED_VALUE"""),2.0)</f>
        <v>2</v>
      </c>
      <c r="Q168" s="1" t="str">
        <f>IFERROR(__xludf.DUMMYFUNCTION("""COMPUTED_VALUE"""),"Non")</f>
        <v>Non</v>
      </c>
      <c r="R168" s="1" t="str">
        <f>IFERROR(__xludf.DUMMYFUNCTION("""COMPUTED_VALUE"""),"Non")</f>
        <v>Non</v>
      </c>
      <c r="S168" s="1" t="str">
        <f>IFERROR(__xludf.DUMMYFUNCTION("""COMPUTED_VALUE"""),"LePatio ")</f>
        <v>LePatio </v>
      </c>
      <c r="T168" s="1" t="str">
        <f>IFERROR(__xludf.DUMMYFUNCTION("""COMPUTED_VALUE"""),"Mon nounou ")</f>
        <v>Mon nounou </v>
      </c>
      <c r="U168" t="str">
        <f>IFERROR(__xludf.DUMMYFUNCTION("""COMPUTED_VALUE"""),"")</f>
        <v/>
      </c>
      <c r="V168" t="str">
        <f>IFERROR(__xludf.DUMMYFUNCTION("""COMPUTED_VALUE"""),"")</f>
        <v/>
      </c>
      <c r="W168" t="str">
        <f>IFERROR(__xludf.DUMMYFUNCTION("""COMPUTED_VALUE"""),"")</f>
        <v/>
      </c>
      <c r="X168" t="str">
        <f>IFERROR(__xludf.DUMMYFUNCTION("""COMPUTED_VALUE"""),"")</f>
        <v/>
      </c>
      <c r="Y168" t="str">
        <f>IFERROR(__xludf.DUMMYFUNCTION("""COMPUTED_VALUE"""),"")</f>
        <v/>
      </c>
      <c r="Z168" t="str">
        <f>IFERROR(__xludf.DUMMYFUNCTION("""COMPUTED_VALUE"""),"")</f>
        <v/>
      </c>
      <c r="AA168" t="str">
        <f>IFERROR(__xludf.DUMMYFUNCTION("""COMPUTED_VALUE"""),"")</f>
        <v/>
      </c>
      <c r="AB168" t="str">
        <f>IFERROR(__xludf.DUMMYFUNCTION("""COMPUTED_VALUE"""),"")</f>
        <v/>
      </c>
    </row>
    <row r="169">
      <c r="A169" s="2">
        <f>IFERROR(__xludf.DUMMYFUNCTION("""COMPUTED_VALUE"""),43636.85868046296)</f>
        <v>43636.85868</v>
      </c>
      <c r="B169" s="1" t="str">
        <f>IFERROR(__xludf.DUMMYFUNCTION("""COMPUTED_VALUE"""),"Argueta Tamayo Emanuel")</f>
        <v>Argueta Tamayo Emanuel</v>
      </c>
      <c r="C16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69" s="1" t="str">
        <f>IFERROR(__xludf.DUMMYFUNCTION("""COMPUTED_VALUE"""),"BDE, BDS")</f>
        <v>BDE, BDS</v>
      </c>
      <c r="E169" s="1">
        <f>IFERROR(__xludf.DUMMYFUNCTION("""COMPUTED_VALUE"""),5.0)</f>
        <v>5</v>
      </c>
      <c r="F169" s="1" t="str">
        <f>IFERROR(__xludf.DUMMYFUNCTION("""COMPUTED_VALUE"""),"Rock, Electro posée, Musique fançaise")</f>
        <v>Rock, Electro posée, Musique fançaise</v>
      </c>
      <c r="G169" s="1" t="str">
        <f>IFERROR(__xludf.DUMMYFUNCTION("""COMPUTED_VALUE"""),"Danse, Théâtre, Cinéma")</f>
        <v>Danse, Théâtre, Cinéma</v>
      </c>
      <c r="H169" s="1" t="str">
        <f>IFERROR(__xludf.DUMMYFUNCTION("""COMPUTED_VALUE"""),"Une fois de temps en temps")</f>
        <v>Une fois de temps en temps</v>
      </c>
      <c r="I169" s="1" t="str">
        <f>IFERROR(__xludf.DUMMYFUNCTION("""COMPUTED_VALUE"""),"Plusieurs fois par semaine")</f>
        <v>Plusieurs fois par semaine</v>
      </c>
      <c r="J169" s="1" t="str">
        <f>IFERROR(__xludf.DUMMYFUNCTION("""COMPUTED_VALUE"""),"Pour le fun")</f>
        <v>Pour le fun</v>
      </c>
      <c r="K169" s="1" t="str">
        <f>IFERROR(__xludf.DUMMYFUNCTION("""COMPUTED_VALUE"""),"Sports collectifs, Athlétisme, Voile")</f>
        <v>Sports collectifs, Athlétisme, Voile</v>
      </c>
      <c r="L169" s="1" t="str">
        <f>IFERROR(__xludf.DUMMYFUNCTION("""COMPUTED_VALUE"""),"Oh oui, et les trucs bien gras ça me connait !")</f>
        <v>Oh oui, et les trucs bien gras ça me connait !</v>
      </c>
      <c r="M169" s="1">
        <f>IFERROR(__xludf.DUMMYFUNCTION("""COMPUTED_VALUE"""),7.0)</f>
        <v>7</v>
      </c>
      <c r="N169" s="1" t="str">
        <f>IFERROR(__xludf.DUMMYFUNCTION("""COMPUTED_VALUE"""),"Une fois par semaine")</f>
        <v>Une fois par semaine</v>
      </c>
      <c r="O169" s="1" t="str">
        <f>IFERROR(__xludf.DUMMYFUNCTION("""COMPUTED_VALUE"""),"T'enflammes le dancefloor")</f>
        <v>T'enflammes le dancefloor</v>
      </c>
      <c r="P169" s="1">
        <f>IFERROR(__xludf.DUMMYFUNCTION("""COMPUTED_VALUE"""),3.0)</f>
        <v>3</v>
      </c>
      <c r="Q169" s="1" t="str">
        <f>IFERROR(__xludf.DUMMYFUNCTION("""COMPUTED_VALUE"""),"Non")</f>
        <v>Non</v>
      </c>
      <c r="R169" s="1" t="str">
        <f>IFERROR(__xludf.DUMMYFUNCTION("""COMPUTED_VALUE"""),"Non")</f>
        <v>Non</v>
      </c>
      <c r="S169" s="1" t="str">
        <f>IFERROR(__xludf.DUMMYFUNCTION("""COMPUTED_VALUE"""),"LePatio ")</f>
        <v>LePatio </v>
      </c>
      <c r="T169" s="1" t="str">
        <f>IFERROR(__xludf.DUMMYFUNCTION("""COMPUTED_VALUE"""),"Valentina (Salsa Picante) ")</f>
        <v>Valentina (Salsa Picante) </v>
      </c>
      <c r="U169" t="str">
        <f>IFERROR(__xludf.DUMMYFUNCTION("""COMPUTED_VALUE"""),"")</f>
        <v/>
      </c>
      <c r="V169" t="str">
        <f>IFERROR(__xludf.DUMMYFUNCTION("""COMPUTED_VALUE"""),"")</f>
        <v/>
      </c>
      <c r="W169" t="str">
        <f>IFERROR(__xludf.DUMMYFUNCTION("""COMPUTED_VALUE"""),"")</f>
        <v/>
      </c>
      <c r="X169" t="str">
        <f>IFERROR(__xludf.DUMMYFUNCTION("""COMPUTED_VALUE"""),"")</f>
        <v/>
      </c>
      <c r="Y169" t="str">
        <f>IFERROR(__xludf.DUMMYFUNCTION("""COMPUTED_VALUE"""),"")</f>
        <v/>
      </c>
      <c r="Z169" t="str">
        <f>IFERROR(__xludf.DUMMYFUNCTION("""COMPUTED_VALUE"""),"")</f>
        <v/>
      </c>
      <c r="AA169" t="str">
        <f>IFERROR(__xludf.DUMMYFUNCTION("""COMPUTED_VALUE"""),"")</f>
        <v/>
      </c>
      <c r="AB169" t="str">
        <f>IFERROR(__xludf.DUMMYFUNCTION("""COMPUTED_VALUE"""),"")</f>
        <v/>
      </c>
    </row>
    <row r="170">
      <c r="A170" s="2">
        <f>IFERROR(__xludf.DUMMYFUNCTION("""COMPUTED_VALUE"""),43636.869010486116)</f>
        <v>43636.86901</v>
      </c>
      <c r="B170" s="1" t="str">
        <f>IFERROR(__xludf.DUMMYFUNCTION("""COMPUTED_VALUE"""),"Marina THIEME PETERSEN")</f>
        <v>Marina THIEME PETERSEN</v>
      </c>
      <c r="C170" s="1" t="str">
        <f>IFERROR(__xludf.DUMMYFUNCTION("""COMPUTED_VALUE"""),"Deux inconnus")</f>
        <v>Deux inconnus</v>
      </c>
      <c r="D170" s="1" t="str">
        <f>IFERROR(__xludf.DUMMYFUNCTION("""COMPUTED_VALUE"""),"Pas de liste")</f>
        <v>Pas de liste</v>
      </c>
      <c r="E170" s="1">
        <f>IFERROR(__xludf.DUMMYFUNCTION("""COMPUTED_VALUE"""),1.0)</f>
        <v>1</v>
      </c>
      <c r="F170" s="1" t="str">
        <f>IFERROR(__xludf.DUMMYFUNCTION("""COMPUTED_VALUE"""),"Rock, Musique classique")</f>
        <v>Rock, Musique classique</v>
      </c>
      <c r="G170" s="1" t="str">
        <f>IFERROR(__xludf.DUMMYFUNCTION("""COMPUTED_VALUE"""),"Danse")</f>
        <v>Danse</v>
      </c>
      <c r="H170" s="1" t="str">
        <f>IFERROR(__xludf.DUMMYFUNCTION("""COMPUTED_VALUE"""),"Seulement les soirs de pleine lune")</f>
        <v>Seulement les soirs de pleine lune</v>
      </c>
      <c r="I170" s="1" t="str">
        <f>IFERROR(__xludf.DUMMYFUNCTION("""COMPUTED_VALUE"""),"Le dimanche à 15h32 s'il fait beau")</f>
        <v>Le dimanche à 15h32 s'il fait beau</v>
      </c>
      <c r="J170" s="1" t="str">
        <f>IFERROR(__xludf.DUMMYFUNCTION("""COMPUTED_VALUE"""),"Pour les autres")</f>
        <v>Pour les autres</v>
      </c>
      <c r="K170" s="1" t="str">
        <f>IFERROR(__xludf.DUMMYFUNCTION("""COMPUTED_VALUE"""),"Autre")</f>
        <v>Autre</v>
      </c>
      <c r="L170" s="1" t="str">
        <f>IFERROR(__xludf.DUMMYFUNCTION("""COMPUTED_VALUE"""),"J'aime cuisiner le WE ou quand j'ai le temps")</f>
        <v>J'aime cuisiner le WE ou quand j'ai le temps</v>
      </c>
      <c r="M170" s="1">
        <f>IFERROR(__xludf.DUMMYFUNCTION("""COMPUTED_VALUE"""),7.0)</f>
        <v>7</v>
      </c>
      <c r="N170" s="1" t="str">
        <f>IFERROR(__xludf.DUMMYFUNCTION("""COMPUTED_VALUE"""),"Plusieurs fois par semaine")</f>
        <v>Plusieurs fois par semaine</v>
      </c>
      <c r="O170" s="1" t="str">
        <f>IFERROR(__xludf.DUMMYFUNCTION("""COMPUTED_VALUE"""),"Tu te poses dans un coin, chill !!")</f>
        <v>Tu te poses dans un coin, chill !!</v>
      </c>
      <c r="P170" s="1">
        <f>IFERROR(__xludf.DUMMYFUNCTION("""COMPUTED_VALUE"""),1.0)</f>
        <v>1</v>
      </c>
      <c r="Q170" s="1" t="str">
        <f>IFERROR(__xludf.DUMMYFUNCTION("""COMPUTED_VALUE"""),"Non")</f>
        <v>Non</v>
      </c>
      <c r="R170" s="1" t="str">
        <f>IFERROR(__xludf.DUMMYFUNCTION("""COMPUTED_VALUE"""),"Non")</f>
        <v>Non</v>
      </c>
      <c r="S170" s="1" t="str">
        <f>IFERROR(__xludf.DUMMYFUNCTION("""COMPUTED_VALUE"""),"Les trutitas")</f>
        <v>Les trutitas</v>
      </c>
      <c r="T170" s="1" t="str">
        <f>IFERROR(__xludf.DUMMYFUNCTION("""COMPUTED_VALUE"""),"schoko bons")</f>
        <v>schoko bons</v>
      </c>
      <c r="U170" t="str">
        <f>IFERROR(__xludf.DUMMYFUNCTION("""COMPUTED_VALUE"""),"")</f>
        <v/>
      </c>
      <c r="V170" t="str">
        <f>IFERROR(__xludf.DUMMYFUNCTION("""COMPUTED_VALUE"""),"")</f>
        <v/>
      </c>
      <c r="W170" t="str">
        <f>IFERROR(__xludf.DUMMYFUNCTION("""COMPUTED_VALUE"""),"")</f>
        <v/>
      </c>
      <c r="X170" t="str">
        <f>IFERROR(__xludf.DUMMYFUNCTION("""COMPUTED_VALUE"""),"")</f>
        <v/>
      </c>
      <c r="Y170" t="str">
        <f>IFERROR(__xludf.DUMMYFUNCTION("""COMPUTED_VALUE"""),"")</f>
        <v/>
      </c>
      <c r="Z170" t="str">
        <f>IFERROR(__xludf.DUMMYFUNCTION("""COMPUTED_VALUE"""),"")</f>
        <v/>
      </c>
      <c r="AA170" t="str">
        <f>IFERROR(__xludf.DUMMYFUNCTION("""COMPUTED_VALUE"""),"")</f>
        <v/>
      </c>
      <c r="AB170" t="str">
        <f>IFERROR(__xludf.DUMMYFUNCTION("""COMPUTED_VALUE"""),"")</f>
        <v/>
      </c>
    </row>
    <row r="171">
      <c r="A171" s="2">
        <f>IFERROR(__xludf.DUMMYFUNCTION("""COMPUTED_VALUE"""),43636.950237418976)</f>
        <v>43636.95024</v>
      </c>
      <c r="B171" s="1" t="str">
        <f>IFERROR(__xludf.DUMMYFUNCTION("""COMPUTED_VALUE"""),"Erwan Sauvage")</f>
        <v>Erwan Sauvage</v>
      </c>
      <c r="C17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1" s="1" t="str">
        <f>IFERROR(__xludf.DUMMYFUNCTION("""COMPUTED_VALUE"""),"BDA")</f>
        <v>BDA</v>
      </c>
      <c r="E171" s="1">
        <f>IFERROR(__xludf.DUMMYFUNCTION("""COMPUTED_VALUE"""),3.0)</f>
        <v>3</v>
      </c>
      <c r="F171" s="1" t="str">
        <f>IFERROR(__xludf.DUMMYFUNCTION("""COMPUTED_VALUE"""),"Rock, Jazz, Musique classique")</f>
        <v>Rock, Jazz, Musique classique</v>
      </c>
      <c r="G171" s="1" t="str">
        <f>IFERROR(__xludf.DUMMYFUNCTION("""COMPUTED_VALUE"""),"Littérature, Théâtre, Cinéma")</f>
        <v>Littérature, Théâtre, Cinéma</v>
      </c>
      <c r="H171" s="1" t="str">
        <f>IFERROR(__xludf.DUMMYFUNCTION("""COMPUTED_VALUE"""),"Une fois de temps en temps")</f>
        <v>Une fois de temps en temps</v>
      </c>
      <c r="I171" s="1" t="str">
        <f>IFERROR(__xludf.DUMMYFUNCTION("""COMPUTED_VALUE"""),"Le dimanche à 15h32 s'il fait beau")</f>
        <v>Le dimanche à 15h32 s'il fait beau</v>
      </c>
      <c r="J171" s="1" t="str">
        <f>IFERROR(__xludf.DUMMYFUNCTION("""COMPUTED_VALUE"""),"Pour les autres")</f>
        <v>Pour les autres</v>
      </c>
      <c r="K171" s="1" t="str">
        <f>IFERROR(__xludf.DUMMYFUNCTION("""COMPUTED_VALUE"""),"Pas de sport")</f>
        <v>Pas de sport</v>
      </c>
      <c r="L171" s="1" t="str">
        <f>IFERROR(__xludf.DUMMYFUNCTION("""COMPUTED_VALUE"""),"J'aime cuisiner le WE ou quand j'ai le temps")</f>
        <v>J'aime cuisiner le WE ou quand j'ai le temps</v>
      </c>
      <c r="M171" s="1">
        <f>IFERROR(__xludf.DUMMYFUNCTION("""COMPUTED_VALUE"""),6.0)</f>
        <v>6</v>
      </c>
      <c r="N171" s="1" t="str">
        <f>IFERROR(__xludf.DUMMYFUNCTION("""COMPUTED_VALUE"""),"Une fois par semaine")</f>
        <v>Une fois par semaine</v>
      </c>
      <c r="O171" s="1" t="str">
        <f>IFERROR(__xludf.DUMMYFUNCTION("""COMPUTED_VALUE"""),"Tu te poses dans un coin, chill !!")</f>
        <v>Tu te poses dans un coin, chill !!</v>
      </c>
      <c r="P171" s="1">
        <f>IFERROR(__xludf.DUMMYFUNCTION("""COMPUTED_VALUE"""),1.0)</f>
        <v>1</v>
      </c>
      <c r="Q171" s="1" t="str">
        <f>IFERROR(__xludf.DUMMYFUNCTION("""COMPUTED_VALUE"""),"Non")</f>
        <v>Non</v>
      </c>
      <c r="R171" s="1" t="str">
        <f>IFERROR(__xludf.DUMMYFUNCTION("""COMPUTED_VALUE"""),"Non")</f>
        <v>Non</v>
      </c>
      <c r="S171" s="1" t="str">
        <f>IFERROR(__xludf.DUMMYFUNCTION("""COMPUTED_VALUE"""),"La Famille du Baisodrome")</f>
        <v>La Famille du Baisodrome</v>
      </c>
      <c r="T171" s="1" t="str">
        <f>IFERROR(__xludf.DUMMYFUNCTION("""COMPUTED_VALUE"""),"Mon peignoir")</f>
        <v>Mon peignoir</v>
      </c>
      <c r="U171" t="str">
        <f>IFERROR(__xludf.DUMMYFUNCTION("""COMPUTED_VALUE"""),"")</f>
        <v/>
      </c>
      <c r="V171" t="str">
        <f>IFERROR(__xludf.DUMMYFUNCTION("""COMPUTED_VALUE"""),"")</f>
        <v/>
      </c>
      <c r="W171" t="str">
        <f>IFERROR(__xludf.DUMMYFUNCTION("""COMPUTED_VALUE"""),"")</f>
        <v/>
      </c>
      <c r="X171" t="str">
        <f>IFERROR(__xludf.DUMMYFUNCTION("""COMPUTED_VALUE"""),"")</f>
        <v/>
      </c>
      <c r="Y171" t="str">
        <f>IFERROR(__xludf.DUMMYFUNCTION("""COMPUTED_VALUE"""),"")</f>
        <v/>
      </c>
      <c r="Z171" t="str">
        <f>IFERROR(__xludf.DUMMYFUNCTION("""COMPUTED_VALUE"""),"")</f>
        <v/>
      </c>
      <c r="AA171" t="str">
        <f>IFERROR(__xludf.DUMMYFUNCTION("""COMPUTED_VALUE"""),"")</f>
        <v/>
      </c>
      <c r="AB171" t="str">
        <f>IFERROR(__xludf.DUMMYFUNCTION("""COMPUTED_VALUE"""),"")</f>
        <v/>
      </c>
    </row>
    <row r="172">
      <c r="A172" s="2">
        <f>IFERROR(__xludf.DUMMYFUNCTION("""COMPUTED_VALUE"""),43637.24989788195)</f>
        <v>43637.2499</v>
      </c>
      <c r="B172" s="1" t="str">
        <f>IFERROR(__xludf.DUMMYFUNCTION("""COMPUTED_VALUE"""),"Mathieu Rey-Herme")</f>
        <v>Mathieu Rey-Herme</v>
      </c>
      <c r="C17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2" s="1" t="str">
        <f>IFERROR(__xludf.DUMMYFUNCTION("""COMPUTED_VALUE"""),"BDA, BDE")</f>
        <v>BDA, BDE</v>
      </c>
      <c r="E172" s="1">
        <f>IFERROR(__xludf.DUMMYFUNCTION("""COMPUTED_VALUE"""),5.0)</f>
        <v>5</v>
      </c>
      <c r="F172" s="1" t="str">
        <f>IFERROR(__xludf.DUMMYFUNCTION("""COMPUTED_VALUE"""),"Pop, Musique fançaise")</f>
        <v>Pop, Musique fançaise</v>
      </c>
      <c r="G172" s="1" t="str">
        <f>IFERROR(__xludf.DUMMYFUNCTION("""COMPUTED_VALUE"""),"Musique, Théâtre")</f>
        <v>Musique, Théâtre</v>
      </c>
      <c r="H172" s="1" t="str">
        <f>IFERROR(__xludf.DUMMYFUNCTION("""COMPUTED_VALUE"""),"Une fois de temps en temps")</f>
        <v>Une fois de temps en temps</v>
      </c>
      <c r="I172" s="1" t="str">
        <f>IFERROR(__xludf.DUMMYFUNCTION("""COMPUTED_VALUE"""),"Plusieurs fois par semaine")</f>
        <v>Plusieurs fois par semaine</v>
      </c>
      <c r="J172" s="1" t="str">
        <f>IFERROR(__xludf.DUMMYFUNCTION("""COMPUTED_VALUE"""),"Pour le fun")</f>
        <v>Pour le fun</v>
      </c>
      <c r="K172" s="1" t="str">
        <f>IFERROR(__xludf.DUMMYFUNCTION("""COMPUTED_VALUE"""),"Sports collectifs, Athlétisme")</f>
        <v>Sports collectifs, Athlétisme</v>
      </c>
      <c r="L172" s="1" t="str">
        <f>IFERROR(__xludf.DUMMYFUNCTION("""COMPUTED_VALUE"""),"J'aime cuisiner le WE ou quand j'ai le temps")</f>
        <v>J'aime cuisiner le WE ou quand j'ai le temps</v>
      </c>
      <c r="M172" s="1">
        <f>IFERROR(__xludf.DUMMYFUNCTION("""COMPUTED_VALUE"""),4.0)</f>
        <v>4</v>
      </c>
      <c r="N172" s="1" t="str">
        <f>IFERROR(__xludf.DUMMYFUNCTION("""COMPUTED_VALUE"""),"Plusieurs fois par semaine")</f>
        <v>Plusieurs fois par semaine</v>
      </c>
      <c r="O172" s="1" t="str">
        <f>IFERROR(__xludf.DUMMYFUNCTION("""COMPUTED_VALUE"""),"T'enflammes le dancefloor")</f>
        <v>T'enflammes le dancefloor</v>
      </c>
      <c r="P172" s="1">
        <f>IFERROR(__xludf.DUMMYFUNCTION("""COMPUTED_VALUE"""),1.0)</f>
        <v>1</v>
      </c>
      <c r="Q172" s="1" t="str">
        <f>IFERROR(__xludf.DUMMYFUNCTION("""COMPUTED_VALUE"""),"Oui")</f>
        <v>Oui</v>
      </c>
      <c r="R172" s="1" t="str">
        <f>IFERROR(__xludf.DUMMYFUNCTION("""COMPUTED_VALUE"""),"Non")</f>
        <v>Non</v>
      </c>
      <c r="S172" s="1" t="str">
        <f>IFERROR(__xludf.DUMMYFUNCTION("""COMPUTED_VALUE"""),"La Crypte ")</f>
        <v>La Crypte </v>
      </c>
      <c r="T172" s="1" t="str">
        <f>IFERROR(__xludf.DUMMYFUNCTION("""COMPUTED_VALUE"""),"Veston du gouverneur (comu)")</f>
        <v>Veston du gouverneur (comu)</v>
      </c>
      <c r="U172" t="str">
        <f>IFERROR(__xludf.DUMMYFUNCTION("""COMPUTED_VALUE"""),"")</f>
        <v/>
      </c>
      <c r="V172" t="str">
        <f>IFERROR(__xludf.DUMMYFUNCTION("""COMPUTED_VALUE"""),"")</f>
        <v/>
      </c>
      <c r="W172" t="str">
        <f>IFERROR(__xludf.DUMMYFUNCTION("""COMPUTED_VALUE"""),"")</f>
        <v/>
      </c>
      <c r="X172" t="str">
        <f>IFERROR(__xludf.DUMMYFUNCTION("""COMPUTED_VALUE"""),"")</f>
        <v/>
      </c>
      <c r="Y172" t="str">
        <f>IFERROR(__xludf.DUMMYFUNCTION("""COMPUTED_VALUE"""),"")</f>
        <v/>
      </c>
      <c r="Z172" t="str">
        <f>IFERROR(__xludf.DUMMYFUNCTION("""COMPUTED_VALUE"""),"")</f>
        <v/>
      </c>
      <c r="AA172" t="str">
        <f>IFERROR(__xludf.DUMMYFUNCTION("""COMPUTED_VALUE"""),"")</f>
        <v/>
      </c>
      <c r="AB172" t="str">
        <f>IFERROR(__xludf.DUMMYFUNCTION("""COMPUTED_VALUE"""),"")</f>
        <v/>
      </c>
    </row>
    <row r="173">
      <c r="A173" s="2">
        <f>IFERROR(__xludf.DUMMYFUNCTION("""COMPUTED_VALUE"""),43637.35429869213)</f>
        <v>43637.3543</v>
      </c>
      <c r="B173" s="1" t="str">
        <f>IFERROR(__xludf.DUMMYFUNCTION("""COMPUTED_VALUE"""),"Tapias")</f>
        <v>Tapias</v>
      </c>
      <c r="C173" s="1" t="str">
        <f>IFERROR(__xludf.DUMMYFUNCTION("""COMPUTED_VALUE"""),"Le président et un inconnu")</f>
        <v>Le président et un inconnu</v>
      </c>
      <c r="D173" s="1" t="str">
        <f>IFERROR(__xludf.DUMMYFUNCTION("""COMPUTED_VALUE"""),"Pas de liste")</f>
        <v>Pas de liste</v>
      </c>
      <c r="E173" s="1">
        <f>IFERROR(__xludf.DUMMYFUNCTION("""COMPUTED_VALUE"""),2.0)</f>
        <v>2</v>
      </c>
      <c r="F173" s="1" t="str">
        <f>IFERROR(__xludf.DUMMYFUNCTION("""COMPUTED_VALUE"""),"Autre")</f>
        <v>Autre</v>
      </c>
      <c r="G173" s="1" t="str">
        <f>IFERROR(__xludf.DUMMYFUNCTION("""COMPUTED_VALUE"""),"Littérature, Danse")</f>
        <v>Littérature, Danse</v>
      </c>
      <c r="H173" s="1" t="str">
        <f>IFERROR(__xludf.DUMMYFUNCTION("""COMPUTED_VALUE"""),"Seulement les soirs de pleine lune")</f>
        <v>Seulement les soirs de pleine lune</v>
      </c>
      <c r="I173" s="1" t="str">
        <f>IFERROR(__xludf.DUMMYFUNCTION("""COMPUTED_VALUE"""),"Plusieurs fois par semaine")</f>
        <v>Plusieurs fois par semaine</v>
      </c>
      <c r="J173" s="1" t="str">
        <f>IFERROR(__xludf.DUMMYFUNCTION("""COMPUTED_VALUE"""),"Pour les autres")</f>
        <v>Pour les autres</v>
      </c>
      <c r="K173" s="1" t="str">
        <f>IFERROR(__xludf.DUMMYFUNCTION("""COMPUTED_VALUE"""),"Sports de raquette, Autre")</f>
        <v>Sports de raquette, Autre</v>
      </c>
      <c r="L173" s="1" t="str">
        <f>IFERROR(__xludf.DUMMYFUNCTION("""COMPUTED_VALUE"""),"J'aime cuisiner le WE ou quand j'ai le temps")</f>
        <v>J'aime cuisiner le WE ou quand j'ai le temps</v>
      </c>
      <c r="M173" s="1">
        <f>IFERROR(__xludf.DUMMYFUNCTION("""COMPUTED_VALUE"""),10.0)</f>
        <v>10</v>
      </c>
      <c r="N173" s="1" t="str">
        <f>IFERROR(__xludf.DUMMYFUNCTION("""COMPUTED_VALUE"""),"Une fois par semaine")</f>
        <v>Une fois par semaine</v>
      </c>
      <c r="O173" s="1" t="str">
        <f>IFERROR(__xludf.DUMMYFUNCTION("""COMPUTED_VALUE"""),"T'enflammes le dancefloor")</f>
        <v>T'enflammes le dancefloor</v>
      </c>
      <c r="P173" s="1">
        <f>IFERROR(__xludf.DUMMYFUNCTION("""COMPUTED_VALUE"""),1.0)</f>
        <v>1</v>
      </c>
      <c r="Q173" s="1" t="str">
        <f>IFERROR(__xludf.DUMMYFUNCTION("""COMPUTED_VALUE"""),"Non")</f>
        <v>Non</v>
      </c>
      <c r="R173" s="1" t="str">
        <f>IFERROR(__xludf.DUMMYFUNCTION("""COMPUTED_VALUE"""),"Non")</f>
        <v>Non</v>
      </c>
      <c r="S173" s="1" t="str">
        <f>IFERROR(__xludf.DUMMYFUNCTION("""COMPUTED_VALUE"""),"LePatio")</f>
        <v>LePatio</v>
      </c>
      <c r="T173" s="1" t="str">
        <f>IFERROR(__xludf.DUMMYFUNCTION("""COMPUTED_VALUE"""),"Une banane vert ")</f>
        <v>Une banane vert </v>
      </c>
      <c r="U173" t="str">
        <f>IFERROR(__xludf.DUMMYFUNCTION("""COMPUTED_VALUE"""),"")</f>
        <v/>
      </c>
      <c r="V173" t="str">
        <f>IFERROR(__xludf.DUMMYFUNCTION("""COMPUTED_VALUE"""),"")</f>
        <v/>
      </c>
      <c r="W173" t="str">
        <f>IFERROR(__xludf.DUMMYFUNCTION("""COMPUTED_VALUE"""),"")</f>
        <v/>
      </c>
      <c r="X173" t="str">
        <f>IFERROR(__xludf.DUMMYFUNCTION("""COMPUTED_VALUE"""),"")</f>
        <v/>
      </c>
      <c r="Y173" t="str">
        <f>IFERROR(__xludf.DUMMYFUNCTION("""COMPUTED_VALUE"""),"")</f>
        <v/>
      </c>
      <c r="Z173" t="str">
        <f>IFERROR(__xludf.DUMMYFUNCTION("""COMPUTED_VALUE"""),"")</f>
        <v/>
      </c>
      <c r="AA173" t="str">
        <f>IFERROR(__xludf.DUMMYFUNCTION("""COMPUTED_VALUE"""),"")</f>
        <v/>
      </c>
      <c r="AB173" t="str">
        <f>IFERROR(__xludf.DUMMYFUNCTION("""COMPUTED_VALUE"""),"")</f>
        <v/>
      </c>
    </row>
    <row r="174">
      <c r="A174" s="2">
        <f>IFERROR(__xludf.DUMMYFUNCTION("""COMPUTED_VALUE"""),43637.494941122684)</f>
        <v>43637.49494</v>
      </c>
      <c r="B174" s="1" t="str">
        <f>IFERROR(__xludf.DUMMYFUNCTION("""COMPUTED_VALUE"""),"Manon VLIEGHE")</f>
        <v>Manon VLIEGHE</v>
      </c>
      <c r="C174" s="1" t="str">
        <f>IFERROR(__xludf.DUMMYFUNCTION("""COMPUTED_VALUE"""),"Deux inconnus")</f>
        <v>Deux inconnus</v>
      </c>
      <c r="D174" s="1" t="str">
        <f>IFERROR(__xludf.DUMMYFUNCTION("""COMPUTED_VALUE"""),"BDA")</f>
        <v>BDA</v>
      </c>
      <c r="E174" s="1">
        <f>IFERROR(__xludf.DUMMYFUNCTION("""COMPUTED_VALUE"""),3.0)</f>
        <v>3</v>
      </c>
      <c r="F174" s="1" t="str">
        <f>IFERROR(__xludf.DUMMYFUNCTION("""COMPUTED_VALUE"""),"Rock, Metal, Musique classique, Kpop")</f>
        <v>Rock, Metal, Musique classique, Kpop</v>
      </c>
      <c r="G174" s="1" t="str">
        <f>IFERROR(__xludf.DUMMYFUNCTION("""COMPUTED_VALUE"""),"Peinture, Littérature, Sculpture, Danse, Musique, Théâtre, Cinéma, Graphisme, Autre")</f>
        <v>Peinture, Littérature, Sculpture, Danse, Musique, Théâtre, Cinéma, Graphisme, Autre</v>
      </c>
      <c r="H174" s="1" t="str">
        <f>IFERROR(__xludf.DUMMYFUNCTION("""COMPUTED_VALUE"""),"Une fois de temps en temps")</f>
        <v>Une fois de temps en temps</v>
      </c>
      <c r="I174" s="1" t="str">
        <f>IFERROR(__xludf.DUMMYFUNCTION("""COMPUTED_VALUE"""),"Une fois par semaine")</f>
        <v>Une fois par semaine</v>
      </c>
      <c r="J174" s="1" t="str">
        <f>IFERROR(__xludf.DUMMYFUNCTION("""COMPUTED_VALUE"""),"Pour le développement perso et se dépasser")</f>
        <v>Pour le développement perso et se dépasser</v>
      </c>
      <c r="K174" s="1" t="str">
        <f>IFERROR(__xludf.DUMMYFUNCTION("""COMPUTED_VALUE"""),"Autre")</f>
        <v>Autre</v>
      </c>
      <c r="L174" s="1" t="str">
        <f>IFERROR(__xludf.DUMMYFUNCTION("""COMPUTED_VALUE"""),"J'aime cuisiner le WE ou quand j'ai le temps")</f>
        <v>J'aime cuisiner le WE ou quand j'ai le temps</v>
      </c>
      <c r="M174" s="1">
        <f>IFERROR(__xludf.DUMMYFUNCTION("""COMPUTED_VALUE"""),5.0)</f>
        <v>5</v>
      </c>
      <c r="N174" s="1" t="str">
        <f>IFERROR(__xludf.DUMMYFUNCTION("""COMPUTED_VALUE"""),"Une fois par semaine")</f>
        <v>Une fois par semaine</v>
      </c>
      <c r="O174" s="1" t="str">
        <f>IFERROR(__xludf.DUMMYFUNCTION("""COMPUTED_VALUE"""),"Tu te poses dans un coin, chill !!")</f>
        <v>Tu te poses dans un coin, chill !!</v>
      </c>
      <c r="P174" s="1">
        <f>IFERROR(__xludf.DUMMYFUNCTION("""COMPUTED_VALUE"""),2.0)</f>
        <v>2</v>
      </c>
      <c r="Q174" s="1" t="str">
        <f>IFERROR(__xludf.DUMMYFUNCTION("""COMPUTED_VALUE"""),"Oui")</f>
        <v>Oui</v>
      </c>
      <c r="R174" s="1" t="str">
        <f>IFERROR(__xludf.DUMMYFUNCTION("""COMPUTED_VALUE"""),"Non")</f>
        <v>Non</v>
      </c>
      <c r="S174" s="1" t="str">
        <f>IFERROR(__xludf.DUMMYFUNCTION("""COMPUTED_VALUE"""),"Auberge-Monastère")</f>
        <v>Auberge-Monastère</v>
      </c>
      <c r="T174" s="1" t="str">
        <f>IFERROR(__xludf.DUMMYFUNCTION("""COMPUTED_VALUE"""),"Une valise de matèriel à dessin")</f>
        <v>Une valise de matèriel à dessin</v>
      </c>
      <c r="U174" t="str">
        <f>IFERROR(__xludf.DUMMYFUNCTION("""COMPUTED_VALUE"""),"")</f>
        <v/>
      </c>
      <c r="V174" t="str">
        <f>IFERROR(__xludf.DUMMYFUNCTION("""COMPUTED_VALUE"""),"")</f>
        <v/>
      </c>
      <c r="W174" t="str">
        <f>IFERROR(__xludf.DUMMYFUNCTION("""COMPUTED_VALUE"""),"")</f>
        <v/>
      </c>
      <c r="X174" t="str">
        <f>IFERROR(__xludf.DUMMYFUNCTION("""COMPUTED_VALUE"""),"")</f>
        <v/>
      </c>
      <c r="Y174" t="str">
        <f>IFERROR(__xludf.DUMMYFUNCTION("""COMPUTED_VALUE"""),"")</f>
        <v/>
      </c>
      <c r="Z174" t="str">
        <f>IFERROR(__xludf.DUMMYFUNCTION("""COMPUTED_VALUE"""),"")</f>
        <v/>
      </c>
      <c r="AA174" t="str">
        <f>IFERROR(__xludf.DUMMYFUNCTION("""COMPUTED_VALUE"""),"")</f>
        <v/>
      </c>
      <c r="AB174" t="str">
        <f>IFERROR(__xludf.DUMMYFUNCTION("""COMPUTED_VALUE"""),"")</f>
        <v/>
      </c>
    </row>
    <row r="175">
      <c r="A175" s="2">
        <f>IFERROR(__xludf.DUMMYFUNCTION("""COMPUTED_VALUE"""),43637.496435891204)</f>
        <v>43637.49644</v>
      </c>
      <c r="B175" s="1" t="str">
        <f>IFERROR(__xludf.DUMMYFUNCTION("""COMPUTED_VALUE"""),"Miguel MORENO")</f>
        <v>Miguel MORENO</v>
      </c>
      <c r="C175" s="1" t="str">
        <f>IFERROR(__xludf.DUMMYFUNCTION("""COMPUTED_VALUE"""),"Le président et un inconnu")</f>
        <v>Le président et un inconnu</v>
      </c>
      <c r="D175" s="1" t="str">
        <f>IFERROR(__xludf.DUMMYFUNCTION("""COMPUTED_VALUE"""),"Pas de liste")</f>
        <v>Pas de liste</v>
      </c>
      <c r="E175" s="1">
        <f>IFERROR(__xludf.DUMMYFUNCTION("""COMPUTED_VALUE"""),2.0)</f>
        <v>2</v>
      </c>
      <c r="F175" s="1" t="str">
        <f>IFERROR(__xludf.DUMMYFUNCTION("""COMPUTED_VALUE"""),"Rock, Metal, Electro hard, Musique fançaise, Jazz, Musique classique")</f>
        <v>Rock, Metal, Electro hard, Musique fançaise, Jazz, Musique classique</v>
      </c>
      <c r="G175" s="1" t="str">
        <f>IFERROR(__xludf.DUMMYFUNCTION("""COMPUTED_VALUE"""),"Peinture, Littérature, Musique, Cinéma")</f>
        <v>Peinture, Littérature, Musique, Cinéma</v>
      </c>
      <c r="H175" s="1" t="str">
        <f>IFERROR(__xludf.DUMMYFUNCTION("""COMPUTED_VALUE"""),"Une fois de temps en temps")</f>
        <v>Une fois de temps en temps</v>
      </c>
      <c r="I175" s="1" t="str">
        <f>IFERROR(__xludf.DUMMYFUNCTION("""COMPUTED_VALUE"""),"Le dimanche à 15h32 s'il fait beau")</f>
        <v>Le dimanche à 15h32 s'il fait beau</v>
      </c>
      <c r="J175" s="1" t="str">
        <f>IFERROR(__xludf.DUMMYFUNCTION("""COMPUTED_VALUE"""),"Pour le développement perso et se dépasser")</f>
        <v>Pour le développement perso et se dépasser</v>
      </c>
      <c r="K175" s="1" t="str">
        <f>IFERROR(__xludf.DUMMYFUNCTION("""COMPUTED_VALUE"""),"Sports aquatiques, Sports de combat")</f>
        <v>Sports aquatiques, Sports de combat</v>
      </c>
      <c r="L175" s="1" t="str">
        <f>IFERROR(__xludf.DUMMYFUNCTION("""COMPUTED_VALUE"""),"J'aime cuisiner le WE ou quand j'ai le temps")</f>
        <v>J'aime cuisiner le WE ou quand j'ai le temps</v>
      </c>
      <c r="M175" s="1">
        <f>IFERROR(__xludf.DUMMYFUNCTION("""COMPUTED_VALUE"""),8.0)</f>
        <v>8</v>
      </c>
      <c r="N175" s="1" t="str">
        <f>IFERROR(__xludf.DUMMYFUNCTION("""COMPUTED_VALUE"""),"Plusieurs fois par semaine")</f>
        <v>Plusieurs fois par semaine</v>
      </c>
      <c r="O175" s="1" t="str">
        <f>IFERROR(__xludf.DUMMYFUNCTION("""COMPUTED_VALUE"""),"Objectif grosse défonce")</f>
        <v>Objectif grosse défonce</v>
      </c>
      <c r="P175" s="1">
        <f>IFERROR(__xludf.DUMMYFUNCTION("""COMPUTED_VALUE"""),3.0)</f>
        <v>3</v>
      </c>
      <c r="Q175" s="1" t="str">
        <f>IFERROR(__xludf.DUMMYFUNCTION("""COMPUTED_VALUE"""),"Oui")</f>
        <v>Oui</v>
      </c>
      <c r="R175" s="1" t="str">
        <f>IFERROR(__xludf.DUMMYFUNCTION("""COMPUTED_VALUE"""),"Non")</f>
        <v>Non</v>
      </c>
      <c r="S175" s="1" t="str">
        <f>IFERROR(__xludf.DUMMYFUNCTION("""COMPUTED_VALUE"""),"LePatio")</f>
        <v>LePatio</v>
      </c>
      <c r="T175" s="1" t="str">
        <f>IFERROR(__xludf.DUMMYFUNCTION("""COMPUTED_VALUE"""),"Conseills académiques et pour bien s'amuser pendant ses études dans la façon Latinoaméricaine ")</f>
        <v>Conseills académiques et pour bien s'amuser pendant ses études dans la façon Latinoaméricaine </v>
      </c>
      <c r="U175" t="str">
        <f>IFERROR(__xludf.DUMMYFUNCTION("""COMPUTED_VALUE"""),"")</f>
        <v/>
      </c>
      <c r="V175" t="str">
        <f>IFERROR(__xludf.DUMMYFUNCTION("""COMPUTED_VALUE"""),"")</f>
        <v/>
      </c>
      <c r="W175" t="str">
        <f>IFERROR(__xludf.DUMMYFUNCTION("""COMPUTED_VALUE"""),"")</f>
        <v/>
      </c>
      <c r="X175" t="str">
        <f>IFERROR(__xludf.DUMMYFUNCTION("""COMPUTED_VALUE"""),"")</f>
        <v/>
      </c>
      <c r="Y175" t="str">
        <f>IFERROR(__xludf.DUMMYFUNCTION("""COMPUTED_VALUE"""),"")</f>
        <v/>
      </c>
      <c r="Z175" t="str">
        <f>IFERROR(__xludf.DUMMYFUNCTION("""COMPUTED_VALUE"""),"")</f>
        <v/>
      </c>
      <c r="AA175" t="str">
        <f>IFERROR(__xludf.DUMMYFUNCTION("""COMPUTED_VALUE"""),"")</f>
        <v/>
      </c>
      <c r="AB175" t="str">
        <f>IFERROR(__xludf.DUMMYFUNCTION("""COMPUTED_VALUE"""),"")</f>
        <v/>
      </c>
    </row>
    <row r="176">
      <c r="A176" s="2">
        <f>IFERROR(__xludf.DUMMYFUNCTION("""COMPUTED_VALUE"""),43637.55732609954)</f>
        <v>43637.55733</v>
      </c>
      <c r="B176" s="1" t="str">
        <f>IFERROR(__xludf.DUMMYFUNCTION("""COMPUTED_VALUE"""),"Baptiste Marlet")</f>
        <v>Baptiste Marlet</v>
      </c>
      <c r="C176" s="1" t="str">
        <f>IFERROR(__xludf.DUMMYFUNCTION("""COMPUTED_VALUE"""),"Le président et un inconnu")</f>
        <v>Le président et un inconnu</v>
      </c>
      <c r="D176" s="1" t="str">
        <f>IFERROR(__xludf.DUMMYFUNCTION("""COMPUTED_VALUE"""),"BDA")</f>
        <v>BDA</v>
      </c>
      <c r="E176" s="1">
        <f>IFERROR(__xludf.DUMMYFUNCTION("""COMPUTED_VALUE"""),5.0)</f>
        <v>5</v>
      </c>
      <c r="F176" s="1" t="str">
        <f>IFERROR(__xludf.DUMMYFUNCTION("""COMPUTED_VALUE"""),"Metal")</f>
        <v>Metal</v>
      </c>
      <c r="G176" s="1" t="str">
        <f>IFERROR(__xludf.DUMMYFUNCTION("""COMPUTED_VALUE"""),"Littérature, Musique, Théâtre")</f>
        <v>Littérature, Musique, Théâtre</v>
      </c>
      <c r="H176" s="1" t="str">
        <f>IFERROR(__xludf.DUMMYFUNCTION("""COMPUTED_VALUE"""),"Seulement les soirs de pleine lune")</f>
        <v>Seulement les soirs de pleine lune</v>
      </c>
      <c r="I176" s="1" t="str">
        <f>IFERROR(__xludf.DUMMYFUNCTION("""COMPUTED_VALUE"""),"Le dimanche à 15h32 s'il fait beau")</f>
        <v>Le dimanche à 15h32 s'il fait beau</v>
      </c>
      <c r="J176" s="1" t="str">
        <f>IFERROR(__xludf.DUMMYFUNCTION("""COMPUTED_VALUE"""),"Pour les autres")</f>
        <v>Pour les autres</v>
      </c>
      <c r="K176" s="1" t="str">
        <f>IFERROR(__xludf.DUMMYFUNCTION("""COMPUTED_VALUE"""),"Pas de sport")</f>
        <v>Pas de sport</v>
      </c>
      <c r="L176" s="1" t="str">
        <f>IFERROR(__xludf.DUMMYFUNCTION("""COMPUTED_VALUE"""),"J'aime cuisiner le WE ou quand j'ai le temps")</f>
        <v>J'aime cuisiner le WE ou quand j'ai le temps</v>
      </c>
      <c r="M176" s="1">
        <f>IFERROR(__xludf.DUMMYFUNCTION("""COMPUTED_VALUE"""),4.0)</f>
        <v>4</v>
      </c>
      <c r="N176" s="1" t="str">
        <f>IFERROR(__xludf.DUMMYFUNCTION("""COMPUTED_VALUE"""),"Une fois par mois")</f>
        <v>Une fois par mois</v>
      </c>
      <c r="O176" s="1" t="str">
        <f>IFERROR(__xludf.DUMMYFUNCTION("""COMPUTED_VALUE"""),"Tu te poses dans un coin, chill !!")</f>
        <v>Tu te poses dans un coin, chill !!</v>
      </c>
      <c r="P176" s="1">
        <f>IFERROR(__xludf.DUMMYFUNCTION("""COMPUTED_VALUE"""),1.0)</f>
        <v>1</v>
      </c>
      <c r="Q176" s="1" t="str">
        <f>IFERROR(__xludf.DUMMYFUNCTION("""COMPUTED_VALUE"""),"Oui")</f>
        <v>Oui</v>
      </c>
      <c r="R176" s="1" t="str">
        <f>IFERROR(__xludf.DUMMYFUNCTION("""COMPUTED_VALUE"""),"Non")</f>
        <v>Non</v>
      </c>
      <c r="S176" s="1" t="str">
        <f>IFERROR(__xludf.DUMMYFUNCTION("""COMPUTED_VALUE"""),"Les coulisses")</f>
        <v>Les coulisses</v>
      </c>
      <c r="T176" s="1" t="str">
        <f>IFERROR(__xludf.DUMMYFUNCTION("""COMPUTED_VALUE"""),"Le set de dés du JDR")</f>
        <v>Le set de dés du JDR</v>
      </c>
      <c r="U176" t="str">
        <f>IFERROR(__xludf.DUMMYFUNCTION("""COMPUTED_VALUE"""),"")</f>
        <v/>
      </c>
      <c r="V176" t="str">
        <f>IFERROR(__xludf.DUMMYFUNCTION("""COMPUTED_VALUE"""),"")</f>
        <v/>
      </c>
      <c r="W176" t="str">
        <f>IFERROR(__xludf.DUMMYFUNCTION("""COMPUTED_VALUE"""),"")</f>
        <v/>
      </c>
      <c r="X176" t="str">
        <f>IFERROR(__xludf.DUMMYFUNCTION("""COMPUTED_VALUE"""),"")</f>
        <v/>
      </c>
      <c r="Y176" t="str">
        <f>IFERROR(__xludf.DUMMYFUNCTION("""COMPUTED_VALUE"""),"")</f>
        <v/>
      </c>
      <c r="Z176" t="str">
        <f>IFERROR(__xludf.DUMMYFUNCTION("""COMPUTED_VALUE"""),"")</f>
        <v/>
      </c>
      <c r="AA176" t="str">
        <f>IFERROR(__xludf.DUMMYFUNCTION("""COMPUTED_VALUE"""),"")</f>
        <v/>
      </c>
      <c r="AB176" t="str">
        <f>IFERROR(__xludf.DUMMYFUNCTION("""COMPUTED_VALUE"""),"")</f>
        <v/>
      </c>
    </row>
    <row r="177">
      <c r="A177" s="2">
        <f>IFERROR(__xludf.DUMMYFUNCTION("""COMPUTED_VALUE"""),43637.73236201389)</f>
        <v>43637.73236</v>
      </c>
      <c r="B177" s="1" t="str">
        <f>IFERROR(__xludf.DUMMYFUNCTION("""COMPUTED_VALUE"""),"Hugo SEMPÉ")</f>
        <v>Hugo SEMPÉ</v>
      </c>
      <c r="C17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7" s="1" t="str">
        <f>IFERROR(__xludf.DUMMYFUNCTION("""COMPUTED_VALUE"""),"BDE")</f>
        <v>BDE</v>
      </c>
      <c r="E177" s="1">
        <f>IFERROR(__xludf.DUMMYFUNCTION("""COMPUTED_VALUE"""),3.0)</f>
        <v>3</v>
      </c>
      <c r="F177" s="1" t="str">
        <f>IFERROR(__xludf.DUMMYFUNCTION("""COMPUTED_VALUE"""),"Rock, Electro posée, Electro hard")</f>
        <v>Rock, Electro posée, Electro hard</v>
      </c>
      <c r="G177" s="1" t="str">
        <f>IFERROR(__xludf.DUMMYFUNCTION("""COMPUTED_VALUE"""),"Musique, Cinéma")</f>
        <v>Musique, Cinéma</v>
      </c>
      <c r="H177" s="1" t="str">
        <f>IFERROR(__xludf.DUMMYFUNCTION("""COMPUTED_VALUE"""),"Une fois de temps en temps")</f>
        <v>Une fois de temps en temps</v>
      </c>
      <c r="I177" s="1" t="str">
        <f>IFERROR(__xludf.DUMMYFUNCTION("""COMPUTED_VALUE"""),"Une fois par semaine")</f>
        <v>Une fois par semaine</v>
      </c>
      <c r="J177" s="1" t="str">
        <f>IFERROR(__xludf.DUMMYFUNCTION("""COMPUTED_VALUE"""),"Pour le développement perso et se dépasser")</f>
        <v>Pour le développement perso et se dépasser</v>
      </c>
      <c r="K177" s="1" t="str">
        <f>IFERROR(__xludf.DUMMYFUNCTION("""COMPUTED_VALUE"""),"Sports de raquette, Autre")</f>
        <v>Sports de raquette, Autre</v>
      </c>
      <c r="L177" s="1" t="str">
        <f>IFERROR(__xludf.DUMMYFUNCTION("""COMPUTED_VALUE"""),"Je fais toujours attention à bien manger")</f>
        <v>Je fais toujours attention à bien manger</v>
      </c>
      <c r="M177" s="1">
        <f>IFERROR(__xludf.DUMMYFUNCTION("""COMPUTED_VALUE"""),10.0)</f>
        <v>10</v>
      </c>
      <c r="N177" s="1" t="str">
        <f>IFERROR(__xludf.DUMMYFUNCTION("""COMPUTED_VALUE"""),"Plusieurs fois par semaine")</f>
        <v>Plusieurs fois par semaine</v>
      </c>
      <c r="O177" s="1" t="str">
        <f>IFERROR(__xludf.DUMMYFUNCTION("""COMPUTED_VALUE"""),"Tu te poses dans un coin, chill !!")</f>
        <v>Tu te poses dans un coin, chill !!</v>
      </c>
      <c r="P177" s="1">
        <f>IFERROR(__xludf.DUMMYFUNCTION("""COMPUTED_VALUE"""),5.0)</f>
        <v>5</v>
      </c>
      <c r="Q177" s="1" t="str">
        <f>IFERROR(__xludf.DUMMYFUNCTION("""COMPUTED_VALUE"""),"Non")</f>
        <v>Non</v>
      </c>
      <c r="R177" s="1" t="str">
        <f>IFERROR(__xludf.DUMMYFUNCTION("""COMPUTED_VALUE"""),"Non")</f>
        <v>Non</v>
      </c>
      <c r="S177" s="1" t="str">
        <f>IFERROR(__xludf.DUMMYFUNCTION("""COMPUTED_VALUE"""),"Pimp my ride ")</f>
        <v>Pimp my ride </v>
      </c>
      <c r="T177" s="1" t="str">
        <f>IFERROR(__xludf.DUMMYFUNCTION("""COMPUTED_VALUE"""),"Un arrêt de bus")</f>
        <v>Un arrêt de bus</v>
      </c>
      <c r="U177" t="str">
        <f>IFERROR(__xludf.DUMMYFUNCTION("""COMPUTED_VALUE"""),"")</f>
        <v/>
      </c>
      <c r="V177" t="str">
        <f>IFERROR(__xludf.DUMMYFUNCTION("""COMPUTED_VALUE"""),"")</f>
        <v/>
      </c>
      <c r="W177" t="str">
        <f>IFERROR(__xludf.DUMMYFUNCTION("""COMPUTED_VALUE"""),"")</f>
        <v/>
      </c>
      <c r="X177" t="str">
        <f>IFERROR(__xludf.DUMMYFUNCTION("""COMPUTED_VALUE"""),"")</f>
        <v/>
      </c>
      <c r="Y177" t="str">
        <f>IFERROR(__xludf.DUMMYFUNCTION("""COMPUTED_VALUE"""),"")</f>
        <v/>
      </c>
      <c r="Z177" t="str">
        <f>IFERROR(__xludf.DUMMYFUNCTION("""COMPUTED_VALUE"""),"")</f>
        <v/>
      </c>
      <c r="AA177" t="str">
        <f>IFERROR(__xludf.DUMMYFUNCTION("""COMPUTED_VALUE"""),"")</f>
        <v/>
      </c>
      <c r="AB177" t="str">
        <f>IFERROR(__xludf.DUMMYFUNCTION("""COMPUTED_VALUE"""),"")</f>
        <v/>
      </c>
    </row>
    <row r="178">
      <c r="A178" s="2">
        <f>IFERROR(__xludf.DUMMYFUNCTION("""COMPUTED_VALUE"""),43637.83789210649)</f>
        <v>43637.83789</v>
      </c>
      <c r="B178" s="1" t="str">
        <f>IFERROR(__xludf.DUMMYFUNCTION("""COMPUTED_VALUE"""),"Nicolas Meniconi")</f>
        <v>Nicolas Meniconi</v>
      </c>
      <c r="C17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8" s="1" t="str">
        <f>IFERROR(__xludf.DUMMYFUNCTION("""COMPUTED_VALUE"""),"BDA")</f>
        <v>BDA</v>
      </c>
      <c r="E178" s="1">
        <f>IFERROR(__xludf.DUMMYFUNCTION("""COMPUTED_VALUE"""),3.0)</f>
        <v>3</v>
      </c>
      <c r="F178" s="1" t="str">
        <f>IFERROR(__xludf.DUMMYFUNCTION("""COMPUTED_VALUE"""),"Electro posée, Pop, Autre")</f>
        <v>Electro posée, Pop, Autre</v>
      </c>
      <c r="G178" s="1" t="str">
        <f>IFERROR(__xludf.DUMMYFUNCTION("""COMPUTED_VALUE"""),"Peinture, Littérature, Musique, Théâtre")</f>
        <v>Peinture, Littérature, Musique, Théâtre</v>
      </c>
      <c r="H178" s="1" t="str">
        <f>IFERROR(__xludf.DUMMYFUNCTION("""COMPUTED_VALUE"""),"Seulement les soirs de pleine lune")</f>
        <v>Seulement les soirs de pleine lune</v>
      </c>
      <c r="I178" s="1" t="str">
        <f>IFERROR(__xludf.DUMMYFUNCTION("""COMPUTED_VALUE"""),"Une fois par semaine")</f>
        <v>Une fois par semaine</v>
      </c>
      <c r="J178" s="1" t="str">
        <f>IFERROR(__xludf.DUMMYFUNCTION("""COMPUTED_VALUE"""),"Pour le fun")</f>
        <v>Pour le fun</v>
      </c>
      <c r="K178" s="1" t="str">
        <f>IFERROR(__xludf.DUMMYFUNCTION("""COMPUTED_VALUE"""),"Sports collectifs, Athlétisme")</f>
        <v>Sports collectifs, Athlétisme</v>
      </c>
      <c r="L178" s="1" t="str">
        <f>IFERROR(__xludf.DUMMYFUNCTION("""COMPUTED_VALUE"""),"Je fais toujours attention à bien manger")</f>
        <v>Je fais toujours attention à bien manger</v>
      </c>
      <c r="M178" s="1">
        <f>IFERROR(__xludf.DUMMYFUNCTION("""COMPUTED_VALUE"""),7.0)</f>
        <v>7</v>
      </c>
      <c r="N178" s="1" t="str">
        <f>IFERROR(__xludf.DUMMYFUNCTION("""COMPUTED_VALUE"""),"Une fois par semaine")</f>
        <v>Une fois par semaine</v>
      </c>
      <c r="O178" s="1" t="str">
        <f>IFERROR(__xludf.DUMMYFUNCTION("""COMPUTED_VALUE"""),"Tu te poses dans un coin, chill !!")</f>
        <v>Tu te poses dans un coin, chill !!</v>
      </c>
      <c r="P178" s="1">
        <f>IFERROR(__xludf.DUMMYFUNCTION("""COMPUTED_VALUE"""),1.0)</f>
        <v>1</v>
      </c>
      <c r="Q178" s="1" t="str">
        <f>IFERROR(__xludf.DUMMYFUNCTION("""COMPUTED_VALUE"""),"Non")</f>
        <v>Non</v>
      </c>
      <c r="R178" s="1" t="str">
        <f>IFERROR(__xludf.DUMMYFUNCTION("""COMPUTED_VALUE"""),"Non")</f>
        <v>Non</v>
      </c>
      <c r="S178" s="1" t="str">
        <f>IFERROR(__xludf.DUMMYFUNCTION("""COMPUTED_VALUE"""),"Les coulisses ")</f>
        <v>Les coulisses </v>
      </c>
      <c r="T178" s="1" t="str">
        <f>IFERROR(__xludf.DUMMYFUNCTION("""COMPUTED_VALUE"""),"Noeud pap")</f>
        <v>Noeud pap</v>
      </c>
      <c r="U178" t="str">
        <f>IFERROR(__xludf.DUMMYFUNCTION("""COMPUTED_VALUE"""),"")</f>
        <v/>
      </c>
      <c r="V178" t="str">
        <f>IFERROR(__xludf.DUMMYFUNCTION("""COMPUTED_VALUE"""),"")</f>
        <v/>
      </c>
      <c r="W178" t="str">
        <f>IFERROR(__xludf.DUMMYFUNCTION("""COMPUTED_VALUE"""),"")</f>
        <v/>
      </c>
      <c r="X178" t="str">
        <f>IFERROR(__xludf.DUMMYFUNCTION("""COMPUTED_VALUE"""),"")</f>
        <v/>
      </c>
      <c r="Y178" t="str">
        <f>IFERROR(__xludf.DUMMYFUNCTION("""COMPUTED_VALUE"""),"")</f>
        <v/>
      </c>
      <c r="Z178" t="str">
        <f>IFERROR(__xludf.DUMMYFUNCTION("""COMPUTED_VALUE"""),"")</f>
        <v/>
      </c>
      <c r="AA178" t="str">
        <f>IFERROR(__xludf.DUMMYFUNCTION("""COMPUTED_VALUE"""),"")</f>
        <v/>
      </c>
      <c r="AB178" t="str">
        <f>IFERROR(__xludf.DUMMYFUNCTION("""COMPUTED_VALUE"""),"")</f>
        <v/>
      </c>
    </row>
    <row r="179">
      <c r="A179" s="2">
        <f>IFERROR(__xludf.DUMMYFUNCTION("""COMPUTED_VALUE"""),43637.93215782408)</f>
        <v>43637.93216</v>
      </c>
      <c r="B179" s="1" t="str">
        <f>IFERROR(__xludf.DUMMYFUNCTION("""COMPUTED_VALUE"""),"Romain THIMON")</f>
        <v>Romain THIMON</v>
      </c>
      <c r="C17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79" s="1" t="str">
        <f>IFERROR(__xludf.DUMMYFUNCTION("""COMPUTED_VALUE"""),"BDE")</f>
        <v>BDE</v>
      </c>
      <c r="E179" s="1">
        <f>IFERROR(__xludf.DUMMYFUNCTION("""COMPUTED_VALUE"""),5.0)</f>
        <v>5</v>
      </c>
      <c r="F179" s="1" t="str">
        <f>IFERROR(__xludf.DUMMYFUNCTION("""COMPUTED_VALUE"""),"Pop")</f>
        <v>Pop</v>
      </c>
      <c r="G179" s="1" t="str">
        <f>IFERROR(__xludf.DUMMYFUNCTION("""COMPUTED_VALUE"""),"Cinéma")</f>
        <v>Cinéma</v>
      </c>
      <c r="H179" s="1" t="str">
        <f>IFERROR(__xludf.DUMMYFUNCTION("""COMPUTED_VALUE"""),"Quelques fois par semaine")</f>
        <v>Quelques fois par semaine</v>
      </c>
      <c r="I179" s="1" t="str">
        <f>IFERROR(__xludf.DUMMYFUNCTION("""COMPUTED_VALUE"""),"Plusieurs fois par semaine")</f>
        <v>Plusieurs fois par semaine</v>
      </c>
      <c r="J179" s="1" t="str">
        <f>IFERROR(__xludf.DUMMYFUNCTION("""COMPUTED_VALUE"""),"Pour le développement perso et se dépasser")</f>
        <v>Pour le développement perso et se dépasser</v>
      </c>
      <c r="K179" s="1" t="str">
        <f>IFERROR(__xludf.DUMMYFUNCTION("""COMPUTED_VALUE"""),"Sports de raquette")</f>
        <v>Sports de raquette</v>
      </c>
      <c r="L179" s="1" t="str">
        <f>IFERROR(__xludf.DUMMYFUNCTION("""COMPUTED_VALUE"""),"Je fais toujours attention à bien manger")</f>
        <v>Je fais toujours attention à bien manger</v>
      </c>
      <c r="M179" s="1">
        <f>IFERROR(__xludf.DUMMYFUNCTION("""COMPUTED_VALUE"""),9.0)</f>
        <v>9</v>
      </c>
      <c r="N179" s="1" t="str">
        <f>IFERROR(__xludf.DUMMYFUNCTION("""COMPUTED_VALUE"""),"Plusieurs fois par semaine")</f>
        <v>Plusieurs fois par semaine</v>
      </c>
      <c r="O179" s="1" t="str">
        <f>IFERROR(__xludf.DUMMYFUNCTION("""COMPUTED_VALUE"""),"Objectif grosse défonce")</f>
        <v>Objectif grosse défonce</v>
      </c>
      <c r="P179" s="1">
        <f>IFERROR(__xludf.DUMMYFUNCTION("""COMPUTED_VALUE"""),2.0)</f>
        <v>2</v>
      </c>
      <c r="Q179" s="1" t="str">
        <f>IFERROR(__xludf.DUMMYFUNCTION("""COMPUTED_VALUE"""),"Non")</f>
        <v>Non</v>
      </c>
      <c r="R179" s="1" t="str">
        <f>IFERROR(__xludf.DUMMYFUNCTION("""COMPUTED_VALUE"""),"Non")</f>
        <v>Non</v>
      </c>
      <c r="S179" s="1" t="str">
        <f>IFERROR(__xludf.DUMMYFUNCTION("""COMPUTED_VALUE"""),"Le Panthéon")</f>
        <v>Le Panthéon</v>
      </c>
      <c r="T179" s="1" t="str">
        <f>IFERROR(__xludf.DUMMYFUNCTION("""COMPUTED_VALUE"""),"32 ecocups et deux balles de ping pong")</f>
        <v>32 ecocups et deux balles de ping pong</v>
      </c>
      <c r="U179" t="str">
        <f>IFERROR(__xludf.DUMMYFUNCTION("""COMPUTED_VALUE"""),"")</f>
        <v/>
      </c>
      <c r="V179" t="str">
        <f>IFERROR(__xludf.DUMMYFUNCTION("""COMPUTED_VALUE"""),"")</f>
        <v/>
      </c>
      <c r="W179" t="str">
        <f>IFERROR(__xludf.DUMMYFUNCTION("""COMPUTED_VALUE"""),"")</f>
        <v/>
      </c>
      <c r="X179" t="str">
        <f>IFERROR(__xludf.DUMMYFUNCTION("""COMPUTED_VALUE"""),"")</f>
        <v/>
      </c>
      <c r="Y179" t="str">
        <f>IFERROR(__xludf.DUMMYFUNCTION("""COMPUTED_VALUE"""),"")</f>
        <v/>
      </c>
      <c r="Z179" t="str">
        <f>IFERROR(__xludf.DUMMYFUNCTION("""COMPUTED_VALUE"""),"")</f>
        <v/>
      </c>
      <c r="AA179" t="str">
        <f>IFERROR(__xludf.DUMMYFUNCTION("""COMPUTED_VALUE"""),"")</f>
        <v/>
      </c>
      <c r="AB179" t="str">
        <f>IFERROR(__xludf.DUMMYFUNCTION("""COMPUTED_VALUE"""),"")</f>
        <v/>
      </c>
    </row>
    <row r="180">
      <c r="A180" s="2">
        <f>IFERROR(__xludf.DUMMYFUNCTION("""COMPUTED_VALUE"""),43637.93869710648)</f>
        <v>43637.9387</v>
      </c>
      <c r="B180" s="1" t="str">
        <f>IFERROR(__xludf.DUMMYFUNCTION("""COMPUTED_VALUE"""),"Maximilien LESSAULT")</f>
        <v>Maximilien LESSAULT</v>
      </c>
      <c r="C18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0" s="1" t="str">
        <f>IFERROR(__xludf.DUMMYFUNCTION("""COMPUTED_VALUE"""),"BDS")</f>
        <v>BDS</v>
      </c>
      <c r="E180" s="1">
        <f>IFERROR(__xludf.DUMMYFUNCTION("""COMPUTED_VALUE"""),5.0)</f>
        <v>5</v>
      </c>
      <c r="F180" s="1" t="str">
        <f>IFERROR(__xludf.DUMMYFUNCTION("""COMPUTED_VALUE"""),"Rock, Metal, Electro posée, Electro hard, Rap, Pop, Jazz, Musique classique, Kpop")</f>
        <v>Rock, Metal, Electro posée, Electro hard, Rap, Pop, Jazz, Musique classique, Kpop</v>
      </c>
      <c r="G180" s="1" t="str">
        <f>IFERROR(__xludf.DUMMYFUNCTION("""COMPUTED_VALUE"""),"Peinture, Musique, Graphisme")</f>
        <v>Peinture, Musique, Graphisme</v>
      </c>
      <c r="H180" s="1" t="str">
        <f>IFERROR(__xludf.DUMMYFUNCTION("""COMPUTED_VALUE"""),"Quelques fois par semaine")</f>
        <v>Quelques fois par semaine</v>
      </c>
      <c r="I180" s="1" t="str">
        <f>IFERROR(__xludf.DUMMYFUNCTION("""COMPUTED_VALUE"""),"Plusieurs fois par semaine")</f>
        <v>Plusieurs fois par semaine</v>
      </c>
      <c r="J180" s="1" t="str">
        <f>IFERROR(__xludf.DUMMYFUNCTION("""COMPUTED_VALUE"""),"Pour le développement perso et se dépasser")</f>
        <v>Pour le développement perso et se dépasser</v>
      </c>
      <c r="K180" s="1" t="str">
        <f>IFERROR(__xludf.DUMMYFUNCTION("""COMPUTED_VALUE"""),"Sports collectifs, Escalade")</f>
        <v>Sports collectifs, Escalade</v>
      </c>
      <c r="L180" s="1" t="str">
        <f>IFERROR(__xludf.DUMMYFUNCTION("""COMPUTED_VALUE"""),"J'aime cuisiner le WE ou quand j'ai le temps")</f>
        <v>J'aime cuisiner le WE ou quand j'ai le temps</v>
      </c>
      <c r="M180" s="1">
        <f>IFERROR(__xludf.DUMMYFUNCTION("""COMPUTED_VALUE"""),6.0)</f>
        <v>6</v>
      </c>
      <c r="N180" s="1" t="str">
        <f>IFERROR(__xludf.DUMMYFUNCTION("""COMPUTED_VALUE"""),"Une fois par semaine")</f>
        <v>Une fois par semaine</v>
      </c>
      <c r="O180" s="1" t="str">
        <f>IFERROR(__xludf.DUMMYFUNCTION("""COMPUTED_VALUE"""),"Tu te poses dans un coin, chill !!")</f>
        <v>Tu te poses dans un coin, chill !!</v>
      </c>
      <c r="P180" s="1">
        <f>IFERROR(__xludf.DUMMYFUNCTION("""COMPUTED_VALUE"""),1.0)</f>
        <v>1</v>
      </c>
      <c r="Q180" s="1" t="str">
        <f>IFERROR(__xludf.DUMMYFUNCTION("""COMPUTED_VALUE"""),"Non")</f>
        <v>Non</v>
      </c>
      <c r="R180" s="1" t="str">
        <f>IFERROR(__xludf.DUMMYFUNCTION("""COMPUTED_VALUE"""),"Non")</f>
        <v>Non</v>
      </c>
      <c r="S180" s="1" t="str">
        <f>IFERROR(__xludf.DUMMYFUNCTION("""COMPUTED_VALUE"""),"RACLETENTOUTAN")</f>
        <v>RACLETENTOUTAN</v>
      </c>
      <c r="T180" s="1" t="str">
        <f>IFERROR(__xludf.DUMMYFUNCTION("""COMPUTED_VALUE"""),"Je sais pas encore")</f>
        <v>Je sais pas encore</v>
      </c>
      <c r="U180" t="str">
        <f>IFERROR(__xludf.DUMMYFUNCTION("""COMPUTED_VALUE"""),"")</f>
        <v/>
      </c>
      <c r="V180" t="str">
        <f>IFERROR(__xludf.DUMMYFUNCTION("""COMPUTED_VALUE"""),"")</f>
        <v/>
      </c>
      <c r="W180" t="str">
        <f>IFERROR(__xludf.DUMMYFUNCTION("""COMPUTED_VALUE"""),"")</f>
        <v/>
      </c>
      <c r="X180" t="str">
        <f>IFERROR(__xludf.DUMMYFUNCTION("""COMPUTED_VALUE"""),"")</f>
        <v/>
      </c>
      <c r="Y180" t="str">
        <f>IFERROR(__xludf.DUMMYFUNCTION("""COMPUTED_VALUE"""),"")</f>
        <v/>
      </c>
      <c r="Z180" t="str">
        <f>IFERROR(__xludf.DUMMYFUNCTION("""COMPUTED_VALUE"""),"")</f>
        <v/>
      </c>
      <c r="AA180" t="str">
        <f>IFERROR(__xludf.DUMMYFUNCTION("""COMPUTED_VALUE"""),"")</f>
        <v/>
      </c>
      <c r="AB180" t="str">
        <f>IFERROR(__xludf.DUMMYFUNCTION("""COMPUTED_VALUE"""),"")</f>
        <v/>
      </c>
    </row>
    <row r="181">
      <c r="A181" s="2">
        <f>IFERROR(__xludf.DUMMYFUNCTION("""COMPUTED_VALUE"""),43637.93890545139)</f>
        <v>43637.93891</v>
      </c>
      <c r="B181" s="1" t="str">
        <f>IFERROR(__xludf.DUMMYFUNCTION("""COMPUTED_VALUE"""),"Thomas oppmann")</f>
        <v>Thomas oppmann</v>
      </c>
      <c r="C18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1" s="1" t="str">
        <f>IFERROR(__xludf.DUMMYFUNCTION("""COMPUTED_VALUE"""),"Pas de liste")</f>
        <v>Pas de liste</v>
      </c>
      <c r="E181" s="1">
        <f>IFERROR(__xludf.DUMMYFUNCTION("""COMPUTED_VALUE"""),3.0)</f>
        <v>3</v>
      </c>
      <c r="F181" s="1" t="str">
        <f>IFERROR(__xludf.DUMMYFUNCTION("""COMPUTED_VALUE"""),"Rock, Metal, Electro posée, Electro hard, Rap, Pop, Musique fançaise, Jazz, Musique classique, Kpop, Autre")</f>
        <v>Rock, Metal, Electro posée, Electro hard, Rap, Pop, Musique fançaise, Jazz, Musique classique, Kpop, Autre</v>
      </c>
      <c r="G181" s="1" t="str">
        <f>IFERROR(__xludf.DUMMYFUNCTION("""COMPUTED_VALUE"""),"Littérature, Musique, Cinéma, Graphisme")</f>
        <v>Littérature, Musique, Cinéma, Graphisme</v>
      </c>
      <c r="H181" s="1" t="str">
        <f>IFERROR(__xludf.DUMMYFUNCTION("""COMPUTED_VALUE"""),"Quelques fois par semaine")</f>
        <v>Quelques fois par semaine</v>
      </c>
      <c r="I181" s="1" t="str">
        <f>IFERROR(__xludf.DUMMYFUNCTION("""COMPUTED_VALUE"""),"Plusieurs fois par semaine")</f>
        <v>Plusieurs fois par semaine</v>
      </c>
      <c r="J181" s="1" t="str">
        <f>IFERROR(__xludf.DUMMYFUNCTION("""COMPUTED_VALUE"""),"Pour le fun")</f>
        <v>Pour le fun</v>
      </c>
      <c r="K181" s="1" t="str">
        <f>IFERROR(__xludf.DUMMYFUNCTION("""COMPUTED_VALUE"""),"Sports collectifs, Sports de combat")</f>
        <v>Sports collectifs, Sports de combat</v>
      </c>
      <c r="L181" s="1" t="str">
        <f>IFERROR(__xludf.DUMMYFUNCTION("""COMPUTED_VALUE"""),"Oh oui, et les trucs bien gras ça me connait !")</f>
        <v>Oh oui, et les trucs bien gras ça me connait !</v>
      </c>
      <c r="M181" s="1">
        <f>IFERROR(__xludf.DUMMYFUNCTION("""COMPUTED_VALUE"""),3.0)</f>
        <v>3</v>
      </c>
      <c r="N181" s="1" t="str">
        <f>IFERROR(__xludf.DUMMYFUNCTION("""COMPUTED_VALUE"""),"Une fois par semaine")</f>
        <v>Une fois par semaine</v>
      </c>
      <c r="O181" s="1" t="str">
        <f>IFERROR(__xludf.DUMMYFUNCTION("""COMPUTED_VALUE"""),"Tu viens pas")</f>
        <v>Tu viens pas</v>
      </c>
      <c r="P181" s="1">
        <f>IFERROR(__xludf.DUMMYFUNCTION("""COMPUTED_VALUE"""),1.0)</f>
        <v>1</v>
      </c>
      <c r="Q181" s="1" t="str">
        <f>IFERROR(__xludf.DUMMYFUNCTION("""COMPUTED_VALUE"""),"Non")</f>
        <v>Non</v>
      </c>
      <c r="R181" s="1" t="str">
        <f>IFERROR(__xludf.DUMMYFUNCTION("""COMPUTED_VALUE"""),"Non")</f>
        <v>Non</v>
      </c>
      <c r="S181" s="1" t="str">
        <f>IFERROR(__xludf.DUMMYFUNCTION("""COMPUTED_VALUE"""),"RACLETENTOUTAN")</f>
        <v>RACLETENTOUTAN</v>
      </c>
      <c r="T181" s="1" t="str">
        <f>IFERROR(__xludf.DUMMYFUNCTION("""COMPUTED_VALUE"""),"Une manette GameCube ")</f>
        <v>Une manette GameCube </v>
      </c>
      <c r="U181" t="str">
        <f>IFERROR(__xludf.DUMMYFUNCTION("""COMPUTED_VALUE"""),"")</f>
        <v/>
      </c>
      <c r="V181" t="str">
        <f>IFERROR(__xludf.DUMMYFUNCTION("""COMPUTED_VALUE"""),"")</f>
        <v/>
      </c>
      <c r="W181" t="str">
        <f>IFERROR(__xludf.DUMMYFUNCTION("""COMPUTED_VALUE"""),"")</f>
        <v/>
      </c>
      <c r="X181" t="str">
        <f>IFERROR(__xludf.DUMMYFUNCTION("""COMPUTED_VALUE"""),"")</f>
        <v/>
      </c>
      <c r="Y181" t="str">
        <f>IFERROR(__xludf.DUMMYFUNCTION("""COMPUTED_VALUE"""),"")</f>
        <v/>
      </c>
      <c r="Z181" t="str">
        <f>IFERROR(__xludf.DUMMYFUNCTION("""COMPUTED_VALUE"""),"")</f>
        <v/>
      </c>
      <c r="AA181" t="str">
        <f>IFERROR(__xludf.DUMMYFUNCTION("""COMPUTED_VALUE"""),"")</f>
        <v/>
      </c>
      <c r="AB181" t="str">
        <f>IFERROR(__xludf.DUMMYFUNCTION("""COMPUTED_VALUE"""),"")</f>
        <v/>
      </c>
    </row>
    <row r="182">
      <c r="A182" s="2">
        <f>IFERROR(__xludf.DUMMYFUNCTION("""COMPUTED_VALUE"""),43637.93922516204)</f>
        <v>43637.93923</v>
      </c>
      <c r="B182" s="1" t="str">
        <f>IFERROR(__xludf.DUMMYFUNCTION("""COMPUTED_VALUE"""),"Alexandre Ghannad")</f>
        <v>Alexandre Ghannad</v>
      </c>
      <c r="C18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2" s="1" t="str">
        <f>IFERROR(__xludf.DUMMYFUNCTION("""COMPUTED_VALUE"""),"BDA")</f>
        <v>BDA</v>
      </c>
      <c r="E182" s="1">
        <f>IFERROR(__xludf.DUMMYFUNCTION("""COMPUTED_VALUE"""),1.0)</f>
        <v>1</v>
      </c>
      <c r="F182" s="1" t="str">
        <f>IFERROR(__xludf.DUMMYFUNCTION("""COMPUTED_VALUE"""),"Metal, Musique fançaise, Musique classique")</f>
        <v>Metal, Musique fançaise, Musique classique</v>
      </c>
      <c r="G182" s="1" t="str">
        <f>IFERROR(__xludf.DUMMYFUNCTION("""COMPUTED_VALUE"""),"Peinture, Musique, Théâtre, Autre")</f>
        <v>Peinture, Musique, Théâtre, Autre</v>
      </c>
      <c r="H182" s="1" t="str">
        <f>IFERROR(__xludf.DUMMYFUNCTION("""COMPUTED_VALUE"""),"Quelques fois par semaine")</f>
        <v>Quelques fois par semaine</v>
      </c>
      <c r="I182" s="1" t="str">
        <f>IFERROR(__xludf.DUMMYFUNCTION("""COMPUTED_VALUE"""),"Le dimanche à 15h32 s'il fait beau")</f>
        <v>Le dimanche à 15h32 s'il fait beau</v>
      </c>
      <c r="J182" s="1" t="str">
        <f>IFERROR(__xludf.DUMMYFUNCTION("""COMPUTED_VALUE"""),"Pour le fun")</f>
        <v>Pour le fun</v>
      </c>
      <c r="K182" s="1" t="str">
        <f>IFERROR(__xludf.DUMMYFUNCTION("""COMPUTED_VALUE"""),"Pas de sport")</f>
        <v>Pas de sport</v>
      </c>
      <c r="L182" s="1" t="str">
        <f>IFERROR(__xludf.DUMMYFUNCTION("""COMPUTED_VALUE"""),"Oh oui, et les trucs bien gras ça me connait !")</f>
        <v>Oh oui, et les trucs bien gras ça me connait !</v>
      </c>
      <c r="M182" s="1">
        <f>IFERROR(__xludf.DUMMYFUNCTION("""COMPUTED_VALUE"""),1.0)</f>
        <v>1</v>
      </c>
      <c r="N182" s="1" t="str">
        <f>IFERROR(__xludf.DUMMYFUNCTION("""COMPUTED_VALUE"""),"Jamais")</f>
        <v>Jamais</v>
      </c>
      <c r="O182" s="1" t="str">
        <f>IFERROR(__xludf.DUMMYFUNCTION("""COMPUTED_VALUE"""),"Tu viens pas")</f>
        <v>Tu viens pas</v>
      </c>
      <c r="P182" s="1">
        <f>IFERROR(__xludf.DUMMYFUNCTION("""COMPUTED_VALUE"""),1.0)</f>
        <v>1</v>
      </c>
      <c r="Q182" s="1" t="str">
        <f>IFERROR(__xludf.DUMMYFUNCTION("""COMPUTED_VALUE"""),"Non")</f>
        <v>Non</v>
      </c>
      <c r="R182" s="1" t="str">
        <f>IFERROR(__xludf.DUMMYFUNCTION("""COMPUTED_VALUE"""),"Non")</f>
        <v>Non</v>
      </c>
      <c r="S182" s="1" t="str">
        <f>IFERROR(__xludf.DUMMYFUNCTION("""COMPUTED_VALUE"""),"RACLETENTOUTAN")</f>
        <v>RACLETENTOUTAN</v>
      </c>
      <c r="T182" s="1" t="str">
        <f>IFERROR(__xludf.DUMMYFUNCTION("""COMPUTED_VALUE"""),"je sais pas encore")</f>
        <v>je sais pas encore</v>
      </c>
      <c r="U182" t="str">
        <f>IFERROR(__xludf.DUMMYFUNCTION("""COMPUTED_VALUE"""),"")</f>
        <v/>
      </c>
      <c r="V182" t="str">
        <f>IFERROR(__xludf.DUMMYFUNCTION("""COMPUTED_VALUE"""),"")</f>
        <v/>
      </c>
      <c r="W182" t="str">
        <f>IFERROR(__xludf.DUMMYFUNCTION("""COMPUTED_VALUE"""),"")</f>
        <v/>
      </c>
      <c r="X182" t="str">
        <f>IFERROR(__xludf.DUMMYFUNCTION("""COMPUTED_VALUE"""),"")</f>
        <v/>
      </c>
      <c r="Y182" t="str">
        <f>IFERROR(__xludf.DUMMYFUNCTION("""COMPUTED_VALUE"""),"")</f>
        <v/>
      </c>
      <c r="Z182" t="str">
        <f>IFERROR(__xludf.DUMMYFUNCTION("""COMPUTED_VALUE"""),"")</f>
        <v/>
      </c>
      <c r="AA182" t="str">
        <f>IFERROR(__xludf.DUMMYFUNCTION("""COMPUTED_VALUE"""),"")</f>
        <v/>
      </c>
      <c r="AB182" t="str">
        <f>IFERROR(__xludf.DUMMYFUNCTION("""COMPUTED_VALUE"""),"")</f>
        <v/>
      </c>
    </row>
    <row r="183">
      <c r="A183" s="2">
        <f>IFERROR(__xludf.DUMMYFUNCTION("""COMPUTED_VALUE"""),43637.93968565972)</f>
        <v>43637.93969</v>
      </c>
      <c r="B183" s="1" t="str">
        <f>IFERROR(__xludf.DUMMYFUNCTION("""COMPUTED_VALUE"""),"Christopher LESDALONS")</f>
        <v>Christopher LESDALONS</v>
      </c>
      <c r="C18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3" s="1" t="str">
        <f>IFERROR(__xludf.DUMMYFUNCTION("""COMPUTED_VALUE"""),"Pas de liste")</f>
        <v>Pas de liste</v>
      </c>
      <c r="E183" s="1">
        <f>IFERROR(__xludf.DUMMYFUNCTION("""COMPUTED_VALUE"""),3.0)</f>
        <v>3</v>
      </c>
      <c r="F183" s="1" t="str">
        <f>IFERROR(__xludf.DUMMYFUNCTION("""COMPUTED_VALUE"""),"Rock, Metal, Electro posée, Pop, Musique fançaise, Jazz")</f>
        <v>Rock, Metal, Electro posée, Pop, Musique fançaise, Jazz</v>
      </c>
      <c r="G183" s="1" t="str">
        <f>IFERROR(__xludf.DUMMYFUNCTION("""COMPUTED_VALUE"""),"Musique, Cinéma, Graphisme")</f>
        <v>Musique, Cinéma, Graphisme</v>
      </c>
      <c r="H183" s="1" t="str">
        <f>IFERROR(__xludf.DUMMYFUNCTION("""COMPUTED_VALUE"""),"Quelques fois par semaine")</f>
        <v>Quelques fois par semaine</v>
      </c>
      <c r="I183" s="1" t="str">
        <f>IFERROR(__xludf.DUMMYFUNCTION("""COMPUTED_VALUE"""),"Une fois par semaine")</f>
        <v>Une fois par semaine</v>
      </c>
      <c r="J183" s="1" t="str">
        <f>IFERROR(__xludf.DUMMYFUNCTION("""COMPUTED_VALUE"""),"Pour le fun")</f>
        <v>Pour le fun</v>
      </c>
      <c r="K183" s="1" t="str">
        <f>IFERROR(__xludf.DUMMYFUNCTION("""COMPUTED_VALUE"""),"Sports collectifs")</f>
        <v>Sports collectifs</v>
      </c>
      <c r="L183" s="1" t="str">
        <f>IFERROR(__xludf.DUMMYFUNCTION("""COMPUTED_VALUE"""),"Oh oui, et les trucs bien gras ça me connait !")</f>
        <v>Oh oui, et les trucs bien gras ça me connait !</v>
      </c>
      <c r="M183" s="1">
        <f>IFERROR(__xludf.DUMMYFUNCTION("""COMPUTED_VALUE"""),4.0)</f>
        <v>4</v>
      </c>
      <c r="N183" s="1" t="str">
        <f>IFERROR(__xludf.DUMMYFUNCTION("""COMPUTED_VALUE"""),"Une fois par semaine")</f>
        <v>Une fois par semaine</v>
      </c>
      <c r="O183" s="1" t="str">
        <f>IFERROR(__xludf.DUMMYFUNCTION("""COMPUTED_VALUE"""),"Tu te poses dans un coin, chill !!")</f>
        <v>Tu te poses dans un coin, chill !!</v>
      </c>
      <c r="P183" s="1">
        <f>IFERROR(__xludf.DUMMYFUNCTION("""COMPUTED_VALUE"""),1.0)</f>
        <v>1</v>
      </c>
      <c r="Q183" s="1" t="str">
        <f>IFERROR(__xludf.DUMMYFUNCTION("""COMPUTED_VALUE"""),"Non")</f>
        <v>Non</v>
      </c>
      <c r="R183" s="1" t="str">
        <f>IFERROR(__xludf.DUMMYFUNCTION("""COMPUTED_VALUE"""),"Non")</f>
        <v>Non</v>
      </c>
      <c r="S183" s="1" t="str">
        <f>IFERROR(__xludf.DUMMYFUNCTION("""COMPUTED_VALUE"""),"RACLETENTOUTAN")</f>
        <v>RACLETENTOUTAN</v>
      </c>
      <c r="T183" s="1" t="str">
        <f>IFERROR(__xludf.DUMMYFUNCTION("""COMPUTED_VALUE"""),"Je sais pas encore")</f>
        <v>Je sais pas encore</v>
      </c>
      <c r="U183" t="str">
        <f>IFERROR(__xludf.DUMMYFUNCTION("""COMPUTED_VALUE"""),"")</f>
        <v/>
      </c>
      <c r="V183" t="str">
        <f>IFERROR(__xludf.DUMMYFUNCTION("""COMPUTED_VALUE"""),"")</f>
        <v/>
      </c>
      <c r="W183" t="str">
        <f>IFERROR(__xludf.DUMMYFUNCTION("""COMPUTED_VALUE"""),"")</f>
        <v/>
      </c>
      <c r="X183" t="str">
        <f>IFERROR(__xludf.DUMMYFUNCTION("""COMPUTED_VALUE"""),"")</f>
        <v/>
      </c>
      <c r="Y183" t="str">
        <f>IFERROR(__xludf.DUMMYFUNCTION("""COMPUTED_VALUE"""),"")</f>
        <v/>
      </c>
      <c r="Z183" t="str">
        <f>IFERROR(__xludf.DUMMYFUNCTION("""COMPUTED_VALUE"""),"")</f>
        <v/>
      </c>
      <c r="AA183" t="str">
        <f>IFERROR(__xludf.DUMMYFUNCTION("""COMPUTED_VALUE"""),"")</f>
        <v/>
      </c>
      <c r="AB183" t="str">
        <f>IFERROR(__xludf.DUMMYFUNCTION("""COMPUTED_VALUE"""),"")</f>
        <v/>
      </c>
    </row>
    <row r="184">
      <c r="A184" s="2">
        <f>IFERROR(__xludf.DUMMYFUNCTION("""COMPUTED_VALUE"""),43637.93984795139)</f>
        <v>43637.93985</v>
      </c>
      <c r="B184" s="1" t="str">
        <f>IFERROR(__xludf.DUMMYFUNCTION("""COMPUTED_VALUE"""),"Amine BEDRANE")</f>
        <v>Amine BEDRANE</v>
      </c>
      <c r="C18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4" s="1" t="str">
        <f>IFERROR(__xludf.DUMMYFUNCTION("""COMPUTED_VALUE"""),"Pas de liste")</f>
        <v>Pas de liste</v>
      </c>
      <c r="E184" s="1">
        <f>IFERROR(__xludf.DUMMYFUNCTION("""COMPUTED_VALUE"""),2.0)</f>
        <v>2</v>
      </c>
      <c r="F184" s="1" t="str">
        <f>IFERROR(__xludf.DUMMYFUNCTION("""COMPUTED_VALUE"""),"Metal, Electro posée, Rap, Musique fançaise, Jazz, Musique classique, Kpop")</f>
        <v>Metal, Electro posée, Rap, Musique fançaise, Jazz, Musique classique, Kpop</v>
      </c>
      <c r="G184" s="1" t="str">
        <f>IFERROR(__xludf.DUMMYFUNCTION("""COMPUTED_VALUE"""),"Théâtre")</f>
        <v>Théâtre</v>
      </c>
      <c r="H184" s="1" t="str">
        <f>IFERROR(__xludf.DUMMYFUNCTION("""COMPUTED_VALUE"""),"Quelques fois par semaine")</f>
        <v>Quelques fois par semaine</v>
      </c>
      <c r="I184" s="1" t="str">
        <f>IFERROR(__xludf.DUMMYFUNCTION("""COMPUTED_VALUE"""),"Une fois par semaine")</f>
        <v>Une fois par semaine</v>
      </c>
      <c r="J184" s="1" t="str">
        <f>IFERROR(__xludf.DUMMYFUNCTION("""COMPUTED_VALUE"""),"Pour le développement perso et se dépasser")</f>
        <v>Pour le développement perso et se dépasser</v>
      </c>
      <c r="K184" s="1" t="str">
        <f>IFERROR(__xludf.DUMMYFUNCTION("""COMPUTED_VALUE"""),"Sports collectifs, Equitation")</f>
        <v>Sports collectifs, Equitation</v>
      </c>
      <c r="L184" s="1" t="str">
        <f>IFERROR(__xludf.DUMMYFUNCTION("""COMPUTED_VALUE"""),"Oh oui, et les trucs bien gras ça me connait !")</f>
        <v>Oh oui, et les trucs bien gras ça me connait !</v>
      </c>
      <c r="M184" s="1">
        <f>IFERROR(__xludf.DUMMYFUNCTION("""COMPUTED_VALUE"""),1.0)</f>
        <v>1</v>
      </c>
      <c r="N184" s="1" t="str">
        <f>IFERROR(__xludf.DUMMYFUNCTION("""COMPUTED_VALUE"""),"Une fois par mois")</f>
        <v>Une fois par mois</v>
      </c>
      <c r="O184" s="1" t="str">
        <f>IFERROR(__xludf.DUMMYFUNCTION("""COMPUTED_VALUE"""),"Tu te poses dans un coin, chill !!")</f>
        <v>Tu te poses dans un coin, chill !!</v>
      </c>
      <c r="P184" s="1">
        <f>IFERROR(__xludf.DUMMYFUNCTION("""COMPUTED_VALUE"""),1.0)</f>
        <v>1</v>
      </c>
      <c r="Q184" s="1" t="str">
        <f>IFERROR(__xludf.DUMMYFUNCTION("""COMPUTED_VALUE"""),"Non")</f>
        <v>Non</v>
      </c>
      <c r="R184" s="1" t="str">
        <f>IFERROR(__xludf.DUMMYFUNCTION("""COMPUTED_VALUE"""),"Non")</f>
        <v>Non</v>
      </c>
      <c r="S184" s="1" t="str">
        <f>IFERROR(__xludf.DUMMYFUNCTION("""COMPUTED_VALUE"""),"RACLETENTOUTAN")</f>
        <v>RACLETENTOUTAN</v>
      </c>
      <c r="T184" s="1" t="str">
        <f>IFERROR(__xludf.DUMMYFUNCTION("""COMPUTED_VALUE"""),"Sais pas encore")</f>
        <v>Sais pas encore</v>
      </c>
      <c r="U184" t="str">
        <f>IFERROR(__xludf.DUMMYFUNCTION("""COMPUTED_VALUE"""),"")</f>
        <v/>
      </c>
      <c r="V184" t="str">
        <f>IFERROR(__xludf.DUMMYFUNCTION("""COMPUTED_VALUE"""),"")</f>
        <v/>
      </c>
      <c r="W184" t="str">
        <f>IFERROR(__xludf.DUMMYFUNCTION("""COMPUTED_VALUE"""),"")</f>
        <v/>
      </c>
      <c r="X184" t="str">
        <f>IFERROR(__xludf.DUMMYFUNCTION("""COMPUTED_VALUE"""),"")</f>
        <v/>
      </c>
      <c r="Y184" t="str">
        <f>IFERROR(__xludf.DUMMYFUNCTION("""COMPUTED_VALUE"""),"")</f>
        <v/>
      </c>
      <c r="Z184" t="str">
        <f>IFERROR(__xludf.DUMMYFUNCTION("""COMPUTED_VALUE"""),"")</f>
        <v/>
      </c>
      <c r="AA184" t="str">
        <f>IFERROR(__xludf.DUMMYFUNCTION("""COMPUTED_VALUE"""),"")</f>
        <v/>
      </c>
      <c r="AB184" t="str">
        <f>IFERROR(__xludf.DUMMYFUNCTION("""COMPUTED_VALUE"""),"")</f>
        <v/>
      </c>
    </row>
    <row r="185">
      <c r="A185" s="2">
        <f>IFERROR(__xludf.DUMMYFUNCTION("""COMPUTED_VALUE"""),43638.64005087963)</f>
        <v>43638.64005</v>
      </c>
      <c r="B185" s="1" t="str">
        <f>IFERROR(__xludf.DUMMYFUNCTION("""COMPUTED_VALUE"""),"Charles-Eole MARICHAL")</f>
        <v>Charles-Eole MARICHAL</v>
      </c>
      <c r="C18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5" s="1" t="str">
        <f>IFERROR(__xludf.DUMMYFUNCTION("""COMPUTED_VALUE"""),"BDA, BDE")</f>
        <v>BDA, BDE</v>
      </c>
      <c r="E185" s="1">
        <f>IFERROR(__xludf.DUMMYFUNCTION("""COMPUTED_VALUE"""),5.0)</f>
        <v>5</v>
      </c>
      <c r="F185" s="1" t="str">
        <f>IFERROR(__xludf.DUMMYFUNCTION("""COMPUTED_VALUE"""),"Je suis aigri et j'aime pas la musique, Electro posée, Autre")</f>
        <v>Je suis aigri et j'aime pas la musique, Electro posée, Autre</v>
      </c>
      <c r="G185" s="1" t="str">
        <f>IFERROR(__xludf.DUMMYFUNCTION("""COMPUTED_VALUE"""),"Littérature, Musique, Théâtre, Autre")</f>
        <v>Littérature, Musique, Théâtre, Autre</v>
      </c>
      <c r="H185" s="1" t="str">
        <f>IFERROR(__xludf.DUMMYFUNCTION("""COMPUTED_VALUE"""),"Quelques fois par semaine")</f>
        <v>Quelques fois par semaine</v>
      </c>
      <c r="I185" s="1" t="str">
        <f>IFERROR(__xludf.DUMMYFUNCTION("""COMPUTED_VALUE"""),"Le dimanche à 15h32 s'il fait beau")</f>
        <v>Le dimanche à 15h32 s'il fait beau</v>
      </c>
      <c r="J185" s="1" t="str">
        <f>IFERROR(__xludf.DUMMYFUNCTION("""COMPUTED_VALUE"""),"Pour le fun")</f>
        <v>Pour le fun</v>
      </c>
      <c r="K185" s="1" t="str">
        <f>IFERROR(__xludf.DUMMYFUNCTION("""COMPUTED_VALUE"""),"Pas de sport, Sports de combat, Autre")</f>
        <v>Pas de sport, Sports de combat, Autre</v>
      </c>
      <c r="L185" s="1" t="str">
        <f>IFERROR(__xludf.DUMMYFUNCTION("""COMPUTED_VALUE"""),"Alterner entre grec et coquillettes ça compte ?")</f>
        <v>Alterner entre grec et coquillettes ça compte ?</v>
      </c>
      <c r="M185" s="1">
        <f>IFERROR(__xludf.DUMMYFUNCTION("""COMPUTED_VALUE"""),6.0)</f>
        <v>6</v>
      </c>
      <c r="N185" s="1" t="str">
        <f>IFERROR(__xludf.DUMMYFUNCTION("""COMPUTED_VALUE"""),"Plusieurs fois par semaine")</f>
        <v>Plusieurs fois par semaine</v>
      </c>
      <c r="O185" s="1" t="str">
        <f>IFERROR(__xludf.DUMMYFUNCTION("""COMPUTED_VALUE"""),"Tu te poses dans un coin, chill !!")</f>
        <v>Tu te poses dans un coin, chill !!</v>
      </c>
      <c r="P185" s="1">
        <f>IFERROR(__xludf.DUMMYFUNCTION("""COMPUTED_VALUE"""),1.0)</f>
        <v>1</v>
      </c>
      <c r="Q185" s="1" t="str">
        <f>IFERROR(__xludf.DUMMYFUNCTION("""COMPUTED_VALUE"""),"Non")</f>
        <v>Non</v>
      </c>
      <c r="R185" s="1" t="str">
        <f>IFERROR(__xludf.DUMMYFUNCTION("""COMPUTED_VALUE"""),"Non")</f>
        <v>Non</v>
      </c>
      <c r="S185" s="1" t="str">
        <f>IFERROR(__xludf.DUMMYFUNCTION("""COMPUTED_VALUE"""),"PB-Nuage")</f>
        <v>PB-Nuage</v>
      </c>
      <c r="T185" s="1" t="str">
        <f>IFERROR(__xludf.DUMMYFUNCTION("""COMPUTED_VALUE"""),"La Salière d'Or")</f>
        <v>La Salière d'Or</v>
      </c>
      <c r="U185" t="str">
        <f>IFERROR(__xludf.DUMMYFUNCTION("""COMPUTED_VALUE"""),"")</f>
        <v/>
      </c>
      <c r="V185" t="str">
        <f>IFERROR(__xludf.DUMMYFUNCTION("""COMPUTED_VALUE"""),"")</f>
        <v/>
      </c>
      <c r="W185" t="str">
        <f>IFERROR(__xludf.DUMMYFUNCTION("""COMPUTED_VALUE"""),"")</f>
        <v/>
      </c>
      <c r="X185" t="str">
        <f>IFERROR(__xludf.DUMMYFUNCTION("""COMPUTED_VALUE"""),"")</f>
        <v/>
      </c>
      <c r="Y185" t="str">
        <f>IFERROR(__xludf.DUMMYFUNCTION("""COMPUTED_VALUE"""),"")</f>
        <v/>
      </c>
      <c r="Z185" t="str">
        <f>IFERROR(__xludf.DUMMYFUNCTION("""COMPUTED_VALUE"""),"")</f>
        <v/>
      </c>
      <c r="AA185" t="str">
        <f>IFERROR(__xludf.DUMMYFUNCTION("""COMPUTED_VALUE"""),"")</f>
        <v/>
      </c>
      <c r="AB185" t="str">
        <f>IFERROR(__xludf.DUMMYFUNCTION("""COMPUTED_VALUE"""),"")</f>
        <v/>
      </c>
    </row>
    <row r="186">
      <c r="A186" s="2">
        <f>IFERROR(__xludf.DUMMYFUNCTION("""COMPUTED_VALUE"""),43638.664520300925)</f>
        <v>43638.66452</v>
      </c>
      <c r="B186" s="1" t="str">
        <f>IFERROR(__xludf.DUMMYFUNCTION("""COMPUTED_VALUE"""),"Justin Becker")</f>
        <v>Justin Becker</v>
      </c>
      <c r="C18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6" s="1" t="str">
        <f>IFERROR(__xludf.DUMMYFUNCTION("""COMPUTED_VALUE"""),"BDA")</f>
        <v>BDA</v>
      </c>
      <c r="E186" s="1">
        <f>IFERROR(__xludf.DUMMYFUNCTION("""COMPUTED_VALUE"""),3.0)</f>
        <v>3</v>
      </c>
      <c r="F186" s="1" t="str">
        <f>IFERROR(__xludf.DUMMYFUNCTION("""COMPUTED_VALUE"""),"Rock, Metal, Pop")</f>
        <v>Rock, Metal, Pop</v>
      </c>
      <c r="G186" s="1" t="str">
        <f>IFERROR(__xludf.DUMMYFUNCTION("""COMPUTED_VALUE"""),"Peinture, Sculpture, Cinéma")</f>
        <v>Peinture, Sculpture, Cinéma</v>
      </c>
      <c r="H186" s="1" t="str">
        <f>IFERROR(__xludf.DUMMYFUNCTION("""COMPUTED_VALUE"""),"Quelques fois par semaine")</f>
        <v>Quelques fois par semaine</v>
      </c>
      <c r="I186" s="1" t="str">
        <f>IFERROR(__xludf.DUMMYFUNCTION("""COMPUTED_VALUE"""),"Le dimanche à 15h32 s'il fait beau")</f>
        <v>Le dimanche à 15h32 s'il fait beau</v>
      </c>
      <c r="J186" s="1" t="str">
        <f>IFERROR(__xludf.DUMMYFUNCTION("""COMPUTED_VALUE"""),"Pour les autres")</f>
        <v>Pour les autres</v>
      </c>
      <c r="K186" s="1" t="str">
        <f>IFERROR(__xludf.DUMMYFUNCTION("""COMPUTED_VALUE"""),"Autre")</f>
        <v>Autre</v>
      </c>
      <c r="L186" s="1" t="str">
        <f>IFERROR(__xludf.DUMMYFUNCTION("""COMPUTED_VALUE"""),"Je fais toujours attention à bien manger")</f>
        <v>Je fais toujours attention à bien manger</v>
      </c>
      <c r="M186" s="1">
        <f>IFERROR(__xludf.DUMMYFUNCTION("""COMPUTED_VALUE"""),1.0)</f>
        <v>1</v>
      </c>
      <c r="N186" s="1" t="str">
        <f>IFERROR(__xludf.DUMMYFUNCTION("""COMPUTED_VALUE"""),"Une fois par semaine")</f>
        <v>Une fois par semaine</v>
      </c>
      <c r="O186" s="1" t="str">
        <f>IFERROR(__xludf.DUMMYFUNCTION("""COMPUTED_VALUE"""),"Tu te poses dans un coin, chill !!")</f>
        <v>Tu te poses dans un coin, chill !!</v>
      </c>
      <c r="P186" s="1">
        <f>IFERROR(__xludf.DUMMYFUNCTION("""COMPUTED_VALUE"""),1.0)</f>
        <v>1</v>
      </c>
      <c r="Q186" s="1" t="str">
        <f>IFERROR(__xludf.DUMMYFUNCTION("""COMPUTED_VALUE"""),"Non")</f>
        <v>Non</v>
      </c>
      <c r="R186" s="1" t="str">
        <f>IFERROR(__xludf.DUMMYFUNCTION("""COMPUTED_VALUE"""),"Non")</f>
        <v>Non</v>
      </c>
      <c r="S186" s="1" t="str">
        <f>IFERROR(__xludf.DUMMYFUNCTION("""COMPUTED_VALUE"""),"PB - Nuage")</f>
        <v>PB - Nuage</v>
      </c>
      <c r="T186" s="1" t="str">
        <f>IFERROR(__xludf.DUMMYFUNCTION("""COMPUTED_VALUE"""),"Porte clé")</f>
        <v>Porte clé</v>
      </c>
      <c r="U186" t="str">
        <f>IFERROR(__xludf.DUMMYFUNCTION("""COMPUTED_VALUE"""),"")</f>
        <v/>
      </c>
      <c r="V186" t="str">
        <f>IFERROR(__xludf.DUMMYFUNCTION("""COMPUTED_VALUE"""),"")</f>
        <v/>
      </c>
      <c r="W186" t="str">
        <f>IFERROR(__xludf.DUMMYFUNCTION("""COMPUTED_VALUE"""),"")</f>
        <v/>
      </c>
      <c r="X186" t="str">
        <f>IFERROR(__xludf.DUMMYFUNCTION("""COMPUTED_VALUE"""),"")</f>
        <v/>
      </c>
      <c r="Y186" t="str">
        <f>IFERROR(__xludf.DUMMYFUNCTION("""COMPUTED_VALUE"""),"")</f>
        <v/>
      </c>
      <c r="Z186" t="str">
        <f>IFERROR(__xludf.DUMMYFUNCTION("""COMPUTED_VALUE"""),"")</f>
        <v/>
      </c>
      <c r="AA186" t="str">
        <f>IFERROR(__xludf.DUMMYFUNCTION("""COMPUTED_VALUE"""),"")</f>
        <v/>
      </c>
      <c r="AB186" t="str">
        <f>IFERROR(__xludf.DUMMYFUNCTION("""COMPUTED_VALUE"""),"")</f>
        <v/>
      </c>
    </row>
    <row r="187">
      <c r="A187" s="2">
        <f>IFERROR(__xludf.DUMMYFUNCTION("""COMPUTED_VALUE"""),43638.69283707176)</f>
        <v>43638.69284</v>
      </c>
      <c r="B187" s="1" t="str">
        <f>IFERROR(__xludf.DUMMYFUNCTION("""COMPUTED_VALUE"""),"Pierre-Jean POLLOT")</f>
        <v>Pierre-Jean POLLOT</v>
      </c>
      <c r="C187" s="1" t="str">
        <f>IFERROR(__xludf.DUMMYFUNCTION("""COMPUTED_VALUE"""),"Deux inconnus")</f>
        <v>Deux inconnus</v>
      </c>
      <c r="D187" s="1" t="str">
        <f>IFERROR(__xludf.DUMMYFUNCTION("""COMPUTED_VALUE"""),"BDA")</f>
        <v>BDA</v>
      </c>
      <c r="E187" s="1">
        <f>IFERROR(__xludf.DUMMYFUNCTION("""COMPUTED_VALUE"""),3.0)</f>
        <v>3</v>
      </c>
      <c r="F187" s="1" t="str">
        <f>IFERROR(__xludf.DUMMYFUNCTION("""COMPUTED_VALUE"""),"Electro posée, Rap, Pop, Musique fançaise, Musique classique")</f>
        <v>Electro posée, Rap, Pop, Musique fançaise, Musique classique</v>
      </c>
      <c r="G187" s="1" t="str">
        <f>IFERROR(__xludf.DUMMYFUNCTION("""COMPUTED_VALUE"""),"Danse, Musique, Théâtre, Graphisme, Autre")</f>
        <v>Danse, Musique, Théâtre, Graphisme, Autre</v>
      </c>
      <c r="H187" s="1" t="str">
        <f>IFERROR(__xludf.DUMMYFUNCTION("""COMPUTED_VALUE"""),"Seulement les soirs de pleine lune")</f>
        <v>Seulement les soirs de pleine lune</v>
      </c>
      <c r="I187" s="1" t="str">
        <f>IFERROR(__xludf.DUMMYFUNCTION("""COMPUTED_VALUE"""),"Une fois par jour")</f>
        <v>Une fois par jour</v>
      </c>
      <c r="J187" s="1" t="str">
        <f>IFERROR(__xludf.DUMMYFUNCTION("""COMPUTED_VALUE"""),"Pour le développement perso et se dépasser")</f>
        <v>Pour le développement perso et se dépasser</v>
      </c>
      <c r="K187" s="1" t="str">
        <f>IFERROR(__xludf.DUMMYFUNCTION("""COMPUTED_VALUE"""),"Autre")</f>
        <v>Autre</v>
      </c>
      <c r="L187" s="1" t="str">
        <f>IFERROR(__xludf.DUMMYFUNCTION("""COMPUTED_VALUE"""),"Je fais toujours attention à bien manger")</f>
        <v>Je fais toujours attention à bien manger</v>
      </c>
      <c r="M187" s="1">
        <f>IFERROR(__xludf.DUMMYFUNCTION("""COMPUTED_VALUE"""),8.0)</f>
        <v>8</v>
      </c>
      <c r="N187" s="1" t="str">
        <f>IFERROR(__xludf.DUMMYFUNCTION("""COMPUTED_VALUE"""),"Une fois par semaine")</f>
        <v>Une fois par semaine</v>
      </c>
      <c r="O187" s="1" t="str">
        <f>IFERROR(__xludf.DUMMYFUNCTION("""COMPUTED_VALUE"""),"Tu te poses dans un coin, chill !!")</f>
        <v>Tu te poses dans un coin, chill !!</v>
      </c>
      <c r="P187" s="1">
        <f>IFERROR(__xludf.DUMMYFUNCTION("""COMPUTED_VALUE"""),2.0)</f>
        <v>2</v>
      </c>
      <c r="Q187" s="1" t="str">
        <f>IFERROR(__xludf.DUMMYFUNCTION("""COMPUTED_VALUE"""),"Oui")</f>
        <v>Oui</v>
      </c>
      <c r="R187" s="1" t="str">
        <f>IFERROR(__xludf.DUMMYFUNCTION("""COMPUTED_VALUE"""),"Non")</f>
        <v>Non</v>
      </c>
      <c r="S187" s="1" t="str">
        <f>IFERROR(__xludf.DUMMYFUNCTION("""COMPUTED_VALUE"""),"Les coulisses")</f>
        <v>Les coulisses</v>
      </c>
      <c r="T187" s="1" t="str">
        <f>IFERROR(__xludf.DUMMYFUNCTION("""COMPUTED_VALUE"""),"Un noeud papillon")</f>
        <v>Un noeud papillon</v>
      </c>
      <c r="U187" t="str">
        <f>IFERROR(__xludf.DUMMYFUNCTION("""COMPUTED_VALUE"""),"")</f>
        <v/>
      </c>
      <c r="V187" t="str">
        <f>IFERROR(__xludf.DUMMYFUNCTION("""COMPUTED_VALUE"""),"")</f>
        <v/>
      </c>
      <c r="W187" t="str">
        <f>IFERROR(__xludf.DUMMYFUNCTION("""COMPUTED_VALUE"""),"")</f>
        <v/>
      </c>
      <c r="X187" t="str">
        <f>IFERROR(__xludf.DUMMYFUNCTION("""COMPUTED_VALUE"""),"")</f>
        <v/>
      </c>
      <c r="Y187" t="str">
        <f>IFERROR(__xludf.DUMMYFUNCTION("""COMPUTED_VALUE"""),"")</f>
        <v/>
      </c>
      <c r="Z187" t="str">
        <f>IFERROR(__xludf.DUMMYFUNCTION("""COMPUTED_VALUE"""),"")</f>
        <v/>
      </c>
      <c r="AA187" t="str">
        <f>IFERROR(__xludf.DUMMYFUNCTION("""COMPUTED_VALUE"""),"")</f>
        <v/>
      </c>
      <c r="AB187" t="str">
        <f>IFERROR(__xludf.DUMMYFUNCTION("""COMPUTED_VALUE"""),"")</f>
        <v/>
      </c>
    </row>
    <row r="188">
      <c r="A188" s="2">
        <f>IFERROR(__xludf.DUMMYFUNCTION("""COMPUTED_VALUE"""),43638.72003673611)</f>
        <v>43638.72004</v>
      </c>
      <c r="B188" s="1" t="str">
        <f>IFERROR(__xludf.DUMMYFUNCTION("""COMPUTED_VALUE"""),"Judith LOUIS-ALEXANDRE")</f>
        <v>Judith LOUIS-ALEXANDRE</v>
      </c>
      <c r="C188" s="1" t="str">
        <f>IFERROR(__xludf.DUMMYFUNCTION("""COMPUTED_VALUE"""),"Le président et un inconnu")</f>
        <v>Le président et un inconnu</v>
      </c>
      <c r="D188" s="1" t="str">
        <f>IFERROR(__xludf.DUMMYFUNCTION("""COMPUTED_VALUE"""),"BDE")</f>
        <v>BDE</v>
      </c>
      <c r="E188" s="1">
        <f>IFERROR(__xludf.DUMMYFUNCTION("""COMPUTED_VALUE"""),3.0)</f>
        <v>3</v>
      </c>
      <c r="F188" s="1" t="str">
        <f>IFERROR(__xludf.DUMMYFUNCTION("""COMPUTED_VALUE"""),"Rock, Electro posée, Rap, Pop, Musique fançaise, Musique classique")</f>
        <v>Rock, Electro posée, Rap, Pop, Musique fançaise, Musique classique</v>
      </c>
      <c r="G188" s="1" t="str">
        <f>IFERROR(__xludf.DUMMYFUNCTION("""COMPUTED_VALUE"""),"Danse, Musique")</f>
        <v>Danse, Musique</v>
      </c>
      <c r="H188" s="1" t="str">
        <f>IFERROR(__xludf.DUMMYFUNCTION("""COMPUTED_VALUE"""),"Seulement les soirs de pleine lune")</f>
        <v>Seulement les soirs de pleine lune</v>
      </c>
      <c r="I188" s="1" t="str">
        <f>IFERROR(__xludf.DUMMYFUNCTION("""COMPUTED_VALUE"""),"Une fois par semaine")</f>
        <v>Une fois par semaine</v>
      </c>
      <c r="J188" s="1" t="str">
        <f>IFERROR(__xludf.DUMMYFUNCTION("""COMPUTED_VALUE"""),"Pour le fun")</f>
        <v>Pour le fun</v>
      </c>
      <c r="K188" s="1" t="str">
        <f>IFERROR(__xludf.DUMMYFUNCTION("""COMPUTED_VALUE"""),"Sports collectifs")</f>
        <v>Sports collectifs</v>
      </c>
      <c r="L188" s="1" t="str">
        <f>IFERROR(__xludf.DUMMYFUNCTION("""COMPUTED_VALUE"""),"Alterner entre grec et coquillettes ça compte ?")</f>
        <v>Alterner entre grec et coquillettes ça compte ?</v>
      </c>
      <c r="M188" s="1">
        <f>IFERROR(__xludf.DUMMYFUNCTION("""COMPUTED_VALUE"""),7.0)</f>
        <v>7</v>
      </c>
      <c r="N188" s="1" t="str">
        <f>IFERROR(__xludf.DUMMYFUNCTION("""COMPUTED_VALUE"""),"Plusieurs fois par semaine")</f>
        <v>Plusieurs fois par semaine</v>
      </c>
      <c r="O188" s="1" t="str">
        <f>IFERROR(__xludf.DUMMYFUNCTION("""COMPUTED_VALUE"""),"T'enflammes le dancefloor")</f>
        <v>T'enflammes le dancefloor</v>
      </c>
      <c r="P188" s="1">
        <f>IFERROR(__xludf.DUMMYFUNCTION("""COMPUTED_VALUE"""),2.0)</f>
        <v>2</v>
      </c>
      <c r="Q188" s="1" t="str">
        <f>IFERROR(__xludf.DUMMYFUNCTION("""COMPUTED_VALUE"""),"Non")</f>
        <v>Non</v>
      </c>
      <c r="R188" s="1" t="str">
        <f>IFERROR(__xludf.DUMMYFUNCTION("""COMPUTED_VALUE"""),"Non")</f>
        <v>Non</v>
      </c>
      <c r="S188" s="1" t="str">
        <f>IFERROR(__xludf.DUMMYFUNCTION("""COMPUTED_VALUE"""),"Summerf'aigle")</f>
        <v>Summerf'aigle</v>
      </c>
      <c r="T188" s="1" t="str">
        <f>IFERROR(__xludf.DUMMYFUNCTION("""COMPUTED_VALUE"""),".")</f>
        <v>.</v>
      </c>
      <c r="U188" t="str">
        <f>IFERROR(__xludf.DUMMYFUNCTION("""COMPUTED_VALUE"""),"")</f>
        <v/>
      </c>
      <c r="V188" t="str">
        <f>IFERROR(__xludf.DUMMYFUNCTION("""COMPUTED_VALUE"""),"")</f>
        <v/>
      </c>
      <c r="W188" t="str">
        <f>IFERROR(__xludf.DUMMYFUNCTION("""COMPUTED_VALUE"""),"")</f>
        <v/>
      </c>
      <c r="X188" t="str">
        <f>IFERROR(__xludf.DUMMYFUNCTION("""COMPUTED_VALUE"""),"")</f>
        <v/>
      </c>
      <c r="Y188" t="str">
        <f>IFERROR(__xludf.DUMMYFUNCTION("""COMPUTED_VALUE"""),"")</f>
        <v/>
      </c>
      <c r="Z188" t="str">
        <f>IFERROR(__xludf.DUMMYFUNCTION("""COMPUTED_VALUE"""),"")</f>
        <v/>
      </c>
      <c r="AA188" t="str">
        <f>IFERROR(__xludf.DUMMYFUNCTION("""COMPUTED_VALUE"""),"")</f>
        <v/>
      </c>
      <c r="AB188" t="str">
        <f>IFERROR(__xludf.DUMMYFUNCTION("""COMPUTED_VALUE"""),"")</f>
        <v/>
      </c>
    </row>
    <row r="189">
      <c r="A189" s="2">
        <f>IFERROR(__xludf.DUMMYFUNCTION("""COMPUTED_VALUE"""),43638.816961793986)</f>
        <v>43638.81696</v>
      </c>
      <c r="B189" s="1" t="str">
        <f>IFERROR(__xludf.DUMMYFUNCTION("""COMPUTED_VALUE"""),"Alexandre MERASLI")</f>
        <v>Alexandre MERASLI</v>
      </c>
      <c r="C18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89" s="1" t="str">
        <f>IFERROR(__xludf.DUMMYFUNCTION("""COMPUTED_VALUE"""),"BDA")</f>
        <v>BDA</v>
      </c>
      <c r="E189" s="1">
        <f>IFERROR(__xludf.DUMMYFUNCTION("""COMPUTED_VALUE"""),4.0)</f>
        <v>4</v>
      </c>
      <c r="F189" s="1" t="str">
        <f>IFERROR(__xludf.DUMMYFUNCTION("""COMPUTED_VALUE"""),"Rock, Metal, Electro posée, Pop, Musique classique")</f>
        <v>Rock, Metal, Electro posée, Pop, Musique classique</v>
      </c>
      <c r="G189" s="1" t="str">
        <f>IFERROR(__xludf.DUMMYFUNCTION("""COMPUTED_VALUE"""),"Musique, Cinéma")</f>
        <v>Musique, Cinéma</v>
      </c>
      <c r="H189" s="1" t="str">
        <f>IFERROR(__xludf.DUMMYFUNCTION("""COMPUTED_VALUE"""),"Une fois de temps en temps")</f>
        <v>Une fois de temps en temps</v>
      </c>
      <c r="I189" s="1" t="str">
        <f>IFERROR(__xludf.DUMMYFUNCTION("""COMPUTED_VALUE"""),"Une fois par jour")</f>
        <v>Une fois par jour</v>
      </c>
      <c r="J189" s="1" t="str">
        <f>IFERROR(__xludf.DUMMYFUNCTION("""COMPUTED_VALUE"""),"Pour le fun")</f>
        <v>Pour le fun</v>
      </c>
      <c r="K189" s="1" t="str">
        <f>IFERROR(__xludf.DUMMYFUNCTION("""COMPUTED_VALUE"""),"Sports collectifs, Sports de raquette")</f>
        <v>Sports collectifs, Sports de raquette</v>
      </c>
      <c r="L189" s="1" t="str">
        <f>IFERROR(__xludf.DUMMYFUNCTION("""COMPUTED_VALUE"""),"Alterner entre grec et coquillettes ça compte ?")</f>
        <v>Alterner entre grec et coquillettes ça compte ?</v>
      </c>
      <c r="M189" s="1">
        <f>IFERROR(__xludf.DUMMYFUNCTION("""COMPUTED_VALUE"""),2.0)</f>
        <v>2</v>
      </c>
      <c r="N189" s="1" t="str">
        <f>IFERROR(__xludf.DUMMYFUNCTION("""COMPUTED_VALUE"""),"Une fois par mois")</f>
        <v>Une fois par mois</v>
      </c>
      <c r="O189" s="1" t="str">
        <f>IFERROR(__xludf.DUMMYFUNCTION("""COMPUTED_VALUE"""),"Tu te poses dans un coin, chill !!")</f>
        <v>Tu te poses dans un coin, chill !!</v>
      </c>
      <c r="P189" s="1">
        <f>IFERROR(__xludf.DUMMYFUNCTION("""COMPUTED_VALUE"""),1.0)</f>
        <v>1</v>
      </c>
      <c r="Q189" s="1" t="str">
        <f>IFERROR(__xludf.DUMMYFUNCTION("""COMPUTED_VALUE"""),"Oui")</f>
        <v>Oui</v>
      </c>
      <c r="R189" s="1" t="str">
        <f>IFERROR(__xludf.DUMMYFUNCTION("""COMPUTED_VALUE"""),"Non")</f>
        <v>Non</v>
      </c>
      <c r="S189" s="1" t="str">
        <f>IFERROR(__xludf.DUMMYFUNCTION("""COMPUTED_VALUE"""),"Bastion")</f>
        <v>Bastion</v>
      </c>
      <c r="T189" s="1" t="str">
        <f>IFERROR(__xludf.DUMMYFUNCTION("""COMPUTED_VALUE"""),"Une balle de ping pong")</f>
        <v>Une balle de ping pong</v>
      </c>
      <c r="U189" t="str">
        <f>IFERROR(__xludf.DUMMYFUNCTION("""COMPUTED_VALUE"""),"")</f>
        <v/>
      </c>
      <c r="V189" t="str">
        <f>IFERROR(__xludf.DUMMYFUNCTION("""COMPUTED_VALUE"""),"")</f>
        <v/>
      </c>
      <c r="W189" t="str">
        <f>IFERROR(__xludf.DUMMYFUNCTION("""COMPUTED_VALUE"""),"")</f>
        <v/>
      </c>
      <c r="X189" t="str">
        <f>IFERROR(__xludf.DUMMYFUNCTION("""COMPUTED_VALUE"""),"")</f>
        <v/>
      </c>
      <c r="Y189" t="str">
        <f>IFERROR(__xludf.DUMMYFUNCTION("""COMPUTED_VALUE"""),"")</f>
        <v/>
      </c>
      <c r="Z189" t="str">
        <f>IFERROR(__xludf.DUMMYFUNCTION("""COMPUTED_VALUE"""),"")</f>
        <v/>
      </c>
      <c r="AA189" t="str">
        <f>IFERROR(__xludf.DUMMYFUNCTION("""COMPUTED_VALUE"""),"")</f>
        <v/>
      </c>
      <c r="AB189" t="str">
        <f>IFERROR(__xludf.DUMMYFUNCTION("""COMPUTED_VALUE"""),"")</f>
        <v/>
      </c>
    </row>
    <row r="190">
      <c r="A190" s="2">
        <f>IFERROR(__xludf.DUMMYFUNCTION("""COMPUTED_VALUE"""),43638.83243953704)</f>
        <v>43638.83244</v>
      </c>
      <c r="B190" s="1" t="str">
        <f>IFERROR(__xludf.DUMMYFUNCTION("""COMPUTED_VALUE"""),"Charlotte BEAUNE")</f>
        <v>Charlotte BEAUNE</v>
      </c>
      <c r="C19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0" s="1" t="str">
        <f>IFERROR(__xludf.DUMMYFUNCTION("""COMPUTED_VALUE"""),"BDE")</f>
        <v>BDE</v>
      </c>
      <c r="E190" s="1">
        <f>IFERROR(__xludf.DUMMYFUNCTION("""COMPUTED_VALUE"""),5.0)</f>
        <v>5</v>
      </c>
      <c r="F190" s="1" t="str">
        <f>IFERROR(__xludf.DUMMYFUNCTION("""COMPUTED_VALUE"""),"Rock, Electro posée, Rap, Pop, Musique fançaise, Jazz, Musique classique")</f>
        <v>Rock, Electro posée, Rap, Pop, Musique fançaise, Jazz, Musique classique</v>
      </c>
      <c r="G190" s="1" t="str">
        <f>IFERROR(__xludf.DUMMYFUNCTION("""COMPUTED_VALUE"""),"Danse, Musique, Cinéma, Graphisme")</f>
        <v>Danse, Musique, Cinéma, Graphisme</v>
      </c>
      <c r="H190" s="1" t="str">
        <f>IFERROR(__xludf.DUMMYFUNCTION("""COMPUTED_VALUE"""),"Une fois de temps en temps")</f>
        <v>Une fois de temps en temps</v>
      </c>
      <c r="I190" s="1" t="str">
        <f>IFERROR(__xludf.DUMMYFUNCTION("""COMPUTED_VALUE"""),"Plusieurs fois par semaine")</f>
        <v>Plusieurs fois par semaine</v>
      </c>
      <c r="J190" s="1" t="str">
        <f>IFERROR(__xludf.DUMMYFUNCTION("""COMPUTED_VALUE"""),"Pour le fun")</f>
        <v>Pour le fun</v>
      </c>
      <c r="K190" s="1" t="str">
        <f>IFERROR(__xludf.DUMMYFUNCTION("""COMPUTED_VALUE"""),"Sports collectifs")</f>
        <v>Sports collectifs</v>
      </c>
      <c r="L190" s="1" t="str">
        <f>IFERROR(__xludf.DUMMYFUNCTION("""COMPUTED_VALUE"""),"J'aime cuisiner le WE ou quand j'ai le temps")</f>
        <v>J'aime cuisiner le WE ou quand j'ai le temps</v>
      </c>
      <c r="M190" s="1">
        <f>IFERROR(__xludf.DUMMYFUNCTION("""COMPUTED_VALUE"""),8.0)</f>
        <v>8</v>
      </c>
      <c r="N190" s="1" t="str">
        <f>IFERROR(__xludf.DUMMYFUNCTION("""COMPUTED_VALUE"""),"Plusieurs fois par semaine")</f>
        <v>Plusieurs fois par semaine</v>
      </c>
      <c r="O190" s="1" t="str">
        <f>IFERROR(__xludf.DUMMYFUNCTION("""COMPUTED_VALUE"""),"T'enflammes le dancefloor")</f>
        <v>T'enflammes le dancefloor</v>
      </c>
      <c r="P190" s="1">
        <f>IFERROR(__xludf.DUMMYFUNCTION("""COMPUTED_VALUE"""),3.0)</f>
        <v>3</v>
      </c>
      <c r="Q190" s="1" t="str">
        <f>IFERROR(__xludf.DUMMYFUNCTION("""COMPUTED_VALUE"""),"Oui")</f>
        <v>Oui</v>
      </c>
      <c r="R190" s="1" t="str">
        <f>IFERROR(__xludf.DUMMYFUNCTION("""COMPUTED_VALUE"""),"Non")</f>
        <v>Non</v>
      </c>
      <c r="S190" s="1" t="str">
        <f>IFERROR(__xludf.DUMMYFUNCTION("""COMPUTED_VALUE"""),"Le Squat")</f>
        <v>Le Squat</v>
      </c>
      <c r="T190" s="1" t="str">
        <f>IFERROR(__xludf.DUMMYFUNCTION("""COMPUTED_VALUE"""),"Mon attelle de genou flingué")</f>
        <v>Mon attelle de genou flingué</v>
      </c>
      <c r="U190" t="str">
        <f>IFERROR(__xludf.DUMMYFUNCTION("""COMPUTED_VALUE"""),"")</f>
        <v/>
      </c>
      <c r="V190" t="str">
        <f>IFERROR(__xludf.DUMMYFUNCTION("""COMPUTED_VALUE"""),"")</f>
        <v/>
      </c>
      <c r="W190" t="str">
        <f>IFERROR(__xludf.DUMMYFUNCTION("""COMPUTED_VALUE"""),"")</f>
        <v/>
      </c>
      <c r="X190" t="str">
        <f>IFERROR(__xludf.DUMMYFUNCTION("""COMPUTED_VALUE"""),"")</f>
        <v/>
      </c>
      <c r="Y190" t="str">
        <f>IFERROR(__xludf.DUMMYFUNCTION("""COMPUTED_VALUE"""),"")</f>
        <v/>
      </c>
      <c r="Z190" t="str">
        <f>IFERROR(__xludf.DUMMYFUNCTION("""COMPUTED_VALUE"""),"")</f>
        <v/>
      </c>
      <c r="AA190" t="str">
        <f>IFERROR(__xludf.DUMMYFUNCTION("""COMPUTED_VALUE"""),"")</f>
        <v/>
      </c>
      <c r="AB190" t="str">
        <f>IFERROR(__xludf.DUMMYFUNCTION("""COMPUTED_VALUE"""),"")</f>
        <v/>
      </c>
    </row>
    <row r="191">
      <c r="A191" s="2">
        <f>IFERROR(__xludf.DUMMYFUNCTION("""COMPUTED_VALUE"""),43638.83334641204)</f>
        <v>43638.83335</v>
      </c>
      <c r="B191" s="1" t="str">
        <f>IFERROR(__xludf.DUMMYFUNCTION("""COMPUTED_VALUE"""),"Helena Delmotte")</f>
        <v>Helena Delmotte</v>
      </c>
      <c r="C191" s="1" t="str">
        <f>IFERROR(__xludf.DUMMYFUNCTION("""COMPUTED_VALUE"""),"Deux inconnus")</f>
        <v>Deux inconnus</v>
      </c>
      <c r="D191" s="1" t="str">
        <f>IFERROR(__xludf.DUMMYFUNCTION("""COMPUTED_VALUE"""),"BDE")</f>
        <v>BDE</v>
      </c>
      <c r="E191" s="1">
        <f>IFERROR(__xludf.DUMMYFUNCTION("""COMPUTED_VALUE"""),5.0)</f>
        <v>5</v>
      </c>
      <c r="F191" s="1" t="str">
        <f>IFERROR(__xludf.DUMMYFUNCTION("""COMPUTED_VALUE"""),"Rock, Electro posée, Rap, Pop, Musique fançaise, Jazz, Musique classique")</f>
        <v>Rock, Electro posée, Rap, Pop, Musique fançaise, Jazz, Musique classique</v>
      </c>
      <c r="G191" s="1" t="str">
        <f>IFERROR(__xludf.DUMMYFUNCTION("""COMPUTED_VALUE"""),"Littérature, Danse, Musique, Théâtre")</f>
        <v>Littérature, Danse, Musique, Théâtre</v>
      </c>
      <c r="H191" s="1" t="str">
        <f>IFERROR(__xludf.DUMMYFUNCTION("""COMPUTED_VALUE"""),"Une fois de temps en temps")</f>
        <v>Une fois de temps en temps</v>
      </c>
      <c r="I191" s="1" t="str">
        <f>IFERROR(__xludf.DUMMYFUNCTION("""COMPUTED_VALUE"""),"Le dimanche à 15h32 s'il fait beau")</f>
        <v>Le dimanche à 15h32 s'il fait beau</v>
      </c>
      <c r="J191" s="1" t="str">
        <f>IFERROR(__xludf.DUMMYFUNCTION("""COMPUTED_VALUE"""),"Pour le fun")</f>
        <v>Pour le fun</v>
      </c>
      <c r="K191" s="1" t="str">
        <f>IFERROR(__xludf.DUMMYFUNCTION("""COMPUTED_VALUE"""),"Pas de sport")</f>
        <v>Pas de sport</v>
      </c>
      <c r="L191" s="1" t="str">
        <f>IFERROR(__xludf.DUMMYFUNCTION("""COMPUTED_VALUE"""),"J'aime cuisiner le WE ou quand j'ai le temps")</f>
        <v>J'aime cuisiner le WE ou quand j'ai le temps</v>
      </c>
      <c r="M191" s="1">
        <f>IFERROR(__xludf.DUMMYFUNCTION("""COMPUTED_VALUE"""),8.0)</f>
        <v>8</v>
      </c>
      <c r="N191" s="1" t="str">
        <f>IFERROR(__xludf.DUMMYFUNCTION("""COMPUTED_VALUE"""),"Plusieurs fois par semaine")</f>
        <v>Plusieurs fois par semaine</v>
      </c>
      <c r="O191" s="1" t="str">
        <f>IFERROR(__xludf.DUMMYFUNCTION("""COMPUTED_VALUE"""),"T'enflammes le dancefloor")</f>
        <v>T'enflammes le dancefloor</v>
      </c>
      <c r="P191" s="1">
        <f>IFERROR(__xludf.DUMMYFUNCTION("""COMPUTED_VALUE"""),1.0)</f>
        <v>1</v>
      </c>
      <c r="Q191" s="1" t="str">
        <f>IFERROR(__xludf.DUMMYFUNCTION("""COMPUTED_VALUE"""),"Oui")</f>
        <v>Oui</v>
      </c>
      <c r="R191" s="1" t="str">
        <f>IFERROR(__xludf.DUMMYFUNCTION("""COMPUTED_VALUE"""),"Non")</f>
        <v>Non</v>
      </c>
      <c r="S191" s="1" t="str">
        <f>IFERROR(__xludf.DUMMYFUNCTION("""COMPUTED_VALUE"""),"Le Squat")</f>
        <v>Le Squat</v>
      </c>
      <c r="T191" s="1" t="str">
        <f>IFERROR(__xludf.DUMMYFUNCTION("""COMPUTED_VALUE"""),"Une affiche de la COMU")</f>
        <v>Une affiche de la COMU</v>
      </c>
      <c r="U191" t="str">
        <f>IFERROR(__xludf.DUMMYFUNCTION("""COMPUTED_VALUE"""),"")</f>
        <v/>
      </c>
      <c r="V191" t="str">
        <f>IFERROR(__xludf.DUMMYFUNCTION("""COMPUTED_VALUE"""),"")</f>
        <v/>
      </c>
      <c r="W191" t="str">
        <f>IFERROR(__xludf.DUMMYFUNCTION("""COMPUTED_VALUE"""),"")</f>
        <v/>
      </c>
      <c r="X191" t="str">
        <f>IFERROR(__xludf.DUMMYFUNCTION("""COMPUTED_VALUE"""),"")</f>
        <v/>
      </c>
      <c r="Y191" t="str">
        <f>IFERROR(__xludf.DUMMYFUNCTION("""COMPUTED_VALUE"""),"")</f>
        <v/>
      </c>
      <c r="Z191" t="str">
        <f>IFERROR(__xludf.DUMMYFUNCTION("""COMPUTED_VALUE"""),"")</f>
        <v/>
      </c>
      <c r="AA191" t="str">
        <f>IFERROR(__xludf.DUMMYFUNCTION("""COMPUTED_VALUE"""),"")</f>
        <v/>
      </c>
      <c r="AB191" t="str">
        <f>IFERROR(__xludf.DUMMYFUNCTION("""COMPUTED_VALUE"""),"")</f>
        <v/>
      </c>
    </row>
    <row r="192">
      <c r="A192" s="2">
        <f>IFERROR(__xludf.DUMMYFUNCTION("""COMPUTED_VALUE"""),43638.852486979165)</f>
        <v>43638.85249</v>
      </c>
      <c r="B192" s="1" t="str">
        <f>IFERROR(__xludf.DUMMYFUNCTION("""COMPUTED_VALUE"""),"Anis KHEZNADJI")</f>
        <v>Anis KHEZNADJI</v>
      </c>
      <c r="C19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2" s="1" t="str">
        <f>IFERROR(__xludf.DUMMYFUNCTION("""COMPUTED_VALUE"""),"BDE")</f>
        <v>BDE</v>
      </c>
      <c r="E192" s="1">
        <f>IFERROR(__xludf.DUMMYFUNCTION("""COMPUTED_VALUE"""),5.0)</f>
        <v>5</v>
      </c>
      <c r="F192" s="1" t="str">
        <f>IFERROR(__xludf.DUMMYFUNCTION("""COMPUTED_VALUE"""),"Rap")</f>
        <v>Rap</v>
      </c>
      <c r="G192" s="1" t="str">
        <f>IFERROR(__xludf.DUMMYFUNCTION("""COMPUTED_VALUE"""),"Musique")</f>
        <v>Musique</v>
      </c>
      <c r="H192" s="1" t="str">
        <f>IFERROR(__xludf.DUMMYFUNCTION("""COMPUTED_VALUE"""),"Une fois de temps en temps")</f>
        <v>Une fois de temps en temps</v>
      </c>
      <c r="I192" s="1" t="str">
        <f>IFERROR(__xludf.DUMMYFUNCTION("""COMPUTED_VALUE"""),"Une fois par semaine")</f>
        <v>Une fois par semaine</v>
      </c>
      <c r="J192" s="1" t="str">
        <f>IFERROR(__xludf.DUMMYFUNCTION("""COMPUTED_VALUE"""),"Pour le fun")</f>
        <v>Pour le fun</v>
      </c>
      <c r="K192" s="1" t="str">
        <f>IFERROR(__xludf.DUMMYFUNCTION("""COMPUTED_VALUE"""),"Pas de sport, Sports aquatiques")</f>
        <v>Pas de sport, Sports aquatiques</v>
      </c>
      <c r="L192" s="1" t="str">
        <f>IFERROR(__xludf.DUMMYFUNCTION("""COMPUTED_VALUE"""),"Oh oui, et les trucs bien gras ça me connait !")</f>
        <v>Oh oui, et les trucs bien gras ça me connait !</v>
      </c>
      <c r="M192" s="1">
        <f>IFERROR(__xludf.DUMMYFUNCTION("""COMPUTED_VALUE"""),2.0)</f>
        <v>2</v>
      </c>
      <c r="N192" s="1" t="str">
        <f>IFERROR(__xludf.DUMMYFUNCTION("""COMPUTED_VALUE"""),"Plusieurs fois par semaine")</f>
        <v>Plusieurs fois par semaine</v>
      </c>
      <c r="O192" s="1" t="str">
        <f>IFERROR(__xludf.DUMMYFUNCTION("""COMPUTED_VALUE"""),"Tu te poses dans un coin, chill !!")</f>
        <v>Tu te poses dans un coin, chill !!</v>
      </c>
      <c r="P192" s="1">
        <f>IFERROR(__xludf.DUMMYFUNCTION("""COMPUTED_VALUE"""),1.0)</f>
        <v>1</v>
      </c>
      <c r="Q192" s="1" t="str">
        <f>IFERROR(__xludf.DUMMYFUNCTION("""COMPUTED_VALUE"""),"Oui")</f>
        <v>Oui</v>
      </c>
      <c r="R192" s="1" t="str">
        <f>IFERROR(__xludf.DUMMYFUNCTION("""COMPUTED_VALUE"""),"Non")</f>
        <v>Non</v>
      </c>
      <c r="S192" s="1" t="str">
        <f>IFERROR(__xludf.DUMMYFUNCTION("""COMPUTED_VALUE"""),"Le squat")</f>
        <v>Le squat</v>
      </c>
      <c r="T192" s="1" t="str">
        <f>IFERROR(__xludf.DUMMYFUNCTION("""COMPUTED_VALUE"""),"Un kebab")</f>
        <v>Un kebab</v>
      </c>
      <c r="U192" t="str">
        <f>IFERROR(__xludf.DUMMYFUNCTION("""COMPUTED_VALUE"""),"")</f>
        <v/>
      </c>
      <c r="V192" t="str">
        <f>IFERROR(__xludf.DUMMYFUNCTION("""COMPUTED_VALUE"""),"")</f>
        <v/>
      </c>
      <c r="W192" t="str">
        <f>IFERROR(__xludf.DUMMYFUNCTION("""COMPUTED_VALUE"""),"")</f>
        <v/>
      </c>
      <c r="X192" t="str">
        <f>IFERROR(__xludf.DUMMYFUNCTION("""COMPUTED_VALUE"""),"")</f>
        <v/>
      </c>
      <c r="Y192" t="str">
        <f>IFERROR(__xludf.DUMMYFUNCTION("""COMPUTED_VALUE"""),"")</f>
        <v/>
      </c>
      <c r="Z192" t="str">
        <f>IFERROR(__xludf.DUMMYFUNCTION("""COMPUTED_VALUE"""),"")</f>
        <v/>
      </c>
      <c r="AA192" t="str">
        <f>IFERROR(__xludf.DUMMYFUNCTION("""COMPUTED_VALUE"""),"")</f>
        <v/>
      </c>
      <c r="AB192" t="str">
        <f>IFERROR(__xludf.DUMMYFUNCTION("""COMPUTED_VALUE"""),"")</f>
        <v/>
      </c>
    </row>
    <row r="193">
      <c r="A193" s="2">
        <f>IFERROR(__xludf.DUMMYFUNCTION("""COMPUTED_VALUE"""),43638.90897480324)</f>
        <v>43638.90897</v>
      </c>
      <c r="B193" s="1" t="str">
        <f>IFERROR(__xludf.DUMMYFUNCTION("""COMPUTED_VALUE"""),"Marie COUPÉ")</f>
        <v>Marie COUPÉ</v>
      </c>
      <c r="C19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3" s="1" t="str">
        <f>IFERROR(__xludf.DUMMYFUNCTION("""COMPUTED_VALUE"""),"BDA")</f>
        <v>BDA</v>
      </c>
      <c r="E193" s="1">
        <f>IFERROR(__xludf.DUMMYFUNCTION("""COMPUTED_VALUE"""),3.0)</f>
        <v>3</v>
      </c>
      <c r="F193" s="1" t="str">
        <f>IFERROR(__xludf.DUMMYFUNCTION("""COMPUTED_VALUE"""),"Electro posée, Electro hard, Pop, Jazz")</f>
        <v>Electro posée, Electro hard, Pop, Jazz</v>
      </c>
      <c r="G193" s="1" t="str">
        <f>IFERROR(__xludf.DUMMYFUNCTION("""COMPUTED_VALUE"""),"Peinture")</f>
        <v>Peinture</v>
      </c>
      <c r="H193" s="1" t="str">
        <f>IFERROR(__xludf.DUMMYFUNCTION("""COMPUTED_VALUE"""),"Seulement les soirs de pleine lune")</f>
        <v>Seulement les soirs de pleine lune</v>
      </c>
      <c r="I193" s="1" t="str">
        <f>IFERROR(__xludf.DUMMYFUNCTION("""COMPUTED_VALUE"""),"Une fois par semaine")</f>
        <v>Une fois par semaine</v>
      </c>
      <c r="J193" s="1" t="str">
        <f>IFERROR(__xludf.DUMMYFUNCTION("""COMPUTED_VALUE"""),"Pour les autres")</f>
        <v>Pour les autres</v>
      </c>
      <c r="K193" s="1" t="str">
        <f>IFERROR(__xludf.DUMMYFUNCTION("""COMPUTED_VALUE"""),"Sports collectifs, Voile")</f>
        <v>Sports collectifs, Voile</v>
      </c>
      <c r="L193" s="1" t="str">
        <f>IFERROR(__xludf.DUMMYFUNCTION("""COMPUTED_VALUE"""),"J'aime cuisiner le WE ou quand j'ai le temps")</f>
        <v>J'aime cuisiner le WE ou quand j'ai le temps</v>
      </c>
      <c r="M193" s="1">
        <f>IFERROR(__xludf.DUMMYFUNCTION("""COMPUTED_VALUE"""),6.0)</f>
        <v>6</v>
      </c>
      <c r="N193" s="1" t="str">
        <f>IFERROR(__xludf.DUMMYFUNCTION("""COMPUTED_VALUE"""),"Une fois par semaine")</f>
        <v>Une fois par semaine</v>
      </c>
      <c r="O193" s="1" t="str">
        <f>IFERROR(__xludf.DUMMYFUNCTION("""COMPUTED_VALUE"""),"T'enflammes le dancefloor")</f>
        <v>T'enflammes le dancefloor</v>
      </c>
      <c r="P193" s="1">
        <f>IFERROR(__xludf.DUMMYFUNCTION("""COMPUTED_VALUE"""),1.0)</f>
        <v>1</v>
      </c>
      <c r="Q193" s="1" t="str">
        <f>IFERROR(__xludf.DUMMYFUNCTION("""COMPUTED_VALUE"""),"Oui")</f>
        <v>Oui</v>
      </c>
      <c r="R193" s="1" t="str">
        <f>IFERROR(__xludf.DUMMYFUNCTION("""COMPUTED_VALUE"""),"Oui")</f>
        <v>Oui</v>
      </c>
      <c r="S193" s="1" t="str">
        <f>IFERROR(__xludf.DUMMYFUNCTION("""COMPUTED_VALUE"""),"Barton")</f>
        <v>Barton</v>
      </c>
      <c r="T193" s="1" t="str">
        <f>IFERROR(__xludf.DUMMYFUNCTION("""COMPUTED_VALUE"""),"Une girafe en plastique")</f>
        <v>Une girafe en plastique</v>
      </c>
      <c r="U193" t="str">
        <f>IFERROR(__xludf.DUMMYFUNCTION("""COMPUTED_VALUE"""),"")</f>
        <v/>
      </c>
      <c r="V193" t="str">
        <f>IFERROR(__xludf.DUMMYFUNCTION("""COMPUTED_VALUE"""),"")</f>
        <v/>
      </c>
      <c r="W193" t="str">
        <f>IFERROR(__xludf.DUMMYFUNCTION("""COMPUTED_VALUE"""),"")</f>
        <v/>
      </c>
      <c r="X193" t="str">
        <f>IFERROR(__xludf.DUMMYFUNCTION("""COMPUTED_VALUE"""),"")</f>
        <v/>
      </c>
      <c r="Y193" t="str">
        <f>IFERROR(__xludf.DUMMYFUNCTION("""COMPUTED_VALUE"""),"")</f>
        <v/>
      </c>
      <c r="Z193" t="str">
        <f>IFERROR(__xludf.DUMMYFUNCTION("""COMPUTED_VALUE"""),"")</f>
        <v/>
      </c>
      <c r="AA193" t="str">
        <f>IFERROR(__xludf.DUMMYFUNCTION("""COMPUTED_VALUE"""),"")</f>
        <v/>
      </c>
      <c r="AB193" t="str">
        <f>IFERROR(__xludf.DUMMYFUNCTION("""COMPUTED_VALUE"""),"")</f>
        <v/>
      </c>
    </row>
    <row r="194">
      <c r="A194" s="2">
        <f>IFERROR(__xludf.DUMMYFUNCTION("""COMPUTED_VALUE"""),43638.95128836806)</f>
        <v>43638.95129</v>
      </c>
      <c r="B194" s="1" t="str">
        <f>IFERROR(__xludf.DUMMYFUNCTION("""COMPUTED_VALUE"""),"Geoffroy LECONTE")</f>
        <v>Geoffroy LECONTE</v>
      </c>
      <c r="C19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4" s="1" t="str">
        <f>IFERROR(__xludf.DUMMYFUNCTION("""COMPUTED_VALUE"""),"BDA")</f>
        <v>BDA</v>
      </c>
      <c r="E194" s="1">
        <f>IFERROR(__xludf.DUMMYFUNCTION("""COMPUTED_VALUE"""),3.0)</f>
        <v>3</v>
      </c>
      <c r="F194" s="1" t="str">
        <f>IFERROR(__xludf.DUMMYFUNCTION("""COMPUTED_VALUE"""),"Electro posée, Jazz, Musique classique")</f>
        <v>Electro posée, Jazz, Musique classique</v>
      </c>
      <c r="G194" s="1" t="str">
        <f>IFERROR(__xludf.DUMMYFUNCTION("""COMPUTED_VALUE"""),"Musique")</f>
        <v>Musique</v>
      </c>
      <c r="H194" s="1" t="str">
        <f>IFERROR(__xludf.DUMMYFUNCTION("""COMPUTED_VALUE"""),"Seulement les soirs de pleine lune")</f>
        <v>Seulement les soirs de pleine lune</v>
      </c>
      <c r="I194" s="1" t="str">
        <f>IFERROR(__xludf.DUMMYFUNCTION("""COMPUTED_VALUE"""),"Plusieurs fois par semaine")</f>
        <v>Plusieurs fois par semaine</v>
      </c>
      <c r="J194" s="1" t="str">
        <f>IFERROR(__xludf.DUMMYFUNCTION("""COMPUTED_VALUE"""),"Pour le fun")</f>
        <v>Pour le fun</v>
      </c>
      <c r="K194" s="1" t="str">
        <f>IFERROR(__xludf.DUMMYFUNCTION("""COMPUTED_VALUE"""),"Sports collectifs")</f>
        <v>Sports collectifs</v>
      </c>
      <c r="L194" s="1" t="str">
        <f>IFERROR(__xludf.DUMMYFUNCTION("""COMPUTED_VALUE"""),"Alterner entre grec et coquillettes ça compte ?")</f>
        <v>Alterner entre grec et coquillettes ça compte ?</v>
      </c>
      <c r="M194" s="1">
        <f>IFERROR(__xludf.DUMMYFUNCTION("""COMPUTED_VALUE"""),5.0)</f>
        <v>5</v>
      </c>
      <c r="N194" s="1" t="str">
        <f>IFERROR(__xludf.DUMMYFUNCTION("""COMPUTED_VALUE"""),"Une fois par mois")</f>
        <v>Une fois par mois</v>
      </c>
      <c r="O194" s="1" t="str">
        <f>IFERROR(__xludf.DUMMYFUNCTION("""COMPUTED_VALUE"""),"Tu te poses dans un coin, chill !!")</f>
        <v>Tu te poses dans un coin, chill !!</v>
      </c>
      <c r="P194" s="1">
        <f>IFERROR(__xludf.DUMMYFUNCTION("""COMPUTED_VALUE"""),1.0)</f>
        <v>1</v>
      </c>
      <c r="Q194" s="1" t="str">
        <f>IFERROR(__xludf.DUMMYFUNCTION("""COMPUTED_VALUE"""),"Oui")</f>
        <v>Oui</v>
      </c>
      <c r="R194" s="1" t="str">
        <f>IFERROR(__xludf.DUMMYFUNCTION("""COMPUTED_VALUE"""),"Non")</f>
        <v>Non</v>
      </c>
      <c r="S194" s="1" t="str">
        <f>IFERROR(__xludf.DUMMYFUNCTION("""COMPUTED_VALUE"""),"Bart'on")</f>
        <v>Bart'on</v>
      </c>
      <c r="T194" s="1" t="str">
        <f>IFERROR(__xludf.DUMMYFUNCTION("""COMPUTED_VALUE"""),"Pas encore décidé")</f>
        <v>Pas encore décidé</v>
      </c>
      <c r="U194" t="str">
        <f>IFERROR(__xludf.DUMMYFUNCTION("""COMPUTED_VALUE"""),"")</f>
        <v/>
      </c>
      <c r="V194" t="str">
        <f>IFERROR(__xludf.DUMMYFUNCTION("""COMPUTED_VALUE"""),"")</f>
        <v/>
      </c>
      <c r="W194" t="str">
        <f>IFERROR(__xludf.DUMMYFUNCTION("""COMPUTED_VALUE"""),"")</f>
        <v/>
      </c>
      <c r="X194" t="str">
        <f>IFERROR(__xludf.DUMMYFUNCTION("""COMPUTED_VALUE"""),"")</f>
        <v/>
      </c>
      <c r="Y194" t="str">
        <f>IFERROR(__xludf.DUMMYFUNCTION("""COMPUTED_VALUE"""),"")</f>
        <v/>
      </c>
      <c r="Z194" t="str">
        <f>IFERROR(__xludf.DUMMYFUNCTION("""COMPUTED_VALUE"""),"")</f>
        <v/>
      </c>
      <c r="AA194" t="str">
        <f>IFERROR(__xludf.DUMMYFUNCTION("""COMPUTED_VALUE"""),"")</f>
        <v/>
      </c>
      <c r="AB194" t="str">
        <f>IFERROR(__xludf.DUMMYFUNCTION("""COMPUTED_VALUE"""),"")</f>
        <v/>
      </c>
    </row>
    <row r="195">
      <c r="A195" s="2">
        <f>IFERROR(__xludf.DUMMYFUNCTION("""COMPUTED_VALUE"""),43639.44534925926)</f>
        <v>43639.44535</v>
      </c>
      <c r="B195" s="1" t="str">
        <f>IFERROR(__xludf.DUMMYFUNCTION("""COMPUTED_VALUE"""),"Pierre BOURREAU")</f>
        <v>Pierre BOURREAU</v>
      </c>
      <c r="C19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5" s="1" t="str">
        <f>IFERROR(__xludf.DUMMYFUNCTION("""COMPUTED_VALUE"""),"BDE")</f>
        <v>BDE</v>
      </c>
      <c r="E195" s="1">
        <f>IFERROR(__xludf.DUMMYFUNCTION("""COMPUTED_VALUE"""),3.0)</f>
        <v>3</v>
      </c>
      <c r="F195" s="1" t="str">
        <f>IFERROR(__xludf.DUMMYFUNCTION("""COMPUTED_VALUE"""),"Rock, Rap")</f>
        <v>Rock, Rap</v>
      </c>
      <c r="G195" s="1" t="str">
        <f>IFERROR(__xludf.DUMMYFUNCTION("""COMPUTED_VALUE"""),"Peinture, Littérature, Musique, Théâtre, Cinéma")</f>
        <v>Peinture, Littérature, Musique, Théâtre, Cinéma</v>
      </c>
      <c r="H195" s="1" t="str">
        <f>IFERROR(__xludf.DUMMYFUNCTION("""COMPUTED_VALUE"""),"Une fois par jour")</f>
        <v>Une fois par jour</v>
      </c>
      <c r="I195" s="1" t="str">
        <f>IFERROR(__xludf.DUMMYFUNCTION("""COMPUTED_VALUE"""),"Plusieurs fois par semaine")</f>
        <v>Plusieurs fois par semaine</v>
      </c>
      <c r="J195" s="1" t="str">
        <f>IFERROR(__xludf.DUMMYFUNCTION("""COMPUTED_VALUE"""),"Pour le fun")</f>
        <v>Pour le fun</v>
      </c>
      <c r="K195" s="1" t="str">
        <f>IFERROR(__xludf.DUMMYFUNCTION("""COMPUTED_VALUE"""),"Autre")</f>
        <v>Autre</v>
      </c>
      <c r="L195" s="1" t="str">
        <f>IFERROR(__xludf.DUMMYFUNCTION("""COMPUTED_VALUE"""),"Oh oui, et les trucs bien gras ça me connait !")</f>
        <v>Oh oui, et les trucs bien gras ça me connait !</v>
      </c>
      <c r="M195" s="1">
        <f>IFERROR(__xludf.DUMMYFUNCTION("""COMPUTED_VALUE"""),7.0)</f>
        <v>7</v>
      </c>
      <c r="N195" s="1" t="str">
        <f>IFERROR(__xludf.DUMMYFUNCTION("""COMPUTED_VALUE"""),"Plusieurs fois par semaine")</f>
        <v>Plusieurs fois par semaine</v>
      </c>
      <c r="O195" s="1" t="str">
        <f>IFERROR(__xludf.DUMMYFUNCTION("""COMPUTED_VALUE"""),"Objectif grosse défonce")</f>
        <v>Objectif grosse défonce</v>
      </c>
      <c r="P195" s="1">
        <f>IFERROR(__xludf.DUMMYFUNCTION("""COMPUTED_VALUE"""),2.0)</f>
        <v>2</v>
      </c>
      <c r="Q195" s="1" t="str">
        <f>IFERROR(__xludf.DUMMYFUNCTION("""COMPUTED_VALUE"""),"Oui")</f>
        <v>Oui</v>
      </c>
      <c r="R195" s="1" t="str">
        <f>IFERROR(__xludf.DUMMYFUNCTION("""COMPUTED_VALUE"""),"Non")</f>
        <v>Non</v>
      </c>
      <c r="S195" s="1" t="str">
        <f>IFERROR(__xludf.DUMMYFUNCTION("""COMPUTED_VALUE"""),"La Boisson")</f>
        <v>La Boisson</v>
      </c>
      <c r="T195" s="1" t="str">
        <f>IFERROR(__xludf.DUMMYFUNCTION("""COMPUTED_VALUE"""),"Du vin")</f>
        <v>Du vin</v>
      </c>
      <c r="U195" t="str">
        <f>IFERROR(__xludf.DUMMYFUNCTION("""COMPUTED_VALUE"""),"")</f>
        <v/>
      </c>
      <c r="V195" t="str">
        <f>IFERROR(__xludf.DUMMYFUNCTION("""COMPUTED_VALUE"""),"")</f>
        <v/>
      </c>
      <c r="W195" t="str">
        <f>IFERROR(__xludf.DUMMYFUNCTION("""COMPUTED_VALUE"""),"")</f>
        <v/>
      </c>
      <c r="X195" t="str">
        <f>IFERROR(__xludf.DUMMYFUNCTION("""COMPUTED_VALUE"""),"")</f>
        <v/>
      </c>
      <c r="Y195" t="str">
        <f>IFERROR(__xludf.DUMMYFUNCTION("""COMPUTED_VALUE"""),"")</f>
        <v/>
      </c>
      <c r="Z195" t="str">
        <f>IFERROR(__xludf.DUMMYFUNCTION("""COMPUTED_VALUE"""),"")</f>
        <v/>
      </c>
      <c r="AA195" t="str">
        <f>IFERROR(__xludf.DUMMYFUNCTION("""COMPUTED_VALUE"""),"")</f>
        <v/>
      </c>
      <c r="AB195" t="str">
        <f>IFERROR(__xludf.DUMMYFUNCTION("""COMPUTED_VALUE"""),"")</f>
        <v/>
      </c>
    </row>
    <row r="196">
      <c r="A196" s="2">
        <f>IFERROR(__xludf.DUMMYFUNCTION("""COMPUTED_VALUE"""),43639.450105717595)</f>
        <v>43639.45011</v>
      </c>
      <c r="B196" s="1" t="str">
        <f>IFERROR(__xludf.DUMMYFUNCTION("""COMPUTED_VALUE"""),"Antoine SENELLART")</f>
        <v>Antoine SENELLART</v>
      </c>
      <c r="C19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6" s="1" t="str">
        <f>IFERROR(__xludf.DUMMYFUNCTION("""COMPUTED_VALUE"""),"BDS")</f>
        <v>BDS</v>
      </c>
      <c r="E196" s="1">
        <f>IFERROR(__xludf.DUMMYFUNCTION("""COMPUTED_VALUE"""),3.0)</f>
        <v>3</v>
      </c>
      <c r="F196" s="1" t="str">
        <f>IFERROR(__xludf.DUMMYFUNCTION("""COMPUTED_VALUE"""),"Rock, Electro posée, Rap, Pop, Musique fançaise, Jazz, Musique classique, Autre")</f>
        <v>Rock, Electro posée, Rap, Pop, Musique fançaise, Jazz, Musique classique, Autre</v>
      </c>
      <c r="G196" s="1" t="str">
        <f>IFERROR(__xludf.DUMMYFUNCTION("""COMPUTED_VALUE"""),"Littérature, Musique, Cinéma, Graphisme")</f>
        <v>Littérature, Musique, Cinéma, Graphisme</v>
      </c>
      <c r="H196" s="1" t="str">
        <f>IFERROR(__xludf.DUMMYFUNCTION("""COMPUTED_VALUE"""),"Quelques fois par semaine")</f>
        <v>Quelques fois par semaine</v>
      </c>
      <c r="I196" s="1" t="str">
        <f>IFERROR(__xludf.DUMMYFUNCTION("""COMPUTED_VALUE"""),"Le dimanche à 15h32 s'il fait beau")</f>
        <v>Le dimanche à 15h32 s'il fait beau</v>
      </c>
      <c r="J196" s="1" t="str">
        <f>IFERROR(__xludf.DUMMYFUNCTION("""COMPUTED_VALUE"""),"Pour le développement perso et se dépasser")</f>
        <v>Pour le développement perso et se dépasser</v>
      </c>
      <c r="K196" s="1" t="str">
        <f>IFERROR(__xludf.DUMMYFUNCTION("""COMPUTED_VALUE"""),"Pas de sport")</f>
        <v>Pas de sport</v>
      </c>
      <c r="L196" s="1" t="str">
        <f>IFERROR(__xludf.DUMMYFUNCTION("""COMPUTED_VALUE"""),"Alterner entre grec et coquillettes ça compte ?")</f>
        <v>Alterner entre grec et coquillettes ça compte ?</v>
      </c>
      <c r="M196" s="1">
        <f>IFERROR(__xludf.DUMMYFUNCTION("""COMPUTED_VALUE"""),2.0)</f>
        <v>2</v>
      </c>
      <c r="N196" s="1" t="str">
        <f>IFERROR(__xludf.DUMMYFUNCTION("""COMPUTED_VALUE"""),"Une fois par mois")</f>
        <v>Une fois par mois</v>
      </c>
      <c r="O196" s="1" t="str">
        <f>IFERROR(__xludf.DUMMYFUNCTION("""COMPUTED_VALUE"""),"Tu viens pas")</f>
        <v>Tu viens pas</v>
      </c>
      <c r="P196" s="1">
        <f>IFERROR(__xludf.DUMMYFUNCTION("""COMPUTED_VALUE"""),1.0)</f>
        <v>1</v>
      </c>
      <c r="Q196" s="1" t="str">
        <f>IFERROR(__xludf.DUMMYFUNCTION("""COMPUTED_VALUE"""),"Oui")</f>
        <v>Oui</v>
      </c>
      <c r="R196" s="1" t="str">
        <f>IFERROR(__xludf.DUMMYFUNCTION("""COMPUTED_VALUE"""),"Non")</f>
        <v>Non</v>
      </c>
      <c r="S196" s="1" t="str">
        <f>IFERROR(__xludf.DUMMYFUNCTION("""COMPUTED_VALUE"""),"La Boisson")</f>
        <v>La Boisson</v>
      </c>
      <c r="T196" s="1" t="str">
        <f>IFERROR(__xludf.DUMMYFUNCTION("""COMPUTED_VALUE"""),"Un Khalot")</f>
        <v>Un Khalot</v>
      </c>
      <c r="U196" t="str">
        <f>IFERROR(__xludf.DUMMYFUNCTION("""COMPUTED_VALUE"""),"")</f>
        <v/>
      </c>
      <c r="V196" t="str">
        <f>IFERROR(__xludf.DUMMYFUNCTION("""COMPUTED_VALUE"""),"")</f>
        <v/>
      </c>
      <c r="W196" t="str">
        <f>IFERROR(__xludf.DUMMYFUNCTION("""COMPUTED_VALUE"""),"")</f>
        <v/>
      </c>
      <c r="X196" t="str">
        <f>IFERROR(__xludf.DUMMYFUNCTION("""COMPUTED_VALUE"""),"")</f>
        <v/>
      </c>
      <c r="Y196" t="str">
        <f>IFERROR(__xludf.DUMMYFUNCTION("""COMPUTED_VALUE"""),"")</f>
        <v/>
      </c>
      <c r="Z196" t="str">
        <f>IFERROR(__xludf.DUMMYFUNCTION("""COMPUTED_VALUE"""),"")</f>
        <v/>
      </c>
      <c r="AA196" t="str">
        <f>IFERROR(__xludf.DUMMYFUNCTION("""COMPUTED_VALUE"""),"")</f>
        <v/>
      </c>
      <c r="AB196" t="str">
        <f>IFERROR(__xludf.DUMMYFUNCTION("""COMPUTED_VALUE"""),"")</f>
        <v/>
      </c>
    </row>
    <row r="197">
      <c r="A197" s="2">
        <f>IFERROR(__xludf.DUMMYFUNCTION("""COMPUTED_VALUE"""),43639.45155657407)</f>
        <v>43639.45156</v>
      </c>
      <c r="B197" s="1" t="str">
        <f>IFERROR(__xludf.DUMMYFUNCTION("""COMPUTED_VALUE"""),"Louis LEQUES")</f>
        <v>Louis LEQUES</v>
      </c>
      <c r="C19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7" s="1" t="str">
        <f>IFERROR(__xludf.DUMMYFUNCTION("""COMPUTED_VALUE"""),"BDE")</f>
        <v>BDE</v>
      </c>
      <c r="E197" s="1">
        <f>IFERROR(__xludf.DUMMYFUNCTION("""COMPUTED_VALUE"""),1.0)</f>
        <v>1</v>
      </c>
      <c r="F197" s="1" t="str">
        <f>IFERROR(__xludf.DUMMYFUNCTION("""COMPUTED_VALUE"""),"Rock, Electro posée, Rap, Autre")</f>
        <v>Rock, Electro posée, Rap, Autre</v>
      </c>
      <c r="G197" s="1" t="str">
        <f>IFERROR(__xludf.DUMMYFUNCTION("""COMPUTED_VALUE"""),"Pas du tout")</f>
        <v>Pas du tout</v>
      </c>
      <c r="H197" s="1" t="str">
        <f>IFERROR(__xludf.DUMMYFUNCTION("""COMPUTED_VALUE"""),"Seulement les soirs de pleine lune")</f>
        <v>Seulement les soirs de pleine lune</v>
      </c>
      <c r="I197" s="1" t="str">
        <f>IFERROR(__xludf.DUMMYFUNCTION("""COMPUTED_VALUE"""),"Le dimanche à 15h32 s'il fait beau")</f>
        <v>Le dimanche à 15h32 s'il fait beau</v>
      </c>
      <c r="J197" s="1" t="str">
        <f>IFERROR(__xludf.DUMMYFUNCTION("""COMPUTED_VALUE"""),"Pour les autres")</f>
        <v>Pour les autres</v>
      </c>
      <c r="K197" s="1" t="str">
        <f>IFERROR(__xludf.DUMMYFUNCTION("""COMPUTED_VALUE"""),"Sports de raquette")</f>
        <v>Sports de raquette</v>
      </c>
      <c r="L197" s="1" t="str">
        <f>IFERROR(__xludf.DUMMYFUNCTION("""COMPUTED_VALUE"""),"Oh oui, et les trucs bien gras ça me connait !")</f>
        <v>Oh oui, et les trucs bien gras ça me connait !</v>
      </c>
      <c r="M197" s="1">
        <f>IFERROR(__xludf.DUMMYFUNCTION("""COMPUTED_VALUE"""),10.0)</f>
        <v>10</v>
      </c>
      <c r="N197" s="1" t="str">
        <f>IFERROR(__xludf.DUMMYFUNCTION("""COMPUTED_VALUE"""),"Plusieurs fois par semaine")</f>
        <v>Plusieurs fois par semaine</v>
      </c>
      <c r="O197" s="1" t="str">
        <f>IFERROR(__xludf.DUMMYFUNCTION("""COMPUTED_VALUE"""),"Objectif grosse défonce")</f>
        <v>Objectif grosse défonce</v>
      </c>
      <c r="P197" s="1">
        <f>IFERROR(__xludf.DUMMYFUNCTION("""COMPUTED_VALUE"""),5.0)</f>
        <v>5</v>
      </c>
      <c r="Q197" s="1" t="str">
        <f>IFERROR(__xludf.DUMMYFUNCTION("""COMPUTED_VALUE"""),"Oui")</f>
        <v>Oui</v>
      </c>
      <c r="R197" s="1" t="str">
        <f>IFERROR(__xludf.DUMMYFUNCTION("""COMPUTED_VALUE"""),"Non")</f>
        <v>Non</v>
      </c>
      <c r="S197" s="1" t="str">
        <f>IFERROR(__xludf.DUMMYFUNCTION("""COMPUTED_VALUE"""),"Les Topeurs")</f>
        <v>Les Topeurs</v>
      </c>
      <c r="T197" s="1" t="str">
        <f>IFERROR(__xludf.DUMMYFUNCTION("""COMPUTED_VALUE"""),"un oinj")</f>
        <v>un oinj</v>
      </c>
      <c r="U197" t="str">
        <f>IFERROR(__xludf.DUMMYFUNCTION("""COMPUTED_VALUE"""),"")</f>
        <v/>
      </c>
      <c r="V197" t="str">
        <f>IFERROR(__xludf.DUMMYFUNCTION("""COMPUTED_VALUE"""),"")</f>
        <v/>
      </c>
      <c r="W197" t="str">
        <f>IFERROR(__xludf.DUMMYFUNCTION("""COMPUTED_VALUE"""),"")</f>
        <v/>
      </c>
      <c r="X197" t="str">
        <f>IFERROR(__xludf.DUMMYFUNCTION("""COMPUTED_VALUE"""),"")</f>
        <v/>
      </c>
      <c r="Y197" t="str">
        <f>IFERROR(__xludf.DUMMYFUNCTION("""COMPUTED_VALUE"""),"")</f>
        <v/>
      </c>
      <c r="Z197" t="str">
        <f>IFERROR(__xludf.DUMMYFUNCTION("""COMPUTED_VALUE"""),"")</f>
        <v/>
      </c>
      <c r="AA197" t="str">
        <f>IFERROR(__xludf.DUMMYFUNCTION("""COMPUTED_VALUE"""),"")</f>
        <v/>
      </c>
      <c r="AB197" t="str">
        <f>IFERROR(__xludf.DUMMYFUNCTION("""COMPUTED_VALUE"""),"")</f>
        <v/>
      </c>
    </row>
    <row r="198">
      <c r="A198" s="2">
        <f>IFERROR(__xludf.DUMMYFUNCTION("""COMPUTED_VALUE"""),43639.456640115735)</f>
        <v>43639.45664</v>
      </c>
      <c r="B198" s="1" t="str">
        <f>IFERROR(__xludf.DUMMYFUNCTION("""COMPUTED_VALUE"""),"Louis CLAUCE")</f>
        <v>Louis CLAUCE</v>
      </c>
      <c r="C19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198" s="1" t="str">
        <f>IFERROR(__xludf.DUMMYFUNCTION("""COMPUTED_VALUE"""),"BDS")</f>
        <v>BDS</v>
      </c>
      <c r="E198" s="1">
        <f>IFERROR(__xludf.DUMMYFUNCTION("""COMPUTED_VALUE"""),4.0)</f>
        <v>4</v>
      </c>
      <c r="F198" s="1" t="str">
        <f>IFERROR(__xludf.DUMMYFUNCTION("""COMPUTED_VALUE"""),"Rock, Metal, Electro posée, Jazz, Musique classique")</f>
        <v>Rock, Metal, Electro posée, Jazz, Musique classique</v>
      </c>
      <c r="G198" s="1" t="str">
        <f>IFERROR(__xludf.DUMMYFUNCTION("""COMPUTED_VALUE"""),"Peinture, Sculpture, Musique")</f>
        <v>Peinture, Sculpture, Musique</v>
      </c>
      <c r="H198" s="1" t="str">
        <f>IFERROR(__xludf.DUMMYFUNCTION("""COMPUTED_VALUE"""),"Quelques fois par semaine")</f>
        <v>Quelques fois par semaine</v>
      </c>
      <c r="I198" s="1" t="str">
        <f>IFERROR(__xludf.DUMMYFUNCTION("""COMPUTED_VALUE"""),"Une fois par semaine")</f>
        <v>Une fois par semaine</v>
      </c>
      <c r="J198" s="1" t="str">
        <f>IFERROR(__xludf.DUMMYFUNCTION("""COMPUTED_VALUE"""),"Pour le développement perso et se dépasser")</f>
        <v>Pour le développement perso et se dépasser</v>
      </c>
      <c r="K198" s="1" t="str">
        <f>IFERROR(__xludf.DUMMYFUNCTION("""COMPUTED_VALUE"""),"Sports de combat")</f>
        <v>Sports de combat</v>
      </c>
      <c r="L198" s="1" t="str">
        <f>IFERROR(__xludf.DUMMYFUNCTION("""COMPUTED_VALUE"""),"J'aime cuisiner le WE ou quand j'ai le temps")</f>
        <v>J'aime cuisiner le WE ou quand j'ai le temps</v>
      </c>
      <c r="M198" s="1">
        <f>IFERROR(__xludf.DUMMYFUNCTION("""COMPUTED_VALUE"""),10.0)</f>
        <v>10</v>
      </c>
      <c r="N198" s="1" t="str">
        <f>IFERROR(__xludf.DUMMYFUNCTION("""COMPUTED_VALUE"""),"Plusieurs fois par semaine")</f>
        <v>Plusieurs fois par semaine</v>
      </c>
      <c r="O198" s="1" t="str">
        <f>IFERROR(__xludf.DUMMYFUNCTION("""COMPUTED_VALUE"""),"Tu te poses dans un coin, chill !!")</f>
        <v>Tu te poses dans un coin, chill !!</v>
      </c>
      <c r="P198" s="1">
        <f>IFERROR(__xludf.DUMMYFUNCTION("""COMPUTED_VALUE"""),1.0)</f>
        <v>1</v>
      </c>
      <c r="Q198" s="1" t="str">
        <f>IFERROR(__xludf.DUMMYFUNCTION("""COMPUTED_VALUE"""),"Oui")</f>
        <v>Oui</v>
      </c>
      <c r="R198" s="1" t="str">
        <f>IFERROR(__xludf.DUMMYFUNCTION("""COMPUTED_VALUE"""),"Non")</f>
        <v>Non</v>
      </c>
      <c r="S198" s="1" t="str">
        <f>IFERROR(__xludf.DUMMYFUNCTION("""COMPUTED_VALUE"""),"La Boisson ")</f>
        <v>La Boisson </v>
      </c>
      <c r="T198" s="1" t="str">
        <f>IFERROR(__xludf.DUMMYFUNCTION("""COMPUTED_VALUE"""),"un coupe cigare")</f>
        <v>un coupe cigare</v>
      </c>
      <c r="U198" t="str">
        <f>IFERROR(__xludf.DUMMYFUNCTION("""COMPUTED_VALUE"""),"")</f>
        <v/>
      </c>
      <c r="V198" t="str">
        <f>IFERROR(__xludf.DUMMYFUNCTION("""COMPUTED_VALUE"""),"")</f>
        <v/>
      </c>
      <c r="W198" t="str">
        <f>IFERROR(__xludf.DUMMYFUNCTION("""COMPUTED_VALUE"""),"")</f>
        <v/>
      </c>
      <c r="X198" t="str">
        <f>IFERROR(__xludf.DUMMYFUNCTION("""COMPUTED_VALUE"""),"")</f>
        <v/>
      </c>
      <c r="Y198" t="str">
        <f>IFERROR(__xludf.DUMMYFUNCTION("""COMPUTED_VALUE"""),"")</f>
        <v/>
      </c>
      <c r="Z198" t="str">
        <f>IFERROR(__xludf.DUMMYFUNCTION("""COMPUTED_VALUE"""),"")</f>
        <v/>
      </c>
      <c r="AA198" t="str">
        <f>IFERROR(__xludf.DUMMYFUNCTION("""COMPUTED_VALUE"""),"")</f>
        <v/>
      </c>
      <c r="AB198" t="str">
        <f>IFERROR(__xludf.DUMMYFUNCTION("""COMPUTED_VALUE"""),"")</f>
        <v/>
      </c>
    </row>
    <row r="199">
      <c r="A199" s="2">
        <f>IFERROR(__xludf.DUMMYFUNCTION("""COMPUTED_VALUE"""),43639.584061898146)</f>
        <v>43639.58406</v>
      </c>
      <c r="B199" s="1" t="str">
        <f>IFERROR(__xludf.DUMMYFUNCTION("""COMPUTED_VALUE"""),"Samir ZINA-RAGGOUA")</f>
        <v>Samir ZINA-RAGGOUA</v>
      </c>
      <c r="C199" s="1" t="str">
        <f>IFERROR(__xludf.DUMMYFUNCTION("""COMPUTED_VALUE"""),"Le président et un inconnu")</f>
        <v>Le président et un inconnu</v>
      </c>
      <c r="D199" s="1" t="str">
        <f>IFERROR(__xludf.DUMMYFUNCTION("""COMPUTED_VALUE"""),"BDE")</f>
        <v>BDE</v>
      </c>
      <c r="E199" s="1">
        <f>IFERROR(__xludf.DUMMYFUNCTION("""COMPUTED_VALUE"""),1.0)</f>
        <v>1</v>
      </c>
      <c r="F199" s="1" t="str">
        <f>IFERROR(__xludf.DUMMYFUNCTION("""COMPUTED_VALUE"""),"Rap")</f>
        <v>Rap</v>
      </c>
      <c r="G199" s="1" t="str">
        <f>IFERROR(__xludf.DUMMYFUNCTION("""COMPUTED_VALUE"""),"Pas du tout")</f>
        <v>Pas du tout</v>
      </c>
      <c r="H199" s="1" t="str">
        <f>IFERROR(__xludf.DUMMYFUNCTION("""COMPUTED_VALUE"""),"Une fois de temps en temps")</f>
        <v>Une fois de temps en temps</v>
      </c>
      <c r="I199" s="1" t="str">
        <f>IFERROR(__xludf.DUMMYFUNCTION("""COMPUTED_VALUE"""),"Une fois par semaine")</f>
        <v>Une fois par semaine</v>
      </c>
      <c r="J199" s="1" t="str">
        <f>IFERROR(__xludf.DUMMYFUNCTION("""COMPUTED_VALUE"""),"Pour le développement perso et se dépasser")</f>
        <v>Pour le développement perso et se dépasser</v>
      </c>
      <c r="K199" s="1" t="str">
        <f>IFERROR(__xludf.DUMMYFUNCTION("""COMPUTED_VALUE"""),"Autre")</f>
        <v>Autre</v>
      </c>
      <c r="L199" s="1" t="str">
        <f>IFERROR(__xludf.DUMMYFUNCTION("""COMPUTED_VALUE"""),"Alterner entre grec et coquillettes ça compte ?")</f>
        <v>Alterner entre grec et coquillettes ça compte ?</v>
      </c>
      <c r="M199" s="1">
        <f>IFERROR(__xludf.DUMMYFUNCTION("""COMPUTED_VALUE"""),8.0)</f>
        <v>8</v>
      </c>
      <c r="N199" s="1" t="str">
        <f>IFERROR(__xludf.DUMMYFUNCTION("""COMPUTED_VALUE"""),"Une fois par semaine")</f>
        <v>Une fois par semaine</v>
      </c>
      <c r="O199" s="1" t="str">
        <f>IFERROR(__xludf.DUMMYFUNCTION("""COMPUTED_VALUE"""),"Tu te poses dans un coin, chill !!")</f>
        <v>Tu te poses dans un coin, chill !!</v>
      </c>
      <c r="P199" s="1">
        <f>IFERROR(__xludf.DUMMYFUNCTION("""COMPUTED_VALUE"""),3.0)</f>
        <v>3</v>
      </c>
      <c r="Q199" s="1" t="str">
        <f>IFERROR(__xludf.DUMMYFUNCTION("""COMPUTED_VALUE"""),"Non")</f>
        <v>Non</v>
      </c>
      <c r="R199" s="1" t="str">
        <f>IFERROR(__xludf.DUMMYFUNCTION("""COMPUTED_VALUE"""),"Non")</f>
        <v>Non</v>
      </c>
      <c r="S199" s="1" t="str">
        <f>IFERROR(__xludf.DUMMYFUNCTION("""COMPUTED_VALUE"""),"Topeurs")</f>
        <v>Topeurs</v>
      </c>
      <c r="T199" s="1" t="str">
        <f>IFERROR(__xludf.DUMMYFUNCTION("""COMPUTED_VALUE"""),"Je ne sais pas")</f>
        <v>Je ne sais pas</v>
      </c>
      <c r="U199" t="str">
        <f>IFERROR(__xludf.DUMMYFUNCTION("""COMPUTED_VALUE"""),"")</f>
        <v/>
      </c>
      <c r="V199" t="str">
        <f>IFERROR(__xludf.DUMMYFUNCTION("""COMPUTED_VALUE"""),"")</f>
        <v/>
      </c>
      <c r="W199" t="str">
        <f>IFERROR(__xludf.DUMMYFUNCTION("""COMPUTED_VALUE"""),"")</f>
        <v/>
      </c>
      <c r="X199" t="str">
        <f>IFERROR(__xludf.DUMMYFUNCTION("""COMPUTED_VALUE"""),"")</f>
        <v/>
      </c>
      <c r="Y199" t="str">
        <f>IFERROR(__xludf.DUMMYFUNCTION("""COMPUTED_VALUE"""),"")</f>
        <v/>
      </c>
      <c r="Z199" t="str">
        <f>IFERROR(__xludf.DUMMYFUNCTION("""COMPUTED_VALUE"""),"")</f>
        <v/>
      </c>
      <c r="AA199" t="str">
        <f>IFERROR(__xludf.DUMMYFUNCTION("""COMPUTED_VALUE"""),"")</f>
        <v/>
      </c>
      <c r="AB199" t="str">
        <f>IFERROR(__xludf.DUMMYFUNCTION("""COMPUTED_VALUE"""),"")</f>
        <v/>
      </c>
    </row>
    <row r="200">
      <c r="A200" s="2">
        <f>IFERROR(__xludf.DUMMYFUNCTION("""COMPUTED_VALUE"""),43639.58973178241)</f>
        <v>43639.58973</v>
      </c>
      <c r="B200" s="1" t="str">
        <f>IFERROR(__xludf.DUMMYFUNCTION("""COMPUTED_VALUE"""),"Mikaël Farje")</f>
        <v>Mikaël Farje</v>
      </c>
      <c r="C20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0" s="1" t="str">
        <f>IFERROR(__xludf.DUMMYFUNCTION("""COMPUTED_VALUE"""),"BDE")</f>
        <v>BDE</v>
      </c>
      <c r="E200" s="1">
        <f>IFERROR(__xludf.DUMMYFUNCTION("""COMPUTED_VALUE"""),3.0)</f>
        <v>3</v>
      </c>
      <c r="F200" s="1" t="str">
        <f>IFERROR(__xludf.DUMMYFUNCTION("""COMPUTED_VALUE"""),"Rock, Rap")</f>
        <v>Rock, Rap</v>
      </c>
      <c r="G200" s="1" t="str">
        <f>IFERROR(__xludf.DUMMYFUNCTION("""COMPUTED_VALUE"""),"Pas du tout")</f>
        <v>Pas du tout</v>
      </c>
      <c r="H200" s="1" t="str">
        <f>IFERROR(__xludf.DUMMYFUNCTION("""COMPUTED_VALUE"""),"Quelques fois par semaine")</f>
        <v>Quelques fois par semaine</v>
      </c>
      <c r="I200" s="1" t="str">
        <f>IFERROR(__xludf.DUMMYFUNCTION("""COMPUTED_VALUE"""),"Plusieurs fois par semaine")</f>
        <v>Plusieurs fois par semaine</v>
      </c>
      <c r="J200" s="1" t="str">
        <f>IFERROR(__xludf.DUMMYFUNCTION("""COMPUTED_VALUE"""),"Pour la compet")</f>
        <v>Pour la compet</v>
      </c>
      <c r="K200" s="1" t="str">
        <f>IFERROR(__xludf.DUMMYFUNCTION("""COMPUTED_VALUE"""),"Sports collectifs")</f>
        <v>Sports collectifs</v>
      </c>
      <c r="L200" s="1" t="str">
        <f>IFERROR(__xludf.DUMMYFUNCTION("""COMPUTED_VALUE"""),"Alterner entre grec et coquillettes ça compte ?")</f>
        <v>Alterner entre grec et coquillettes ça compte ?</v>
      </c>
      <c r="M200" s="1">
        <f>IFERROR(__xludf.DUMMYFUNCTION("""COMPUTED_VALUE"""),7.0)</f>
        <v>7</v>
      </c>
      <c r="N200" s="1" t="str">
        <f>IFERROR(__xludf.DUMMYFUNCTION("""COMPUTED_VALUE"""),"Une fois par semaine")</f>
        <v>Une fois par semaine</v>
      </c>
      <c r="O200" s="1" t="str">
        <f>IFERROR(__xludf.DUMMYFUNCTION("""COMPUTED_VALUE"""),"Tu te poses dans un coin, chill !!")</f>
        <v>Tu te poses dans un coin, chill !!</v>
      </c>
      <c r="P200" s="1">
        <f>IFERROR(__xludf.DUMMYFUNCTION("""COMPUTED_VALUE"""),5.0)</f>
        <v>5</v>
      </c>
      <c r="Q200" s="1" t="str">
        <f>IFERROR(__xludf.DUMMYFUNCTION("""COMPUTED_VALUE"""),"Oui")</f>
        <v>Oui</v>
      </c>
      <c r="R200" s="1" t="str">
        <f>IFERROR(__xludf.DUMMYFUNCTION("""COMPUTED_VALUE"""),"Non")</f>
        <v>Non</v>
      </c>
      <c r="S200" s="1" t="str">
        <f>IFERROR(__xludf.DUMMYFUNCTION("""COMPUTED_VALUE"""),"Les Topeurs")</f>
        <v>Les Topeurs</v>
      </c>
      <c r="T200" s="1" t="str">
        <f>IFERROR(__xludf.DUMMYFUNCTION("""COMPUTED_VALUE"""),"Un maillot de foot ")</f>
        <v>Un maillot de foot </v>
      </c>
      <c r="U200" t="str">
        <f>IFERROR(__xludf.DUMMYFUNCTION("""COMPUTED_VALUE"""),"")</f>
        <v/>
      </c>
      <c r="V200" t="str">
        <f>IFERROR(__xludf.DUMMYFUNCTION("""COMPUTED_VALUE"""),"")</f>
        <v/>
      </c>
      <c r="W200" t="str">
        <f>IFERROR(__xludf.DUMMYFUNCTION("""COMPUTED_VALUE"""),"")</f>
        <v/>
      </c>
      <c r="X200" t="str">
        <f>IFERROR(__xludf.DUMMYFUNCTION("""COMPUTED_VALUE"""),"")</f>
        <v/>
      </c>
      <c r="Y200" t="str">
        <f>IFERROR(__xludf.DUMMYFUNCTION("""COMPUTED_VALUE"""),"")</f>
        <v/>
      </c>
      <c r="Z200" t="str">
        <f>IFERROR(__xludf.DUMMYFUNCTION("""COMPUTED_VALUE"""),"")</f>
        <v/>
      </c>
      <c r="AA200" t="str">
        <f>IFERROR(__xludf.DUMMYFUNCTION("""COMPUTED_VALUE"""),"")</f>
        <v/>
      </c>
      <c r="AB200" t="str">
        <f>IFERROR(__xludf.DUMMYFUNCTION("""COMPUTED_VALUE"""),"")</f>
        <v/>
      </c>
    </row>
    <row r="201">
      <c r="A201" s="2">
        <f>IFERROR(__xludf.DUMMYFUNCTION("""COMPUTED_VALUE"""),43639.60501666667)</f>
        <v>43639.60502</v>
      </c>
      <c r="B201" s="1" t="str">
        <f>IFERROR(__xludf.DUMMYFUNCTION("""COMPUTED_VALUE"""),"Allouache")</f>
        <v>Allouache</v>
      </c>
      <c r="C20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1" s="1" t="str">
        <f>IFERROR(__xludf.DUMMYFUNCTION("""COMPUTED_VALUE"""),"BDS")</f>
        <v>BDS</v>
      </c>
      <c r="E201" s="1">
        <f>IFERROR(__xludf.DUMMYFUNCTION("""COMPUTED_VALUE"""),5.0)</f>
        <v>5</v>
      </c>
      <c r="F201" s="1" t="str">
        <f>IFERROR(__xludf.DUMMYFUNCTION("""COMPUTED_VALUE"""),"Rock, Rap, Pop, Musique fançaise")</f>
        <v>Rock, Rap, Pop, Musique fançaise</v>
      </c>
      <c r="G201" s="1" t="str">
        <f>IFERROR(__xludf.DUMMYFUNCTION("""COMPUTED_VALUE"""),"Cinéma")</f>
        <v>Cinéma</v>
      </c>
      <c r="H201" s="1" t="str">
        <f>IFERROR(__xludf.DUMMYFUNCTION("""COMPUTED_VALUE"""),"Une fois de temps en temps")</f>
        <v>Une fois de temps en temps</v>
      </c>
      <c r="I201" s="1" t="str">
        <f>IFERROR(__xludf.DUMMYFUNCTION("""COMPUTED_VALUE"""),"Plusieurs fois par semaine")</f>
        <v>Plusieurs fois par semaine</v>
      </c>
      <c r="J201" s="1" t="str">
        <f>IFERROR(__xludf.DUMMYFUNCTION("""COMPUTED_VALUE"""),"Pour le développement perso et se dépasser")</f>
        <v>Pour le développement perso et se dépasser</v>
      </c>
      <c r="K201" s="1" t="str">
        <f>IFERROR(__xludf.DUMMYFUNCTION("""COMPUTED_VALUE"""),"Sports de rames")</f>
        <v>Sports de rames</v>
      </c>
      <c r="L201" s="1" t="str">
        <f>IFERROR(__xludf.DUMMYFUNCTION("""COMPUTED_VALUE"""),"J'aime cuisiner le WE ou quand j'ai le temps")</f>
        <v>J'aime cuisiner le WE ou quand j'ai le temps</v>
      </c>
      <c r="M201" s="1">
        <f>IFERROR(__xludf.DUMMYFUNCTION("""COMPUTED_VALUE"""),6.0)</f>
        <v>6</v>
      </c>
      <c r="N201" s="1" t="str">
        <f>IFERROR(__xludf.DUMMYFUNCTION("""COMPUTED_VALUE"""),"Une fois par semaine")</f>
        <v>Une fois par semaine</v>
      </c>
      <c r="O201" s="1" t="str">
        <f>IFERROR(__xludf.DUMMYFUNCTION("""COMPUTED_VALUE"""),"T'enflammes le dancefloor")</f>
        <v>T'enflammes le dancefloor</v>
      </c>
      <c r="P201" s="1">
        <f>IFERROR(__xludf.DUMMYFUNCTION("""COMPUTED_VALUE"""),1.0)</f>
        <v>1</v>
      </c>
      <c r="Q201" s="1" t="str">
        <f>IFERROR(__xludf.DUMMYFUNCTION("""COMPUTED_VALUE"""),"Oui")</f>
        <v>Oui</v>
      </c>
      <c r="R201" s="1" t="str">
        <f>IFERROR(__xludf.DUMMYFUNCTION("""COMPUTED_VALUE"""),"Non")</f>
        <v>Non</v>
      </c>
      <c r="S201" s="1" t="str">
        <f>IFERROR(__xludf.DUMMYFUNCTION("""COMPUTED_VALUE"""),"La Boisson")</f>
        <v>La Boisson</v>
      </c>
      <c r="T201" s="1" t="str">
        <f>IFERROR(__xludf.DUMMYFUNCTION("""COMPUTED_VALUE"""),"Des ailes d’ange ")</f>
        <v>Des ailes d’ange </v>
      </c>
      <c r="U201" t="str">
        <f>IFERROR(__xludf.DUMMYFUNCTION("""COMPUTED_VALUE"""),"")</f>
        <v/>
      </c>
      <c r="V201" t="str">
        <f>IFERROR(__xludf.DUMMYFUNCTION("""COMPUTED_VALUE"""),"")</f>
        <v/>
      </c>
      <c r="W201" t="str">
        <f>IFERROR(__xludf.DUMMYFUNCTION("""COMPUTED_VALUE"""),"")</f>
        <v/>
      </c>
      <c r="X201" t="str">
        <f>IFERROR(__xludf.DUMMYFUNCTION("""COMPUTED_VALUE"""),"")</f>
        <v/>
      </c>
      <c r="Y201" t="str">
        <f>IFERROR(__xludf.DUMMYFUNCTION("""COMPUTED_VALUE"""),"")</f>
        <v/>
      </c>
      <c r="Z201" t="str">
        <f>IFERROR(__xludf.DUMMYFUNCTION("""COMPUTED_VALUE"""),"")</f>
        <v/>
      </c>
      <c r="AA201" t="str">
        <f>IFERROR(__xludf.DUMMYFUNCTION("""COMPUTED_VALUE"""),"")</f>
        <v/>
      </c>
      <c r="AB201" t="str">
        <f>IFERROR(__xludf.DUMMYFUNCTION("""COMPUTED_VALUE"""),"")</f>
        <v/>
      </c>
    </row>
    <row r="202">
      <c r="A202" s="2">
        <f>IFERROR(__xludf.DUMMYFUNCTION("""COMPUTED_VALUE"""),43639.643611875)</f>
        <v>43639.64361</v>
      </c>
      <c r="B202" s="1" t="str">
        <f>IFERROR(__xludf.DUMMYFUNCTION("""COMPUTED_VALUE"""),"Noémie RABILLOUD")</f>
        <v>Noémie RABILLOUD</v>
      </c>
      <c r="C20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2" s="1" t="str">
        <f>IFERROR(__xludf.DUMMYFUNCTION("""COMPUTED_VALUE"""),"BDE")</f>
        <v>BDE</v>
      </c>
      <c r="E202" s="1">
        <f>IFERROR(__xludf.DUMMYFUNCTION("""COMPUTED_VALUE"""),5.0)</f>
        <v>5</v>
      </c>
      <c r="F202" s="1" t="str">
        <f>IFERROR(__xludf.DUMMYFUNCTION("""COMPUTED_VALUE"""),"Rock, Metal, Pop")</f>
        <v>Rock, Metal, Pop</v>
      </c>
      <c r="G202" s="1" t="str">
        <f>IFERROR(__xludf.DUMMYFUNCTION("""COMPUTED_VALUE"""),"Danse, Musique, Théâtre, Cinéma")</f>
        <v>Danse, Musique, Théâtre, Cinéma</v>
      </c>
      <c r="H202" s="1" t="str">
        <f>IFERROR(__xludf.DUMMYFUNCTION("""COMPUTED_VALUE"""),"Une fois de temps en temps")</f>
        <v>Une fois de temps en temps</v>
      </c>
      <c r="I202" s="1" t="str">
        <f>IFERROR(__xludf.DUMMYFUNCTION("""COMPUTED_VALUE"""),"Une fois par semaine")</f>
        <v>Une fois par semaine</v>
      </c>
      <c r="J202" s="1" t="str">
        <f>IFERROR(__xludf.DUMMYFUNCTION("""COMPUTED_VALUE"""),"Pour le développement perso et se dépasser")</f>
        <v>Pour le développement perso et se dépasser</v>
      </c>
      <c r="K202" s="1" t="str">
        <f>IFERROR(__xludf.DUMMYFUNCTION("""COMPUTED_VALUE"""),"Sports collectifs")</f>
        <v>Sports collectifs</v>
      </c>
      <c r="L202" s="1" t="str">
        <f>IFERROR(__xludf.DUMMYFUNCTION("""COMPUTED_VALUE"""),"J'aime cuisiner le WE ou quand j'ai le temps")</f>
        <v>J'aime cuisiner le WE ou quand j'ai le temps</v>
      </c>
      <c r="M202" s="1">
        <f>IFERROR(__xludf.DUMMYFUNCTION("""COMPUTED_VALUE"""),3.0)</f>
        <v>3</v>
      </c>
      <c r="N202" s="1" t="str">
        <f>IFERROR(__xludf.DUMMYFUNCTION("""COMPUTED_VALUE"""),"Une fois par semaine")</f>
        <v>Une fois par semaine</v>
      </c>
      <c r="O202" s="1" t="str">
        <f>IFERROR(__xludf.DUMMYFUNCTION("""COMPUTED_VALUE"""),"T'enflammes le dancefloor")</f>
        <v>T'enflammes le dancefloor</v>
      </c>
      <c r="P202" s="1">
        <f>IFERROR(__xludf.DUMMYFUNCTION("""COMPUTED_VALUE"""),1.0)</f>
        <v>1</v>
      </c>
      <c r="Q202" s="1" t="str">
        <f>IFERROR(__xludf.DUMMYFUNCTION("""COMPUTED_VALUE"""),"Oui")</f>
        <v>Oui</v>
      </c>
      <c r="R202" s="1" t="str">
        <f>IFERROR(__xludf.DUMMYFUNCTION("""COMPUTED_VALUE"""),"Non")</f>
        <v>Non</v>
      </c>
      <c r="S202" s="1" t="str">
        <f>IFERROR(__xludf.DUMMYFUNCTION("""COMPUTED_VALUE"""),"Le Squat")</f>
        <v>Le Squat</v>
      </c>
      <c r="T202" s="1" t="str">
        <f>IFERROR(__xludf.DUMMYFUNCTION("""COMPUTED_VALUE"""),"Un ras du cou (collier)")</f>
        <v>Un ras du cou (collier)</v>
      </c>
      <c r="U202" t="str">
        <f>IFERROR(__xludf.DUMMYFUNCTION("""COMPUTED_VALUE"""),"")</f>
        <v/>
      </c>
      <c r="V202" t="str">
        <f>IFERROR(__xludf.DUMMYFUNCTION("""COMPUTED_VALUE"""),"")</f>
        <v/>
      </c>
      <c r="W202" t="str">
        <f>IFERROR(__xludf.DUMMYFUNCTION("""COMPUTED_VALUE"""),"")</f>
        <v/>
      </c>
      <c r="X202" t="str">
        <f>IFERROR(__xludf.DUMMYFUNCTION("""COMPUTED_VALUE"""),"")</f>
        <v/>
      </c>
      <c r="Y202" t="str">
        <f>IFERROR(__xludf.DUMMYFUNCTION("""COMPUTED_VALUE"""),"")</f>
        <v/>
      </c>
      <c r="Z202" t="str">
        <f>IFERROR(__xludf.DUMMYFUNCTION("""COMPUTED_VALUE"""),"")</f>
        <v/>
      </c>
      <c r="AA202" t="str">
        <f>IFERROR(__xludf.DUMMYFUNCTION("""COMPUTED_VALUE"""),"")</f>
        <v/>
      </c>
      <c r="AB202" t="str">
        <f>IFERROR(__xludf.DUMMYFUNCTION("""COMPUTED_VALUE"""),"")</f>
        <v/>
      </c>
    </row>
    <row r="203">
      <c r="A203" s="2">
        <f>IFERROR(__xludf.DUMMYFUNCTION("""COMPUTED_VALUE"""),43639.7056537037)</f>
        <v>43639.70565</v>
      </c>
      <c r="B203" s="1" t="str">
        <f>IFERROR(__xludf.DUMMYFUNCTION("""COMPUTED_VALUE"""),"Jean Pichard")</f>
        <v>Jean Pichard</v>
      </c>
      <c r="C20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3" s="1" t="str">
        <f>IFERROR(__xludf.DUMMYFUNCTION("""COMPUTED_VALUE"""),"BDE")</f>
        <v>BDE</v>
      </c>
      <c r="E203" s="1">
        <f>IFERROR(__xludf.DUMMYFUNCTION("""COMPUTED_VALUE"""),3.0)</f>
        <v>3</v>
      </c>
      <c r="F203" s="1" t="str">
        <f>IFERROR(__xludf.DUMMYFUNCTION("""COMPUTED_VALUE"""),"Rap, Pop, Musique fançaise, Jazz, Musique classique, Autre")</f>
        <v>Rap, Pop, Musique fançaise, Jazz, Musique classique, Autre</v>
      </c>
      <c r="G203" s="1" t="str">
        <f>IFERROR(__xludf.DUMMYFUNCTION("""COMPUTED_VALUE"""),"Littérature, Musique, Cinéma")</f>
        <v>Littérature, Musique, Cinéma</v>
      </c>
      <c r="H203" s="1" t="str">
        <f>IFERROR(__xludf.DUMMYFUNCTION("""COMPUTED_VALUE"""),"Quelques fois par semaine")</f>
        <v>Quelques fois par semaine</v>
      </c>
      <c r="I203" s="1" t="str">
        <f>IFERROR(__xludf.DUMMYFUNCTION("""COMPUTED_VALUE"""),"Plusieurs fois par semaine")</f>
        <v>Plusieurs fois par semaine</v>
      </c>
      <c r="J203" s="1" t="str">
        <f>IFERROR(__xludf.DUMMYFUNCTION("""COMPUTED_VALUE"""),"Pour le fun")</f>
        <v>Pour le fun</v>
      </c>
      <c r="K203" s="1" t="str">
        <f>IFERROR(__xludf.DUMMYFUNCTION("""COMPUTED_VALUE"""),"Sports collectifs, Sports de raquette")</f>
        <v>Sports collectifs, Sports de raquette</v>
      </c>
      <c r="L203" s="1" t="str">
        <f>IFERROR(__xludf.DUMMYFUNCTION("""COMPUTED_VALUE"""),"Oh oui, et les trucs bien gras ça me connait !")</f>
        <v>Oh oui, et les trucs bien gras ça me connait !</v>
      </c>
      <c r="M203" s="1">
        <f>IFERROR(__xludf.DUMMYFUNCTION("""COMPUTED_VALUE"""),7.0)</f>
        <v>7</v>
      </c>
      <c r="N203" s="1" t="str">
        <f>IFERROR(__xludf.DUMMYFUNCTION("""COMPUTED_VALUE"""),"Plusieurs fois par semaine")</f>
        <v>Plusieurs fois par semaine</v>
      </c>
      <c r="O203" s="1" t="str">
        <f>IFERROR(__xludf.DUMMYFUNCTION("""COMPUTED_VALUE"""),"Tu te poses dans un coin, chill !!")</f>
        <v>Tu te poses dans un coin, chill !!</v>
      </c>
      <c r="P203" s="1">
        <f>IFERROR(__xludf.DUMMYFUNCTION("""COMPUTED_VALUE"""),2.0)</f>
        <v>2</v>
      </c>
      <c r="Q203" s="1" t="str">
        <f>IFERROR(__xludf.DUMMYFUNCTION("""COMPUTED_VALUE"""),"Non")</f>
        <v>Non</v>
      </c>
      <c r="R203" s="1" t="str">
        <f>IFERROR(__xludf.DUMMYFUNCTION("""COMPUTED_VALUE"""),"Non")</f>
        <v>Non</v>
      </c>
      <c r="S203" s="1" t="str">
        <f>IFERROR(__xludf.DUMMYFUNCTION("""COMPUTED_VALUE"""),"Les fortiches")</f>
        <v>Les fortiches</v>
      </c>
      <c r="T203" s="1" t="str">
        <f>IFERROR(__xludf.DUMMYFUNCTION("""COMPUTED_VALUE"""),"Pas choisi encore ")</f>
        <v>Pas choisi encore </v>
      </c>
      <c r="U203" t="str">
        <f>IFERROR(__xludf.DUMMYFUNCTION("""COMPUTED_VALUE"""),"")</f>
        <v/>
      </c>
      <c r="V203" t="str">
        <f>IFERROR(__xludf.DUMMYFUNCTION("""COMPUTED_VALUE"""),"")</f>
        <v/>
      </c>
      <c r="W203" t="str">
        <f>IFERROR(__xludf.DUMMYFUNCTION("""COMPUTED_VALUE"""),"")</f>
        <v/>
      </c>
      <c r="X203" t="str">
        <f>IFERROR(__xludf.DUMMYFUNCTION("""COMPUTED_VALUE"""),"")</f>
        <v/>
      </c>
      <c r="Y203" t="str">
        <f>IFERROR(__xludf.DUMMYFUNCTION("""COMPUTED_VALUE"""),"")</f>
        <v/>
      </c>
      <c r="Z203" t="str">
        <f>IFERROR(__xludf.DUMMYFUNCTION("""COMPUTED_VALUE"""),"")</f>
        <v/>
      </c>
      <c r="AA203" t="str">
        <f>IFERROR(__xludf.DUMMYFUNCTION("""COMPUTED_VALUE"""),"")</f>
        <v/>
      </c>
      <c r="AB203" t="str">
        <f>IFERROR(__xludf.DUMMYFUNCTION("""COMPUTED_VALUE"""),"")</f>
        <v/>
      </c>
    </row>
    <row r="204">
      <c r="A204" s="2">
        <f>IFERROR(__xludf.DUMMYFUNCTION("""COMPUTED_VALUE"""),43639.7455236574)</f>
        <v>43639.74552</v>
      </c>
      <c r="B204" s="1" t="str">
        <f>IFERROR(__xludf.DUMMYFUNCTION("""COMPUTED_VALUE"""),"Mathis CELCE")</f>
        <v>Mathis CELCE</v>
      </c>
      <c r="C20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4" s="1" t="str">
        <f>IFERROR(__xludf.DUMMYFUNCTION("""COMPUTED_VALUE"""),"BDS")</f>
        <v>BDS</v>
      </c>
      <c r="E204" s="1">
        <f>IFERROR(__xludf.DUMMYFUNCTION("""COMPUTED_VALUE"""),4.0)</f>
        <v>4</v>
      </c>
      <c r="F204" s="1" t="str">
        <f>IFERROR(__xludf.DUMMYFUNCTION("""COMPUTED_VALUE"""),"Autre")</f>
        <v>Autre</v>
      </c>
      <c r="G204" s="1" t="str">
        <f>IFERROR(__xludf.DUMMYFUNCTION("""COMPUTED_VALUE"""),"Peinture, Sculpture, Théâtre, Cinéma")</f>
        <v>Peinture, Sculpture, Théâtre, Cinéma</v>
      </c>
      <c r="H204" s="1" t="str">
        <f>IFERROR(__xludf.DUMMYFUNCTION("""COMPUTED_VALUE"""),"Une fois de temps en temps")</f>
        <v>Une fois de temps en temps</v>
      </c>
      <c r="I204" s="1" t="str">
        <f>IFERROR(__xludf.DUMMYFUNCTION("""COMPUTED_VALUE"""),"Plusieurs fois par semaine")</f>
        <v>Plusieurs fois par semaine</v>
      </c>
      <c r="J204" s="1" t="str">
        <f>IFERROR(__xludf.DUMMYFUNCTION("""COMPUTED_VALUE"""),"Pour le fun")</f>
        <v>Pour le fun</v>
      </c>
      <c r="K204" s="1" t="str">
        <f>IFERROR(__xludf.DUMMYFUNCTION("""COMPUTED_VALUE"""),"Sports de raquette, Escalade, Autre")</f>
        <v>Sports de raquette, Escalade, Autre</v>
      </c>
      <c r="L204" s="1" t="str">
        <f>IFERROR(__xludf.DUMMYFUNCTION("""COMPUTED_VALUE"""),"Je fais toujours attention à bien manger")</f>
        <v>Je fais toujours attention à bien manger</v>
      </c>
      <c r="M204" s="1">
        <f>IFERROR(__xludf.DUMMYFUNCTION("""COMPUTED_VALUE"""),7.0)</f>
        <v>7</v>
      </c>
      <c r="N204" s="1" t="str">
        <f>IFERROR(__xludf.DUMMYFUNCTION("""COMPUTED_VALUE"""),"Une fois par semaine")</f>
        <v>Une fois par semaine</v>
      </c>
      <c r="O204" s="1" t="str">
        <f>IFERROR(__xludf.DUMMYFUNCTION("""COMPUTED_VALUE"""),"Tu te poses dans un coin, chill !!")</f>
        <v>Tu te poses dans un coin, chill !!</v>
      </c>
      <c r="P204" s="1">
        <f>IFERROR(__xludf.DUMMYFUNCTION("""COMPUTED_VALUE"""),3.0)</f>
        <v>3</v>
      </c>
      <c r="Q204" s="1" t="str">
        <f>IFERROR(__xludf.DUMMYFUNCTION("""COMPUTED_VALUE"""),"Non")</f>
        <v>Non</v>
      </c>
      <c r="R204" s="1" t="str">
        <f>IFERROR(__xludf.DUMMYFUNCTION("""COMPUTED_VALUE"""),"Non")</f>
        <v>Non</v>
      </c>
      <c r="S204" s="1" t="str">
        <f>IFERROR(__xludf.DUMMYFUNCTION("""COMPUTED_VALUE"""),"azerty44")</f>
        <v>azerty44</v>
      </c>
      <c r="T204" s="1" t="str">
        <f>IFERROR(__xludf.DUMMYFUNCTION("""COMPUTED_VALUE"""),"Ta mère")</f>
        <v>Ta mère</v>
      </c>
      <c r="U204" t="str">
        <f>IFERROR(__xludf.DUMMYFUNCTION("""COMPUTED_VALUE"""),"")</f>
        <v/>
      </c>
      <c r="V204" t="str">
        <f>IFERROR(__xludf.DUMMYFUNCTION("""COMPUTED_VALUE"""),"")</f>
        <v/>
      </c>
      <c r="W204" t="str">
        <f>IFERROR(__xludf.DUMMYFUNCTION("""COMPUTED_VALUE"""),"")</f>
        <v/>
      </c>
      <c r="X204" t="str">
        <f>IFERROR(__xludf.DUMMYFUNCTION("""COMPUTED_VALUE"""),"")</f>
        <v/>
      </c>
      <c r="Y204" t="str">
        <f>IFERROR(__xludf.DUMMYFUNCTION("""COMPUTED_VALUE"""),"")</f>
        <v/>
      </c>
      <c r="Z204" t="str">
        <f>IFERROR(__xludf.DUMMYFUNCTION("""COMPUTED_VALUE"""),"")</f>
        <v/>
      </c>
      <c r="AA204" t="str">
        <f>IFERROR(__xludf.DUMMYFUNCTION("""COMPUTED_VALUE"""),"")</f>
        <v/>
      </c>
      <c r="AB204" t="str">
        <f>IFERROR(__xludf.DUMMYFUNCTION("""COMPUTED_VALUE"""),"")</f>
        <v/>
      </c>
    </row>
    <row r="205">
      <c r="A205" s="2">
        <f>IFERROR(__xludf.DUMMYFUNCTION("""COMPUTED_VALUE"""),43639.74793039352)</f>
        <v>43639.74793</v>
      </c>
      <c r="B205" s="1" t="str">
        <f>IFERROR(__xludf.DUMMYFUNCTION("""COMPUTED_VALUE"""),"Maxime Roy")</f>
        <v>Maxime Roy</v>
      </c>
      <c r="C20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5" s="1" t="str">
        <f>IFERROR(__xludf.DUMMYFUNCTION("""COMPUTED_VALUE"""),"Pas de liste")</f>
        <v>Pas de liste</v>
      </c>
      <c r="E205" s="1">
        <f>IFERROR(__xludf.DUMMYFUNCTION("""COMPUTED_VALUE"""),4.0)</f>
        <v>4</v>
      </c>
      <c r="F205" s="1" t="str">
        <f>IFERROR(__xludf.DUMMYFUNCTION("""COMPUTED_VALUE"""),"Rock, Metal, Electro posée, Jazz, Autre")</f>
        <v>Rock, Metal, Electro posée, Jazz, Autre</v>
      </c>
      <c r="G205" s="1" t="str">
        <f>IFERROR(__xludf.DUMMYFUNCTION("""COMPUTED_VALUE"""),"Musique")</f>
        <v>Musique</v>
      </c>
      <c r="H205" s="1" t="str">
        <f>IFERROR(__xludf.DUMMYFUNCTION("""COMPUTED_VALUE"""),"Seulement les soirs de pleine lune")</f>
        <v>Seulement les soirs de pleine lune</v>
      </c>
      <c r="I205" s="1" t="str">
        <f>IFERROR(__xludf.DUMMYFUNCTION("""COMPUTED_VALUE"""),"Le dimanche à 15h32 s'il fait beau")</f>
        <v>Le dimanche à 15h32 s'il fait beau</v>
      </c>
      <c r="J205" s="1" t="str">
        <f>IFERROR(__xludf.DUMMYFUNCTION("""COMPUTED_VALUE"""),"Pour le fun")</f>
        <v>Pour le fun</v>
      </c>
      <c r="K205" s="1" t="str">
        <f>IFERROR(__xludf.DUMMYFUNCTION("""COMPUTED_VALUE"""),"Autre")</f>
        <v>Autre</v>
      </c>
      <c r="L205" s="1" t="str">
        <f>IFERROR(__xludf.DUMMYFUNCTION("""COMPUTED_VALUE"""),"J'aime cuisiner le WE ou quand j'ai le temps")</f>
        <v>J'aime cuisiner le WE ou quand j'ai le temps</v>
      </c>
      <c r="M205" s="1">
        <f>IFERROR(__xludf.DUMMYFUNCTION("""COMPUTED_VALUE"""),6.0)</f>
        <v>6</v>
      </c>
      <c r="N205" s="1" t="str">
        <f>IFERROR(__xludf.DUMMYFUNCTION("""COMPUTED_VALUE"""),"Plusieurs fois par semaine")</f>
        <v>Plusieurs fois par semaine</v>
      </c>
      <c r="O205" s="1" t="str">
        <f>IFERROR(__xludf.DUMMYFUNCTION("""COMPUTED_VALUE"""),"Tu te poses dans un coin, chill !!")</f>
        <v>Tu te poses dans un coin, chill !!</v>
      </c>
      <c r="P205" s="1">
        <f>IFERROR(__xludf.DUMMYFUNCTION("""COMPUTED_VALUE"""),4.0)</f>
        <v>4</v>
      </c>
      <c r="Q205" s="1" t="str">
        <f>IFERROR(__xludf.DUMMYFUNCTION("""COMPUTED_VALUE"""),"Non")</f>
        <v>Non</v>
      </c>
      <c r="R205" s="1" t="str">
        <f>IFERROR(__xludf.DUMMYFUNCTION("""COMPUTED_VALUE"""),"Non")</f>
        <v>Non</v>
      </c>
      <c r="S205" s="1" t="str">
        <f>IFERROR(__xludf.DUMMYFUNCTION("""COMPUTED_VALUE"""),"azerty44")</f>
        <v>azerty44</v>
      </c>
      <c r="T205" s="1" t="str">
        <f>IFERROR(__xludf.DUMMYFUNCTION("""COMPUTED_VALUE"""),"jsais ap")</f>
        <v>jsais ap</v>
      </c>
      <c r="U205" t="str">
        <f>IFERROR(__xludf.DUMMYFUNCTION("""COMPUTED_VALUE"""),"")</f>
        <v/>
      </c>
      <c r="V205" t="str">
        <f>IFERROR(__xludf.DUMMYFUNCTION("""COMPUTED_VALUE"""),"")</f>
        <v/>
      </c>
      <c r="W205" t="str">
        <f>IFERROR(__xludf.DUMMYFUNCTION("""COMPUTED_VALUE"""),"")</f>
        <v/>
      </c>
      <c r="X205" t="str">
        <f>IFERROR(__xludf.DUMMYFUNCTION("""COMPUTED_VALUE"""),"")</f>
        <v/>
      </c>
      <c r="Y205" t="str">
        <f>IFERROR(__xludf.DUMMYFUNCTION("""COMPUTED_VALUE"""),"")</f>
        <v/>
      </c>
      <c r="Z205" t="str">
        <f>IFERROR(__xludf.DUMMYFUNCTION("""COMPUTED_VALUE"""),"")</f>
        <v/>
      </c>
      <c r="AA205" t="str">
        <f>IFERROR(__xludf.DUMMYFUNCTION("""COMPUTED_VALUE"""),"")</f>
        <v/>
      </c>
      <c r="AB205" t="str">
        <f>IFERROR(__xludf.DUMMYFUNCTION("""COMPUTED_VALUE"""),"")</f>
        <v/>
      </c>
    </row>
    <row r="206">
      <c r="A206" s="2">
        <f>IFERROR(__xludf.DUMMYFUNCTION("""COMPUTED_VALUE"""),43639.75481333333)</f>
        <v>43639.75481</v>
      </c>
      <c r="B206" s="1" t="str">
        <f>IFERROR(__xludf.DUMMYFUNCTION("""COMPUTED_VALUE"""),"Gauthier PEZZOLI")</f>
        <v>Gauthier PEZZOLI</v>
      </c>
      <c r="C20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6" s="1" t="str">
        <f>IFERROR(__xludf.DUMMYFUNCTION("""COMPUTED_VALUE"""),"BDS")</f>
        <v>BDS</v>
      </c>
      <c r="E206" s="1">
        <f>IFERROR(__xludf.DUMMYFUNCTION("""COMPUTED_VALUE"""),5.0)</f>
        <v>5</v>
      </c>
      <c r="F206" s="1" t="str">
        <f>IFERROR(__xludf.DUMMYFUNCTION("""COMPUTED_VALUE"""),"Rock, Metal, Electro hard")</f>
        <v>Rock, Metal, Electro hard</v>
      </c>
      <c r="G206" s="1" t="str">
        <f>IFERROR(__xludf.DUMMYFUNCTION("""COMPUTED_VALUE"""),"Théâtre, Cinéma")</f>
        <v>Théâtre, Cinéma</v>
      </c>
      <c r="H206" s="1" t="str">
        <f>IFERROR(__xludf.DUMMYFUNCTION("""COMPUTED_VALUE"""),"Quelques fois par semaine")</f>
        <v>Quelques fois par semaine</v>
      </c>
      <c r="I206" s="1" t="str">
        <f>IFERROR(__xludf.DUMMYFUNCTION("""COMPUTED_VALUE"""),"Plusieurs fois par semaine")</f>
        <v>Plusieurs fois par semaine</v>
      </c>
      <c r="J206" s="1" t="str">
        <f>IFERROR(__xludf.DUMMYFUNCTION("""COMPUTED_VALUE"""),"Pour le fun")</f>
        <v>Pour le fun</v>
      </c>
      <c r="K206" s="1" t="str">
        <f>IFERROR(__xludf.DUMMYFUNCTION("""COMPUTED_VALUE"""),"Sports collectifs")</f>
        <v>Sports collectifs</v>
      </c>
      <c r="L206" s="1" t="str">
        <f>IFERROR(__xludf.DUMMYFUNCTION("""COMPUTED_VALUE"""),"J'aime cuisiner le WE ou quand j'ai le temps")</f>
        <v>J'aime cuisiner le WE ou quand j'ai le temps</v>
      </c>
      <c r="M206" s="1">
        <f>IFERROR(__xludf.DUMMYFUNCTION("""COMPUTED_VALUE"""),7.0)</f>
        <v>7</v>
      </c>
      <c r="N206" s="1" t="str">
        <f>IFERROR(__xludf.DUMMYFUNCTION("""COMPUTED_VALUE"""),"Une fois par semaine")</f>
        <v>Une fois par semaine</v>
      </c>
      <c r="O206" s="1" t="str">
        <f>IFERROR(__xludf.DUMMYFUNCTION("""COMPUTED_VALUE"""),"Tu te poses dans un coin, chill !!")</f>
        <v>Tu te poses dans un coin, chill !!</v>
      </c>
      <c r="P206" s="1">
        <f>IFERROR(__xludf.DUMMYFUNCTION("""COMPUTED_VALUE"""),1.0)</f>
        <v>1</v>
      </c>
      <c r="Q206" s="1" t="str">
        <f>IFERROR(__xludf.DUMMYFUNCTION("""COMPUTED_VALUE"""),"Non")</f>
        <v>Non</v>
      </c>
      <c r="R206" s="1" t="str">
        <f>IFERROR(__xludf.DUMMYFUNCTION("""COMPUTED_VALUE"""),"Non")</f>
        <v>Non</v>
      </c>
      <c r="S206" s="1" t="str">
        <f>IFERROR(__xludf.DUMMYFUNCTION("""COMPUTED_VALUE"""),"azerty44")</f>
        <v>azerty44</v>
      </c>
      <c r="T206" s="1" t="str">
        <f>IFERROR(__xludf.DUMMYFUNCTION("""COMPUTED_VALUE"""),"Un rubix cube ou bien un lien vers ma chaîne YT")</f>
        <v>Un rubix cube ou bien un lien vers ma chaîne YT</v>
      </c>
      <c r="U206" t="str">
        <f>IFERROR(__xludf.DUMMYFUNCTION("""COMPUTED_VALUE"""),"")</f>
        <v/>
      </c>
      <c r="V206" t="str">
        <f>IFERROR(__xludf.DUMMYFUNCTION("""COMPUTED_VALUE"""),"")</f>
        <v/>
      </c>
      <c r="W206" t="str">
        <f>IFERROR(__xludf.DUMMYFUNCTION("""COMPUTED_VALUE"""),"")</f>
        <v/>
      </c>
      <c r="X206" t="str">
        <f>IFERROR(__xludf.DUMMYFUNCTION("""COMPUTED_VALUE"""),"")</f>
        <v/>
      </c>
      <c r="Y206" t="str">
        <f>IFERROR(__xludf.DUMMYFUNCTION("""COMPUTED_VALUE"""),"")</f>
        <v/>
      </c>
      <c r="Z206" t="str">
        <f>IFERROR(__xludf.DUMMYFUNCTION("""COMPUTED_VALUE"""),"")</f>
        <v/>
      </c>
      <c r="AA206" t="str">
        <f>IFERROR(__xludf.DUMMYFUNCTION("""COMPUTED_VALUE"""),"")</f>
        <v/>
      </c>
      <c r="AB206" t="str">
        <f>IFERROR(__xludf.DUMMYFUNCTION("""COMPUTED_VALUE"""),"")</f>
        <v/>
      </c>
    </row>
    <row r="207">
      <c r="A207" s="2">
        <f>IFERROR(__xludf.DUMMYFUNCTION("""COMPUTED_VALUE"""),43639.75851344907)</f>
        <v>43639.75851</v>
      </c>
      <c r="B207" s="1" t="str">
        <f>IFERROR(__xludf.DUMMYFUNCTION("""COMPUTED_VALUE"""),"Théo Hennion")</f>
        <v>Théo Hennion</v>
      </c>
      <c r="C20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7" s="1" t="str">
        <f>IFERROR(__xludf.DUMMYFUNCTION("""COMPUTED_VALUE"""),"BDS")</f>
        <v>BDS</v>
      </c>
      <c r="E207" s="1">
        <f>IFERROR(__xludf.DUMMYFUNCTION("""COMPUTED_VALUE"""),1.0)</f>
        <v>1</v>
      </c>
      <c r="F207" s="1" t="str">
        <f>IFERROR(__xludf.DUMMYFUNCTION("""COMPUTED_VALUE"""),"Rock, Electro posée, Rap, Pop, Musique fançaise, Jazz, Kpop, Autre")</f>
        <v>Rock, Electro posée, Rap, Pop, Musique fançaise, Jazz, Kpop, Autre</v>
      </c>
      <c r="G207" s="1" t="str">
        <f>IFERROR(__xludf.DUMMYFUNCTION("""COMPUTED_VALUE"""),"Peinture, Danse, Musique, Théâtre, Cinéma, Graphisme")</f>
        <v>Peinture, Danse, Musique, Théâtre, Cinéma, Graphisme</v>
      </c>
      <c r="H207" s="1" t="str">
        <f>IFERROR(__xludf.DUMMYFUNCTION("""COMPUTED_VALUE"""),"Une fois par jour")</f>
        <v>Une fois par jour</v>
      </c>
      <c r="I207" s="1" t="str">
        <f>IFERROR(__xludf.DUMMYFUNCTION("""COMPUTED_VALUE"""),"Une fois par jour")</f>
        <v>Une fois par jour</v>
      </c>
      <c r="J207" s="1" t="str">
        <f>IFERROR(__xludf.DUMMYFUNCTION("""COMPUTED_VALUE"""),"Pour la compet")</f>
        <v>Pour la compet</v>
      </c>
      <c r="K207" s="1" t="str">
        <f>IFERROR(__xludf.DUMMYFUNCTION("""COMPUTED_VALUE"""),"Sports de raquette, Athlétisme, Sports de combat, Escalade, Autre")</f>
        <v>Sports de raquette, Athlétisme, Sports de combat, Escalade, Autre</v>
      </c>
      <c r="L207" s="1" t="str">
        <f>IFERROR(__xludf.DUMMYFUNCTION("""COMPUTED_VALUE"""),"J'aime cuisiner le WE ou quand j'ai le temps")</f>
        <v>J'aime cuisiner le WE ou quand j'ai le temps</v>
      </c>
      <c r="M207" s="1">
        <f>IFERROR(__xludf.DUMMYFUNCTION("""COMPUTED_VALUE"""),9.0)</f>
        <v>9</v>
      </c>
      <c r="N207" s="1" t="str">
        <f>IFERROR(__xludf.DUMMYFUNCTION("""COMPUTED_VALUE"""),"Plusieurs fois par semaine")</f>
        <v>Plusieurs fois par semaine</v>
      </c>
      <c r="O207" s="1" t="str">
        <f>IFERROR(__xludf.DUMMYFUNCTION("""COMPUTED_VALUE"""),"T'enflammes le dancefloor")</f>
        <v>T'enflammes le dancefloor</v>
      </c>
      <c r="P207" s="1">
        <f>IFERROR(__xludf.DUMMYFUNCTION("""COMPUTED_VALUE"""),4.0)</f>
        <v>4</v>
      </c>
      <c r="Q207" s="1" t="str">
        <f>IFERROR(__xludf.DUMMYFUNCTION("""COMPUTED_VALUE"""),"Oui")</f>
        <v>Oui</v>
      </c>
      <c r="R207" s="1" t="str">
        <f>IFERROR(__xludf.DUMMYFUNCTION("""COMPUTED_VALUE"""),"Non")</f>
        <v>Non</v>
      </c>
      <c r="S207" s="1" t="str">
        <f>IFERROR(__xludf.DUMMYFUNCTION("""COMPUTED_VALUE"""),"Parainplégiques")</f>
        <v>Parainplégiques</v>
      </c>
      <c r="T207" s="1" t="str">
        <f>IFERROR(__xludf.DUMMYFUNCTION("""COMPUTED_VALUE"""),"Un truc de boxe ou un truc de switch")</f>
        <v>Un truc de boxe ou un truc de switch</v>
      </c>
      <c r="U207" t="str">
        <f>IFERROR(__xludf.DUMMYFUNCTION("""COMPUTED_VALUE"""),"")</f>
        <v/>
      </c>
      <c r="V207" t="str">
        <f>IFERROR(__xludf.DUMMYFUNCTION("""COMPUTED_VALUE"""),"")</f>
        <v/>
      </c>
      <c r="W207" t="str">
        <f>IFERROR(__xludf.DUMMYFUNCTION("""COMPUTED_VALUE"""),"")</f>
        <v/>
      </c>
      <c r="X207" t="str">
        <f>IFERROR(__xludf.DUMMYFUNCTION("""COMPUTED_VALUE"""),"")</f>
        <v/>
      </c>
      <c r="Y207" t="str">
        <f>IFERROR(__xludf.DUMMYFUNCTION("""COMPUTED_VALUE"""),"")</f>
        <v/>
      </c>
      <c r="Z207" t="str">
        <f>IFERROR(__xludf.DUMMYFUNCTION("""COMPUTED_VALUE"""),"")</f>
        <v/>
      </c>
      <c r="AA207" t="str">
        <f>IFERROR(__xludf.DUMMYFUNCTION("""COMPUTED_VALUE"""),"")</f>
        <v/>
      </c>
      <c r="AB207" t="str">
        <f>IFERROR(__xludf.DUMMYFUNCTION("""COMPUTED_VALUE"""),"")</f>
        <v/>
      </c>
    </row>
    <row r="208">
      <c r="A208" s="2">
        <f>IFERROR(__xludf.DUMMYFUNCTION("""COMPUTED_VALUE"""),43639.7613859375)</f>
        <v>43639.76139</v>
      </c>
      <c r="B208" s="1" t="str">
        <f>IFERROR(__xludf.DUMMYFUNCTION("""COMPUTED_VALUE"""),"Clément Wozniak")</f>
        <v>Clément Wozniak</v>
      </c>
      <c r="C208" s="1" t="str">
        <f>IFERROR(__xludf.DUMMYFUNCTION("""COMPUTED_VALUE"""),"Le président et un inconnu")</f>
        <v>Le président et un inconnu</v>
      </c>
      <c r="D208" s="1" t="str">
        <f>IFERROR(__xludf.DUMMYFUNCTION("""COMPUTED_VALUE"""),"BDS")</f>
        <v>BDS</v>
      </c>
      <c r="E208" s="1">
        <f>IFERROR(__xludf.DUMMYFUNCTION("""COMPUTED_VALUE"""),2.0)</f>
        <v>2</v>
      </c>
      <c r="F208" s="1" t="str">
        <f>IFERROR(__xludf.DUMMYFUNCTION("""COMPUTED_VALUE"""),"Rock, Electro posée, Pop, Musique fançaise, Jazz, Musique classique")</f>
        <v>Rock, Electro posée, Pop, Musique fançaise, Jazz, Musique classique</v>
      </c>
      <c r="G208" s="1" t="str">
        <f>IFERROR(__xludf.DUMMYFUNCTION("""COMPUTED_VALUE"""),"Littérature, Musique, Cinéma")</f>
        <v>Littérature, Musique, Cinéma</v>
      </c>
      <c r="H208" s="1" t="str">
        <f>IFERROR(__xludf.DUMMYFUNCTION("""COMPUTED_VALUE"""),"Quelques fois par semaine")</f>
        <v>Quelques fois par semaine</v>
      </c>
      <c r="I208" s="1" t="str">
        <f>IFERROR(__xludf.DUMMYFUNCTION("""COMPUTED_VALUE"""),"Plusieurs fois par semaine")</f>
        <v>Plusieurs fois par semaine</v>
      </c>
      <c r="J208" s="1" t="str">
        <f>IFERROR(__xludf.DUMMYFUNCTION("""COMPUTED_VALUE"""),"Pour la compet")</f>
        <v>Pour la compet</v>
      </c>
      <c r="K208" s="1" t="str">
        <f>IFERROR(__xludf.DUMMYFUNCTION("""COMPUTED_VALUE"""),"Sports collectifs, Sports de raquette")</f>
        <v>Sports collectifs, Sports de raquette</v>
      </c>
      <c r="L208" s="1" t="str">
        <f>IFERROR(__xludf.DUMMYFUNCTION("""COMPUTED_VALUE"""),"Oh oui, et les trucs bien gras ça me connait !")</f>
        <v>Oh oui, et les trucs bien gras ça me connait !</v>
      </c>
      <c r="M208" s="1">
        <f>IFERROR(__xludf.DUMMYFUNCTION("""COMPUTED_VALUE"""),8.0)</f>
        <v>8</v>
      </c>
      <c r="N208" s="1" t="str">
        <f>IFERROR(__xludf.DUMMYFUNCTION("""COMPUTED_VALUE"""),"Plusieurs fois par semaine")</f>
        <v>Plusieurs fois par semaine</v>
      </c>
      <c r="O208" s="1" t="str">
        <f>IFERROR(__xludf.DUMMYFUNCTION("""COMPUTED_VALUE"""),"T'enflammes le dancefloor")</f>
        <v>T'enflammes le dancefloor</v>
      </c>
      <c r="P208" s="1">
        <f>IFERROR(__xludf.DUMMYFUNCTION("""COMPUTED_VALUE"""),3.0)</f>
        <v>3</v>
      </c>
      <c r="Q208" s="1" t="str">
        <f>IFERROR(__xludf.DUMMYFUNCTION("""COMPUTED_VALUE"""),"Non")</f>
        <v>Non</v>
      </c>
      <c r="R208" s="1" t="str">
        <f>IFERROR(__xludf.DUMMYFUNCTION("""COMPUTED_VALUE"""),"Non")</f>
        <v>Non</v>
      </c>
      <c r="S208" s="1" t="str">
        <f>IFERROR(__xludf.DUMMYFUNCTION("""COMPUTED_VALUE"""),"Les parainplegiques")</f>
        <v>Les parainplegiques</v>
      </c>
      <c r="T208" s="1" t="str">
        <f>IFERROR(__xludf.DUMMYFUNCTION("""COMPUTED_VALUE"""),"Oreiller")</f>
        <v>Oreiller</v>
      </c>
      <c r="U208" t="str">
        <f>IFERROR(__xludf.DUMMYFUNCTION("""COMPUTED_VALUE"""),"")</f>
        <v/>
      </c>
      <c r="V208" t="str">
        <f>IFERROR(__xludf.DUMMYFUNCTION("""COMPUTED_VALUE"""),"")</f>
        <v/>
      </c>
      <c r="W208" t="str">
        <f>IFERROR(__xludf.DUMMYFUNCTION("""COMPUTED_VALUE"""),"")</f>
        <v/>
      </c>
      <c r="X208" t="str">
        <f>IFERROR(__xludf.DUMMYFUNCTION("""COMPUTED_VALUE"""),"")</f>
        <v/>
      </c>
      <c r="Y208" t="str">
        <f>IFERROR(__xludf.DUMMYFUNCTION("""COMPUTED_VALUE"""),"")</f>
        <v/>
      </c>
      <c r="Z208" t="str">
        <f>IFERROR(__xludf.DUMMYFUNCTION("""COMPUTED_VALUE"""),"")</f>
        <v/>
      </c>
      <c r="AA208" t="str">
        <f>IFERROR(__xludf.DUMMYFUNCTION("""COMPUTED_VALUE"""),"")</f>
        <v/>
      </c>
      <c r="AB208" t="str">
        <f>IFERROR(__xludf.DUMMYFUNCTION("""COMPUTED_VALUE"""),"")</f>
        <v/>
      </c>
    </row>
    <row r="209">
      <c r="A209" s="2">
        <f>IFERROR(__xludf.DUMMYFUNCTION("""COMPUTED_VALUE"""),43639.81917097222)</f>
        <v>43639.81917</v>
      </c>
      <c r="B209" s="1" t="str">
        <f>IFERROR(__xludf.DUMMYFUNCTION("""COMPUTED_VALUE"""),"Cyriane BIENVENUE")</f>
        <v>Cyriane BIENVENUE</v>
      </c>
      <c r="C20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09" s="1" t="str">
        <f>IFERROR(__xludf.DUMMYFUNCTION("""COMPUTED_VALUE"""),"BDE")</f>
        <v>BDE</v>
      </c>
      <c r="E209" s="1">
        <f>IFERROR(__xludf.DUMMYFUNCTION("""COMPUTED_VALUE"""),4.0)</f>
        <v>4</v>
      </c>
      <c r="F209" s="1" t="str">
        <f>IFERROR(__xludf.DUMMYFUNCTION("""COMPUTED_VALUE"""),"Pop, Musique fançaise")</f>
        <v>Pop, Musique fançaise</v>
      </c>
      <c r="G209" s="1" t="str">
        <f>IFERROR(__xludf.DUMMYFUNCTION("""COMPUTED_VALUE"""),"Peinture, Littérature, Danse, Musique")</f>
        <v>Peinture, Littérature, Danse, Musique</v>
      </c>
      <c r="H209" s="1" t="str">
        <f>IFERROR(__xludf.DUMMYFUNCTION("""COMPUTED_VALUE"""),"Seulement les soirs de pleine lune")</f>
        <v>Seulement les soirs de pleine lune</v>
      </c>
      <c r="I209" s="1" t="str">
        <f>IFERROR(__xludf.DUMMYFUNCTION("""COMPUTED_VALUE"""),"Une fois par semaine")</f>
        <v>Une fois par semaine</v>
      </c>
      <c r="J209" s="1" t="str">
        <f>IFERROR(__xludf.DUMMYFUNCTION("""COMPUTED_VALUE"""),"Pour le fun")</f>
        <v>Pour le fun</v>
      </c>
      <c r="K209" s="1" t="str">
        <f>IFERROR(__xludf.DUMMYFUNCTION("""COMPUTED_VALUE"""),"Voile")</f>
        <v>Voile</v>
      </c>
      <c r="L209" s="1" t="str">
        <f>IFERROR(__xludf.DUMMYFUNCTION("""COMPUTED_VALUE"""),"J'aime cuisiner le WE ou quand j'ai le temps")</f>
        <v>J'aime cuisiner le WE ou quand j'ai le temps</v>
      </c>
      <c r="M209" s="1">
        <f>IFERROR(__xludf.DUMMYFUNCTION("""COMPUTED_VALUE"""),5.0)</f>
        <v>5</v>
      </c>
      <c r="N209" s="1" t="str">
        <f>IFERROR(__xludf.DUMMYFUNCTION("""COMPUTED_VALUE"""),"Une fois par semaine")</f>
        <v>Une fois par semaine</v>
      </c>
      <c r="O209" s="1" t="str">
        <f>IFERROR(__xludf.DUMMYFUNCTION("""COMPUTED_VALUE"""),"Tu te poses dans un coin, chill !!")</f>
        <v>Tu te poses dans un coin, chill !!</v>
      </c>
      <c r="P209" s="1">
        <f>IFERROR(__xludf.DUMMYFUNCTION("""COMPUTED_VALUE"""),1.0)</f>
        <v>1</v>
      </c>
      <c r="Q209" s="1" t="str">
        <f>IFERROR(__xludf.DUMMYFUNCTION("""COMPUTED_VALUE"""),"Non")</f>
        <v>Non</v>
      </c>
      <c r="R209" s="1" t="str">
        <f>IFERROR(__xludf.DUMMYFUNCTION("""COMPUTED_VALUE"""),"Non")</f>
        <v>Non</v>
      </c>
      <c r="S209" s="1" t="str">
        <f>IFERROR(__xludf.DUMMYFUNCTION("""COMPUTED_VALUE"""),"Le Kraal")</f>
        <v>Le Kraal</v>
      </c>
      <c r="T209" s="1" t="str">
        <f>IFERROR(__xludf.DUMMYFUNCTION("""COMPUTED_VALUE"""),"Des gants de voile")</f>
        <v>Des gants de voile</v>
      </c>
      <c r="U209" t="str">
        <f>IFERROR(__xludf.DUMMYFUNCTION("""COMPUTED_VALUE"""),"")</f>
        <v/>
      </c>
      <c r="V209" t="str">
        <f>IFERROR(__xludf.DUMMYFUNCTION("""COMPUTED_VALUE"""),"")</f>
        <v/>
      </c>
      <c r="W209" t="str">
        <f>IFERROR(__xludf.DUMMYFUNCTION("""COMPUTED_VALUE"""),"")</f>
        <v/>
      </c>
      <c r="X209" t="str">
        <f>IFERROR(__xludf.DUMMYFUNCTION("""COMPUTED_VALUE"""),"")</f>
        <v/>
      </c>
      <c r="Y209" t="str">
        <f>IFERROR(__xludf.DUMMYFUNCTION("""COMPUTED_VALUE"""),"")</f>
        <v/>
      </c>
      <c r="Z209" t="str">
        <f>IFERROR(__xludf.DUMMYFUNCTION("""COMPUTED_VALUE"""),"")</f>
        <v/>
      </c>
      <c r="AA209" t="str">
        <f>IFERROR(__xludf.DUMMYFUNCTION("""COMPUTED_VALUE"""),"")</f>
        <v/>
      </c>
      <c r="AB209" t="str">
        <f>IFERROR(__xludf.DUMMYFUNCTION("""COMPUTED_VALUE"""),"")</f>
        <v/>
      </c>
    </row>
    <row r="210">
      <c r="A210" s="2">
        <f>IFERROR(__xludf.DUMMYFUNCTION("""COMPUTED_VALUE"""),43639.84579472222)</f>
        <v>43639.84579</v>
      </c>
      <c r="B210" s="1" t="str">
        <f>IFERROR(__xludf.DUMMYFUNCTION("""COMPUTED_VALUE"""),"Marius MENAULT")</f>
        <v>Marius MENAULT</v>
      </c>
      <c r="C210" s="1" t="str">
        <f>IFERROR(__xludf.DUMMYFUNCTION("""COMPUTED_VALUE"""),"Le président et un inconnu")</f>
        <v>Le président et un inconnu</v>
      </c>
      <c r="D210" s="1" t="str">
        <f>IFERROR(__xludf.DUMMYFUNCTION("""COMPUTED_VALUE"""),"BDE")</f>
        <v>BDE</v>
      </c>
      <c r="E210" s="1">
        <f>IFERROR(__xludf.DUMMYFUNCTION("""COMPUTED_VALUE"""),4.0)</f>
        <v>4</v>
      </c>
      <c r="F210" s="1" t="str">
        <f>IFERROR(__xludf.DUMMYFUNCTION("""COMPUTED_VALUE"""),"Rock, Electro posée, Electro hard, Rap, Pop")</f>
        <v>Rock, Electro posée, Electro hard, Rap, Pop</v>
      </c>
      <c r="G210" s="1" t="str">
        <f>IFERROR(__xludf.DUMMYFUNCTION("""COMPUTED_VALUE"""),"Peinture, Sculpture, Danse, Musique, Théâtre, Cinéma, Graphisme, Autre")</f>
        <v>Peinture, Sculpture, Danse, Musique, Théâtre, Cinéma, Graphisme, Autre</v>
      </c>
      <c r="H210" s="1" t="str">
        <f>IFERROR(__xludf.DUMMYFUNCTION("""COMPUTED_VALUE"""),"Une fois de temps en temps")</f>
        <v>Une fois de temps en temps</v>
      </c>
      <c r="I210" s="1" t="str">
        <f>IFERROR(__xludf.DUMMYFUNCTION("""COMPUTED_VALUE"""),"Plusieurs fois par semaine")</f>
        <v>Plusieurs fois par semaine</v>
      </c>
      <c r="J210" s="1" t="str">
        <f>IFERROR(__xludf.DUMMYFUNCTION("""COMPUTED_VALUE"""),"Pour le fun")</f>
        <v>Pour le fun</v>
      </c>
      <c r="K210" s="1" t="str">
        <f>IFERROR(__xludf.DUMMYFUNCTION("""COMPUTED_VALUE"""),"Sports collectifs, Sports de raquette, Sports de rames, Sports aquatiques, Escalade, Autre")</f>
        <v>Sports collectifs, Sports de raquette, Sports de rames, Sports aquatiques, Escalade, Autre</v>
      </c>
      <c r="L210" s="1" t="str">
        <f>IFERROR(__xludf.DUMMYFUNCTION("""COMPUTED_VALUE"""),"Je fais toujours attention à bien manger")</f>
        <v>Je fais toujours attention à bien manger</v>
      </c>
      <c r="M210" s="1">
        <f>IFERROR(__xludf.DUMMYFUNCTION("""COMPUTED_VALUE"""),8.0)</f>
        <v>8</v>
      </c>
      <c r="N210" s="1" t="str">
        <f>IFERROR(__xludf.DUMMYFUNCTION("""COMPUTED_VALUE"""),"Une fois par semaine")</f>
        <v>Une fois par semaine</v>
      </c>
      <c r="O210" s="1" t="str">
        <f>IFERROR(__xludf.DUMMYFUNCTION("""COMPUTED_VALUE"""),"T'enflammes le dancefloor")</f>
        <v>T'enflammes le dancefloor</v>
      </c>
      <c r="P210" s="1">
        <f>IFERROR(__xludf.DUMMYFUNCTION("""COMPUTED_VALUE"""),4.0)</f>
        <v>4</v>
      </c>
      <c r="Q210" s="1" t="str">
        <f>IFERROR(__xludf.DUMMYFUNCTION("""COMPUTED_VALUE"""),"Oui")</f>
        <v>Oui</v>
      </c>
      <c r="R210" s="1" t="str">
        <f>IFERROR(__xludf.DUMMYFUNCTION("""COMPUTED_VALUE"""),"Non")</f>
        <v>Non</v>
      </c>
      <c r="S210" s="1" t="str">
        <f>IFERROR(__xludf.DUMMYFUNCTION("""COMPUTED_VALUE"""),"La dezing")</f>
        <v>La dezing</v>
      </c>
      <c r="T210" s="1" t="str">
        <f>IFERROR(__xludf.DUMMYFUNCTION("""COMPUTED_VALUE"""),"Des chaussettes")</f>
        <v>Des chaussettes</v>
      </c>
      <c r="U210" t="str">
        <f>IFERROR(__xludf.DUMMYFUNCTION("""COMPUTED_VALUE"""),"")</f>
        <v/>
      </c>
      <c r="V210" t="str">
        <f>IFERROR(__xludf.DUMMYFUNCTION("""COMPUTED_VALUE"""),"")</f>
        <v/>
      </c>
      <c r="W210" t="str">
        <f>IFERROR(__xludf.DUMMYFUNCTION("""COMPUTED_VALUE"""),"")</f>
        <v/>
      </c>
      <c r="X210" t="str">
        <f>IFERROR(__xludf.DUMMYFUNCTION("""COMPUTED_VALUE"""),"")</f>
        <v/>
      </c>
      <c r="Y210" t="str">
        <f>IFERROR(__xludf.DUMMYFUNCTION("""COMPUTED_VALUE"""),"")</f>
        <v/>
      </c>
      <c r="Z210" t="str">
        <f>IFERROR(__xludf.DUMMYFUNCTION("""COMPUTED_VALUE"""),"")</f>
        <v/>
      </c>
      <c r="AA210" t="str">
        <f>IFERROR(__xludf.DUMMYFUNCTION("""COMPUTED_VALUE"""),"")</f>
        <v/>
      </c>
      <c r="AB210" t="str">
        <f>IFERROR(__xludf.DUMMYFUNCTION("""COMPUTED_VALUE"""),"")</f>
        <v/>
      </c>
    </row>
    <row r="211">
      <c r="A211" s="2">
        <f>IFERROR(__xludf.DUMMYFUNCTION("""COMPUTED_VALUE"""),43639.858838263885)</f>
        <v>43639.85884</v>
      </c>
      <c r="B211" s="1" t="str">
        <f>IFERROR(__xludf.DUMMYFUNCTION("""COMPUTED_VALUE"""),"Amine CHEKROUD")</f>
        <v>Amine CHEKROUD</v>
      </c>
      <c r="C21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1" s="1" t="str">
        <f>IFERROR(__xludf.DUMMYFUNCTION("""COMPUTED_VALUE"""),"BDA")</f>
        <v>BDA</v>
      </c>
      <c r="E211" s="1">
        <f>IFERROR(__xludf.DUMMYFUNCTION("""COMPUTED_VALUE"""),3.0)</f>
        <v>3</v>
      </c>
      <c r="F211" s="1" t="str">
        <f>IFERROR(__xludf.DUMMYFUNCTION("""COMPUTED_VALUE"""),"Rap, Pop, Musique classique")</f>
        <v>Rap, Pop, Musique classique</v>
      </c>
      <c r="G211" s="1" t="str">
        <f>IFERROR(__xludf.DUMMYFUNCTION("""COMPUTED_VALUE"""),"Musique")</f>
        <v>Musique</v>
      </c>
      <c r="H211" s="1" t="str">
        <f>IFERROR(__xludf.DUMMYFUNCTION("""COMPUTED_VALUE"""),"Quelques fois par semaine")</f>
        <v>Quelques fois par semaine</v>
      </c>
      <c r="I211" s="1" t="str">
        <f>IFERROR(__xludf.DUMMYFUNCTION("""COMPUTED_VALUE"""),"Plusieurs fois par semaine")</f>
        <v>Plusieurs fois par semaine</v>
      </c>
      <c r="J211" s="1" t="str">
        <f>IFERROR(__xludf.DUMMYFUNCTION("""COMPUTED_VALUE"""),"Pour le développement perso et se dépasser")</f>
        <v>Pour le développement perso et se dépasser</v>
      </c>
      <c r="K211" s="1" t="str">
        <f>IFERROR(__xludf.DUMMYFUNCTION("""COMPUTED_VALUE"""),"Sports collectifs")</f>
        <v>Sports collectifs</v>
      </c>
      <c r="L211" s="1" t="str">
        <f>IFERROR(__xludf.DUMMYFUNCTION("""COMPUTED_VALUE"""),"Alterner entre grec et coquillettes ça compte ?")</f>
        <v>Alterner entre grec et coquillettes ça compte ?</v>
      </c>
      <c r="M211" s="1">
        <f>IFERROR(__xludf.DUMMYFUNCTION("""COMPUTED_VALUE"""),1.0)</f>
        <v>1</v>
      </c>
      <c r="N211" s="1" t="str">
        <f>IFERROR(__xludf.DUMMYFUNCTION("""COMPUTED_VALUE"""),"Une fois par semaine")</f>
        <v>Une fois par semaine</v>
      </c>
      <c r="O211" s="1" t="str">
        <f>IFERROR(__xludf.DUMMYFUNCTION("""COMPUTED_VALUE"""),"Tu te poses dans un coin, chill !!")</f>
        <v>Tu te poses dans un coin, chill !!</v>
      </c>
      <c r="P211" s="1">
        <f>IFERROR(__xludf.DUMMYFUNCTION("""COMPUTED_VALUE"""),3.0)</f>
        <v>3</v>
      </c>
      <c r="Q211" s="1" t="str">
        <f>IFERROR(__xludf.DUMMYFUNCTION("""COMPUTED_VALUE"""),"Non")</f>
        <v>Non</v>
      </c>
      <c r="R211" s="1" t="str">
        <f>IFERROR(__xludf.DUMMYFUNCTION("""COMPUTED_VALUE"""),"Non")</f>
        <v>Non</v>
      </c>
      <c r="S211" s="1" t="str">
        <f>IFERROR(__xludf.DUMMYFUNCTION("""COMPUTED_VALUE"""),"Discorde")</f>
        <v>Discorde</v>
      </c>
      <c r="T211" s="1" t="str">
        <f>IFERROR(__xludf.DUMMYFUNCTION("""COMPUTED_VALUE"""),"Je sais pas")</f>
        <v>Je sais pas</v>
      </c>
      <c r="U211" t="str">
        <f>IFERROR(__xludf.DUMMYFUNCTION("""COMPUTED_VALUE"""),"")</f>
        <v/>
      </c>
      <c r="V211" t="str">
        <f>IFERROR(__xludf.DUMMYFUNCTION("""COMPUTED_VALUE"""),"")</f>
        <v/>
      </c>
      <c r="W211" t="str">
        <f>IFERROR(__xludf.DUMMYFUNCTION("""COMPUTED_VALUE"""),"")</f>
        <v/>
      </c>
      <c r="X211" t="str">
        <f>IFERROR(__xludf.DUMMYFUNCTION("""COMPUTED_VALUE"""),"")</f>
        <v/>
      </c>
      <c r="Y211" t="str">
        <f>IFERROR(__xludf.DUMMYFUNCTION("""COMPUTED_VALUE"""),"")</f>
        <v/>
      </c>
      <c r="Z211" t="str">
        <f>IFERROR(__xludf.DUMMYFUNCTION("""COMPUTED_VALUE"""),"")</f>
        <v/>
      </c>
      <c r="AA211" t="str">
        <f>IFERROR(__xludf.DUMMYFUNCTION("""COMPUTED_VALUE"""),"")</f>
        <v/>
      </c>
      <c r="AB211" t="str">
        <f>IFERROR(__xludf.DUMMYFUNCTION("""COMPUTED_VALUE"""),"")</f>
        <v/>
      </c>
    </row>
    <row r="212">
      <c r="A212" s="2">
        <f>IFERROR(__xludf.DUMMYFUNCTION("""COMPUTED_VALUE"""),43639.86250728009)</f>
        <v>43639.86251</v>
      </c>
      <c r="B212" s="1" t="str">
        <f>IFERROR(__xludf.DUMMYFUNCTION("""COMPUTED_VALUE"""),"Cyprien MARION")</f>
        <v>Cyprien MARION</v>
      </c>
      <c r="C212" s="1" t="str">
        <f>IFERROR(__xludf.DUMMYFUNCTION("""COMPUTED_VALUE"""),"Le président et un inconnu")</f>
        <v>Le président et un inconnu</v>
      </c>
      <c r="D212" s="1" t="str">
        <f>IFERROR(__xludf.DUMMYFUNCTION("""COMPUTED_VALUE"""),"BDE")</f>
        <v>BDE</v>
      </c>
      <c r="E212" s="1">
        <f>IFERROR(__xludf.DUMMYFUNCTION("""COMPUTED_VALUE"""),4.0)</f>
        <v>4</v>
      </c>
      <c r="F212" s="1" t="str">
        <f>IFERROR(__xludf.DUMMYFUNCTION("""COMPUTED_VALUE"""),"Rock, Pop, Musique fançaise, Musique classique")</f>
        <v>Rock, Pop, Musique fançaise, Musique classique</v>
      </c>
      <c r="G212" s="1" t="str">
        <f>IFERROR(__xludf.DUMMYFUNCTION("""COMPUTED_VALUE"""),"Littérature, Cinéma")</f>
        <v>Littérature, Cinéma</v>
      </c>
      <c r="H212" s="1" t="str">
        <f>IFERROR(__xludf.DUMMYFUNCTION("""COMPUTED_VALUE"""),"Seulement les soirs de pleine lune")</f>
        <v>Seulement les soirs de pleine lune</v>
      </c>
      <c r="I212" s="1" t="str">
        <f>IFERROR(__xludf.DUMMYFUNCTION("""COMPUTED_VALUE"""),"Plusieurs fois par semaine")</f>
        <v>Plusieurs fois par semaine</v>
      </c>
      <c r="J212" s="1" t="str">
        <f>IFERROR(__xludf.DUMMYFUNCTION("""COMPUTED_VALUE"""),"Pour la compet")</f>
        <v>Pour la compet</v>
      </c>
      <c r="K212" s="1" t="str">
        <f>IFERROR(__xludf.DUMMYFUNCTION("""COMPUTED_VALUE"""),"Voile")</f>
        <v>Voile</v>
      </c>
      <c r="L212" s="1" t="str">
        <f>IFERROR(__xludf.DUMMYFUNCTION("""COMPUTED_VALUE"""),"Oh oui, et les trucs bien gras ça me connait !")</f>
        <v>Oh oui, et les trucs bien gras ça me connait !</v>
      </c>
      <c r="M212" s="1">
        <f>IFERROR(__xludf.DUMMYFUNCTION("""COMPUTED_VALUE"""),3.0)</f>
        <v>3</v>
      </c>
      <c r="N212" s="1" t="str">
        <f>IFERROR(__xludf.DUMMYFUNCTION("""COMPUTED_VALUE"""),"Une fois par mois")</f>
        <v>Une fois par mois</v>
      </c>
      <c r="O212" s="1" t="str">
        <f>IFERROR(__xludf.DUMMYFUNCTION("""COMPUTED_VALUE"""),"Tu te poses dans un coin, chill !!")</f>
        <v>Tu te poses dans un coin, chill !!</v>
      </c>
      <c r="P212" s="1">
        <f>IFERROR(__xludf.DUMMYFUNCTION("""COMPUTED_VALUE"""),1.0)</f>
        <v>1</v>
      </c>
      <c r="Q212" s="1" t="str">
        <f>IFERROR(__xludf.DUMMYFUNCTION("""COMPUTED_VALUE"""),"Non")</f>
        <v>Non</v>
      </c>
      <c r="R212" s="1" t="str">
        <f>IFERROR(__xludf.DUMMYFUNCTION("""COMPUTED_VALUE"""),"Non")</f>
        <v>Non</v>
      </c>
      <c r="S212" s="1" t="str">
        <f>IFERROR(__xludf.DUMMYFUNCTION("""COMPUTED_VALUE"""),"Kraal")</f>
        <v>Kraal</v>
      </c>
      <c r="T212" s="1" t="str">
        <f>IFERROR(__xludf.DUMMYFUNCTION("""COMPUTED_VALUE"""),"Un démanilleur")</f>
        <v>Un démanilleur</v>
      </c>
      <c r="U212" t="str">
        <f>IFERROR(__xludf.DUMMYFUNCTION("""COMPUTED_VALUE"""),"")</f>
        <v/>
      </c>
      <c r="V212" t="str">
        <f>IFERROR(__xludf.DUMMYFUNCTION("""COMPUTED_VALUE"""),"")</f>
        <v/>
      </c>
      <c r="W212" t="str">
        <f>IFERROR(__xludf.DUMMYFUNCTION("""COMPUTED_VALUE"""),"")</f>
        <v/>
      </c>
      <c r="X212" t="str">
        <f>IFERROR(__xludf.DUMMYFUNCTION("""COMPUTED_VALUE"""),"")</f>
        <v/>
      </c>
      <c r="Y212" t="str">
        <f>IFERROR(__xludf.DUMMYFUNCTION("""COMPUTED_VALUE"""),"")</f>
        <v/>
      </c>
      <c r="Z212" t="str">
        <f>IFERROR(__xludf.DUMMYFUNCTION("""COMPUTED_VALUE"""),"")</f>
        <v/>
      </c>
      <c r="AA212" t="str">
        <f>IFERROR(__xludf.DUMMYFUNCTION("""COMPUTED_VALUE"""),"")</f>
        <v/>
      </c>
      <c r="AB212" t="str">
        <f>IFERROR(__xludf.DUMMYFUNCTION("""COMPUTED_VALUE"""),"")</f>
        <v/>
      </c>
    </row>
    <row r="213">
      <c r="A213" s="2">
        <f>IFERROR(__xludf.DUMMYFUNCTION("""COMPUTED_VALUE"""),43639.86736200232)</f>
        <v>43639.86736</v>
      </c>
      <c r="B213" s="1" t="str">
        <f>IFERROR(__xludf.DUMMYFUNCTION("""COMPUTED_VALUE"""),"Arthur LEMASSON")</f>
        <v>Arthur LEMASSON</v>
      </c>
      <c r="C213" s="1" t="str">
        <f>IFERROR(__xludf.DUMMYFUNCTION("""COMPUTED_VALUE"""),"Le président et un inconnu")</f>
        <v>Le président et un inconnu</v>
      </c>
      <c r="D213" s="1" t="str">
        <f>IFERROR(__xludf.DUMMYFUNCTION("""COMPUTED_VALUE"""),"BDS")</f>
        <v>BDS</v>
      </c>
      <c r="E213" s="1">
        <f>IFERROR(__xludf.DUMMYFUNCTION("""COMPUTED_VALUE"""),4.0)</f>
        <v>4</v>
      </c>
      <c r="F213" s="1" t="str">
        <f>IFERROR(__xludf.DUMMYFUNCTION("""COMPUTED_VALUE"""),"Je suis aigri et j'aime pas la musique, Rock, Metal, Electro posée, Electro hard, Rap, Pop, Musique fançaise, Jazz, Musique classique, Kpop, Autre")</f>
        <v>Je suis aigri et j'aime pas la musique, Rock, Metal, Electro posée, Electro hard, Rap, Pop, Musique fançaise, Jazz, Musique classique, Kpop, Autre</v>
      </c>
      <c r="G213" s="1" t="str">
        <f>IFERROR(__xludf.DUMMYFUNCTION("""COMPUTED_VALUE"""),"Pas du tout, Peinture, Littérature, Sculpture, Danse, Musique, Théâtre, Cinéma, Graphisme, Autre")</f>
        <v>Pas du tout, Peinture, Littérature, Sculpture, Danse, Musique, Théâtre, Cinéma, Graphisme, Autre</v>
      </c>
      <c r="H213" s="1" t="str">
        <f>IFERROR(__xludf.DUMMYFUNCTION("""COMPUTED_VALUE"""),"Seulement les soirs de pleine lune")</f>
        <v>Seulement les soirs de pleine lune</v>
      </c>
      <c r="I213" s="1" t="str">
        <f>IFERROR(__xludf.DUMMYFUNCTION("""COMPUTED_VALUE"""),"Plusieurs fois par semaine")</f>
        <v>Plusieurs fois par semaine</v>
      </c>
      <c r="J213" s="1" t="str">
        <f>IFERROR(__xludf.DUMMYFUNCTION("""COMPUTED_VALUE"""),"Pour la compet")</f>
        <v>Pour la compet</v>
      </c>
      <c r="K213" s="1" t="str">
        <f>IFERROR(__xludf.DUMMYFUNCTION("""COMPUTED_VALUE"""),"Pas de sport, Sports collectifs, Sports de raquette, Athlétisme, Voile, Sports de rames, Sports aquatiques, Sports de combat, Equitation, Escalade, Autre")</f>
        <v>Pas de sport, Sports collectifs, Sports de raquette, Athlétisme, Voile, Sports de rames, Sports aquatiques, Sports de combat, Equitation, Escalade, Autre</v>
      </c>
      <c r="L213" s="1" t="str">
        <f>IFERROR(__xludf.DUMMYFUNCTION("""COMPUTED_VALUE"""),"J'aime cuisiner le WE ou quand j'ai le temps")</f>
        <v>J'aime cuisiner le WE ou quand j'ai le temps</v>
      </c>
      <c r="M213" s="1">
        <f>IFERROR(__xludf.DUMMYFUNCTION("""COMPUTED_VALUE"""),10.0)</f>
        <v>10</v>
      </c>
      <c r="N213" s="1" t="str">
        <f>IFERROR(__xludf.DUMMYFUNCTION("""COMPUTED_VALUE"""),"Une fois par jour (voire plus)")</f>
        <v>Une fois par jour (voire plus)</v>
      </c>
      <c r="O213" s="1" t="str">
        <f>IFERROR(__xludf.DUMMYFUNCTION("""COMPUTED_VALUE"""),"Objectif grosse défonce")</f>
        <v>Objectif grosse défonce</v>
      </c>
      <c r="P213" s="1">
        <f>IFERROR(__xludf.DUMMYFUNCTION("""COMPUTED_VALUE"""),2.0)</f>
        <v>2</v>
      </c>
      <c r="Q213" s="1" t="str">
        <f>IFERROR(__xludf.DUMMYFUNCTION("""COMPUTED_VALUE"""),"Non")</f>
        <v>Non</v>
      </c>
      <c r="R213" s="1" t="str">
        <f>IFERROR(__xludf.DUMMYFUNCTION("""COMPUTED_VALUE"""),"Non")</f>
        <v>Non</v>
      </c>
      <c r="S213" s="1" t="str">
        <f>IFERROR(__xludf.DUMMYFUNCTION("""COMPUTED_VALUE"""),"BBC")</f>
        <v>BBC</v>
      </c>
      <c r="T213" s="1" t="str">
        <f>IFERROR(__xludf.DUMMYFUNCTION("""COMPUTED_VALUE"""),"Un chips")</f>
        <v>Un chips</v>
      </c>
      <c r="U213" t="str">
        <f>IFERROR(__xludf.DUMMYFUNCTION("""COMPUTED_VALUE"""),"")</f>
        <v/>
      </c>
      <c r="V213" t="str">
        <f>IFERROR(__xludf.DUMMYFUNCTION("""COMPUTED_VALUE"""),"")</f>
        <v/>
      </c>
      <c r="W213" t="str">
        <f>IFERROR(__xludf.DUMMYFUNCTION("""COMPUTED_VALUE"""),"")</f>
        <v/>
      </c>
      <c r="X213" t="str">
        <f>IFERROR(__xludf.DUMMYFUNCTION("""COMPUTED_VALUE"""),"")</f>
        <v/>
      </c>
      <c r="Y213" t="str">
        <f>IFERROR(__xludf.DUMMYFUNCTION("""COMPUTED_VALUE"""),"")</f>
        <v/>
      </c>
      <c r="Z213" t="str">
        <f>IFERROR(__xludf.DUMMYFUNCTION("""COMPUTED_VALUE"""),"")</f>
        <v/>
      </c>
      <c r="AA213" t="str">
        <f>IFERROR(__xludf.DUMMYFUNCTION("""COMPUTED_VALUE"""),"")</f>
        <v/>
      </c>
      <c r="AB213" t="str">
        <f>IFERROR(__xludf.DUMMYFUNCTION("""COMPUTED_VALUE"""),"")</f>
        <v/>
      </c>
    </row>
    <row r="214">
      <c r="A214" s="2">
        <f>IFERROR(__xludf.DUMMYFUNCTION("""COMPUTED_VALUE"""),43639.87094641203)</f>
        <v>43639.87095</v>
      </c>
      <c r="B214" s="1" t="str">
        <f>IFERROR(__xludf.DUMMYFUNCTION("""COMPUTED_VALUE"""),"Vincent MESLIER")</f>
        <v>Vincent MESLIER</v>
      </c>
      <c r="C214" s="1" t="str">
        <f>IFERROR(__xludf.DUMMYFUNCTION("""COMPUTED_VALUE"""),"Deux inconnus")</f>
        <v>Deux inconnus</v>
      </c>
      <c r="D214" s="1" t="str">
        <f>IFERROR(__xludf.DUMMYFUNCTION("""COMPUTED_VALUE"""),"BDS")</f>
        <v>BDS</v>
      </c>
      <c r="E214" s="1">
        <f>IFERROR(__xludf.DUMMYFUNCTION("""COMPUTED_VALUE"""),5.0)</f>
        <v>5</v>
      </c>
      <c r="F214" s="1" t="str">
        <f>IFERROR(__xludf.DUMMYFUNCTION("""COMPUTED_VALUE"""),"Electro posée, Electro hard, Pop, Musique fançaise, Jazz, Musique classique")</f>
        <v>Electro posée, Electro hard, Pop, Musique fançaise, Jazz, Musique classique</v>
      </c>
      <c r="G214" s="1" t="str">
        <f>IFERROR(__xludf.DUMMYFUNCTION("""COMPUTED_VALUE"""),"Peinture, Littérature, Sculpture, Danse, Musique, Théâtre, Cinéma")</f>
        <v>Peinture, Littérature, Sculpture, Danse, Musique, Théâtre, Cinéma</v>
      </c>
      <c r="H214" s="1" t="str">
        <f>IFERROR(__xludf.DUMMYFUNCTION("""COMPUTED_VALUE"""),"Seulement les soirs de pleine lune")</f>
        <v>Seulement les soirs de pleine lune</v>
      </c>
      <c r="I214" s="1" t="str">
        <f>IFERROR(__xludf.DUMMYFUNCTION("""COMPUTED_VALUE"""),"Plusieurs fois par semaine")</f>
        <v>Plusieurs fois par semaine</v>
      </c>
      <c r="J214" s="1" t="str">
        <f>IFERROR(__xludf.DUMMYFUNCTION("""COMPUTED_VALUE"""),"Pour le développement perso et se dépasser")</f>
        <v>Pour le développement perso et se dépasser</v>
      </c>
      <c r="K214" s="1" t="str">
        <f>IFERROR(__xludf.DUMMYFUNCTION("""COMPUTED_VALUE"""),"Sports collectifs, Sports de raquette, Voile, Sports aquatiques, Sports de combat, Equitation, Escalade")</f>
        <v>Sports collectifs, Sports de raquette, Voile, Sports aquatiques, Sports de combat, Equitation, Escalade</v>
      </c>
      <c r="L214" s="1" t="str">
        <f>IFERROR(__xludf.DUMMYFUNCTION("""COMPUTED_VALUE"""),"Je fais toujours attention à bien manger")</f>
        <v>Je fais toujours attention à bien manger</v>
      </c>
      <c r="M214" s="1">
        <f>IFERROR(__xludf.DUMMYFUNCTION("""COMPUTED_VALUE"""),10.0)</f>
        <v>10</v>
      </c>
      <c r="N214" s="1" t="str">
        <f>IFERROR(__xludf.DUMMYFUNCTION("""COMPUTED_VALUE"""),"Plusieurs fois par semaine")</f>
        <v>Plusieurs fois par semaine</v>
      </c>
      <c r="O214" s="1" t="str">
        <f>IFERROR(__xludf.DUMMYFUNCTION("""COMPUTED_VALUE"""),"Objectif grosse défonce")</f>
        <v>Objectif grosse défonce</v>
      </c>
      <c r="P214" s="1">
        <f>IFERROR(__xludf.DUMMYFUNCTION("""COMPUTED_VALUE"""),1.0)</f>
        <v>1</v>
      </c>
      <c r="Q214" s="1" t="str">
        <f>IFERROR(__xludf.DUMMYFUNCTION("""COMPUTED_VALUE"""),"Non")</f>
        <v>Non</v>
      </c>
      <c r="R214" s="1" t="str">
        <f>IFERROR(__xludf.DUMMYFUNCTION("""COMPUTED_VALUE"""),"Non")</f>
        <v>Non</v>
      </c>
      <c r="S214" s="1" t="str">
        <f>IFERROR(__xludf.DUMMYFUNCTION("""COMPUTED_VALUE"""),"BBC")</f>
        <v>BBC</v>
      </c>
      <c r="T214" s="1" t="str">
        <f>IFERROR(__xludf.DUMMYFUNCTION("""COMPUTED_VALUE"""),"Une maximator")</f>
        <v>Une maximator</v>
      </c>
      <c r="U214" t="str">
        <f>IFERROR(__xludf.DUMMYFUNCTION("""COMPUTED_VALUE"""),"")</f>
        <v/>
      </c>
      <c r="V214" t="str">
        <f>IFERROR(__xludf.DUMMYFUNCTION("""COMPUTED_VALUE"""),"")</f>
        <v/>
      </c>
      <c r="W214" t="str">
        <f>IFERROR(__xludf.DUMMYFUNCTION("""COMPUTED_VALUE"""),"")</f>
        <v/>
      </c>
      <c r="X214" t="str">
        <f>IFERROR(__xludf.DUMMYFUNCTION("""COMPUTED_VALUE"""),"")</f>
        <v/>
      </c>
      <c r="Y214" t="str">
        <f>IFERROR(__xludf.DUMMYFUNCTION("""COMPUTED_VALUE"""),"")</f>
        <v/>
      </c>
      <c r="Z214" t="str">
        <f>IFERROR(__xludf.DUMMYFUNCTION("""COMPUTED_VALUE"""),"")</f>
        <v/>
      </c>
      <c r="AA214" t="str">
        <f>IFERROR(__xludf.DUMMYFUNCTION("""COMPUTED_VALUE"""),"")</f>
        <v/>
      </c>
      <c r="AB214" t="str">
        <f>IFERROR(__xludf.DUMMYFUNCTION("""COMPUTED_VALUE"""),"")</f>
        <v/>
      </c>
    </row>
    <row r="215">
      <c r="A215" s="2">
        <f>IFERROR(__xludf.DUMMYFUNCTION("""COMPUTED_VALUE"""),43639.87511503472)</f>
        <v>43639.87512</v>
      </c>
      <c r="B215" s="1" t="str">
        <f>IFERROR(__xludf.DUMMYFUNCTION("""COMPUTED_VALUE"""),"Tom OVISTE")</f>
        <v>Tom OVISTE</v>
      </c>
      <c r="C215" s="1" t="str">
        <f>IFERROR(__xludf.DUMMYFUNCTION("""COMPUTED_VALUE"""),"Deux inconnus")</f>
        <v>Deux inconnus</v>
      </c>
      <c r="D215" s="1" t="str">
        <f>IFERROR(__xludf.DUMMYFUNCTION("""COMPUTED_VALUE"""),"BDA")</f>
        <v>BDA</v>
      </c>
      <c r="E215" s="1">
        <f>IFERROR(__xludf.DUMMYFUNCTION("""COMPUTED_VALUE"""),5.0)</f>
        <v>5</v>
      </c>
      <c r="F215" s="1" t="str">
        <f>IFERROR(__xludf.DUMMYFUNCTION("""COMPUTED_VALUE"""),"Rock, Electro posée, Pop, Jazz, Musique classique")</f>
        <v>Rock, Electro posée, Pop, Jazz, Musique classique</v>
      </c>
      <c r="G215" s="1" t="str">
        <f>IFERROR(__xludf.DUMMYFUNCTION("""COMPUTED_VALUE"""),"Musique, Cinéma")</f>
        <v>Musique, Cinéma</v>
      </c>
      <c r="H215" s="1" t="str">
        <f>IFERROR(__xludf.DUMMYFUNCTION("""COMPUTED_VALUE"""),"Quelques fois par semaine")</f>
        <v>Quelques fois par semaine</v>
      </c>
      <c r="I215" s="1" t="str">
        <f>IFERROR(__xludf.DUMMYFUNCTION("""COMPUTED_VALUE"""),"Une fois par semaine")</f>
        <v>Une fois par semaine</v>
      </c>
      <c r="J215" s="1" t="str">
        <f>IFERROR(__xludf.DUMMYFUNCTION("""COMPUTED_VALUE"""),"Pour le fun")</f>
        <v>Pour le fun</v>
      </c>
      <c r="K215" s="1" t="str">
        <f>IFERROR(__xludf.DUMMYFUNCTION("""COMPUTED_VALUE"""),"Autre")</f>
        <v>Autre</v>
      </c>
      <c r="L215" s="1" t="str">
        <f>IFERROR(__xludf.DUMMYFUNCTION("""COMPUTED_VALUE"""),"Alterner entre grec et coquillettes ça compte ?")</f>
        <v>Alterner entre grec et coquillettes ça compte ?</v>
      </c>
      <c r="M215" s="1">
        <f>IFERROR(__xludf.DUMMYFUNCTION("""COMPUTED_VALUE"""),10.0)</f>
        <v>10</v>
      </c>
      <c r="N215" s="1" t="str">
        <f>IFERROR(__xludf.DUMMYFUNCTION("""COMPUTED_VALUE"""),"Plusieurs fois par semaine")</f>
        <v>Plusieurs fois par semaine</v>
      </c>
      <c r="O215" s="1" t="str">
        <f>IFERROR(__xludf.DUMMYFUNCTION("""COMPUTED_VALUE"""),"Tu te poses dans un coin, chill !!")</f>
        <v>Tu te poses dans un coin, chill !!</v>
      </c>
      <c r="P215" s="1">
        <f>IFERROR(__xludf.DUMMYFUNCTION("""COMPUTED_VALUE"""),2.0)</f>
        <v>2</v>
      </c>
      <c r="Q215" s="1" t="str">
        <f>IFERROR(__xludf.DUMMYFUNCTION("""COMPUTED_VALUE"""),"Non")</f>
        <v>Non</v>
      </c>
      <c r="R215" s="1" t="str">
        <f>IFERROR(__xludf.DUMMYFUNCTION("""COMPUTED_VALUE"""),"Non")</f>
        <v>Non</v>
      </c>
      <c r="S215" s="1" t="str">
        <f>IFERROR(__xludf.DUMMYFUNCTION("""COMPUTED_VALUE"""),"BBC")</f>
        <v>BBC</v>
      </c>
      <c r="T215" s="1" t="str">
        <f>IFERROR(__xludf.DUMMYFUNCTION("""COMPUTED_VALUE"""),"Beaucoup d'amour")</f>
        <v>Beaucoup d'amour</v>
      </c>
      <c r="U215" t="str">
        <f>IFERROR(__xludf.DUMMYFUNCTION("""COMPUTED_VALUE"""),"")</f>
        <v/>
      </c>
      <c r="V215" t="str">
        <f>IFERROR(__xludf.DUMMYFUNCTION("""COMPUTED_VALUE"""),"")</f>
        <v/>
      </c>
      <c r="W215" t="str">
        <f>IFERROR(__xludf.DUMMYFUNCTION("""COMPUTED_VALUE"""),"")</f>
        <v/>
      </c>
      <c r="X215" t="str">
        <f>IFERROR(__xludf.DUMMYFUNCTION("""COMPUTED_VALUE"""),"")</f>
        <v/>
      </c>
      <c r="Y215" t="str">
        <f>IFERROR(__xludf.DUMMYFUNCTION("""COMPUTED_VALUE"""),"")</f>
        <v/>
      </c>
      <c r="Z215" t="str">
        <f>IFERROR(__xludf.DUMMYFUNCTION("""COMPUTED_VALUE"""),"")</f>
        <v/>
      </c>
      <c r="AA215" t="str">
        <f>IFERROR(__xludf.DUMMYFUNCTION("""COMPUTED_VALUE"""),"")</f>
        <v/>
      </c>
      <c r="AB215" t="str">
        <f>IFERROR(__xludf.DUMMYFUNCTION("""COMPUTED_VALUE"""),"")</f>
        <v/>
      </c>
    </row>
    <row r="216">
      <c r="A216" s="2">
        <f>IFERROR(__xludf.DUMMYFUNCTION("""COMPUTED_VALUE"""),43639.87703296296)</f>
        <v>43639.87703</v>
      </c>
      <c r="B216" s="1" t="str">
        <f>IFERROR(__xludf.DUMMYFUNCTION("""COMPUTED_VALUE"""),"Léonce AUDIBERT")</f>
        <v>Léonce AUDIBERT</v>
      </c>
      <c r="C21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6" s="1" t="str">
        <f>IFERROR(__xludf.DUMMYFUNCTION("""COMPUTED_VALUE"""),"BDE")</f>
        <v>BDE</v>
      </c>
      <c r="E216" s="1">
        <f>IFERROR(__xludf.DUMMYFUNCTION("""COMPUTED_VALUE"""),3.0)</f>
        <v>3</v>
      </c>
      <c r="F216" s="1" t="str">
        <f>IFERROR(__xludf.DUMMYFUNCTION("""COMPUTED_VALUE"""),"Rock, Electro posée, Rap, Pop, Musique fançaise, Jazz")</f>
        <v>Rock, Electro posée, Rap, Pop, Musique fançaise, Jazz</v>
      </c>
      <c r="G216" s="1" t="str">
        <f>IFERROR(__xludf.DUMMYFUNCTION("""COMPUTED_VALUE"""),"Musique, Cinéma")</f>
        <v>Musique, Cinéma</v>
      </c>
      <c r="H216" s="1" t="str">
        <f>IFERROR(__xludf.DUMMYFUNCTION("""COMPUTED_VALUE"""),"Une fois de temps en temps")</f>
        <v>Une fois de temps en temps</v>
      </c>
      <c r="I216" s="1" t="str">
        <f>IFERROR(__xludf.DUMMYFUNCTION("""COMPUTED_VALUE"""),"Plusieurs fois par semaine")</f>
        <v>Plusieurs fois par semaine</v>
      </c>
      <c r="J216" s="1" t="str">
        <f>IFERROR(__xludf.DUMMYFUNCTION("""COMPUTED_VALUE"""),"Pour le développement perso et se dépasser")</f>
        <v>Pour le développement perso et se dépasser</v>
      </c>
      <c r="K216" s="1" t="str">
        <f>IFERROR(__xludf.DUMMYFUNCTION("""COMPUTED_VALUE"""),"Sports collectifs")</f>
        <v>Sports collectifs</v>
      </c>
      <c r="L216" s="1" t="str">
        <f>IFERROR(__xludf.DUMMYFUNCTION("""COMPUTED_VALUE"""),"J'aime cuisiner le WE ou quand j'ai le temps")</f>
        <v>J'aime cuisiner le WE ou quand j'ai le temps</v>
      </c>
      <c r="M216" s="1">
        <f>IFERROR(__xludf.DUMMYFUNCTION("""COMPUTED_VALUE"""),7.0)</f>
        <v>7</v>
      </c>
      <c r="N216" s="1" t="str">
        <f>IFERROR(__xludf.DUMMYFUNCTION("""COMPUTED_VALUE"""),"Plusieurs fois par semaine")</f>
        <v>Plusieurs fois par semaine</v>
      </c>
      <c r="O216" s="1" t="str">
        <f>IFERROR(__xludf.DUMMYFUNCTION("""COMPUTED_VALUE"""),"T'enflammes le dancefloor")</f>
        <v>T'enflammes le dancefloor</v>
      </c>
      <c r="P216" s="1">
        <f>IFERROR(__xludf.DUMMYFUNCTION("""COMPUTED_VALUE"""),1.0)</f>
        <v>1</v>
      </c>
      <c r="Q216" s="1" t="str">
        <f>IFERROR(__xludf.DUMMYFUNCTION("""COMPUTED_VALUE"""),"Oui")</f>
        <v>Oui</v>
      </c>
      <c r="R216" s="1" t="str">
        <f>IFERROR(__xludf.DUMMYFUNCTION("""COMPUTED_VALUE"""),"Non")</f>
        <v>Non</v>
      </c>
      <c r="S216" s="1" t="str">
        <f>IFERROR(__xludf.DUMMYFUNCTION("""COMPUTED_VALUE"""),"La Dezing ")</f>
        <v>La Dezing </v>
      </c>
      <c r="T216" s="1" t="str">
        <f>IFERROR(__xludf.DUMMYFUNCTION("""COMPUTED_VALUE"""),"Désolé je sais pas du tout mon bon Adrien la mif et Lucas  la mif ")</f>
        <v>Désolé je sais pas du tout mon bon Adrien la mif et Lucas  la mif </v>
      </c>
      <c r="U216" t="str">
        <f>IFERROR(__xludf.DUMMYFUNCTION("""COMPUTED_VALUE"""),"")</f>
        <v/>
      </c>
      <c r="V216" t="str">
        <f>IFERROR(__xludf.DUMMYFUNCTION("""COMPUTED_VALUE"""),"")</f>
        <v/>
      </c>
      <c r="W216" t="str">
        <f>IFERROR(__xludf.DUMMYFUNCTION("""COMPUTED_VALUE"""),"")</f>
        <v/>
      </c>
      <c r="X216" t="str">
        <f>IFERROR(__xludf.DUMMYFUNCTION("""COMPUTED_VALUE"""),"")</f>
        <v/>
      </c>
      <c r="Y216" t="str">
        <f>IFERROR(__xludf.DUMMYFUNCTION("""COMPUTED_VALUE"""),"")</f>
        <v/>
      </c>
      <c r="Z216" t="str">
        <f>IFERROR(__xludf.DUMMYFUNCTION("""COMPUTED_VALUE"""),"")</f>
        <v/>
      </c>
      <c r="AA216" t="str">
        <f>IFERROR(__xludf.DUMMYFUNCTION("""COMPUTED_VALUE"""),"")</f>
        <v/>
      </c>
      <c r="AB216" t="str">
        <f>IFERROR(__xludf.DUMMYFUNCTION("""COMPUTED_VALUE"""),"")</f>
        <v/>
      </c>
    </row>
    <row r="217">
      <c r="A217" s="2">
        <f>IFERROR(__xludf.DUMMYFUNCTION("""COMPUTED_VALUE"""),43639.8786335301)</f>
        <v>43639.87863</v>
      </c>
      <c r="B217" s="1" t="str">
        <f>IFERROR(__xludf.DUMMYFUNCTION("""COMPUTED_VALUE"""),"Pm Guyot")</f>
        <v>Pm Guyot</v>
      </c>
      <c r="C21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7" s="1" t="str">
        <f>IFERROR(__xludf.DUMMYFUNCTION("""COMPUTED_VALUE"""),"BDA")</f>
        <v>BDA</v>
      </c>
      <c r="E217" s="1">
        <f>IFERROR(__xludf.DUMMYFUNCTION("""COMPUTED_VALUE"""),5.0)</f>
        <v>5</v>
      </c>
      <c r="F217" s="1" t="str">
        <f>IFERROR(__xludf.DUMMYFUNCTION("""COMPUTED_VALUE"""),"Rock, Metal, Electro hard, Rap, Pop, Musique fançaise, Jazz, Musique classique, Kpop")</f>
        <v>Rock, Metal, Electro hard, Rap, Pop, Musique fançaise, Jazz, Musique classique, Kpop</v>
      </c>
      <c r="G217" s="1" t="str">
        <f>IFERROR(__xludf.DUMMYFUNCTION("""COMPUTED_VALUE"""),"Peinture, Littérature, Sculpture, Danse, Musique, Théâtre, Cinéma")</f>
        <v>Peinture, Littérature, Sculpture, Danse, Musique, Théâtre, Cinéma</v>
      </c>
      <c r="H217" s="1" t="str">
        <f>IFERROR(__xludf.DUMMYFUNCTION("""COMPUTED_VALUE"""),"Quelques fois par semaine")</f>
        <v>Quelques fois par semaine</v>
      </c>
      <c r="I217" s="1" t="str">
        <f>IFERROR(__xludf.DUMMYFUNCTION("""COMPUTED_VALUE"""),"Plusieurs fois par semaine")</f>
        <v>Plusieurs fois par semaine</v>
      </c>
      <c r="J217" s="1" t="str">
        <f>IFERROR(__xludf.DUMMYFUNCTION("""COMPUTED_VALUE"""),"Pour le développement perso et se dépasser")</f>
        <v>Pour le développement perso et se dépasser</v>
      </c>
      <c r="K217" s="1" t="str">
        <f>IFERROR(__xludf.DUMMYFUNCTION("""COMPUTED_VALUE"""),"Athlétisme, Equitation, Autre")</f>
        <v>Athlétisme, Equitation, Autre</v>
      </c>
      <c r="L217" s="1" t="str">
        <f>IFERROR(__xludf.DUMMYFUNCTION("""COMPUTED_VALUE"""),"Je fais toujours attention à bien manger")</f>
        <v>Je fais toujours attention à bien manger</v>
      </c>
      <c r="M217" s="1">
        <f>IFERROR(__xludf.DUMMYFUNCTION("""COMPUTED_VALUE"""),10.0)</f>
        <v>10</v>
      </c>
      <c r="N217" s="1" t="str">
        <f>IFERROR(__xludf.DUMMYFUNCTION("""COMPUTED_VALUE"""),"Plusieurs fois par semaine")</f>
        <v>Plusieurs fois par semaine</v>
      </c>
      <c r="O217" s="1" t="str">
        <f>IFERROR(__xludf.DUMMYFUNCTION("""COMPUTED_VALUE"""),"T'enflammes le dancefloor")</f>
        <v>T'enflammes le dancefloor</v>
      </c>
      <c r="P217" s="1">
        <f>IFERROR(__xludf.DUMMYFUNCTION("""COMPUTED_VALUE"""),1.0)</f>
        <v>1</v>
      </c>
      <c r="Q217" s="1" t="str">
        <f>IFERROR(__xludf.DUMMYFUNCTION("""COMPUTED_VALUE"""),"Non")</f>
        <v>Non</v>
      </c>
      <c r="R217" s="1" t="str">
        <f>IFERROR(__xludf.DUMMYFUNCTION("""COMPUTED_VALUE"""),"Non")</f>
        <v>Non</v>
      </c>
      <c r="S217" s="1" t="str">
        <f>IFERROR(__xludf.DUMMYFUNCTION("""COMPUTED_VALUE"""),"Discorde")</f>
        <v>Discorde</v>
      </c>
      <c r="T217" s="1" t="str">
        <f>IFERROR(__xludf.DUMMYFUNCTION("""COMPUTED_VALUE"""),"Un masque de merde")</f>
        <v>Un masque de merde</v>
      </c>
      <c r="U217" t="str">
        <f>IFERROR(__xludf.DUMMYFUNCTION("""COMPUTED_VALUE"""),"")</f>
        <v/>
      </c>
      <c r="V217" t="str">
        <f>IFERROR(__xludf.DUMMYFUNCTION("""COMPUTED_VALUE"""),"")</f>
        <v/>
      </c>
      <c r="W217" t="str">
        <f>IFERROR(__xludf.DUMMYFUNCTION("""COMPUTED_VALUE"""),"")</f>
        <v/>
      </c>
      <c r="X217" t="str">
        <f>IFERROR(__xludf.DUMMYFUNCTION("""COMPUTED_VALUE"""),"")</f>
        <v/>
      </c>
      <c r="Y217" t="str">
        <f>IFERROR(__xludf.DUMMYFUNCTION("""COMPUTED_VALUE"""),"")</f>
        <v/>
      </c>
      <c r="Z217" t="str">
        <f>IFERROR(__xludf.DUMMYFUNCTION("""COMPUTED_VALUE"""),"")</f>
        <v/>
      </c>
      <c r="AA217" t="str">
        <f>IFERROR(__xludf.DUMMYFUNCTION("""COMPUTED_VALUE"""),"")</f>
        <v/>
      </c>
      <c r="AB217" t="str">
        <f>IFERROR(__xludf.DUMMYFUNCTION("""COMPUTED_VALUE"""),"")</f>
        <v/>
      </c>
    </row>
    <row r="218">
      <c r="A218" s="2">
        <f>IFERROR(__xludf.DUMMYFUNCTION("""COMPUTED_VALUE"""),43639.88379490741)</f>
        <v>43639.88379</v>
      </c>
      <c r="B218" s="1" t="str">
        <f>IFERROR(__xludf.DUMMYFUNCTION("""COMPUTED_VALUE"""),"Antoine Chillet")</f>
        <v>Antoine Chillet</v>
      </c>
      <c r="C21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8" s="1" t="str">
        <f>IFERROR(__xludf.DUMMYFUNCTION("""COMPUTED_VALUE"""),"BDE")</f>
        <v>BDE</v>
      </c>
      <c r="E218" s="1">
        <f>IFERROR(__xludf.DUMMYFUNCTION("""COMPUTED_VALUE"""),5.0)</f>
        <v>5</v>
      </c>
      <c r="F218" s="1" t="str">
        <f>IFERROR(__xludf.DUMMYFUNCTION("""COMPUTED_VALUE"""),"Pop, Musique fançaise")</f>
        <v>Pop, Musique fançaise</v>
      </c>
      <c r="G218" s="1" t="str">
        <f>IFERROR(__xludf.DUMMYFUNCTION("""COMPUTED_VALUE"""),"Théâtre, Cinéma")</f>
        <v>Théâtre, Cinéma</v>
      </c>
      <c r="H218" s="1" t="str">
        <f>IFERROR(__xludf.DUMMYFUNCTION("""COMPUTED_VALUE"""),"Une fois de temps en temps")</f>
        <v>Une fois de temps en temps</v>
      </c>
      <c r="I218" s="1" t="str">
        <f>IFERROR(__xludf.DUMMYFUNCTION("""COMPUTED_VALUE"""),"Plusieurs fois par semaine")</f>
        <v>Plusieurs fois par semaine</v>
      </c>
      <c r="J218" s="1" t="str">
        <f>IFERROR(__xludf.DUMMYFUNCTION("""COMPUTED_VALUE"""),"Pour le développement perso et se dépasser")</f>
        <v>Pour le développement perso et se dépasser</v>
      </c>
      <c r="K218" s="1" t="str">
        <f>IFERROR(__xludf.DUMMYFUNCTION("""COMPUTED_VALUE"""),"Sports collectifs, Sports de raquette")</f>
        <v>Sports collectifs, Sports de raquette</v>
      </c>
      <c r="L218" s="1" t="str">
        <f>IFERROR(__xludf.DUMMYFUNCTION("""COMPUTED_VALUE"""),"J'aime cuisiner le WE ou quand j'ai le temps")</f>
        <v>J'aime cuisiner le WE ou quand j'ai le temps</v>
      </c>
      <c r="M218" s="1">
        <f>IFERROR(__xludf.DUMMYFUNCTION("""COMPUTED_VALUE"""),7.0)</f>
        <v>7</v>
      </c>
      <c r="N218" s="1" t="str">
        <f>IFERROR(__xludf.DUMMYFUNCTION("""COMPUTED_VALUE"""),"Une fois par semaine")</f>
        <v>Une fois par semaine</v>
      </c>
      <c r="O218" s="1" t="str">
        <f>IFERROR(__xludf.DUMMYFUNCTION("""COMPUTED_VALUE"""),"Tu te poses dans un coin, chill !!")</f>
        <v>Tu te poses dans un coin, chill !!</v>
      </c>
      <c r="P218" s="1">
        <f>IFERROR(__xludf.DUMMYFUNCTION("""COMPUTED_VALUE"""),1.0)</f>
        <v>1</v>
      </c>
      <c r="Q218" s="1" t="str">
        <f>IFERROR(__xludf.DUMMYFUNCTION("""COMPUTED_VALUE"""),"Oui")</f>
        <v>Oui</v>
      </c>
      <c r="R218" s="1" t="str">
        <f>IFERROR(__xludf.DUMMYFUNCTION("""COMPUTED_VALUE"""),"Non")</f>
        <v>Non</v>
      </c>
      <c r="S218" s="1" t="str">
        <f>IFERROR(__xludf.DUMMYFUNCTION("""COMPUTED_VALUE"""),"La dezing")</f>
        <v>La dezing</v>
      </c>
      <c r="T218" s="1" t="str">
        <f>IFERROR(__xludf.DUMMYFUNCTION("""COMPUTED_VALUE"""),"Balle de ping avec le logo d'Enactus ")</f>
        <v>Balle de ping avec le logo d'Enactus </v>
      </c>
      <c r="U218" t="str">
        <f>IFERROR(__xludf.DUMMYFUNCTION("""COMPUTED_VALUE"""),"")</f>
        <v/>
      </c>
      <c r="V218" t="str">
        <f>IFERROR(__xludf.DUMMYFUNCTION("""COMPUTED_VALUE"""),"")</f>
        <v/>
      </c>
      <c r="W218" t="str">
        <f>IFERROR(__xludf.DUMMYFUNCTION("""COMPUTED_VALUE"""),"")</f>
        <v/>
      </c>
      <c r="X218" t="str">
        <f>IFERROR(__xludf.DUMMYFUNCTION("""COMPUTED_VALUE"""),"")</f>
        <v/>
      </c>
      <c r="Y218" t="str">
        <f>IFERROR(__xludf.DUMMYFUNCTION("""COMPUTED_VALUE"""),"")</f>
        <v/>
      </c>
      <c r="Z218" t="str">
        <f>IFERROR(__xludf.DUMMYFUNCTION("""COMPUTED_VALUE"""),"")</f>
        <v/>
      </c>
      <c r="AA218" t="str">
        <f>IFERROR(__xludf.DUMMYFUNCTION("""COMPUTED_VALUE"""),"")</f>
        <v/>
      </c>
      <c r="AB218" t="str">
        <f>IFERROR(__xludf.DUMMYFUNCTION("""COMPUTED_VALUE"""),"")</f>
        <v/>
      </c>
    </row>
    <row r="219">
      <c r="A219" s="2">
        <f>IFERROR(__xludf.DUMMYFUNCTION("""COMPUTED_VALUE"""),43639.88474631944)</f>
        <v>43639.88475</v>
      </c>
      <c r="B219" s="1" t="str">
        <f>IFERROR(__xludf.DUMMYFUNCTION("""COMPUTED_VALUE"""),"Louis COGAN")</f>
        <v>Louis COGAN</v>
      </c>
      <c r="C21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19" s="1" t="str">
        <f>IFERROR(__xludf.DUMMYFUNCTION("""COMPUTED_VALUE"""),"BDE")</f>
        <v>BDE</v>
      </c>
      <c r="E219" s="1">
        <f>IFERROR(__xludf.DUMMYFUNCTION("""COMPUTED_VALUE"""),3.0)</f>
        <v>3</v>
      </c>
      <c r="F219" s="1" t="str">
        <f>IFERROR(__xludf.DUMMYFUNCTION("""COMPUTED_VALUE"""),"Electro posée, Musique fançaise, Musique classique")</f>
        <v>Electro posée, Musique fançaise, Musique classique</v>
      </c>
      <c r="G219" s="1" t="str">
        <f>IFERROR(__xludf.DUMMYFUNCTION("""COMPUTED_VALUE"""),"Pas du tout")</f>
        <v>Pas du tout</v>
      </c>
      <c r="H219" s="1" t="str">
        <f>IFERROR(__xludf.DUMMYFUNCTION("""COMPUTED_VALUE"""),"Seulement les soirs de pleine lune")</f>
        <v>Seulement les soirs de pleine lune</v>
      </c>
      <c r="I219" s="1" t="str">
        <f>IFERROR(__xludf.DUMMYFUNCTION("""COMPUTED_VALUE"""),"Plusieurs fois par semaine")</f>
        <v>Plusieurs fois par semaine</v>
      </c>
      <c r="J219" s="1" t="str">
        <f>IFERROR(__xludf.DUMMYFUNCTION("""COMPUTED_VALUE"""),"Pour le développement perso et se dépasser")</f>
        <v>Pour le développement perso et se dépasser</v>
      </c>
      <c r="K219" s="1" t="str">
        <f>IFERROR(__xludf.DUMMYFUNCTION("""COMPUTED_VALUE"""),"Athlétisme, Voile")</f>
        <v>Athlétisme, Voile</v>
      </c>
      <c r="L219" s="1" t="str">
        <f>IFERROR(__xludf.DUMMYFUNCTION("""COMPUTED_VALUE"""),"J'aime cuisiner le WE ou quand j'ai le temps")</f>
        <v>J'aime cuisiner le WE ou quand j'ai le temps</v>
      </c>
      <c r="M219" s="1">
        <f>IFERROR(__xludf.DUMMYFUNCTION("""COMPUTED_VALUE"""),3.0)</f>
        <v>3</v>
      </c>
      <c r="N219" s="1" t="str">
        <f>IFERROR(__xludf.DUMMYFUNCTION("""COMPUTED_VALUE"""),"Une fois par mois")</f>
        <v>Une fois par mois</v>
      </c>
      <c r="O219" s="1" t="str">
        <f>IFERROR(__xludf.DUMMYFUNCTION("""COMPUTED_VALUE"""),"Tu te poses dans un coin, chill !!")</f>
        <v>Tu te poses dans un coin, chill !!</v>
      </c>
      <c r="P219" s="1">
        <f>IFERROR(__xludf.DUMMYFUNCTION("""COMPUTED_VALUE"""),1.0)</f>
        <v>1</v>
      </c>
      <c r="Q219" s="1" t="str">
        <f>IFERROR(__xludf.DUMMYFUNCTION("""COMPUTED_VALUE"""),"Non")</f>
        <v>Non</v>
      </c>
      <c r="R219" s="1" t="str">
        <f>IFERROR(__xludf.DUMMYFUNCTION("""COMPUTED_VALUE"""),"Non")</f>
        <v>Non</v>
      </c>
      <c r="S219" s="1" t="str">
        <f>IFERROR(__xludf.DUMMYFUNCTION("""COMPUTED_VALUE"""),"Kraal")</f>
        <v>Kraal</v>
      </c>
      <c r="T219" s="1" t="str">
        <f>IFERROR(__xludf.DUMMYFUNCTION("""COMPUTED_VALUE"""),"Un gant de voile solitaire cherchant sa moitié au fond de la baie de Pornic (merci Cyriane)")</f>
        <v>Un gant de voile solitaire cherchant sa moitié au fond de la baie de Pornic (merci Cyriane)</v>
      </c>
      <c r="U219" t="str">
        <f>IFERROR(__xludf.DUMMYFUNCTION("""COMPUTED_VALUE"""),"")</f>
        <v/>
      </c>
      <c r="V219" t="str">
        <f>IFERROR(__xludf.DUMMYFUNCTION("""COMPUTED_VALUE"""),"")</f>
        <v/>
      </c>
      <c r="W219" t="str">
        <f>IFERROR(__xludf.DUMMYFUNCTION("""COMPUTED_VALUE"""),"")</f>
        <v/>
      </c>
      <c r="X219" t="str">
        <f>IFERROR(__xludf.DUMMYFUNCTION("""COMPUTED_VALUE"""),"")</f>
        <v/>
      </c>
      <c r="Y219" t="str">
        <f>IFERROR(__xludf.DUMMYFUNCTION("""COMPUTED_VALUE"""),"")</f>
        <v/>
      </c>
      <c r="Z219" t="str">
        <f>IFERROR(__xludf.DUMMYFUNCTION("""COMPUTED_VALUE"""),"")</f>
        <v/>
      </c>
      <c r="AA219" t="str">
        <f>IFERROR(__xludf.DUMMYFUNCTION("""COMPUTED_VALUE"""),"")</f>
        <v/>
      </c>
      <c r="AB219" t="str">
        <f>IFERROR(__xludf.DUMMYFUNCTION("""COMPUTED_VALUE"""),"")</f>
        <v/>
      </c>
    </row>
    <row r="220">
      <c r="A220" s="2">
        <f>IFERROR(__xludf.DUMMYFUNCTION("""COMPUTED_VALUE"""),43639.8928028125)</f>
        <v>43639.8928</v>
      </c>
      <c r="B220" s="1" t="str">
        <f>IFERROR(__xludf.DUMMYFUNCTION("""COMPUTED_VALUE"""),"Richard ARNAUD")</f>
        <v>Richard ARNAUD</v>
      </c>
      <c r="C22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0" s="1" t="str">
        <f>IFERROR(__xludf.DUMMYFUNCTION("""COMPUTED_VALUE"""),"BDA")</f>
        <v>BDA</v>
      </c>
      <c r="E220" s="1">
        <f>IFERROR(__xludf.DUMMYFUNCTION("""COMPUTED_VALUE"""),2.0)</f>
        <v>2</v>
      </c>
      <c r="F220" s="1" t="str">
        <f>IFERROR(__xludf.DUMMYFUNCTION("""COMPUTED_VALUE"""),"Rock, Metal, Electro posée, Electro hard, Pop, Musique fançaise, Jazz, Musique classique, Autre")</f>
        <v>Rock, Metal, Electro posée, Electro hard, Pop, Musique fançaise, Jazz, Musique classique, Autre</v>
      </c>
      <c r="G220" s="1" t="str">
        <f>IFERROR(__xludf.DUMMYFUNCTION("""COMPUTED_VALUE"""),"Musique, Théâtre, Cinéma")</f>
        <v>Musique, Théâtre, Cinéma</v>
      </c>
      <c r="H220" s="1" t="str">
        <f>IFERROR(__xludf.DUMMYFUNCTION("""COMPUTED_VALUE"""),"Quelques fois par semaine")</f>
        <v>Quelques fois par semaine</v>
      </c>
      <c r="I220" s="1" t="str">
        <f>IFERROR(__xludf.DUMMYFUNCTION("""COMPUTED_VALUE"""),"Une fois par jour")</f>
        <v>Une fois par jour</v>
      </c>
      <c r="J220" s="1" t="str">
        <f>IFERROR(__xludf.DUMMYFUNCTION("""COMPUTED_VALUE"""),"Pour la compet")</f>
        <v>Pour la compet</v>
      </c>
      <c r="K220" s="1" t="str">
        <f>IFERROR(__xludf.DUMMYFUNCTION("""COMPUTED_VALUE"""),"Sports collectifs")</f>
        <v>Sports collectifs</v>
      </c>
      <c r="L220" s="1" t="str">
        <f>IFERROR(__xludf.DUMMYFUNCTION("""COMPUTED_VALUE"""),"Alterner entre grec et coquillettes ça compte ?")</f>
        <v>Alterner entre grec et coquillettes ça compte ?</v>
      </c>
      <c r="M220" s="1">
        <f>IFERROR(__xludf.DUMMYFUNCTION("""COMPUTED_VALUE"""),7.0)</f>
        <v>7</v>
      </c>
      <c r="N220" s="1" t="str">
        <f>IFERROR(__xludf.DUMMYFUNCTION("""COMPUTED_VALUE"""),"Une fois par semaine")</f>
        <v>Une fois par semaine</v>
      </c>
      <c r="O220" s="1" t="str">
        <f>IFERROR(__xludf.DUMMYFUNCTION("""COMPUTED_VALUE"""),"Tu te poses dans un coin, chill !!")</f>
        <v>Tu te poses dans un coin, chill !!</v>
      </c>
      <c r="P220" s="1">
        <f>IFERROR(__xludf.DUMMYFUNCTION("""COMPUTED_VALUE"""),4.0)</f>
        <v>4</v>
      </c>
      <c r="Q220" s="1" t="str">
        <f>IFERROR(__xludf.DUMMYFUNCTION("""COMPUTED_VALUE"""),"Oui")</f>
        <v>Oui</v>
      </c>
      <c r="R220" s="1" t="str">
        <f>IFERROR(__xludf.DUMMYFUNCTION("""COMPUTED_VALUE"""),"Non")</f>
        <v>Non</v>
      </c>
      <c r="S220" s="1" t="str">
        <f>IFERROR(__xludf.DUMMYFUNCTION("""COMPUTED_VALUE"""),"Famille Discorde")</f>
        <v>Famille Discorde</v>
      </c>
      <c r="T220" s="1" t="str">
        <f>IFERROR(__xludf.DUMMYFUNCTION("""COMPUTED_VALUE"""),"J'improserai")</f>
        <v>J'improserai</v>
      </c>
      <c r="U220" t="str">
        <f>IFERROR(__xludf.DUMMYFUNCTION("""COMPUTED_VALUE"""),"")</f>
        <v/>
      </c>
      <c r="V220" t="str">
        <f>IFERROR(__xludf.DUMMYFUNCTION("""COMPUTED_VALUE"""),"")</f>
        <v/>
      </c>
      <c r="W220" t="str">
        <f>IFERROR(__xludf.DUMMYFUNCTION("""COMPUTED_VALUE"""),"")</f>
        <v/>
      </c>
      <c r="X220" t="str">
        <f>IFERROR(__xludf.DUMMYFUNCTION("""COMPUTED_VALUE"""),"")</f>
        <v/>
      </c>
      <c r="Y220" t="str">
        <f>IFERROR(__xludf.DUMMYFUNCTION("""COMPUTED_VALUE"""),"")</f>
        <v/>
      </c>
      <c r="Z220" t="str">
        <f>IFERROR(__xludf.DUMMYFUNCTION("""COMPUTED_VALUE"""),"")</f>
        <v/>
      </c>
      <c r="AA220" t="str">
        <f>IFERROR(__xludf.DUMMYFUNCTION("""COMPUTED_VALUE"""),"")</f>
        <v/>
      </c>
      <c r="AB220" t="str">
        <f>IFERROR(__xludf.DUMMYFUNCTION("""COMPUTED_VALUE"""),"")</f>
        <v/>
      </c>
    </row>
    <row r="221">
      <c r="A221" s="2">
        <f>IFERROR(__xludf.DUMMYFUNCTION("""COMPUTED_VALUE"""),43639.893405717594)</f>
        <v>43639.89341</v>
      </c>
      <c r="B221" s="1" t="str">
        <f>IFERROR(__xludf.DUMMYFUNCTION("""COMPUTED_VALUE"""),"Le Mintier Emmanuel")</f>
        <v>Le Mintier Emmanuel</v>
      </c>
      <c r="C22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1" s="1" t="str">
        <f>IFERROR(__xludf.DUMMYFUNCTION("""COMPUTED_VALUE"""),"BDE")</f>
        <v>BDE</v>
      </c>
      <c r="E221" s="1">
        <f>IFERROR(__xludf.DUMMYFUNCTION("""COMPUTED_VALUE"""),3.0)</f>
        <v>3</v>
      </c>
      <c r="F221" s="1" t="str">
        <f>IFERROR(__xludf.DUMMYFUNCTION("""COMPUTED_VALUE"""),"Rock, Electro posée, Pop, Musique fançaise, Jazz, Musique classique")</f>
        <v>Rock, Electro posée, Pop, Musique fançaise, Jazz, Musique classique</v>
      </c>
      <c r="G221" s="1" t="str">
        <f>IFERROR(__xludf.DUMMYFUNCTION("""COMPUTED_VALUE"""),"Musique")</f>
        <v>Musique</v>
      </c>
      <c r="H221" s="1" t="str">
        <f>IFERROR(__xludf.DUMMYFUNCTION("""COMPUTED_VALUE"""),"Seulement les soirs de pleine lune")</f>
        <v>Seulement les soirs de pleine lune</v>
      </c>
      <c r="I221" s="1" t="str">
        <f>IFERROR(__xludf.DUMMYFUNCTION("""COMPUTED_VALUE"""),"Plusieurs fois par semaine")</f>
        <v>Plusieurs fois par semaine</v>
      </c>
      <c r="J221" s="1" t="str">
        <f>IFERROR(__xludf.DUMMYFUNCTION("""COMPUTED_VALUE"""),"Pour la compet")</f>
        <v>Pour la compet</v>
      </c>
      <c r="K221" s="1" t="str">
        <f>IFERROR(__xludf.DUMMYFUNCTION("""COMPUTED_VALUE"""),"Voile")</f>
        <v>Voile</v>
      </c>
      <c r="L221" s="1" t="str">
        <f>IFERROR(__xludf.DUMMYFUNCTION("""COMPUTED_VALUE"""),"J'aime cuisiner le WE ou quand j'ai le temps")</f>
        <v>J'aime cuisiner le WE ou quand j'ai le temps</v>
      </c>
      <c r="M221" s="1">
        <f>IFERROR(__xludf.DUMMYFUNCTION("""COMPUTED_VALUE"""),4.0)</f>
        <v>4</v>
      </c>
      <c r="N221" s="1" t="str">
        <f>IFERROR(__xludf.DUMMYFUNCTION("""COMPUTED_VALUE"""),"Une fois par semaine")</f>
        <v>Une fois par semaine</v>
      </c>
      <c r="O221" s="1" t="str">
        <f>IFERROR(__xludf.DUMMYFUNCTION("""COMPUTED_VALUE"""),"Tu te poses dans un coin, chill !!")</f>
        <v>Tu te poses dans un coin, chill !!</v>
      </c>
      <c r="P221" s="1">
        <f>IFERROR(__xludf.DUMMYFUNCTION("""COMPUTED_VALUE"""),1.0)</f>
        <v>1</v>
      </c>
      <c r="Q221" s="1" t="str">
        <f>IFERROR(__xludf.DUMMYFUNCTION("""COMPUTED_VALUE"""),"Non")</f>
        <v>Non</v>
      </c>
      <c r="R221" s="1" t="str">
        <f>IFERROR(__xludf.DUMMYFUNCTION("""COMPUTED_VALUE"""),"Non")</f>
        <v>Non</v>
      </c>
      <c r="S221" s="1" t="str">
        <f>IFERROR(__xludf.DUMMYFUNCTION("""COMPUTED_VALUE"""),"Le Kraal")</f>
        <v>Le Kraal</v>
      </c>
      <c r="T221" s="1" t="str">
        <f>IFERROR(__xludf.DUMMYFUNCTION("""COMPUTED_VALUE"""),"Manivelle de Winch")</f>
        <v>Manivelle de Winch</v>
      </c>
      <c r="U221" t="str">
        <f>IFERROR(__xludf.DUMMYFUNCTION("""COMPUTED_VALUE"""),"")</f>
        <v/>
      </c>
      <c r="V221" t="str">
        <f>IFERROR(__xludf.DUMMYFUNCTION("""COMPUTED_VALUE"""),"")</f>
        <v/>
      </c>
      <c r="W221" t="str">
        <f>IFERROR(__xludf.DUMMYFUNCTION("""COMPUTED_VALUE"""),"")</f>
        <v/>
      </c>
      <c r="X221" t="str">
        <f>IFERROR(__xludf.DUMMYFUNCTION("""COMPUTED_VALUE"""),"")</f>
        <v/>
      </c>
      <c r="Y221" t="str">
        <f>IFERROR(__xludf.DUMMYFUNCTION("""COMPUTED_VALUE"""),"")</f>
        <v/>
      </c>
      <c r="Z221" t="str">
        <f>IFERROR(__xludf.DUMMYFUNCTION("""COMPUTED_VALUE"""),"")</f>
        <v/>
      </c>
      <c r="AA221" t="str">
        <f>IFERROR(__xludf.DUMMYFUNCTION("""COMPUTED_VALUE"""),"")</f>
        <v/>
      </c>
      <c r="AB221" t="str">
        <f>IFERROR(__xludf.DUMMYFUNCTION("""COMPUTED_VALUE"""),"")</f>
        <v/>
      </c>
    </row>
    <row r="222">
      <c r="A222" s="2">
        <f>IFERROR(__xludf.DUMMYFUNCTION("""COMPUTED_VALUE"""),43639.90584327547)</f>
        <v>43639.90584</v>
      </c>
      <c r="B222" s="1" t="str">
        <f>IFERROR(__xludf.DUMMYFUNCTION("""COMPUTED_VALUE"""),"Lilie BOIZUMAULT")</f>
        <v>Lilie BOIZUMAULT</v>
      </c>
      <c r="C22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2" s="1" t="str">
        <f>IFERROR(__xludf.DUMMYFUNCTION("""COMPUTED_VALUE"""),"BDE")</f>
        <v>BDE</v>
      </c>
      <c r="E222" s="1">
        <f>IFERROR(__xludf.DUMMYFUNCTION("""COMPUTED_VALUE"""),3.0)</f>
        <v>3</v>
      </c>
      <c r="F222" s="1" t="str">
        <f>IFERROR(__xludf.DUMMYFUNCTION("""COMPUTED_VALUE"""),"Rap, Pop, Musique fançaise")</f>
        <v>Rap, Pop, Musique fançaise</v>
      </c>
      <c r="G222" s="1" t="str">
        <f>IFERROR(__xludf.DUMMYFUNCTION("""COMPUTED_VALUE"""),"Musique, Théâtre, Cinéma")</f>
        <v>Musique, Théâtre, Cinéma</v>
      </c>
      <c r="H222" s="1" t="str">
        <f>IFERROR(__xludf.DUMMYFUNCTION("""COMPUTED_VALUE"""),"Une fois de temps en temps")</f>
        <v>Une fois de temps en temps</v>
      </c>
      <c r="I222" s="1" t="str">
        <f>IFERROR(__xludf.DUMMYFUNCTION("""COMPUTED_VALUE"""),"Plusieurs fois par semaine")</f>
        <v>Plusieurs fois par semaine</v>
      </c>
      <c r="J222" s="1" t="str">
        <f>IFERROR(__xludf.DUMMYFUNCTION("""COMPUTED_VALUE"""),"Pour le développement perso et se dépasser")</f>
        <v>Pour le développement perso et se dépasser</v>
      </c>
      <c r="K222" s="1" t="str">
        <f>IFERROR(__xludf.DUMMYFUNCTION("""COMPUTED_VALUE"""),"Sports collectifs")</f>
        <v>Sports collectifs</v>
      </c>
      <c r="L222" s="1" t="str">
        <f>IFERROR(__xludf.DUMMYFUNCTION("""COMPUTED_VALUE"""),"Alterner entre grec et coquillettes ça compte ?")</f>
        <v>Alterner entre grec et coquillettes ça compte ?</v>
      </c>
      <c r="M222" s="1">
        <f>IFERROR(__xludf.DUMMYFUNCTION("""COMPUTED_VALUE"""),9.0)</f>
        <v>9</v>
      </c>
      <c r="N222" s="1" t="str">
        <f>IFERROR(__xludf.DUMMYFUNCTION("""COMPUTED_VALUE"""),"Une fois par semaine")</f>
        <v>Une fois par semaine</v>
      </c>
      <c r="O222" s="1" t="str">
        <f>IFERROR(__xludf.DUMMYFUNCTION("""COMPUTED_VALUE"""),"T'enflammes le dancefloor")</f>
        <v>T'enflammes le dancefloor</v>
      </c>
      <c r="P222" s="1">
        <f>IFERROR(__xludf.DUMMYFUNCTION("""COMPUTED_VALUE"""),5.0)</f>
        <v>5</v>
      </c>
      <c r="Q222" s="1" t="str">
        <f>IFERROR(__xludf.DUMMYFUNCTION("""COMPUTED_VALUE"""),"Oui")</f>
        <v>Oui</v>
      </c>
      <c r="R222" s="1" t="str">
        <f>IFERROR(__xludf.DUMMYFUNCTION("""COMPUTED_VALUE"""),"Non")</f>
        <v>Non</v>
      </c>
      <c r="S222" s="1" t="str">
        <f>IFERROR(__xludf.DUMMYFUNCTION("""COMPUTED_VALUE"""),"La dézing")</f>
        <v>La dézing</v>
      </c>
      <c r="T222" s="1" t="str">
        <f>IFERROR(__xludf.DUMMYFUNCTION("""COMPUTED_VALUE"""),"Pochtard avec du gazon dedans ")</f>
        <v>Pochtard avec du gazon dedans </v>
      </c>
      <c r="U222" t="str">
        <f>IFERROR(__xludf.DUMMYFUNCTION("""COMPUTED_VALUE"""),"")</f>
        <v/>
      </c>
      <c r="V222" t="str">
        <f>IFERROR(__xludf.DUMMYFUNCTION("""COMPUTED_VALUE"""),"")</f>
        <v/>
      </c>
      <c r="W222" t="str">
        <f>IFERROR(__xludf.DUMMYFUNCTION("""COMPUTED_VALUE"""),"")</f>
        <v/>
      </c>
      <c r="X222" t="str">
        <f>IFERROR(__xludf.DUMMYFUNCTION("""COMPUTED_VALUE"""),"")</f>
        <v/>
      </c>
      <c r="Y222" t="str">
        <f>IFERROR(__xludf.DUMMYFUNCTION("""COMPUTED_VALUE"""),"")</f>
        <v/>
      </c>
      <c r="Z222" t="str">
        <f>IFERROR(__xludf.DUMMYFUNCTION("""COMPUTED_VALUE"""),"")</f>
        <v/>
      </c>
      <c r="AA222" t="str">
        <f>IFERROR(__xludf.DUMMYFUNCTION("""COMPUTED_VALUE"""),"")</f>
        <v/>
      </c>
      <c r="AB222" t="str">
        <f>IFERROR(__xludf.DUMMYFUNCTION("""COMPUTED_VALUE"""),"")</f>
        <v/>
      </c>
    </row>
    <row r="223">
      <c r="A223" s="2">
        <f>IFERROR(__xludf.DUMMYFUNCTION("""COMPUTED_VALUE"""),43639.93415981482)</f>
        <v>43639.93416</v>
      </c>
      <c r="B223" s="1" t="str">
        <f>IFERROR(__xludf.DUMMYFUNCTION("""COMPUTED_VALUE"""),"Amine MEHMOUDEN")</f>
        <v>Amine MEHMOUDEN</v>
      </c>
      <c r="C22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3" s="1" t="str">
        <f>IFERROR(__xludf.DUMMYFUNCTION("""COMPUTED_VALUE"""),"BDE")</f>
        <v>BDE</v>
      </c>
      <c r="E223" s="1">
        <f>IFERROR(__xludf.DUMMYFUNCTION("""COMPUTED_VALUE"""),5.0)</f>
        <v>5</v>
      </c>
      <c r="F223" s="1" t="str">
        <f>IFERROR(__xludf.DUMMYFUNCTION("""COMPUTED_VALUE"""),"Rap, Pop")</f>
        <v>Rap, Pop</v>
      </c>
      <c r="G223" s="1" t="str">
        <f>IFERROR(__xludf.DUMMYFUNCTION("""COMPUTED_VALUE"""),"Danse, Musique, Cinéma, Graphisme")</f>
        <v>Danse, Musique, Cinéma, Graphisme</v>
      </c>
      <c r="H223" s="1" t="str">
        <f>IFERROR(__xludf.DUMMYFUNCTION("""COMPUTED_VALUE"""),"Une fois de temps en temps")</f>
        <v>Une fois de temps en temps</v>
      </c>
      <c r="I223" s="1" t="str">
        <f>IFERROR(__xludf.DUMMYFUNCTION("""COMPUTED_VALUE"""),"Plusieurs fois par semaine")</f>
        <v>Plusieurs fois par semaine</v>
      </c>
      <c r="J223" s="1" t="str">
        <f>IFERROR(__xludf.DUMMYFUNCTION("""COMPUTED_VALUE"""),"Pour le développement perso et se dépasser")</f>
        <v>Pour le développement perso et se dépasser</v>
      </c>
      <c r="K223" s="1" t="str">
        <f>IFERROR(__xludf.DUMMYFUNCTION("""COMPUTED_VALUE"""),"Sports collectifs")</f>
        <v>Sports collectifs</v>
      </c>
      <c r="L223" s="1" t="str">
        <f>IFERROR(__xludf.DUMMYFUNCTION("""COMPUTED_VALUE"""),"J'aime cuisiner le WE ou quand j'ai le temps")</f>
        <v>J'aime cuisiner le WE ou quand j'ai le temps</v>
      </c>
      <c r="M223" s="1">
        <f>IFERROR(__xludf.DUMMYFUNCTION("""COMPUTED_VALUE"""),1.0)</f>
        <v>1</v>
      </c>
      <c r="N223" s="1" t="str">
        <f>IFERROR(__xludf.DUMMYFUNCTION("""COMPUTED_VALUE"""),"Plusieurs fois par semaine")</f>
        <v>Plusieurs fois par semaine</v>
      </c>
      <c r="O223" s="1" t="str">
        <f>IFERROR(__xludf.DUMMYFUNCTION("""COMPUTED_VALUE"""),"T'enflammes le dancefloor")</f>
        <v>T'enflammes le dancefloor</v>
      </c>
      <c r="P223" s="1">
        <f>IFERROR(__xludf.DUMMYFUNCTION("""COMPUTED_VALUE"""),1.0)</f>
        <v>1</v>
      </c>
      <c r="Q223" s="1" t="str">
        <f>IFERROR(__xludf.DUMMYFUNCTION("""COMPUTED_VALUE"""),"Oui")</f>
        <v>Oui</v>
      </c>
      <c r="R223" s="1" t="str">
        <f>IFERROR(__xludf.DUMMYFUNCTION("""COMPUTED_VALUE"""),"Non")</f>
        <v>Non</v>
      </c>
      <c r="S223" s="1" t="str">
        <f>IFERROR(__xludf.DUMMYFUNCTION("""COMPUTED_VALUE"""),"le squat")</f>
        <v>le squat</v>
      </c>
      <c r="T223" s="1" t="str">
        <f>IFERROR(__xludf.DUMMYFUNCTION("""COMPUTED_VALUE"""),"je sais pas encore")</f>
        <v>je sais pas encore</v>
      </c>
      <c r="U223" t="str">
        <f>IFERROR(__xludf.DUMMYFUNCTION("""COMPUTED_VALUE"""),"")</f>
        <v/>
      </c>
      <c r="V223" t="str">
        <f>IFERROR(__xludf.DUMMYFUNCTION("""COMPUTED_VALUE"""),"")</f>
        <v/>
      </c>
      <c r="W223" t="str">
        <f>IFERROR(__xludf.DUMMYFUNCTION("""COMPUTED_VALUE"""),"")</f>
        <v/>
      </c>
      <c r="X223" t="str">
        <f>IFERROR(__xludf.DUMMYFUNCTION("""COMPUTED_VALUE"""),"")</f>
        <v/>
      </c>
      <c r="Y223" t="str">
        <f>IFERROR(__xludf.DUMMYFUNCTION("""COMPUTED_VALUE"""),"")</f>
        <v/>
      </c>
      <c r="Z223" t="str">
        <f>IFERROR(__xludf.DUMMYFUNCTION("""COMPUTED_VALUE"""),"")</f>
        <v/>
      </c>
      <c r="AA223" t="str">
        <f>IFERROR(__xludf.DUMMYFUNCTION("""COMPUTED_VALUE"""),"")</f>
        <v/>
      </c>
      <c r="AB223" t="str">
        <f>IFERROR(__xludf.DUMMYFUNCTION("""COMPUTED_VALUE"""),"")</f>
        <v/>
      </c>
    </row>
    <row r="224">
      <c r="A224" s="2">
        <f>IFERROR(__xludf.DUMMYFUNCTION("""COMPUTED_VALUE"""),43639.950168923606)</f>
        <v>43639.95017</v>
      </c>
      <c r="B224" s="1" t="str">
        <f>IFERROR(__xludf.DUMMYFUNCTION("""COMPUTED_VALUE"""),"Adrien Jamelot")</f>
        <v>Adrien Jamelot</v>
      </c>
      <c r="C22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4" s="1" t="str">
        <f>IFERROR(__xludf.DUMMYFUNCTION("""COMPUTED_VALUE"""),"BDS")</f>
        <v>BDS</v>
      </c>
      <c r="E224" s="1">
        <f>IFERROR(__xludf.DUMMYFUNCTION("""COMPUTED_VALUE"""),3.0)</f>
        <v>3</v>
      </c>
      <c r="F224" s="1" t="str">
        <f>IFERROR(__xludf.DUMMYFUNCTION("""COMPUTED_VALUE"""),"Rock, Rap")</f>
        <v>Rock, Rap</v>
      </c>
      <c r="G224" s="1" t="str">
        <f>IFERROR(__xludf.DUMMYFUNCTION("""COMPUTED_VALUE"""),"Littérature, Musique")</f>
        <v>Littérature, Musique</v>
      </c>
      <c r="H224" s="1" t="str">
        <f>IFERROR(__xludf.DUMMYFUNCTION("""COMPUTED_VALUE"""),"Seulement les soirs de pleine lune")</f>
        <v>Seulement les soirs de pleine lune</v>
      </c>
      <c r="I224" s="1" t="str">
        <f>IFERROR(__xludf.DUMMYFUNCTION("""COMPUTED_VALUE"""),"Une fois par semaine")</f>
        <v>Une fois par semaine</v>
      </c>
      <c r="J224" s="1" t="str">
        <f>IFERROR(__xludf.DUMMYFUNCTION("""COMPUTED_VALUE"""),"Pour le fun")</f>
        <v>Pour le fun</v>
      </c>
      <c r="K224" s="1" t="str">
        <f>IFERROR(__xludf.DUMMYFUNCTION("""COMPUTED_VALUE"""),"Sports de raquette, Voile")</f>
        <v>Sports de raquette, Voile</v>
      </c>
      <c r="L224" s="1" t="str">
        <f>IFERROR(__xludf.DUMMYFUNCTION("""COMPUTED_VALUE"""),"J'aime cuisiner le WE ou quand j'ai le temps")</f>
        <v>J'aime cuisiner le WE ou quand j'ai le temps</v>
      </c>
      <c r="M224" s="1">
        <f>IFERROR(__xludf.DUMMYFUNCTION("""COMPUTED_VALUE"""),6.0)</f>
        <v>6</v>
      </c>
      <c r="N224" s="1" t="str">
        <f>IFERROR(__xludf.DUMMYFUNCTION("""COMPUTED_VALUE"""),"Une fois par semaine")</f>
        <v>Une fois par semaine</v>
      </c>
      <c r="O224" s="1" t="str">
        <f>IFERROR(__xludf.DUMMYFUNCTION("""COMPUTED_VALUE"""),"Objectif grosse défonce")</f>
        <v>Objectif grosse défonce</v>
      </c>
      <c r="P224" s="1">
        <f>IFERROR(__xludf.DUMMYFUNCTION("""COMPUTED_VALUE"""),1.0)</f>
        <v>1</v>
      </c>
      <c r="Q224" s="1" t="str">
        <f>IFERROR(__xludf.DUMMYFUNCTION("""COMPUTED_VALUE"""),"Non")</f>
        <v>Non</v>
      </c>
      <c r="R224" s="1" t="str">
        <f>IFERROR(__xludf.DUMMYFUNCTION("""COMPUTED_VALUE"""),"Non")</f>
        <v>Non</v>
      </c>
      <c r="S224" s="1" t="str">
        <f>IFERROR(__xludf.DUMMYFUNCTION("""COMPUTED_VALUE"""),"azerty44")</f>
        <v>azerty44</v>
      </c>
      <c r="T224" s="1" t="str">
        <f>IFERROR(__xludf.DUMMYFUNCTION("""COMPUTED_VALUE"""),"Une brosse à dents")</f>
        <v>Une brosse à dents</v>
      </c>
      <c r="U224" t="str">
        <f>IFERROR(__xludf.DUMMYFUNCTION("""COMPUTED_VALUE"""),"")</f>
        <v/>
      </c>
      <c r="V224" t="str">
        <f>IFERROR(__xludf.DUMMYFUNCTION("""COMPUTED_VALUE"""),"")</f>
        <v/>
      </c>
      <c r="W224" t="str">
        <f>IFERROR(__xludf.DUMMYFUNCTION("""COMPUTED_VALUE"""),"")</f>
        <v/>
      </c>
      <c r="X224" t="str">
        <f>IFERROR(__xludf.DUMMYFUNCTION("""COMPUTED_VALUE"""),"")</f>
        <v/>
      </c>
      <c r="Y224" t="str">
        <f>IFERROR(__xludf.DUMMYFUNCTION("""COMPUTED_VALUE"""),"")</f>
        <v/>
      </c>
      <c r="Z224" t="str">
        <f>IFERROR(__xludf.DUMMYFUNCTION("""COMPUTED_VALUE"""),"")</f>
        <v/>
      </c>
      <c r="AA224" t="str">
        <f>IFERROR(__xludf.DUMMYFUNCTION("""COMPUTED_VALUE"""),"")</f>
        <v/>
      </c>
      <c r="AB224" t="str">
        <f>IFERROR(__xludf.DUMMYFUNCTION("""COMPUTED_VALUE"""),"")</f>
        <v/>
      </c>
    </row>
    <row r="225">
      <c r="A225" s="2">
        <f>IFERROR(__xludf.DUMMYFUNCTION("""COMPUTED_VALUE"""),43640.22223347222)</f>
        <v>43640.22223</v>
      </c>
      <c r="B225" s="1" t="str">
        <f>IFERROR(__xludf.DUMMYFUNCTION("""COMPUTED_VALUE"""),"Eric Ali Mehenni")</f>
        <v>Eric Ali Mehenni</v>
      </c>
      <c r="C22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5" s="1" t="str">
        <f>IFERROR(__xludf.DUMMYFUNCTION("""COMPUTED_VALUE"""),"BDA")</f>
        <v>BDA</v>
      </c>
      <c r="E225" s="1">
        <f>IFERROR(__xludf.DUMMYFUNCTION("""COMPUTED_VALUE"""),5.0)</f>
        <v>5</v>
      </c>
      <c r="F225" s="1" t="str">
        <f>IFERROR(__xludf.DUMMYFUNCTION("""COMPUTED_VALUE"""),"Rock, Electro posée, Rap, Pop, Musique classique")</f>
        <v>Rock, Electro posée, Rap, Pop, Musique classique</v>
      </c>
      <c r="G225" s="1" t="str">
        <f>IFERROR(__xludf.DUMMYFUNCTION("""COMPUTED_VALUE"""),"Littérature, Musique, Théâtre, Cinéma")</f>
        <v>Littérature, Musique, Théâtre, Cinéma</v>
      </c>
      <c r="H225" s="1" t="str">
        <f>IFERROR(__xludf.DUMMYFUNCTION("""COMPUTED_VALUE"""),"Une fois de temps en temps")</f>
        <v>Une fois de temps en temps</v>
      </c>
      <c r="I225" s="1" t="str">
        <f>IFERROR(__xludf.DUMMYFUNCTION("""COMPUTED_VALUE"""),"Une fois par semaine")</f>
        <v>Une fois par semaine</v>
      </c>
      <c r="J225" s="1" t="str">
        <f>IFERROR(__xludf.DUMMYFUNCTION("""COMPUTED_VALUE"""),"Pour le fun")</f>
        <v>Pour le fun</v>
      </c>
      <c r="K225" s="1" t="str">
        <f>IFERROR(__xludf.DUMMYFUNCTION("""COMPUTED_VALUE"""),"Sports collectifs, Sports de rames")</f>
        <v>Sports collectifs, Sports de rames</v>
      </c>
      <c r="L225" s="1" t="str">
        <f>IFERROR(__xludf.DUMMYFUNCTION("""COMPUTED_VALUE"""),"J'aime cuisiner le WE ou quand j'ai le temps")</f>
        <v>J'aime cuisiner le WE ou quand j'ai le temps</v>
      </c>
      <c r="M225" s="1">
        <f>IFERROR(__xludf.DUMMYFUNCTION("""COMPUTED_VALUE"""),8.0)</f>
        <v>8</v>
      </c>
      <c r="N225" s="1" t="str">
        <f>IFERROR(__xludf.DUMMYFUNCTION("""COMPUTED_VALUE"""),"Plusieurs fois par semaine")</f>
        <v>Plusieurs fois par semaine</v>
      </c>
      <c r="O225" s="1" t="str">
        <f>IFERROR(__xludf.DUMMYFUNCTION("""COMPUTED_VALUE"""),"Tu te poses dans un coin, chill !!")</f>
        <v>Tu te poses dans un coin, chill !!</v>
      </c>
      <c r="P225" s="1">
        <f>IFERROR(__xludf.DUMMYFUNCTION("""COMPUTED_VALUE"""),2.0)</f>
        <v>2</v>
      </c>
      <c r="Q225" s="1" t="str">
        <f>IFERROR(__xludf.DUMMYFUNCTION("""COMPUTED_VALUE"""),"Oui")</f>
        <v>Oui</v>
      </c>
      <c r="R225" s="1" t="str">
        <f>IFERROR(__xludf.DUMMYFUNCTION("""COMPUTED_VALUE"""),"Non")</f>
        <v>Non</v>
      </c>
      <c r="S225" s="1" t="str">
        <f>IFERROR(__xludf.DUMMYFUNCTION("""COMPUTED_VALUE"""),"Badge")</f>
        <v>Badge</v>
      </c>
      <c r="T225" s="1" t="str">
        <f>IFERROR(__xludf.DUMMYFUNCTION("""COMPUTED_VALUE"""),"Une carte")</f>
        <v>Une carte</v>
      </c>
      <c r="U225" t="str">
        <f>IFERROR(__xludf.DUMMYFUNCTION("""COMPUTED_VALUE"""),"")</f>
        <v/>
      </c>
      <c r="V225" t="str">
        <f>IFERROR(__xludf.DUMMYFUNCTION("""COMPUTED_VALUE"""),"")</f>
        <v/>
      </c>
      <c r="W225" t="str">
        <f>IFERROR(__xludf.DUMMYFUNCTION("""COMPUTED_VALUE"""),"")</f>
        <v/>
      </c>
      <c r="X225" t="str">
        <f>IFERROR(__xludf.DUMMYFUNCTION("""COMPUTED_VALUE"""),"")</f>
        <v/>
      </c>
      <c r="Y225" t="str">
        <f>IFERROR(__xludf.DUMMYFUNCTION("""COMPUTED_VALUE"""),"")</f>
        <v/>
      </c>
      <c r="Z225" t="str">
        <f>IFERROR(__xludf.DUMMYFUNCTION("""COMPUTED_VALUE"""),"")</f>
        <v/>
      </c>
      <c r="AA225" t="str">
        <f>IFERROR(__xludf.DUMMYFUNCTION("""COMPUTED_VALUE"""),"")</f>
        <v/>
      </c>
      <c r="AB225" t="str">
        <f>IFERROR(__xludf.DUMMYFUNCTION("""COMPUTED_VALUE"""),"")</f>
        <v/>
      </c>
    </row>
    <row r="226">
      <c r="A226" s="2">
        <f>IFERROR(__xludf.DUMMYFUNCTION("""COMPUTED_VALUE"""),43640.243552581014)</f>
        <v>43640.24355</v>
      </c>
      <c r="B226" s="1" t="str">
        <f>IFERROR(__xludf.DUMMYFUNCTION("""COMPUTED_VALUE"""),"Anaïs BOUCHET")</f>
        <v>Anaïs BOUCHET</v>
      </c>
      <c r="C226" s="1" t="str">
        <f>IFERROR(__xludf.DUMMYFUNCTION("""COMPUTED_VALUE"""),"Le président et un inconnu")</f>
        <v>Le président et un inconnu</v>
      </c>
      <c r="D226" s="1" t="str">
        <f>IFERROR(__xludf.DUMMYFUNCTION("""COMPUTED_VALUE"""),"BDA")</f>
        <v>BDA</v>
      </c>
      <c r="E226" s="1">
        <f>IFERROR(__xludf.DUMMYFUNCTION("""COMPUTED_VALUE"""),4.0)</f>
        <v>4</v>
      </c>
      <c r="F226" s="1" t="str">
        <f>IFERROR(__xludf.DUMMYFUNCTION("""COMPUTED_VALUE"""),"Rock, Metal, Electro posée, Pop, Jazz")</f>
        <v>Rock, Metal, Electro posée, Pop, Jazz</v>
      </c>
      <c r="G226" s="1" t="str">
        <f>IFERROR(__xludf.DUMMYFUNCTION("""COMPUTED_VALUE"""),"Littérature, Danse, Musique")</f>
        <v>Littérature, Danse, Musique</v>
      </c>
      <c r="H226" s="1" t="str">
        <f>IFERROR(__xludf.DUMMYFUNCTION("""COMPUTED_VALUE"""),"Une fois de temps en temps")</f>
        <v>Une fois de temps en temps</v>
      </c>
      <c r="I226" s="1" t="str">
        <f>IFERROR(__xludf.DUMMYFUNCTION("""COMPUTED_VALUE"""),"Une fois par semaine")</f>
        <v>Une fois par semaine</v>
      </c>
      <c r="J226" s="1" t="str">
        <f>IFERROR(__xludf.DUMMYFUNCTION("""COMPUTED_VALUE"""),"Pour le développement perso et se dépasser")</f>
        <v>Pour le développement perso et se dépasser</v>
      </c>
      <c r="K226" s="1" t="str">
        <f>IFERROR(__xludf.DUMMYFUNCTION("""COMPUTED_VALUE"""),"Sports de raquette, Athlétisme")</f>
        <v>Sports de raquette, Athlétisme</v>
      </c>
      <c r="L226" s="1" t="str">
        <f>IFERROR(__xludf.DUMMYFUNCTION("""COMPUTED_VALUE"""),"J'aime cuisiner le WE ou quand j'ai le temps")</f>
        <v>J'aime cuisiner le WE ou quand j'ai le temps</v>
      </c>
      <c r="M226" s="1">
        <f>IFERROR(__xludf.DUMMYFUNCTION("""COMPUTED_VALUE"""),4.0)</f>
        <v>4</v>
      </c>
      <c r="N226" s="1" t="str">
        <f>IFERROR(__xludf.DUMMYFUNCTION("""COMPUTED_VALUE"""),"Une fois par semaine")</f>
        <v>Une fois par semaine</v>
      </c>
      <c r="O226" s="1" t="str">
        <f>IFERROR(__xludf.DUMMYFUNCTION("""COMPUTED_VALUE"""),"Tu te poses dans un coin, chill !!")</f>
        <v>Tu te poses dans un coin, chill !!</v>
      </c>
      <c r="P226" s="1">
        <f>IFERROR(__xludf.DUMMYFUNCTION("""COMPUTED_VALUE"""),1.0)</f>
        <v>1</v>
      </c>
      <c r="Q226" s="1" t="str">
        <f>IFERROR(__xludf.DUMMYFUNCTION("""COMPUTED_VALUE"""),"Non")</f>
        <v>Non</v>
      </c>
      <c r="R226" s="1" t="str">
        <f>IFERROR(__xludf.DUMMYFUNCTION("""COMPUTED_VALUE"""),"Non")</f>
        <v>Non</v>
      </c>
      <c r="S226" s="1" t="str">
        <f>IFERROR(__xludf.DUMMYFUNCTION("""COMPUTED_VALUE"""),"Famille Discorde ")</f>
        <v>Famille Discorde </v>
      </c>
      <c r="T226" s="1" t="str">
        <f>IFERROR(__xludf.DUMMYFUNCTION("""COMPUTED_VALUE"""),"Un serre-tête médusé ")</f>
        <v>Un serre-tête médusé </v>
      </c>
      <c r="U226" t="str">
        <f>IFERROR(__xludf.DUMMYFUNCTION("""COMPUTED_VALUE"""),"")</f>
        <v/>
      </c>
      <c r="V226" t="str">
        <f>IFERROR(__xludf.DUMMYFUNCTION("""COMPUTED_VALUE"""),"")</f>
        <v/>
      </c>
      <c r="W226" t="str">
        <f>IFERROR(__xludf.DUMMYFUNCTION("""COMPUTED_VALUE"""),"")</f>
        <v/>
      </c>
      <c r="X226" t="str">
        <f>IFERROR(__xludf.DUMMYFUNCTION("""COMPUTED_VALUE"""),"")</f>
        <v/>
      </c>
      <c r="Y226" t="str">
        <f>IFERROR(__xludf.DUMMYFUNCTION("""COMPUTED_VALUE"""),"")</f>
        <v/>
      </c>
      <c r="Z226" t="str">
        <f>IFERROR(__xludf.DUMMYFUNCTION("""COMPUTED_VALUE"""),"")</f>
        <v/>
      </c>
      <c r="AA226" t="str">
        <f>IFERROR(__xludf.DUMMYFUNCTION("""COMPUTED_VALUE"""),"")</f>
        <v/>
      </c>
      <c r="AB226" t="str">
        <f>IFERROR(__xludf.DUMMYFUNCTION("""COMPUTED_VALUE"""),"")</f>
        <v/>
      </c>
    </row>
    <row r="227">
      <c r="A227" s="2">
        <f>IFERROR(__xludf.DUMMYFUNCTION("""COMPUTED_VALUE"""),43640.34241986111)</f>
        <v>43640.34242</v>
      </c>
      <c r="B227" s="1" t="str">
        <f>IFERROR(__xludf.DUMMYFUNCTION("""COMPUTED_VALUE"""),"Antoine DAROUX")</f>
        <v>Antoine DAROUX</v>
      </c>
      <c r="C22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7" s="1" t="str">
        <f>IFERROR(__xludf.DUMMYFUNCTION("""COMPUTED_VALUE"""),"BDE")</f>
        <v>BDE</v>
      </c>
      <c r="E227" s="1">
        <f>IFERROR(__xludf.DUMMYFUNCTION("""COMPUTED_VALUE"""),3.0)</f>
        <v>3</v>
      </c>
      <c r="F227" s="1" t="str">
        <f>IFERROR(__xludf.DUMMYFUNCTION("""COMPUTED_VALUE"""),"Rock, Rap, Pop, Musique fançaise")</f>
        <v>Rock, Rap, Pop, Musique fançaise</v>
      </c>
      <c r="G227" s="1" t="str">
        <f>IFERROR(__xludf.DUMMYFUNCTION("""COMPUTED_VALUE"""),"Littérature")</f>
        <v>Littérature</v>
      </c>
      <c r="H227" s="1" t="str">
        <f>IFERROR(__xludf.DUMMYFUNCTION("""COMPUTED_VALUE"""),"Quelques fois par semaine")</f>
        <v>Quelques fois par semaine</v>
      </c>
      <c r="I227" s="1" t="str">
        <f>IFERROR(__xludf.DUMMYFUNCTION("""COMPUTED_VALUE"""),"Une fois par semaine")</f>
        <v>Une fois par semaine</v>
      </c>
      <c r="J227" s="1" t="str">
        <f>IFERROR(__xludf.DUMMYFUNCTION("""COMPUTED_VALUE"""),"Pour le fun")</f>
        <v>Pour le fun</v>
      </c>
      <c r="K227" s="1" t="str">
        <f>IFERROR(__xludf.DUMMYFUNCTION("""COMPUTED_VALUE"""),"Sports de raquette")</f>
        <v>Sports de raquette</v>
      </c>
      <c r="L227" s="1" t="str">
        <f>IFERROR(__xludf.DUMMYFUNCTION("""COMPUTED_VALUE"""),"Oh oui, et les trucs bien gras ça me connait !")</f>
        <v>Oh oui, et les trucs bien gras ça me connait !</v>
      </c>
      <c r="M227" s="1">
        <f>IFERROR(__xludf.DUMMYFUNCTION("""COMPUTED_VALUE"""),5.0)</f>
        <v>5</v>
      </c>
      <c r="N227" s="1" t="str">
        <f>IFERROR(__xludf.DUMMYFUNCTION("""COMPUTED_VALUE"""),"Une fois par semaine")</f>
        <v>Une fois par semaine</v>
      </c>
      <c r="O227" s="1" t="str">
        <f>IFERROR(__xludf.DUMMYFUNCTION("""COMPUTED_VALUE"""),"Objectif grosse défonce")</f>
        <v>Objectif grosse défonce</v>
      </c>
      <c r="P227" s="1">
        <f>IFERROR(__xludf.DUMMYFUNCTION("""COMPUTED_VALUE"""),2.0)</f>
        <v>2</v>
      </c>
      <c r="Q227" s="1" t="str">
        <f>IFERROR(__xludf.DUMMYFUNCTION("""COMPUTED_VALUE"""),"Oui")</f>
        <v>Oui</v>
      </c>
      <c r="R227" s="1" t="str">
        <f>IFERROR(__xludf.DUMMYFUNCTION("""COMPUTED_VALUE"""),"Non")</f>
        <v>Non</v>
      </c>
      <c r="S227" s="1" t="str">
        <f>IFERROR(__xludf.DUMMYFUNCTION("""COMPUTED_VALUE"""),"EI3 Mous'cancers")</f>
        <v>EI3 Mous'cancers</v>
      </c>
      <c r="T227" s="1" t="str">
        <f>IFERROR(__xludf.DUMMYFUNCTION("""COMPUTED_VALUE"""),"Un planning du BDE des Fox")</f>
        <v>Un planning du BDE des Fox</v>
      </c>
      <c r="U227" t="str">
        <f>IFERROR(__xludf.DUMMYFUNCTION("""COMPUTED_VALUE"""),"")</f>
        <v/>
      </c>
      <c r="V227" t="str">
        <f>IFERROR(__xludf.DUMMYFUNCTION("""COMPUTED_VALUE"""),"")</f>
        <v/>
      </c>
      <c r="W227" t="str">
        <f>IFERROR(__xludf.DUMMYFUNCTION("""COMPUTED_VALUE"""),"")</f>
        <v/>
      </c>
      <c r="X227" t="str">
        <f>IFERROR(__xludf.DUMMYFUNCTION("""COMPUTED_VALUE"""),"")</f>
        <v/>
      </c>
      <c r="Y227" t="str">
        <f>IFERROR(__xludf.DUMMYFUNCTION("""COMPUTED_VALUE"""),"")</f>
        <v/>
      </c>
      <c r="Z227" t="str">
        <f>IFERROR(__xludf.DUMMYFUNCTION("""COMPUTED_VALUE"""),"")</f>
        <v/>
      </c>
      <c r="AA227" t="str">
        <f>IFERROR(__xludf.DUMMYFUNCTION("""COMPUTED_VALUE"""),"")</f>
        <v/>
      </c>
      <c r="AB227" t="str">
        <f>IFERROR(__xludf.DUMMYFUNCTION("""COMPUTED_VALUE"""),"")</f>
        <v/>
      </c>
    </row>
    <row r="228">
      <c r="A228" s="2">
        <f>IFERROR(__xludf.DUMMYFUNCTION("""COMPUTED_VALUE"""),43640.342758252315)</f>
        <v>43640.34276</v>
      </c>
      <c r="B228" s="1" t="str">
        <f>IFERROR(__xludf.DUMMYFUNCTION("""COMPUTED_VALUE"""),"Lucas SANCIET--MUNIER")</f>
        <v>Lucas SANCIET--MUNIER</v>
      </c>
      <c r="C22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8" s="1" t="str">
        <f>IFERROR(__xludf.DUMMYFUNCTION("""COMPUTED_VALUE"""),"BDA")</f>
        <v>BDA</v>
      </c>
      <c r="E228" s="1">
        <f>IFERROR(__xludf.DUMMYFUNCTION("""COMPUTED_VALUE"""),3.0)</f>
        <v>3</v>
      </c>
      <c r="F228" s="1" t="str">
        <f>IFERROR(__xludf.DUMMYFUNCTION("""COMPUTED_VALUE"""),"Electro posée, Electro hard, Rap, Musique fançaise, Autre")</f>
        <v>Electro posée, Electro hard, Rap, Musique fançaise, Autre</v>
      </c>
      <c r="G228" s="1" t="str">
        <f>IFERROR(__xludf.DUMMYFUNCTION("""COMPUTED_VALUE"""),"Peinture, Musique, Cinéma")</f>
        <v>Peinture, Musique, Cinéma</v>
      </c>
      <c r="H228" s="1" t="str">
        <f>IFERROR(__xludf.DUMMYFUNCTION("""COMPUTED_VALUE"""),"Quelques fois par semaine")</f>
        <v>Quelques fois par semaine</v>
      </c>
      <c r="I228" s="1" t="str">
        <f>IFERROR(__xludf.DUMMYFUNCTION("""COMPUTED_VALUE"""),"Le dimanche à 15h32 s'il fait beau")</f>
        <v>Le dimanche à 15h32 s'il fait beau</v>
      </c>
      <c r="J228" s="1" t="str">
        <f>IFERROR(__xludf.DUMMYFUNCTION("""COMPUTED_VALUE"""),"Pour le fun")</f>
        <v>Pour le fun</v>
      </c>
      <c r="K228" s="1" t="str">
        <f>IFERROR(__xludf.DUMMYFUNCTION("""COMPUTED_VALUE"""),"Pas de sport")</f>
        <v>Pas de sport</v>
      </c>
      <c r="L228" s="1" t="str">
        <f>IFERROR(__xludf.DUMMYFUNCTION("""COMPUTED_VALUE"""),"J'aime cuisiner le WE ou quand j'ai le temps")</f>
        <v>J'aime cuisiner le WE ou quand j'ai le temps</v>
      </c>
      <c r="M228" s="1">
        <f>IFERROR(__xludf.DUMMYFUNCTION("""COMPUTED_VALUE"""),7.0)</f>
        <v>7</v>
      </c>
      <c r="N228" s="1" t="str">
        <f>IFERROR(__xludf.DUMMYFUNCTION("""COMPUTED_VALUE"""),"Une fois par semaine")</f>
        <v>Une fois par semaine</v>
      </c>
      <c r="O228" s="1" t="str">
        <f>IFERROR(__xludf.DUMMYFUNCTION("""COMPUTED_VALUE"""),"Tu te poses dans un coin, chill !!")</f>
        <v>Tu te poses dans un coin, chill !!</v>
      </c>
      <c r="P228" s="1">
        <f>IFERROR(__xludf.DUMMYFUNCTION("""COMPUTED_VALUE"""),2.0)</f>
        <v>2</v>
      </c>
      <c r="Q228" s="1" t="str">
        <f>IFERROR(__xludf.DUMMYFUNCTION("""COMPUTED_VALUE"""),"Oui")</f>
        <v>Oui</v>
      </c>
      <c r="R228" s="1" t="str">
        <f>IFERROR(__xludf.DUMMYFUNCTION("""COMPUTED_VALUE"""),"Non")</f>
        <v>Non</v>
      </c>
      <c r="S228" s="1" t="str">
        <f>IFERROR(__xludf.DUMMYFUNCTION("""COMPUTED_VALUE"""),"Les ei3-Mous'cancers")</f>
        <v>Les ei3-Mous'cancers</v>
      </c>
      <c r="T228" s="1" t="str">
        <f>IFERROR(__xludf.DUMMYFUNCTION("""COMPUTED_VALUE"""),"Un saucisson de Savoie")</f>
        <v>Un saucisson de Savoie</v>
      </c>
      <c r="U228" t="str">
        <f>IFERROR(__xludf.DUMMYFUNCTION("""COMPUTED_VALUE"""),"")</f>
        <v/>
      </c>
      <c r="V228" t="str">
        <f>IFERROR(__xludf.DUMMYFUNCTION("""COMPUTED_VALUE"""),"")</f>
        <v/>
      </c>
      <c r="W228" t="str">
        <f>IFERROR(__xludf.DUMMYFUNCTION("""COMPUTED_VALUE"""),"")</f>
        <v/>
      </c>
      <c r="X228" t="str">
        <f>IFERROR(__xludf.DUMMYFUNCTION("""COMPUTED_VALUE"""),"")</f>
        <v/>
      </c>
      <c r="Y228" t="str">
        <f>IFERROR(__xludf.DUMMYFUNCTION("""COMPUTED_VALUE"""),"")</f>
        <v/>
      </c>
      <c r="Z228" t="str">
        <f>IFERROR(__xludf.DUMMYFUNCTION("""COMPUTED_VALUE"""),"")</f>
        <v/>
      </c>
      <c r="AA228" t="str">
        <f>IFERROR(__xludf.DUMMYFUNCTION("""COMPUTED_VALUE"""),"")</f>
        <v/>
      </c>
      <c r="AB228" t="str">
        <f>IFERROR(__xludf.DUMMYFUNCTION("""COMPUTED_VALUE"""),"")</f>
        <v/>
      </c>
    </row>
    <row r="229">
      <c r="A229" s="2">
        <f>IFERROR(__xludf.DUMMYFUNCTION("""COMPUTED_VALUE"""),43640.34350744213)</f>
        <v>43640.34351</v>
      </c>
      <c r="B229" s="1" t="str">
        <f>IFERROR(__xludf.DUMMYFUNCTION("""COMPUTED_VALUE"""),"Thomas LE BOURHIS")</f>
        <v>Thomas LE BOURHIS</v>
      </c>
      <c r="C22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29" s="1" t="str">
        <f>IFERROR(__xludf.DUMMYFUNCTION("""COMPUTED_VALUE"""),"Pas de liste")</f>
        <v>Pas de liste</v>
      </c>
      <c r="E229" s="1">
        <f>IFERROR(__xludf.DUMMYFUNCTION("""COMPUTED_VALUE"""),3.0)</f>
        <v>3</v>
      </c>
      <c r="F229" s="1" t="str">
        <f>IFERROR(__xludf.DUMMYFUNCTION("""COMPUTED_VALUE"""),"Rock, Electro posée, Rap, Pop")</f>
        <v>Rock, Electro posée, Rap, Pop</v>
      </c>
      <c r="G229" s="1" t="str">
        <f>IFERROR(__xludf.DUMMYFUNCTION("""COMPUTED_VALUE"""),"Musique, Cinéma, Autre")</f>
        <v>Musique, Cinéma, Autre</v>
      </c>
      <c r="H229" s="1" t="str">
        <f>IFERROR(__xludf.DUMMYFUNCTION("""COMPUTED_VALUE"""),"Quelques fois par semaine")</f>
        <v>Quelques fois par semaine</v>
      </c>
      <c r="I229" s="1" t="str">
        <f>IFERROR(__xludf.DUMMYFUNCTION("""COMPUTED_VALUE"""),"Une fois par semaine")</f>
        <v>Une fois par semaine</v>
      </c>
      <c r="J229" s="1" t="str">
        <f>IFERROR(__xludf.DUMMYFUNCTION("""COMPUTED_VALUE"""),"Pour le fun")</f>
        <v>Pour le fun</v>
      </c>
      <c r="K229" s="1" t="str">
        <f>IFERROR(__xludf.DUMMYFUNCTION("""COMPUTED_VALUE"""),"Sports de raquette")</f>
        <v>Sports de raquette</v>
      </c>
      <c r="L229" s="1" t="str">
        <f>IFERROR(__xludf.DUMMYFUNCTION("""COMPUTED_VALUE"""),"J'aime cuisiner le WE ou quand j'ai le temps")</f>
        <v>J'aime cuisiner le WE ou quand j'ai le temps</v>
      </c>
      <c r="M229" s="1">
        <f>IFERROR(__xludf.DUMMYFUNCTION("""COMPUTED_VALUE"""),4.0)</f>
        <v>4</v>
      </c>
      <c r="N229" s="1" t="str">
        <f>IFERROR(__xludf.DUMMYFUNCTION("""COMPUTED_VALUE"""),"Une fois par mois")</f>
        <v>Une fois par mois</v>
      </c>
      <c r="O229" s="1" t="str">
        <f>IFERROR(__xludf.DUMMYFUNCTION("""COMPUTED_VALUE"""),"Tu te poses dans un coin, chill !!")</f>
        <v>Tu te poses dans un coin, chill !!</v>
      </c>
      <c r="P229" s="1">
        <f>IFERROR(__xludf.DUMMYFUNCTION("""COMPUTED_VALUE"""),1.0)</f>
        <v>1</v>
      </c>
      <c r="Q229" s="1" t="str">
        <f>IFERROR(__xludf.DUMMYFUNCTION("""COMPUTED_VALUE"""),"Non")</f>
        <v>Non</v>
      </c>
      <c r="R229" s="1" t="str">
        <f>IFERROR(__xludf.DUMMYFUNCTION("""COMPUTED_VALUE"""),"Non")</f>
        <v>Non</v>
      </c>
      <c r="S229" s="1" t="str">
        <f>IFERROR(__xludf.DUMMYFUNCTION("""COMPUTED_VALUE"""),"Badge")</f>
        <v>Badge</v>
      </c>
      <c r="T229" s="1" t="str">
        <f>IFERROR(__xludf.DUMMYFUNCTION("""COMPUTED_VALUE"""),"Un paquet de cartes")</f>
        <v>Un paquet de cartes</v>
      </c>
      <c r="U229" t="str">
        <f>IFERROR(__xludf.DUMMYFUNCTION("""COMPUTED_VALUE"""),"")</f>
        <v/>
      </c>
      <c r="V229" t="str">
        <f>IFERROR(__xludf.DUMMYFUNCTION("""COMPUTED_VALUE"""),"")</f>
        <v/>
      </c>
      <c r="W229" t="str">
        <f>IFERROR(__xludf.DUMMYFUNCTION("""COMPUTED_VALUE"""),"")</f>
        <v/>
      </c>
      <c r="X229" t="str">
        <f>IFERROR(__xludf.DUMMYFUNCTION("""COMPUTED_VALUE"""),"")</f>
        <v/>
      </c>
      <c r="Y229" t="str">
        <f>IFERROR(__xludf.DUMMYFUNCTION("""COMPUTED_VALUE"""),"")</f>
        <v/>
      </c>
      <c r="Z229" t="str">
        <f>IFERROR(__xludf.DUMMYFUNCTION("""COMPUTED_VALUE"""),"")</f>
        <v/>
      </c>
      <c r="AA229" t="str">
        <f>IFERROR(__xludf.DUMMYFUNCTION("""COMPUTED_VALUE"""),"")</f>
        <v/>
      </c>
      <c r="AB229" t="str">
        <f>IFERROR(__xludf.DUMMYFUNCTION("""COMPUTED_VALUE"""),"")</f>
        <v/>
      </c>
    </row>
    <row r="230">
      <c r="A230" s="2">
        <f>IFERROR(__xludf.DUMMYFUNCTION("""COMPUTED_VALUE"""),43640.348276770834)</f>
        <v>43640.34828</v>
      </c>
      <c r="B230" s="1" t="str">
        <f>IFERROR(__xludf.DUMMYFUNCTION("""COMPUTED_VALUE"""),"Hugo GAYRARD")</f>
        <v>Hugo GAYRARD</v>
      </c>
      <c r="C230" s="1" t="str">
        <f>IFERROR(__xludf.DUMMYFUNCTION("""COMPUTED_VALUE"""),"Deux inconnus")</f>
        <v>Deux inconnus</v>
      </c>
      <c r="D230" s="1" t="str">
        <f>IFERROR(__xludf.DUMMYFUNCTION("""COMPUTED_VALUE"""),"BDE")</f>
        <v>BDE</v>
      </c>
      <c r="E230" s="1">
        <f>IFERROR(__xludf.DUMMYFUNCTION("""COMPUTED_VALUE"""),2.0)</f>
        <v>2</v>
      </c>
      <c r="F230" s="1" t="str">
        <f>IFERROR(__xludf.DUMMYFUNCTION("""COMPUTED_VALUE"""),"Rock, Electro posée, Rap, Musique fançaise, Jazz, Musique classique, Autre")</f>
        <v>Rock, Electro posée, Rap, Musique fançaise, Jazz, Musique classique, Autre</v>
      </c>
      <c r="G230" s="1" t="str">
        <f>IFERROR(__xludf.DUMMYFUNCTION("""COMPUTED_VALUE"""),"Littérature, Musique, Cinéma")</f>
        <v>Littérature, Musique, Cinéma</v>
      </c>
      <c r="H230" s="1" t="str">
        <f>IFERROR(__xludf.DUMMYFUNCTION("""COMPUTED_VALUE"""),"Seulement les soirs de pleine lune")</f>
        <v>Seulement les soirs de pleine lune</v>
      </c>
      <c r="I230" s="1" t="str">
        <f>IFERROR(__xludf.DUMMYFUNCTION("""COMPUTED_VALUE"""),"Le dimanche à 15h32 s'il fait beau")</f>
        <v>Le dimanche à 15h32 s'il fait beau</v>
      </c>
      <c r="J230" s="1" t="str">
        <f>IFERROR(__xludf.DUMMYFUNCTION("""COMPUTED_VALUE"""),"Pour le développement perso et se dépasser")</f>
        <v>Pour le développement perso et se dépasser</v>
      </c>
      <c r="K230" s="1" t="str">
        <f>IFERROR(__xludf.DUMMYFUNCTION("""COMPUTED_VALUE"""),"Sports de raquette, Escalade")</f>
        <v>Sports de raquette, Escalade</v>
      </c>
      <c r="L230" s="1" t="str">
        <f>IFERROR(__xludf.DUMMYFUNCTION("""COMPUTED_VALUE"""),"J'aime cuisiner le WE ou quand j'ai le temps")</f>
        <v>J'aime cuisiner le WE ou quand j'ai le temps</v>
      </c>
      <c r="M230" s="1">
        <f>IFERROR(__xludf.DUMMYFUNCTION("""COMPUTED_VALUE"""),6.0)</f>
        <v>6</v>
      </c>
      <c r="N230" s="1" t="str">
        <f>IFERROR(__xludf.DUMMYFUNCTION("""COMPUTED_VALUE"""),"Plusieurs fois par semaine")</f>
        <v>Plusieurs fois par semaine</v>
      </c>
      <c r="O230" s="1" t="str">
        <f>IFERROR(__xludf.DUMMYFUNCTION("""COMPUTED_VALUE"""),"Tu te poses dans un coin, chill !!")</f>
        <v>Tu te poses dans un coin, chill !!</v>
      </c>
      <c r="P230" s="1">
        <f>IFERROR(__xludf.DUMMYFUNCTION("""COMPUTED_VALUE"""),2.0)</f>
        <v>2</v>
      </c>
      <c r="Q230" s="1" t="str">
        <f>IFERROR(__xludf.DUMMYFUNCTION("""COMPUTED_VALUE"""),"Oui")</f>
        <v>Oui</v>
      </c>
      <c r="R230" s="1" t="str">
        <f>IFERROR(__xludf.DUMMYFUNCTION("""COMPUTED_VALUE"""),"Non")</f>
        <v>Non</v>
      </c>
      <c r="S230" s="1" t="str">
        <f>IFERROR(__xludf.DUMMYFUNCTION("""COMPUTED_VALUE"""),"Ei3 mous cancer ")</f>
        <v>Ei3 mous cancer </v>
      </c>
      <c r="T230" s="1" t="str">
        <f>IFERROR(__xludf.DUMMYFUNCTION("""COMPUTED_VALUE"""),"Un déguisement")</f>
        <v>Un déguisement</v>
      </c>
      <c r="U230" t="str">
        <f>IFERROR(__xludf.DUMMYFUNCTION("""COMPUTED_VALUE"""),"")</f>
        <v/>
      </c>
      <c r="V230" t="str">
        <f>IFERROR(__xludf.DUMMYFUNCTION("""COMPUTED_VALUE"""),"")</f>
        <v/>
      </c>
      <c r="W230" t="str">
        <f>IFERROR(__xludf.DUMMYFUNCTION("""COMPUTED_VALUE"""),"")</f>
        <v/>
      </c>
      <c r="X230" t="str">
        <f>IFERROR(__xludf.DUMMYFUNCTION("""COMPUTED_VALUE"""),"")</f>
        <v/>
      </c>
      <c r="Y230" t="str">
        <f>IFERROR(__xludf.DUMMYFUNCTION("""COMPUTED_VALUE"""),"")</f>
        <v/>
      </c>
      <c r="Z230" t="str">
        <f>IFERROR(__xludf.DUMMYFUNCTION("""COMPUTED_VALUE"""),"")</f>
        <v/>
      </c>
      <c r="AA230" t="str">
        <f>IFERROR(__xludf.DUMMYFUNCTION("""COMPUTED_VALUE"""),"")</f>
        <v/>
      </c>
      <c r="AB230" t="str">
        <f>IFERROR(__xludf.DUMMYFUNCTION("""COMPUTED_VALUE"""),"")</f>
        <v/>
      </c>
    </row>
    <row r="231">
      <c r="A231" s="2">
        <f>IFERROR(__xludf.DUMMYFUNCTION("""COMPUTED_VALUE"""),43640.35189751157)</f>
        <v>43640.3519</v>
      </c>
      <c r="B231" s="1" t="str">
        <f>IFERROR(__xludf.DUMMYFUNCTION("""COMPUTED_VALUE"""),"Loïc")</f>
        <v>Loïc</v>
      </c>
      <c r="C23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1" s="1" t="str">
        <f>IFERROR(__xludf.DUMMYFUNCTION("""COMPUTED_VALUE"""),"BDA")</f>
        <v>BDA</v>
      </c>
      <c r="E231" s="1">
        <f>IFERROR(__xludf.DUMMYFUNCTION("""COMPUTED_VALUE"""),3.0)</f>
        <v>3</v>
      </c>
      <c r="F231" s="1" t="str">
        <f>IFERROR(__xludf.DUMMYFUNCTION("""COMPUTED_VALUE"""),"Pop")</f>
        <v>Pop</v>
      </c>
      <c r="G231" s="1" t="str">
        <f>IFERROR(__xludf.DUMMYFUNCTION("""COMPUTED_VALUE"""),"Musique, Cinéma")</f>
        <v>Musique, Cinéma</v>
      </c>
      <c r="H231" s="1" t="str">
        <f>IFERROR(__xludf.DUMMYFUNCTION("""COMPUTED_VALUE"""),"Seulement les soirs de pleine lune")</f>
        <v>Seulement les soirs de pleine lune</v>
      </c>
      <c r="I231" s="1" t="str">
        <f>IFERROR(__xludf.DUMMYFUNCTION("""COMPUTED_VALUE"""),"Une fois par jour")</f>
        <v>Une fois par jour</v>
      </c>
      <c r="J231" s="1" t="str">
        <f>IFERROR(__xludf.DUMMYFUNCTION("""COMPUTED_VALUE"""),"Pour le développement perso et se dépasser")</f>
        <v>Pour le développement perso et se dépasser</v>
      </c>
      <c r="K231" s="1" t="str">
        <f>IFERROR(__xludf.DUMMYFUNCTION("""COMPUTED_VALUE"""),"Autre")</f>
        <v>Autre</v>
      </c>
      <c r="L231" s="1" t="str">
        <f>IFERROR(__xludf.DUMMYFUNCTION("""COMPUTED_VALUE"""),"Je fais toujours attention à bien manger")</f>
        <v>Je fais toujours attention à bien manger</v>
      </c>
      <c r="M231" s="1">
        <f>IFERROR(__xludf.DUMMYFUNCTION("""COMPUTED_VALUE"""),3.0)</f>
        <v>3</v>
      </c>
      <c r="N231" s="1" t="str">
        <f>IFERROR(__xludf.DUMMYFUNCTION("""COMPUTED_VALUE"""),"Une fois par semaine")</f>
        <v>Une fois par semaine</v>
      </c>
      <c r="O231" s="1" t="str">
        <f>IFERROR(__xludf.DUMMYFUNCTION("""COMPUTED_VALUE"""),"Tu te poses dans un coin, chill !!")</f>
        <v>Tu te poses dans un coin, chill !!</v>
      </c>
      <c r="P231" s="1">
        <f>IFERROR(__xludf.DUMMYFUNCTION("""COMPUTED_VALUE"""),1.0)</f>
        <v>1</v>
      </c>
      <c r="Q231" s="1" t="str">
        <f>IFERROR(__xludf.DUMMYFUNCTION("""COMPUTED_VALUE"""),"Oui")</f>
        <v>Oui</v>
      </c>
      <c r="R231" s="1" t="str">
        <f>IFERROR(__xludf.DUMMYFUNCTION("""COMPUTED_VALUE"""),"Non")</f>
        <v>Non</v>
      </c>
      <c r="S231" s="1" t="str">
        <f>IFERROR(__xludf.DUMMYFUNCTION("""COMPUTED_VALUE"""),"EI3 mous cancer")</f>
        <v>EI3 mous cancer</v>
      </c>
      <c r="T231" s="1" t="str">
        <f>IFERROR(__xludf.DUMMYFUNCTION("""COMPUTED_VALUE"""),"Toute ma bienveillance")</f>
        <v>Toute ma bienveillance</v>
      </c>
      <c r="U231" t="str">
        <f>IFERROR(__xludf.DUMMYFUNCTION("""COMPUTED_VALUE"""),"")</f>
        <v/>
      </c>
      <c r="V231" t="str">
        <f>IFERROR(__xludf.DUMMYFUNCTION("""COMPUTED_VALUE"""),"")</f>
        <v/>
      </c>
      <c r="W231" t="str">
        <f>IFERROR(__xludf.DUMMYFUNCTION("""COMPUTED_VALUE"""),"")</f>
        <v/>
      </c>
      <c r="X231" t="str">
        <f>IFERROR(__xludf.DUMMYFUNCTION("""COMPUTED_VALUE"""),"")</f>
        <v/>
      </c>
      <c r="Y231" t="str">
        <f>IFERROR(__xludf.DUMMYFUNCTION("""COMPUTED_VALUE"""),"")</f>
        <v/>
      </c>
      <c r="Z231" t="str">
        <f>IFERROR(__xludf.DUMMYFUNCTION("""COMPUTED_VALUE"""),"")</f>
        <v/>
      </c>
      <c r="AA231" t="str">
        <f>IFERROR(__xludf.DUMMYFUNCTION("""COMPUTED_VALUE"""),"")</f>
        <v/>
      </c>
      <c r="AB231" t="str">
        <f>IFERROR(__xludf.DUMMYFUNCTION("""COMPUTED_VALUE"""),"")</f>
        <v/>
      </c>
    </row>
    <row r="232">
      <c r="A232" s="2">
        <f>IFERROR(__xludf.DUMMYFUNCTION("""COMPUTED_VALUE"""),43640.35460002314)</f>
        <v>43640.3546</v>
      </c>
      <c r="B232" s="1" t="str">
        <f>IFERROR(__xludf.DUMMYFUNCTION("""COMPUTED_VALUE"""),"Pierre Veillard")</f>
        <v>Pierre Veillard</v>
      </c>
      <c r="C232" s="1" t="str">
        <f>IFERROR(__xludf.DUMMYFUNCTION("""COMPUTED_VALUE"""),"Deux inconnus")</f>
        <v>Deux inconnus</v>
      </c>
      <c r="D232" s="1" t="str">
        <f>IFERROR(__xludf.DUMMYFUNCTION("""COMPUTED_VALUE"""),"BDE")</f>
        <v>BDE</v>
      </c>
      <c r="E232" s="1">
        <f>IFERROR(__xludf.DUMMYFUNCTION("""COMPUTED_VALUE"""),2.0)</f>
        <v>2</v>
      </c>
      <c r="F232" s="1" t="str">
        <f>IFERROR(__xludf.DUMMYFUNCTION("""COMPUTED_VALUE"""),"Rock, Electro posée, Pop, Musique fançaise, Jazz")</f>
        <v>Rock, Electro posée, Pop, Musique fançaise, Jazz</v>
      </c>
      <c r="G232" s="1" t="str">
        <f>IFERROR(__xludf.DUMMYFUNCTION("""COMPUTED_VALUE"""),"Peinture, Littérature, Sculpture, Musique, Cinéma")</f>
        <v>Peinture, Littérature, Sculpture, Musique, Cinéma</v>
      </c>
      <c r="H232" s="1" t="str">
        <f>IFERROR(__xludf.DUMMYFUNCTION("""COMPUTED_VALUE"""),"Une fois de temps en temps")</f>
        <v>Une fois de temps en temps</v>
      </c>
      <c r="I232" s="1" t="str">
        <f>IFERROR(__xludf.DUMMYFUNCTION("""COMPUTED_VALUE"""),"Une fois par semaine")</f>
        <v>Une fois par semaine</v>
      </c>
      <c r="J232" s="1" t="str">
        <f>IFERROR(__xludf.DUMMYFUNCTION("""COMPUTED_VALUE"""),"Pour les autres")</f>
        <v>Pour les autres</v>
      </c>
      <c r="K232" s="1" t="str">
        <f>IFERROR(__xludf.DUMMYFUNCTION("""COMPUTED_VALUE"""),"Athlétisme")</f>
        <v>Athlétisme</v>
      </c>
      <c r="L232" s="1" t="str">
        <f>IFERROR(__xludf.DUMMYFUNCTION("""COMPUTED_VALUE"""),"J'aime cuisiner le WE ou quand j'ai le temps")</f>
        <v>J'aime cuisiner le WE ou quand j'ai le temps</v>
      </c>
      <c r="M232" s="1">
        <f>IFERROR(__xludf.DUMMYFUNCTION("""COMPUTED_VALUE"""),7.0)</f>
        <v>7</v>
      </c>
      <c r="N232" s="1" t="str">
        <f>IFERROR(__xludf.DUMMYFUNCTION("""COMPUTED_VALUE"""),"Une fois par semaine")</f>
        <v>Une fois par semaine</v>
      </c>
      <c r="O232" s="1" t="str">
        <f>IFERROR(__xludf.DUMMYFUNCTION("""COMPUTED_VALUE"""),"T'enflammes le dancefloor")</f>
        <v>T'enflammes le dancefloor</v>
      </c>
      <c r="P232" s="1">
        <f>IFERROR(__xludf.DUMMYFUNCTION("""COMPUTED_VALUE"""),1.0)</f>
        <v>1</v>
      </c>
      <c r="Q232" s="1" t="str">
        <f>IFERROR(__xludf.DUMMYFUNCTION("""COMPUTED_VALUE"""),"Oui")</f>
        <v>Oui</v>
      </c>
      <c r="R232" s="1" t="str">
        <f>IFERROR(__xludf.DUMMYFUNCTION("""COMPUTED_VALUE"""),"Non")</f>
        <v>Non</v>
      </c>
      <c r="S232" s="1" t="str">
        <f>IFERROR(__xludf.DUMMYFUNCTION("""COMPUTED_VALUE"""),"EI3 Mous'cancers")</f>
        <v>EI3 Mous'cancers</v>
      </c>
      <c r="T232" s="1" t="str">
        <f>IFERROR(__xludf.DUMMYFUNCTION("""COMPUTED_VALUE"""),"Un poney")</f>
        <v>Un poney</v>
      </c>
      <c r="U232" t="str">
        <f>IFERROR(__xludf.DUMMYFUNCTION("""COMPUTED_VALUE"""),"")</f>
        <v/>
      </c>
      <c r="V232" t="str">
        <f>IFERROR(__xludf.DUMMYFUNCTION("""COMPUTED_VALUE"""),"")</f>
        <v/>
      </c>
      <c r="W232" t="str">
        <f>IFERROR(__xludf.DUMMYFUNCTION("""COMPUTED_VALUE"""),"")</f>
        <v/>
      </c>
      <c r="X232" t="str">
        <f>IFERROR(__xludf.DUMMYFUNCTION("""COMPUTED_VALUE"""),"")</f>
        <v/>
      </c>
      <c r="Y232" t="str">
        <f>IFERROR(__xludf.DUMMYFUNCTION("""COMPUTED_VALUE"""),"")</f>
        <v/>
      </c>
      <c r="Z232" t="str">
        <f>IFERROR(__xludf.DUMMYFUNCTION("""COMPUTED_VALUE"""),"")</f>
        <v/>
      </c>
      <c r="AA232" t="str">
        <f>IFERROR(__xludf.DUMMYFUNCTION("""COMPUTED_VALUE"""),"")</f>
        <v/>
      </c>
      <c r="AB232" t="str">
        <f>IFERROR(__xludf.DUMMYFUNCTION("""COMPUTED_VALUE"""),"")</f>
        <v/>
      </c>
    </row>
    <row r="233">
      <c r="A233" s="2">
        <f>IFERROR(__xludf.DUMMYFUNCTION("""COMPUTED_VALUE"""),43640.37019681713)</f>
        <v>43640.3702</v>
      </c>
      <c r="B233" s="1" t="str">
        <f>IFERROR(__xludf.DUMMYFUNCTION("""COMPUTED_VALUE"""),"Ruben MATONDZI")</f>
        <v>Ruben MATONDZI</v>
      </c>
      <c r="C23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3" s="1" t="str">
        <f>IFERROR(__xludf.DUMMYFUNCTION("""COMPUTED_VALUE"""),"BDS")</f>
        <v>BDS</v>
      </c>
      <c r="E233" s="1">
        <f>IFERROR(__xludf.DUMMYFUNCTION("""COMPUTED_VALUE"""),3.0)</f>
        <v>3</v>
      </c>
      <c r="F233" s="1" t="str">
        <f>IFERROR(__xludf.DUMMYFUNCTION("""COMPUTED_VALUE"""),"Electro posée, Rap, Pop")</f>
        <v>Electro posée, Rap, Pop</v>
      </c>
      <c r="G233" s="1" t="str">
        <f>IFERROR(__xludf.DUMMYFUNCTION("""COMPUTED_VALUE"""),"Cinéma")</f>
        <v>Cinéma</v>
      </c>
      <c r="H233" s="1" t="str">
        <f>IFERROR(__xludf.DUMMYFUNCTION("""COMPUTED_VALUE"""),"Quelques fois par semaine")</f>
        <v>Quelques fois par semaine</v>
      </c>
      <c r="I233" s="1" t="str">
        <f>IFERROR(__xludf.DUMMYFUNCTION("""COMPUTED_VALUE"""),"Plusieurs fois par semaine")</f>
        <v>Plusieurs fois par semaine</v>
      </c>
      <c r="J233" s="1" t="str">
        <f>IFERROR(__xludf.DUMMYFUNCTION("""COMPUTED_VALUE"""),"Pour le fun")</f>
        <v>Pour le fun</v>
      </c>
      <c r="K233" s="1" t="str">
        <f>IFERROR(__xludf.DUMMYFUNCTION("""COMPUTED_VALUE"""),"Sports collectifs")</f>
        <v>Sports collectifs</v>
      </c>
      <c r="L233" s="1" t="str">
        <f>IFERROR(__xludf.DUMMYFUNCTION("""COMPUTED_VALUE"""),"Alterner entre grec et coquillettes ça compte ?")</f>
        <v>Alterner entre grec et coquillettes ça compte ?</v>
      </c>
      <c r="M233" s="1">
        <f>IFERROR(__xludf.DUMMYFUNCTION("""COMPUTED_VALUE"""),7.0)</f>
        <v>7</v>
      </c>
      <c r="N233" s="1" t="str">
        <f>IFERROR(__xludf.DUMMYFUNCTION("""COMPUTED_VALUE"""),"Une fois par semaine")</f>
        <v>Une fois par semaine</v>
      </c>
      <c r="O233" s="1" t="str">
        <f>IFERROR(__xludf.DUMMYFUNCTION("""COMPUTED_VALUE"""),"T'enflammes le dancefloor")</f>
        <v>T'enflammes le dancefloor</v>
      </c>
      <c r="P233" s="1">
        <f>IFERROR(__xludf.DUMMYFUNCTION("""COMPUTED_VALUE"""),1.0)</f>
        <v>1</v>
      </c>
      <c r="Q233" s="1" t="str">
        <f>IFERROR(__xludf.DUMMYFUNCTION("""COMPUTED_VALUE"""),"Non")</f>
        <v>Non</v>
      </c>
      <c r="R233" s="1" t="str">
        <f>IFERROR(__xludf.DUMMYFUNCTION("""COMPUTED_VALUE"""),"Non")</f>
        <v>Non</v>
      </c>
      <c r="S233" s="1" t="str">
        <f>IFERROR(__xludf.DUMMYFUNCTION("""COMPUTED_VALUE"""),"L'alliance ")</f>
        <v>L'alliance </v>
      </c>
      <c r="T233" s="1" t="str">
        <f>IFERROR(__xludf.DUMMYFUNCTION("""COMPUTED_VALUE"""),"Un oreiller ")</f>
        <v>Un oreiller </v>
      </c>
      <c r="U233" t="str">
        <f>IFERROR(__xludf.DUMMYFUNCTION("""COMPUTED_VALUE"""),"")</f>
        <v/>
      </c>
      <c r="V233" t="str">
        <f>IFERROR(__xludf.DUMMYFUNCTION("""COMPUTED_VALUE"""),"")</f>
        <v/>
      </c>
      <c r="W233" t="str">
        <f>IFERROR(__xludf.DUMMYFUNCTION("""COMPUTED_VALUE"""),"")</f>
        <v/>
      </c>
      <c r="X233" t="str">
        <f>IFERROR(__xludf.DUMMYFUNCTION("""COMPUTED_VALUE"""),"")</f>
        <v/>
      </c>
      <c r="Y233" t="str">
        <f>IFERROR(__xludf.DUMMYFUNCTION("""COMPUTED_VALUE"""),"")</f>
        <v/>
      </c>
      <c r="Z233" t="str">
        <f>IFERROR(__xludf.DUMMYFUNCTION("""COMPUTED_VALUE"""),"")</f>
        <v/>
      </c>
      <c r="AA233" t="str">
        <f>IFERROR(__xludf.DUMMYFUNCTION("""COMPUTED_VALUE"""),"")</f>
        <v/>
      </c>
      <c r="AB233" t="str">
        <f>IFERROR(__xludf.DUMMYFUNCTION("""COMPUTED_VALUE"""),"")</f>
        <v/>
      </c>
    </row>
    <row r="234">
      <c r="A234" s="2">
        <f>IFERROR(__xludf.DUMMYFUNCTION("""COMPUTED_VALUE"""),43640.382526828704)</f>
        <v>43640.38253</v>
      </c>
      <c r="B234" s="1" t="str">
        <f>IFERROR(__xludf.DUMMYFUNCTION("""COMPUTED_VALUE"""),"Manon DUBREIL")</f>
        <v>Manon DUBREIL</v>
      </c>
      <c r="C23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4" s="1" t="str">
        <f>IFERROR(__xludf.DUMMYFUNCTION("""COMPUTED_VALUE"""),"BDS")</f>
        <v>BDS</v>
      </c>
      <c r="E234" s="1">
        <f>IFERROR(__xludf.DUMMYFUNCTION("""COMPUTED_VALUE"""),3.0)</f>
        <v>3</v>
      </c>
      <c r="F234" s="1" t="str">
        <f>IFERROR(__xludf.DUMMYFUNCTION("""COMPUTED_VALUE"""),"Rock, Electro posée, Electro hard, Pop, Musique fançaise, Jazz, Musique classique")</f>
        <v>Rock, Electro posée, Electro hard, Pop, Musique fançaise, Jazz, Musique classique</v>
      </c>
      <c r="G234" s="1" t="str">
        <f>IFERROR(__xludf.DUMMYFUNCTION("""COMPUTED_VALUE"""),"Peinture, Littérature, Sculpture, Danse, Musique, Cinéma, Graphisme")</f>
        <v>Peinture, Littérature, Sculpture, Danse, Musique, Cinéma, Graphisme</v>
      </c>
      <c r="H234" s="1" t="str">
        <f>IFERROR(__xludf.DUMMYFUNCTION("""COMPUTED_VALUE"""),"Une fois de temps en temps")</f>
        <v>Une fois de temps en temps</v>
      </c>
      <c r="I234" s="1" t="str">
        <f>IFERROR(__xludf.DUMMYFUNCTION("""COMPUTED_VALUE"""),"Une fois par semaine")</f>
        <v>Une fois par semaine</v>
      </c>
      <c r="J234" s="1" t="str">
        <f>IFERROR(__xludf.DUMMYFUNCTION("""COMPUTED_VALUE"""),"Pour le fun")</f>
        <v>Pour le fun</v>
      </c>
      <c r="K234" s="1" t="str">
        <f>IFERROR(__xludf.DUMMYFUNCTION("""COMPUTED_VALUE"""),"Sports de rames")</f>
        <v>Sports de rames</v>
      </c>
      <c r="L234" s="1" t="str">
        <f>IFERROR(__xludf.DUMMYFUNCTION("""COMPUTED_VALUE"""),"Oh oui, et les trucs bien gras ça me connait !")</f>
        <v>Oh oui, et les trucs bien gras ça me connait !</v>
      </c>
      <c r="M234" s="1">
        <f>IFERROR(__xludf.DUMMYFUNCTION("""COMPUTED_VALUE"""),8.0)</f>
        <v>8</v>
      </c>
      <c r="N234" s="1" t="str">
        <f>IFERROR(__xludf.DUMMYFUNCTION("""COMPUTED_VALUE"""),"Plusieurs fois par semaine")</f>
        <v>Plusieurs fois par semaine</v>
      </c>
      <c r="O234" s="1" t="str">
        <f>IFERROR(__xludf.DUMMYFUNCTION("""COMPUTED_VALUE"""),"T'enflammes le dancefloor")</f>
        <v>T'enflammes le dancefloor</v>
      </c>
      <c r="P234" s="1">
        <f>IFERROR(__xludf.DUMMYFUNCTION("""COMPUTED_VALUE"""),4.0)</f>
        <v>4</v>
      </c>
      <c r="Q234" s="1" t="str">
        <f>IFERROR(__xludf.DUMMYFUNCTION("""COMPUTED_VALUE"""),"Oui")</f>
        <v>Oui</v>
      </c>
      <c r="R234" s="1" t="str">
        <f>IFERROR(__xludf.DUMMYFUNCTION("""COMPUTED_VALUE"""),"Non")</f>
        <v>Non</v>
      </c>
      <c r="S234" s="1" t="str">
        <f>IFERROR(__xludf.DUMMYFUNCTION("""COMPUTED_VALUE"""),"l'Alliance")</f>
        <v>l'Alliance</v>
      </c>
      <c r="T234" s="1" t="str">
        <f>IFERROR(__xludf.DUMMYFUNCTION("""COMPUTED_VALUE"""),"ADUNNO")</f>
        <v>ADUNNO</v>
      </c>
      <c r="U234" t="str">
        <f>IFERROR(__xludf.DUMMYFUNCTION("""COMPUTED_VALUE"""),"")</f>
        <v/>
      </c>
      <c r="V234" t="str">
        <f>IFERROR(__xludf.DUMMYFUNCTION("""COMPUTED_VALUE"""),"")</f>
        <v/>
      </c>
      <c r="W234" t="str">
        <f>IFERROR(__xludf.DUMMYFUNCTION("""COMPUTED_VALUE"""),"")</f>
        <v/>
      </c>
      <c r="X234" t="str">
        <f>IFERROR(__xludf.DUMMYFUNCTION("""COMPUTED_VALUE"""),"")</f>
        <v/>
      </c>
      <c r="Y234" t="str">
        <f>IFERROR(__xludf.DUMMYFUNCTION("""COMPUTED_VALUE"""),"")</f>
        <v/>
      </c>
      <c r="Z234" t="str">
        <f>IFERROR(__xludf.DUMMYFUNCTION("""COMPUTED_VALUE"""),"")</f>
        <v/>
      </c>
      <c r="AA234" t="str">
        <f>IFERROR(__xludf.DUMMYFUNCTION("""COMPUTED_VALUE"""),"")</f>
        <v/>
      </c>
      <c r="AB234" t="str">
        <f>IFERROR(__xludf.DUMMYFUNCTION("""COMPUTED_VALUE"""),"")</f>
        <v/>
      </c>
    </row>
    <row r="235">
      <c r="A235" s="2">
        <f>IFERROR(__xludf.DUMMYFUNCTION("""COMPUTED_VALUE"""),43640.427162141204)</f>
        <v>43640.42716</v>
      </c>
      <c r="B235" s="1" t="str">
        <f>IFERROR(__xludf.DUMMYFUNCTION("""COMPUTED_VALUE"""),"Maëlenn COLSON")</f>
        <v>Maëlenn COLSON</v>
      </c>
      <c r="C23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5" s="1" t="str">
        <f>IFERROR(__xludf.DUMMYFUNCTION("""COMPUTED_VALUE"""),"BDS")</f>
        <v>BDS</v>
      </c>
      <c r="E235" s="1">
        <f>IFERROR(__xludf.DUMMYFUNCTION("""COMPUTED_VALUE"""),2.0)</f>
        <v>2</v>
      </c>
      <c r="F235" s="1" t="str">
        <f>IFERROR(__xludf.DUMMYFUNCTION("""COMPUTED_VALUE"""),"Rock, Electro posée, Pop, Musique fançaise, Jazz, Musique classique")</f>
        <v>Rock, Electro posée, Pop, Musique fançaise, Jazz, Musique classique</v>
      </c>
      <c r="G235" s="1" t="str">
        <f>IFERROR(__xludf.DUMMYFUNCTION("""COMPUTED_VALUE"""),"Peinture, Littérature, Sculpture, Danse, Musique, Cinéma, Graphisme")</f>
        <v>Peinture, Littérature, Sculpture, Danse, Musique, Cinéma, Graphisme</v>
      </c>
      <c r="H235" s="1" t="str">
        <f>IFERROR(__xludf.DUMMYFUNCTION("""COMPUTED_VALUE"""),"Seulement les soirs de pleine lune")</f>
        <v>Seulement les soirs de pleine lune</v>
      </c>
      <c r="I235" s="1" t="str">
        <f>IFERROR(__xludf.DUMMYFUNCTION("""COMPUTED_VALUE"""),"Plusieurs fois par semaine")</f>
        <v>Plusieurs fois par semaine</v>
      </c>
      <c r="J235" s="1" t="str">
        <f>IFERROR(__xludf.DUMMYFUNCTION("""COMPUTED_VALUE"""),"Pour le développement perso et se dépasser")</f>
        <v>Pour le développement perso et se dépasser</v>
      </c>
      <c r="K235" s="1" t="str">
        <f>IFERROR(__xludf.DUMMYFUNCTION("""COMPUTED_VALUE"""),"Athlétisme, Sports aquatiques")</f>
        <v>Athlétisme, Sports aquatiques</v>
      </c>
      <c r="L235" s="1" t="str">
        <f>IFERROR(__xludf.DUMMYFUNCTION("""COMPUTED_VALUE"""),"Je fais toujours attention à bien manger")</f>
        <v>Je fais toujours attention à bien manger</v>
      </c>
      <c r="M235" s="1">
        <f>IFERROR(__xludf.DUMMYFUNCTION("""COMPUTED_VALUE"""),6.0)</f>
        <v>6</v>
      </c>
      <c r="N235" s="1" t="str">
        <f>IFERROR(__xludf.DUMMYFUNCTION("""COMPUTED_VALUE"""),"Une fois par semaine")</f>
        <v>Une fois par semaine</v>
      </c>
      <c r="O235" s="1" t="str">
        <f>IFERROR(__xludf.DUMMYFUNCTION("""COMPUTED_VALUE"""),"T'enflammes le dancefloor")</f>
        <v>T'enflammes le dancefloor</v>
      </c>
      <c r="P235" s="1">
        <f>IFERROR(__xludf.DUMMYFUNCTION("""COMPUTED_VALUE"""),1.0)</f>
        <v>1</v>
      </c>
      <c r="Q235" s="1" t="str">
        <f>IFERROR(__xludf.DUMMYFUNCTION("""COMPUTED_VALUE"""),"Oui")</f>
        <v>Oui</v>
      </c>
      <c r="R235" s="1" t="str">
        <f>IFERROR(__xludf.DUMMYFUNCTION("""COMPUTED_VALUE"""),"Non")</f>
        <v>Non</v>
      </c>
      <c r="S235" s="1" t="str">
        <f>IFERROR(__xludf.DUMMYFUNCTION("""COMPUTED_VALUE"""),"l'Alliance")</f>
        <v>l'Alliance</v>
      </c>
      <c r="T235" s="1" t="str">
        <f>IFERROR(__xludf.DUMMYFUNCTION("""COMPUTED_VALUE"""),"Des paillettes &lt;3")</f>
        <v>Des paillettes &lt;3</v>
      </c>
      <c r="U235" t="str">
        <f>IFERROR(__xludf.DUMMYFUNCTION("""COMPUTED_VALUE"""),"")</f>
        <v/>
      </c>
      <c r="V235" t="str">
        <f>IFERROR(__xludf.DUMMYFUNCTION("""COMPUTED_VALUE"""),"")</f>
        <v/>
      </c>
      <c r="W235" t="str">
        <f>IFERROR(__xludf.DUMMYFUNCTION("""COMPUTED_VALUE"""),"")</f>
        <v/>
      </c>
      <c r="X235" t="str">
        <f>IFERROR(__xludf.DUMMYFUNCTION("""COMPUTED_VALUE"""),"")</f>
        <v/>
      </c>
      <c r="Y235" t="str">
        <f>IFERROR(__xludf.DUMMYFUNCTION("""COMPUTED_VALUE"""),"")</f>
        <v/>
      </c>
      <c r="Z235" t="str">
        <f>IFERROR(__xludf.DUMMYFUNCTION("""COMPUTED_VALUE"""),"")</f>
        <v/>
      </c>
      <c r="AA235" t="str">
        <f>IFERROR(__xludf.DUMMYFUNCTION("""COMPUTED_VALUE"""),"")</f>
        <v/>
      </c>
      <c r="AB235" t="str">
        <f>IFERROR(__xludf.DUMMYFUNCTION("""COMPUTED_VALUE"""),"")</f>
        <v/>
      </c>
    </row>
    <row r="236">
      <c r="A236" s="2">
        <f>IFERROR(__xludf.DUMMYFUNCTION("""COMPUTED_VALUE"""),43640.48103715278)</f>
        <v>43640.48104</v>
      </c>
      <c r="B236" s="1" t="str">
        <f>IFERROR(__xludf.DUMMYFUNCTION("""COMPUTED_VALUE"""),"Rémy MAIGE")</f>
        <v>Rémy MAIGE</v>
      </c>
      <c r="C23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6" s="1" t="str">
        <f>IFERROR(__xludf.DUMMYFUNCTION("""COMPUTED_VALUE"""),"BDA")</f>
        <v>BDA</v>
      </c>
      <c r="E236" s="1">
        <f>IFERROR(__xludf.DUMMYFUNCTION("""COMPUTED_VALUE"""),3.0)</f>
        <v>3</v>
      </c>
      <c r="F236" s="1" t="str">
        <f>IFERROR(__xludf.DUMMYFUNCTION("""COMPUTED_VALUE"""),"Rock, Metal, Electro posée, Jazz, Musique classique")</f>
        <v>Rock, Metal, Electro posée, Jazz, Musique classique</v>
      </c>
      <c r="G236" s="1" t="str">
        <f>IFERROR(__xludf.DUMMYFUNCTION("""COMPUTED_VALUE"""),"Musique, Théâtre, Cinéma, Graphisme")</f>
        <v>Musique, Théâtre, Cinéma, Graphisme</v>
      </c>
      <c r="H236" s="1" t="str">
        <f>IFERROR(__xludf.DUMMYFUNCTION("""COMPUTED_VALUE"""),"Une fois par jour")</f>
        <v>Une fois par jour</v>
      </c>
      <c r="I236" s="1" t="str">
        <f>IFERROR(__xludf.DUMMYFUNCTION("""COMPUTED_VALUE"""),"Le dimanche à 15h32 s'il fait beau")</f>
        <v>Le dimanche à 15h32 s'il fait beau</v>
      </c>
      <c r="J236" s="1" t="str">
        <f>IFERROR(__xludf.DUMMYFUNCTION("""COMPUTED_VALUE"""),"Pour le fun")</f>
        <v>Pour le fun</v>
      </c>
      <c r="K236" s="1" t="str">
        <f>IFERROR(__xludf.DUMMYFUNCTION("""COMPUTED_VALUE"""),"Sports collectifs, Sports de raquette, Autre")</f>
        <v>Sports collectifs, Sports de raquette, Autre</v>
      </c>
      <c r="L236" s="1" t="str">
        <f>IFERROR(__xludf.DUMMYFUNCTION("""COMPUTED_VALUE"""),"J'aime cuisiner le WE ou quand j'ai le temps")</f>
        <v>J'aime cuisiner le WE ou quand j'ai le temps</v>
      </c>
      <c r="M236" s="1">
        <f>IFERROR(__xludf.DUMMYFUNCTION("""COMPUTED_VALUE"""),10.0)</f>
        <v>10</v>
      </c>
      <c r="N236" s="1" t="str">
        <f>IFERROR(__xludf.DUMMYFUNCTION("""COMPUTED_VALUE"""),"Plusieurs fois par semaine")</f>
        <v>Plusieurs fois par semaine</v>
      </c>
      <c r="O236" s="1" t="str">
        <f>IFERROR(__xludf.DUMMYFUNCTION("""COMPUTED_VALUE"""),"Tu te poses dans un coin, chill !!")</f>
        <v>Tu te poses dans un coin, chill !!</v>
      </c>
      <c r="P236" s="1">
        <f>IFERROR(__xludf.DUMMYFUNCTION("""COMPUTED_VALUE"""),1.0)</f>
        <v>1</v>
      </c>
      <c r="Q236" s="1" t="str">
        <f>IFERROR(__xludf.DUMMYFUNCTION("""COMPUTED_VALUE"""),"Non")</f>
        <v>Non</v>
      </c>
      <c r="R236" s="1" t="str">
        <f>IFERROR(__xludf.DUMMYFUNCTION("""COMPUTED_VALUE"""),"Non")</f>
        <v>Non</v>
      </c>
      <c r="S236" s="1" t="str">
        <f>IFERROR(__xludf.DUMMYFUNCTION("""COMPUTED_VALUE"""),"pb-nauge")</f>
        <v>pb-nauge</v>
      </c>
      <c r="T236" s="1" t="str">
        <f>IFERROR(__xludf.DUMMYFUNCTION("""COMPUTED_VALUE"""),"¯\_(ツ)_/¯")</f>
        <v>¯\_(ツ)_/¯</v>
      </c>
      <c r="U236" t="str">
        <f>IFERROR(__xludf.DUMMYFUNCTION("""COMPUTED_VALUE"""),"")</f>
        <v/>
      </c>
      <c r="V236" t="str">
        <f>IFERROR(__xludf.DUMMYFUNCTION("""COMPUTED_VALUE"""),"")</f>
        <v/>
      </c>
      <c r="W236" t="str">
        <f>IFERROR(__xludf.DUMMYFUNCTION("""COMPUTED_VALUE"""),"")</f>
        <v/>
      </c>
      <c r="X236" t="str">
        <f>IFERROR(__xludf.DUMMYFUNCTION("""COMPUTED_VALUE"""),"")</f>
        <v/>
      </c>
      <c r="Y236" t="str">
        <f>IFERROR(__xludf.DUMMYFUNCTION("""COMPUTED_VALUE"""),"")</f>
        <v/>
      </c>
      <c r="Z236" t="str">
        <f>IFERROR(__xludf.DUMMYFUNCTION("""COMPUTED_VALUE"""),"")</f>
        <v/>
      </c>
      <c r="AA236" t="str">
        <f>IFERROR(__xludf.DUMMYFUNCTION("""COMPUTED_VALUE"""),"")</f>
        <v/>
      </c>
      <c r="AB236" t="str">
        <f>IFERROR(__xludf.DUMMYFUNCTION("""COMPUTED_VALUE"""),"")</f>
        <v/>
      </c>
    </row>
    <row r="237">
      <c r="A237" s="2">
        <f>IFERROR(__xludf.DUMMYFUNCTION("""COMPUTED_VALUE"""),43640.513903969906)</f>
        <v>43640.5139</v>
      </c>
      <c r="B237" s="1" t="str">
        <f>IFERROR(__xludf.DUMMYFUNCTION("""COMPUTED_VALUE"""),"Ramy SLIM")</f>
        <v>Ramy SLIM</v>
      </c>
      <c r="C23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7" s="1" t="str">
        <f>IFERROR(__xludf.DUMMYFUNCTION("""COMPUTED_VALUE"""),"BDA, BDS")</f>
        <v>BDA, BDS</v>
      </c>
      <c r="E237" s="1">
        <f>IFERROR(__xludf.DUMMYFUNCTION("""COMPUTED_VALUE"""),5.0)</f>
        <v>5</v>
      </c>
      <c r="F237" s="1" t="str">
        <f>IFERROR(__xludf.DUMMYFUNCTION("""COMPUTED_VALUE"""),"Rap")</f>
        <v>Rap</v>
      </c>
      <c r="G237" s="1" t="str">
        <f>IFERROR(__xludf.DUMMYFUNCTION("""COMPUTED_VALUE"""),"Théâtre, Cinéma")</f>
        <v>Théâtre, Cinéma</v>
      </c>
      <c r="H237" s="1" t="str">
        <f>IFERROR(__xludf.DUMMYFUNCTION("""COMPUTED_VALUE"""),"Une fois de temps en temps")</f>
        <v>Une fois de temps en temps</v>
      </c>
      <c r="I237" s="1" t="str">
        <f>IFERROR(__xludf.DUMMYFUNCTION("""COMPUTED_VALUE"""),"Plusieurs fois par semaine")</f>
        <v>Plusieurs fois par semaine</v>
      </c>
      <c r="J237" s="1" t="str">
        <f>IFERROR(__xludf.DUMMYFUNCTION("""COMPUTED_VALUE"""),"Pour la compet")</f>
        <v>Pour la compet</v>
      </c>
      <c r="K237" s="1" t="str">
        <f>IFERROR(__xludf.DUMMYFUNCTION("""COMPUTED_VALUE"""),"Sports collectifs, Sports de combat")</f>
        <v>Sports collectifs, Sports de combat</v>
      </c>
      <c r="L237" s="1" t="str">
        <f>IFERROR(__xludf.DUMMYFUNCTION("""COMPUTED_VALUE"""),"Je fais toujours attention à bien manger")</f>
        <v>Je fais toujours attention à bien manger</v>
      </c>
      <c r="M237" s="1">
        <f>IFERROR(__xludf.DUMMYFUNCTION("""COMPUTED_VALUE"""),8.0)</f>
        <v>8</v>
      </c>
      <c r="N237" s="1" t="str">
        <f>IFERROR(__xludf.DUMMYFUNCTION("""COMPUTED_VALUE"""),"Plusieurs fois par semaine")</f>
        <v>Plusieurs fois par semaine</v>
      </c>
      <c r="O237" s="1" t="str">
        <f>IFERROR(__xludf.DUMMYFUNCTION("""COMPUTED_VALUE"""),"Tu te poses dans un coin, chill !!")</f>
        <v>Tu te poses dans un coin, chill !!</v>
      </c>
      <c r="P237" s="1">
        <f>IFERROR(__xludf.DUMMYFUNCTION("""COMPUTED_VALUE"""),3.0)</f>
        <v>3</v>
      </c>
      <c r="Q237" s="1" t="str">
        <f>IFERROR(__xludf.DUMMYFUNCTION("""COMPUTED_VALUE"""),"Non")</f>
        <v>Non</v>
      </c>
      <c r="R237" s="1" t="str">
        <f>IFERROR(__xludf.DUMMYFUNCTION("""COMPUTED_VALUE"""),"Non")</f>
        <v>Non</v>
      </c>
      <c r="S237" s="1" t="str">
        <f>IFERROR(__xludf.DUMMYFUNCTION("""COMPUTED_VALUE"""),"Badge")</f>
        <v>Badge</v>
      </c>
      <c r="T237" s="1" t="str">
        <f>IFERROR(__xludf.DUMMYFUNCTION("""COMPUTED_VALUE"""),"Un bandana")</f>
        <v>Un bandana</v>
      </c>
      <c r="U237" t="str">
        <f>IFERROR(__xludf.DUMMYFUNCTION("""COMPUTED_VALUE"""),"")</f>
        <v/>
      </c>
      <c r="V237" t="str">
        <f>IFERROR(__xludf.DUMMYFUNCTION("""COMPUTED_VALUE"""),"")</f>
        <v/>
      </c>
      <c r="W237" t="str">
        <f>IFERROR(__xludf.DUMMYFUNCTION("""COMPUTED_VALUE"""),"")</f>
        <v/>
      </c>
      <c r="X237" t="str">
        <f>IFERROR(__xludf.DUMMYFUNCTION("""COMPUTED_VALUE"""),"")</f>
        <v/>
      </c>
      <c r="Y237" t="str">
        <f>IFERROR(__xludf.DUMMYFUNCTION("""COMPUTED_VALUE"""),"")</f>
        <v/>
      </c>
      <c r="Z237" t="str">
        <f>IFERROR(__xludf.DUMMYFUNCTION("""COMPUTED_VALUE"""),"")</f>
        <v/>
      </c>
      <c r="AA237" t="str">
        <f>IFERROR(__xludf.DUMMYFUNCTION("""COMPUTED_VALUE"""),"")</f>
        <v/>
      </c>
      <c r="AB237" t="str">
        <f>IFERROR(__xludf.DUMMYFUNCTION("""COMPUTED_VALUE"""),"")</f>
        <v/>
      </c>
    </row>
    <row r="238">
      <c r="A238" s="2">
        <f>IFERROR(__xludf.DUMMYFUNCTION("""COMPUTED_VALUE"""),43640.60860706019)</f>
        <v>43640.60861</v>
      </c>
      <c r="B238" s="1" t="str">
        <f>IFERROR(__xludf.DUMMYFUNCTION("""COMPUTED_VALUE"""),"TOMAZ AMORIM")</f>
        <v>TOMAZ AMORIM</v>
      </c>
      <c r="C238" s="1" t="str">
        <f>IFERROR(__xludf.DUMMYFUNCTION("""COMPUTED_VALUE"""),"Le président et un inconnu")</f>
        <v>Le président et un inconnu</v>
      </c>
      <c r="D238" s="1" t="str">
        <f>IFERROR(__xludf.DUMMYFUNCTION("""COMPUTED_VALUE"""),"Pas de liste")</f>
        <v>Pas de liste</v>
      </c>
      <c r="E238" s="1">
        <f>IFERROR(__xludf.DUMMYFUNCTION("""COMPUTED_VALUE"""),3.0)</f>
        <v>3</v>
      </c>
      <c r="F238" s="1" t="str">
        <f>IFERROR(__xludf.DUMMYFUNCTION("""COMPUTED_VALUE"""),"Rock, Jazz, Musique classique, Autre")</f>
        <v>Rock, Jazz, Musique classique, Autre</v>
      </c>
      <c r="G238" s="1" t="str">
        <f>IFERROR(__xludf.DUMMYFUNCTION("""COMPUTED_VALUE"""),"Musique, Cinéma, Graphisme, Autre")</f>
        <v>Musique, Cinéma, Graphisme, Autre</v>
      </c>
      <c r="H238" s="1" t="str">
        <f>IFERROR(__xludf.DUMMYFUNCTION("""COMPUTED_VALUE"""),"Seulement les soirs de pleine lune")</f>
        <v>Seulement les soirs de pleine lune</v>
      </c>
      <c r="I238" s="1" t="str">
        <f>IFERROR(__xludf.DUMMYFUNCTION("""COMPUTED_VALUE"""),"Le dimanche à 15h32 s'il fait beau")</f>
        <v>Le dimanche à 15h32 s'il fait beau</v>
      </c>
      <c r="J238" s="1" t="str">
        <f>IFERROR(__xludf.DUMMYFUNCTION("""COMPUTED_VALUE"""),"Pour le développement perso et se dépasser")</f>
        <v>Pour le développement perso et se dépasser</v>
      </c>
      <c r="K238" s="1" t="str">
        <f>IFERROR(__xludf.DUMMYFUNCTION("""COMPUTED_VALUE"""),"Pas de sport")</f>
        <v>Pas de sport</v>
      </c>
      <c r="L238" s="1" t="str">
        <f>IFERROR(__xludf.DUMMYFUNCTION("""COMPUTED_VALUE"""),"Je fais toujours attention à bien manger")</f>
        <v>Je fais toujours attention à bien manger</v>
      </c>
      <c r="M238" s="1">
        <f>IFERROR(__xludf.DUMMYFUNCTION("""COMPUTED_VALUE"""),3.0)</f>
        <v>3</v>
      </c>
      <c r="N238" s="1" t="str">
        <f>IFERROR(__xludf.DUMMYFUNCTION("""COMPUTED_VALUE"""),"Une fois par semaine")</f>
        <v>Une fois par semaine</v>
      </c>
      <c r="O238" s="1" t="str">
        <f>IFERROR(__xludf.DUMMYFUNCTION("""COMPUTED_VALUE"""),"Tu viens pas")</f>
        <v>Tu viens pas</v>
      </c>
      <c r="P238" s="1">
        <f>IFERROR(__xludf.DUMMYFUNCTION("""COMPUTED_VALUE"""),1.0)</f>
        <v>1</v>
      </c>
      <c r="Q238" s="1" t="str">
        <f>IFERROR(__xludf.DUMMYFUNCTION("""COMPUTED_VALUE"""),"Oui")</f>
        <v>Oui</v>
      </c>
      <c r="R238" s="1" t="str">
        <f>IFERROR(__xludf.DUMMYFUNCTION("""COMPUTED_VALUE"""),"Oui")</f>
        <v>Oui</v>
      </c>
      <c r="S238" s="1" t="str">
        <f>IFERROR(__xludf.DUMMYFUNCTION("""COMPUTED_VALUE"""),"Grande Famille")</f>
        <v>Grande Famille</v>
      </c>
      <c r="T238" s="1" t="str">
        <f>IFERROR(__xludf.DUMMYFUNCTION("""COMPUTED_VALUE"""),"Une tasse de café")</f>
        <v>Une tasse de café</v>
      </c>
      <c r="U238" t="str">
        <f>IFERROR(__xludf.DUMMYFUNCTION("""COMPUTED_VALUE"""),"")</f>
        <v/>
      </c>
      <c r="V238" t="str">
        <f>IFERROR(__xludf.DUMMYFUNCTION("""COMPUTED_VALUE"""),"")</f>
        <v/>
      </c>
      <c r="W238" t="str">
        <f>IFERROR(__xludf.DUMMYFUNCTION("""COMPUTED_VALUE"""),"")</f>
        <v/>
      </c>
      <c r="X238" t="str">
        <f>IFERROR(__xludf.DUMMYFUNCTION("""COMPUTED_VALUE"""),"")</f>
        <v/>
      </c>
      <c r="Y238" t="str">
        <f>IFERROR(__xludf.DUMMYFUNCTION("""COMPUTED_VALUE"""),"")</f>
        <v/>
      </c>
      <c r="Z238" t="str">
        <f>IFERROR(__xludf.DUMMYFUNCTION("""COMPUTED_VALUE"""),"")</f>
        <v/>
      </c>
      <c r="AA238" t="str">
        <f>IFERROR(__xludf.DUMMYFUNCTION("""COMPUTED_VALUE"""),"")</f>
        <v/>
      </c>
      <c r="AB238" t="str">
        <f>IFERROR(__xludf.DUMMYFUNCTION("""COMPUTED_VALUE"""),"")</f>
        <v/>
      </c>
    </row>
    <row r="239">
      <c r="A239" s="2">
        <f>IFERROR(__xludf.DUMMYFUNCTION("""COMPUTED_VALUE"""),43640.65656351852)</f>
        <v>43640.65656</v>
      </c>
      <c r="B239" s="1" t="str">
        <f>IFERROR(__xludf.DUMMYFUNCTION("""COMPUTED_VALUE"""),"Maxime Canard")</f>
        <v>Maxime Canard</v>
      </c>
      <c r="C23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39" s="1" t="str">
        <f>IFERROR(__xludf.DUMMYFUNCTION("""COMPUTED_VALUE"""),"BDE")</f>
        <v>BDE</v>
      </c>
      <c r="E239" s="1">
        <f>IFERROR(__xludf.DUMMYFUNCTION("""COMPUTED_VALUE"""),2.0)</f>
        <v>2</v>
      </c>
      <c r="F239" s="1" t="str">
        <f>IFERROR(__xludf.DUMMYFUNCTION("""COMPUTED_VALUE"""),"Rock, Rap, Pop, Musique fançaise, Jazz, Musique classique")</f>
        <v>Rock, Rap, Pop, Musique fançaise, Jazz, Musique classique</v>
      </c>
      <c r="G239" s="1" t="str">
        <f>IFERROR(__xludf.DUMMYFUNCTION("""COMPUTED_VALUE"""),"Littérature, Musique, Théâtre, Cinéma")</f>
        <v>Littérature, Musique, Théâtre, Cinéma</v>
      </c>
      <c r="H239" s="1" t="str">
        <f>IFERROR(__xludf.DUMMYFUNCTION("""COMPUTED_VALUE"""),"Une fois de temps en temps")</f>
        <v>Une fois de temps en temps</v>
      </c>
      <c r="I239" s="1" t="str">
        <f>IFERROR(__xludf.DUMMYFUNCTION("""COMPUTED_VALUE"""),"Plusieurs fois par semaine")</f>
        <v>Plusieurs fois par semaine</v>
      </c>
      <c r="J239" s="1" t="str">
        <f>IFERROR(__xludf.DUMMYFUNCTION("""COMPUTED_VALUE"""),"Pour le fun")</f>
        <v>Pour le fun</v>
      </c>
      <c r="K239" s="1" t="str">
        <f>IFERROR(__xludf.DUMMYFUNCTION("""COMPUTED_VALUE"""),"Sports de raquette, Athlétisme")</f>
        <v>Sports de raquette, Athlétisme</v>
      </c>
      <c r="L239" s="1" t="str">
        <f>IFERROR(__xludf.DUMMYFUNCTION("""COMPUTED_VALUE"""),"J'aime cuisiner le WE ou quand j'ai le temps")</f>
        <v>J'aime cuisiner le WE ou quand j'ai le temps</v>
      </c>
      <c r="M239" s="1">
        <f>IFERROR(__xludf.DUMMYFUNCTION("""COMPUTED_VALUE"""),7.0)</f>
        <v>7</v>
      </c>
      <c r="N239" s="1" t="str">
        <f>IFERROR(__xludf.DUMMYFUNCTION("""COMPUTED_VALUE"""),"Une fois par jour (voire plus)")</f>
        <v>Une fois par jour (voire plus)</v>
      </c>
      <c r="O239" s="1" t="str">
        <f>IFERROR(__xludf.DUMMYFUNCTION("""COMPUTED_VALUE"""),"T'enflammes le dancefloor")</f>
        <v>T'enflammes le dancefloor</v>
      </c>
      <c r="P239" s="1">
        <f>IFERROR(__xludf.DUMMYFUNCTION("""COMPUTED_VALUE"""),2.0)</f>
        <v>2</v>
      </c>
      <c r="Q239" s="1" t="str">
        <f>IFERROR(__xludf.DUMMYFUNCTION("""COMPUTED_VALUE"""),"Oui")</f>
        <v>Oui</v>
      </c>
      <c r="R239" s="1" t="str">
        <f>IFERROR(__xludf.DUMMYFUNCTION("""COMPUTED_VALUE"""),"Non")</f>
        <v>Non</v>
      </c>
      <c r="S239" s="1" t="str">
        <f>IFERROR(__xludf.DUMMYFUNCTION("""COMPUTED_VALUE"""),"Les Ei3 Mous'cancer")</f>
        <v>Les Ei3 Mous'cancer</v>
      </c>
      <c r="T239" s="1" t="str">
        <f>IFERROR(__xludf.DUMMYFUNCTION("""COMPUTED_VALUE"""),"Je sais pas encore")</f>
        <v>Je sais pas encore</v>
      </c>
      <c r="U239" t="str">
        <f>IFERROR(__xludf.DUMMYFUNCTION("""COMPUTED_VALUE"""),"")</f>
        <v/>
      </c>
      <c r="V239" t="str">
        <f>IFERROR(__xludf.DUMMYFUNCTION("""COMPUTED_VALUE"""),"")</f>
        <v/>
      </c>
      <c r="W239" t="str">
        <f>IFERROR(__xludf.DUMMYFUNCTION("""COMPUTED_VALUE"""),"")</f>
        <v/>
      </c>
      <c r="X239" t="str">
        <f>IFERROR(__xludf.DUMMYFUNCTION("""COMPUTED_VALUE"""),"")</f>
        <v/>
      </c>
      <c r="Y239" t="str">
        <f>IFERROR(__xludf.DUMMYFUNCTION("""COMPUTED_VALUE"""),"")</f>
        <v/>
      </c>
      <c r="Z239" t="str">
        <f>IFERROR(__xludf.DUMMYFUNCTION("""COMPUTED_VALUE"""),"")</f>
        <v/>
      </c>
      <c r="AA239" t="str">
        <f>IFERROR(__xludf.DUMMYFUNCTION("""COMPUTED_VALUE"""),"")</f>
        <v/>
      </c>
      <c r="AB239" t="str">
        <f>IFERROR(__xludf.DUMMYFUNCTION("""COMPUTED_VALUE"""),"")</f>
        <v/>
      </c>
    </row>
    <row r="240">
      <c r="A240" s="2">
        <f>IFERROR(__xludf.DUMMYFUNCTION("""COMPUTED_VALUE"""),43640.68965564815)</f>
        <v>43640.68966</v>
      </c>
      <c r="B240" t="str">
        <f>IFERROR(__xludf.DUMMYFUNCTION("""COMPUTED_VALUE"""),"Corentin GILBERT")</f>
        <v>Corentin GILBERT</v>
      </c>
      <c r="C240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0" t="str">
        <f>IFERROR(__xludf.DUMMYFUNCTION("""COMPUTED_VALUE"""),"BDA")</f>
        <v>BDA</v>
      </c>
      <c r="E240">
        <f>IFERROR(__xludf.DUMMYFUNCTION("""COMPUTED_VALUE"""),3.0)</f>
        <v>3</v>
      </c>
      <c r="F240" t="str">
        <f>IFERROR(__xludf.DUMMYFUNCTION("""COMPUTED_VALUE"""),"Metal, Electro posée, Electro hard, Rap, Jazz, Musique classique")</f>
        <v>Metal, Electro posée, Electro hard, Rap, Jazz, Musique classique</v>
      </c>
      <c r="G240" t="str">
        <f>IFERROR(__xludf.DUMMYFUNCTION("""COMPUTED_VALUE"""),"Peinture, Littérature, Sculpture, Danse, Musique, Cinéma, Graphisme")</f>
        <v>Peinture, Littérature, Sculpture, Danse, Musique, Cinéma, Graphisme</v>
      </c>
      <c r="H240" t="str">
        <f>IFERROR(__xludf.DUMMYFUNCTION("""COMPUTED_VALUE"""),"Quelques fois par semaine")</f>
        <v>Quelques fois par semaine</v>
      </c>
      <c r="I240" t="str">
        <f>IFERROR(__xludf.DUMMYFUNCTION("""COMPUTED_VALUE"""),"Une fois par semaine")</f>
        <v>Une fois par semaine</v>
      </c>
      <c r="J240" t="str">
        <f>IFERROR(__xludf.DUMMYFUNCTION("""COMPUTED_VALUE"""),"Pour le fun")</f>
        <v>Pour le fun</v>
      </c>
      <c r="K240" t="str">
        <f>IFERROR(__xludf.DUMMYFUNCTION("""COMPUTED_VALUE"""),"Sports de raquette, Escalade")</f>
        <v>Sports de raquette, Escalade</v>
      </c>
      <c r="L240" t="str">
        <f>IFERROR(__xludf.DUMMYFUNCTION("""COMPUTED_VALUE"""),"J'aime cuisiner le WE ou quand j'ai le temps")</f>
        <v>J'aime cuisiner le WE ou quand j'ai le temps</v>
      </c>
      <c r="M240">
        <f>IFERROR(__xludf.DUMMYFUNCTION("""COMPUTED_VALUE"""),5.0)</f>
        <v>5</v>
      </c>
      <c r="N240" t="str">
        <f>IFERROR(__xludf.DUMMYFUNCTION("""COMPUTED_VALUE"""),"Une fois par semaine")</f>
        <v>Une fois par semaine</v>
      </c>
      <c r="O240" t="str">
        <f>IFERROR(__xludf.DUMMYFUNCTION("""COMPUTED_VALUE"""),"Tu te poses dans un coin, chill !!")</f>
        <v>Tu te poses dans un coin, chill !!</v>
      </c>
      <c r="P240">
        <f>IFERROR(__xludf.DUMMYFUNCTION("""COMPUTED_VALUE"""),1.0)</f>
        <v>1</v>
      </c>
      <c r="Q240" t="str">
        <f>IFERROR(__xludf.DUMMYFUNCTION("""COMPUTED_VALUE"""),"Oui")</f>
        <v>Oui</v>
      </c>
      <c r="R240" t="str">
        <f>IFERROR(__xludf.DUMMYFUNCTION("""COMPUTED_VALUE"""),"Non")</f>
        <v>Non</v>
      </c>
      <c r="S240" t="str">
        <f>IFERROR(__xludf.DUMMYFUNCTION("""COMPUTED_VALUE"""),"La vigie")</f>
        <v>La vigie</v>
      </c>
      <c r="T240" t="str">
        <f>IFERROR(__xludf.DUMMYFUNCTION("""COMPUTED_VALUE"""),"boite a musique / partition")</f>
        <v>boite a musique / partition</v>
      </c>
      <c r="U240" t="str">
        <f>IFERROR(__xludf.DUMMYFUNCTION("""COMPUTED_VALUE"""),"")</f>
        <v/>
      </c>
      <c r="V240" t="str">
        <f>IFERROR(__xludf.DUMMYFUNCTION("""COMPUTED_VALUE"""),"")</f>
        <v/>
      </c>
      <c r="W240" t="str">
        <f>IFERROR(__xludf.DUMMYFUNCTION("""COMPUTED_VALUE"""),"")</f>
        <v/>
      </c>
      <c r="X240" t="str">
        <f>IFERROR(__xludf.DUMMYFUNCTION("""COMPUTED_VALUE"""),"")</f>
        <v/>
      </c>
      <c r="Y240" t="str">
        <f>IFERROR(__xludf.DUMMYFUNCTION("""COMPUTED_VALUE"""),"")</f>
        <v/>
      </c>
      <c r="Z240" t="str">
        <f>IFERROR(__xludf.DUMMYFUNCTION("""COMPUTED_VALUE"""),"")</f>
        <v/>
      </c>
      <c r="AA240" t="str">
        <f>IFERROR(__xludf.DUMMYFUNCTION("""COMPUTED_VALUE"""),"")</f>
        <v/>
      </c>
      <c r="AB240" t="str">
        <f>IFERROR(__xludf.DUMMYFUNCTION("""COMPUTED_VALUE"""),"")</f>
        <v/>
      </c>
    </row>
    <row r="241">
      <c r="A241" s="2">
        <f>IFERROR(__xludf.DUMMYFUNCTION("""COMPUTED_VALUE"""),43640.79962011574)</f>
        <v>43640.79962</v>
      </c>
      <c r="B241" s="1" t="str">
        <f>IFERROR(__xludf.DUMMYFUNCTION("""COMPUTED_VALUE"""),"Sergio MORENO LÓPEZ")</f>
        <v>Sergio MORENO LÓPEZ</v>
      </c>
      <c r="C24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1" s="1" t="str">
        <f>IFERROR(__xludf.DUMMYFUNCTION("""COMPUTED_VALUE"""),"BDE")</f>
        <v>BDE</v>
      </c>
      <c r="E241" s="1">
        <f>IFERROR(__xludf.DUMMYFUNCTION("""COMPUTED_VALUE"""),2.0)</f>
        <v>2</v>
      </c>
      <c r="F241" s="1" t="str">
        <f>IFERROR(__xludf.DUMMYFUNCTION("""COMPUTED_VALUE"""),"Rock, Pop")</f>
        <v>Rock, Pop</v>
      </c>
      <c r="G241" s="1" t="str">
        <f>IFERROR(__xludf.DUMMYFUNCTION("""COMPUTED_VALUE"""),"Littérature, Musique")</f>
        <v>Littérature, Musique</v>
      </c>
      <c r="H241" s="1" t="str">
        <f>IFERROR(__xludf.DUMMYFUNCTION("""COMPUTED_VALUE"""),"Seulement les soirs de pleine lune")</f>
        <v>Seulement les soirs de pleine lune</v>
      </c>
      <c r="I241" s="1" t="str">
        <f>IFERROR(__xludf.DUMMYFUNCTION("""COMPUTED_VALUE"""),"Plusieurs fois par semaine")</f>
        <v>Plusieurs fois par semaine</v>
      </c>
      <c r="J241" s="1" t="str">
        <f>IFERROR(__xludf.DUMMYFUNCTION("""COMPUTED_VALUE"""),"Pour le fun")</f>
        <v>Pour le fun</v>
      </c>
      <c r="K241" s="1" t="str">
        <f>IFERROR(__xludf.DUMMYFUNCTION("""COMPUTED_VALUE"""),"Sports collectifs, Sports de raquette, Sports aquatiques, Sports de combat")</f>
        <v>Sports collectifs, Sports de raquette, Sports aquatiques, Sports de combat</v>
      </c>
      <c r="L241" s="1" t="str">
        <f>IFERROR(__xludf.DUMMYFUNCTION("""COMPUTED_VALUE"""),"J'aime cuisiner le WE ou quand j'ai le temps")</f>
        <v>J'aime cuisiner le WE ou quand j'ai le temps</v>
      </c>
      <c r="M241" s="1">
        <f>IFERROR(__xludf.DUMMYFUNCTION("""COMPUTED_VALUE"""),5.0)</f>
        <v>5</v>
      </c>
      <c r="N241" s="1" t="str">
        <f>IFERROR(__xludf.DUMMYFUNCTION("""COMPUTED_VALUE"""),"Une fois par mois")</f>
        <v>Une fois par mois</v>
      </c>
      <c r="O241" s="1" t="str">
        <f>IFERROR(__xludf.DUMMYFUNCTION("""COMPUTED_VALUE"""),"Tu te poses dans un coin, chill !!")</f>
        <v>Tu te poses dans un coin, chill !!</v>
      </c>
      <c r="P241" s="1">
        <f>IFERROR(__xludf.DUMMYFUNCTION("""COMPUTED_VALUE"""),1.0)</f>
        <v>1</v>
      </c>
      <c r="Q241" s="1" t="str">
        <f>IFERROR(__xludf.DUMMYFUNCTION("""COMPUTED_VALUE"""),"Non")</f>
        <v>Non</v>
      </c>
      <c r="R241" s="1" t="str">
        <f>IFERROR(__xludf.DUMMYFUNCTION("""COMPUTED_VALUE"""),"Non")</f>
        <v>Non</v>
      </c>
      <c r="S241" s="1" t="str">
        <f>IFERROR(__xludf.DUMMYFUNCTION("""COMPUTED_VALUE"""),"Los Insoportables ")</f>
        <v>Los Insoportables </v>
      </c>
      <c r="T241" s="1" t="str">
        <f>IFERROR(__xludf.DUMMYFUNCTION("""COMPUTED_VALUE"""),"Acune idée encore ")</f>
        <v>Acune idée encore </v>
      </c>
      <c r="U241" t="str">
        <f>IFERROR(__xludf.DUMMYFUNCTION("""COMPUTED_VALUE"""),"")</f>
        <v/>
      </c>
      <c r="V241" t="str">
        <f>IFERROR(__xludf.DUMMYFUNCTION("""COMPUTED_VALUE"""),"")</f>
        <v/>
      </c>
      <c r="W241" t="str">
        <f>IFERROR(__xludf.DUMMYFUNCTION("""COMPUTED_VALUE"""),"")</f>
        <v/>
      </c>
      <c r="X241" t="str">
        <f>IFERROR(__xludf.DUMMYFUNCTION("""COMPUTED_VALUE"""),"")</f>
        <v/>
      </c>
      <c r="Y241" t="str">
        <f>IFERROR(__xludf.DUMMYFUNCTION("""COMPUTED_VALUE"""),"")</f>
        <v/>
      </c>
      <c r="Z241" t="str">
        <f>IFERROR(__xludf.DUMMYFUNCTION("""COMPUTED_VALUE"""),"")</f>
        <v/>
      </c>
      <c r="AA241" t="str">
        <f>IFERROR(__xludf.DUMMYFUNCTION("""COMPUTED_VALUE"""),"")</f>
        <v/>
      </c>
      <c r="AB241" t="str">
        <f>IFERROR(__xludf.DUMMYFUNCTION("""COMPUTED_VALUE"""),"")</f>
        <v/>
      </c>
    </row>
    <row r="242">
      <c r="A242" s="2">
        <f>IFERROR(__xludf.DUMMYFUNCTION("""COMPUTED_VALUE"""),43640.80076049769)</f>
        <v>43640.80076</v>
      </c>
      <c r="B242" s="1" t="str">
        <f>IFERROR(__xludf.DUMMYFUNCTION("""COMPUTED_VALUE"""),"Adán REYES REYES")</f>
        <v>Adán REYES REYES</v>
      </c>
      <c r="C24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2" s="1" t="str">
        <f>IFERROR(__xludf.DUMMYFUNCTION("""COMPUTED_VALUE"""),"Pas de liste")</f>
        <v>Pas de liste</v>
      </c>
      <c r="E242" s="1">
        <f>IFERROR(__xludf.DUMMYFUNCTION("""COMPUTED_VALUE"""),1.0)</f>
        <v>1</v>
      </c>
      <c r="F242" s="1" t="str">
        <f>IFERROR(__xludf.DUMMYFUNCTION("""COMPUTED_VALUE"""),"Rock, Autre")</f>
        <v>Rock, Autre</v>
      </c>
      <c r="G242" s="1" t="str">
        <f>IFERROR(__xludf.DUMMYFUNCTION("""COMPUTED_VALUE"""),"Pas du tout")</f>
        <v>Pas du tout</v>
      </c>
      <c r="H242" s="1" t="str">
        <f>IFERROR(__xludf.DUMMYFUNCTION("""COMPUTED_VALUE"""),"Seulement les soirs de pleine lune")</f>
        <v>Seulement les soirs de pleine lune</v>
      </c>
      <c r="I242" s="1" t="str">
        <f>IFERROR(__xludf.DUMMYFUNCTION("""COMPUTED_VALUE"""),"Une fois par jour")</f>
        <v>Une fois par jour</v>
      </c>
      <c r="J242" s="1" t="str">
        <f>IFERROR(__xludf.DUMMYFUNCTION("""COMPUTED_VALUE"""),"Pour le développement perso et se dépasser")</f>
        <v>Pour le développement perso et se dépasser</v>
      </c>
      <c r="K242" s="1" t="str">
        <f>IFERROR(__xludf.DUMMYFUNCTION("""COMPUTED_VALUE"""),"Athlétisme")</f>
        <v>Athlétisme</v>
      </c>
      <c r="L242" s="1" t="str">
        <f>IFERROR(__xludf.DUMMYFUNCTION("""COMPUTED_VALUE"""),"Oh oui, et les trucs bien gras ça me connait !")</f>
        <v>Oh oui, et les trucs bien gras ça me connait !</v>
      </c>
      <c r="M242" s="1">
        <f>IFERROR(__xludf.DUMMYFUNCTION("""COMPUTED_VALUE"""),7.0)</f>
        <v>7</v>
      </c>
      <c r="N242" s="1" t="str">
        <f>IFERROR(__xludf.DUMMYFUNCTION("""COMPUTED_VALUE"""),"Une fois par mois")</f>
        <v>Une fois par mois</v>
      </c>
      <c r="O242" s="1" t="str">
        <f>IFERROR(__xludf.DUMMYFUNCTION("""COMPUTED_VALUE"""),"Tu te poses dans un coin, chill !!")</f>
        <v>Tu te poses dans un coin, chill !!</v>
      </c>
      <c r="P242" s="1">
        <f>IFERROR(__xludf.DUMMYFUNCTION("""COMPUTED_VALUE"""),1.0)</f>
        <v>1</v>
      </c>
      <c r="Q242" s="1" t="str">
        <f>IFERROR(__xludf.DUMMYFUNCTION("""COMPUTED_VALUE"""),"Non")</f>
        <v>Non</v>
      </c>
      <c r="R242" s="1" t="str">
        <f>IFERROR(__xludf.DUMMYFUNCTION("""COMPUTED_VALUE"""),"Non")</f>
        <v>Non</v>
      </c>
      <c r="S242" s="1" t="str">
        <f>IFERROR(__xludf.DUMMYFUNCTION("""COMPUTED_VALUE"""),"Los Insoportables ")</f>
        <v>Los Insoportables </v>
      </c>
      <c r="T242" s="1" t="str">
        <f>IFERROR(__xludf.DUMMYFUNCTION("""COMPUTED_VALUE"""),"Je sais pas encore ")</f>
        <v>Je sais pas encore </v>
      </c>
      <c r="U242" t="str">
        <f>IFERROR(__xludf.DUMMYFUNCTION("""COMPUTED_VALUE"""),"")</f>
        <v/>
      </c>
      <c r="V242" t="str">
        <f>IFERROR(__xludf.DUMMYFUNCTION("""COMPUTED_VALUE"""),"")</f>
        <v/>
      </c>
      <c r="W242" t="str">
        <f>IFERROR(__xludf.DUMMYFUNCTION("""COMPUTED_VALUE"""),"")</f>
        <v/>
      </c>
      <c r="X242" t="str">
        <f>IFERROR(__xludf.DUMMYFUNCTION("""COMPUTED_VALUE"""),"")</f>
        <v/>
      </c>
      <c r="Y242" t="str">
        <f>IFERROR(__xludf.DUMMYFUNCTION("""COMPUTED_VALUE"""),"")</f>
        <v/>
      </c>
      <c r="Z242" t="str">
        <f>IFERROR(__xludf.DUMMYFUNCTION("""COMPUTED_VALUE"""),"")</f>
        <v/>
      </c>
      <c r="AA242" t="str">
        <f>IFERROR(__xludf.DUMMYFUNCTION("""COMPUTED_VALUE"""),"")</f>
        <v/>
      </c>
      <c r="AB242" t="str">
        <f>IFERROR(__xludf.DUMMYFUNCTION("""COMPUTED_VALUE"""),"")</f>
        <v/>
      </c>
    </row>
    <row r="243">
      <c r="A243" s="2">
        <f>IFERROR(__xludf.DUMMYFUNCTION("""COMPUTED_VALUE"""),43640.801789895835)</f>
        <v>43640.80179</v>
      </c>
      <c r="B243" s="1" t="str">
        <f>IFERROR(__xludf.DUMMYFUNCTION("""COMPUTED_VALUE"""),"Jose Luís RIVERA BLANCO")</f>
        <v>Jose Luís RIVERA BLANCO</v>
      </c>
      <c r="C24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3" s="1" t="str">
        <f>IFERROR(__xludf.DUMMYFUNCTION("""COMPUTED_VALUE"""),"Pas de liste")</f>
        <v>Pas de liste</v>
      </c>
      <c r="E243" s="1">
        <f>IFERROR(__xludf.DUMMYFUNCTION("""COMPUTED_VALUE"""),1.0)</f>
        <v>1</v>
      </c>
      <c r="F243" s="1" t="str">
        <f>IFERROR(__xludf.DUMMYFUNCTION("""COMPUTED_VALUE"""),"Rock, Pop")</f>
        <v>Rock, Pop</v>
      </c>
      <c r="G243" s="1" t="str">
        <f>IFERROR(__xludf.DUMMYFUNCTION("""COMPUTED_VALUE"""),"Danse")</f>
        <v>Danse</v>
      </c>
      <c r="H243" s="1" t="str">
        <f>IFERROR(__xludf.DUMMYFUNCTION("""COMPUTED_VALUE"""),"Seulement les soirs de pleine lune")</f>
        <v>Seulement les soirs de pleine lune</v>
      </c>
      <c r="I243" s="1" t="str">
        <f>IFERROR(__xludf.DUMMYFUNCTION("""COMPUTED_VALUE"""),"Plusieurs fois par semaine")</f>
        <v>Plusieurs fois par semaine</v>
      </c>
      <c r="J243" s="1" t="str">
        <f>IFERROR(__xludf.DUMMYFUNCTION("""COMPUTED_VALUE"""),"Pour le fun")</f>
        <v>Pour le fun</v>
      </c>
      <c r="K243" s="1" t="str">
        <f>IFERROR(__xludf.DUMMYFUNCTION("""COMPUTED_VALUE"""),"Sports collectifs")</f>
        <v>Sports collectifs</v>
      </c>
      <c r="L243" s="1" t="str">
        <f>IFERROR(__xludf.DUMMYFUNCTION("""COMPUTED_VALUE"""),"J'aime cuisiner le WE ou quand j'ai le temps")</f>
        <v>J'aime cuisiner le WE ou quand j'ai le temps</v>
      </c>
      <c r="M243" s="1">
        <f>IFERROR(__xludf.DUMMYFUNCTION("""COMPUTED_VALUE"""),6.0)</f>
        <v>6</v>
      </c>
      <c r="N243" s="1" t="str">
        <f>IFERROR(__xludf.DUMMYFUNCTION("""COMPUTED_VALUE"""),"Une fois par mois")</f>
        <v>Une fois par mois</v>
      </c>
      <c r="O243" s="1" t="str">
        <f>IFERROR(__xludf.DUMMYFUNCTION("""COMPUTED_VALUE"""),"T'enflammes le dancefloor")</f>
        <v>T'enflammes le dancefloor</v>
      </c>
      <c r="P243" s="1">
        <f>IFERROR(__xludf.DUMMYFUNCTION("""COMPUTED_VALUE"""),1.0)</f>
        <v>1</v>
      </c>
      <c r="Q243" s="1" t="str">
        <f>IFERROR(__xludf.DUMMYFUNCTION("""COMPUTED_VALUE"""),"Non")</f>
        <v>Non</v>
      </c>
      <c r="R243" s="1" t="str">
        <f>IFERROR(__xludf.DUMMYFUNCTION("""COMPUTED_VALUE"""),"Non")</f>
        <v>Non</v>
      </c>
      <c r="S243" s="1" t="str">
        <f>IFERROR(__xludf.DUMMYFUNCTION("""COMPUTED_VALUE"""),"Los Insoportables ")</f>
        <v>Los Insoportables </v>
      </c>
      <c r="T243" s="1" t="str">
        <f>IFERROR(__xludf.DUMMYFUNCTION("""COMPUTED_VALUE"""),"Je sais pas ")</f>
        <v>Je sais pas </v>
      </c>
      <c r="U243" t="str">
        <f>IFERROR(__xludf.DUMMYFUNCTION("""COMPUTED_VALUE"""),"")</f>
        <v/>
      </c>
      <c r="V243" t="str">
        <f>IFERROR(__xludf.DUMMYFUNCTION("""COMPUTED_VALUE"""),"")</f>
        <v/>
      </c>
      <c r="W243" t="str">
        <f>IFERROR(__xludf.DUMMYFUNCTION("""COMPUTED_VALUE"""),"")</f>
        <v/>
      </c>
      <c r="X243" t="str">
        <f>IFERROR(__xludf.DUMMYFUNCTION("""COMPUTED_VALUE"""),"")</f>
        <v/>
      </c>
      <c r="Y243" t="str">
        <f>IFERROR(__xludf.DUMMYFUNCTION("""COMPUTED_VALUE"""),"")</f>
        <v/>
      </c>
      <c r="Z243" t="str">
        <f>IFERROR(__xludf.DUMMYFUNCTION("""COMPUTED_VALUE"""),"")</f>
        <v/>
      </c>
      <c r="AA243" t="str">
        <f>IFERROR(__xludf.DUMMYFUNCTION("""COMPUTED_VALUE"""),"")</f>
        <v/>
      </c>
      <c r="AB243" t="str">
        <f>IFERROR(__xludf.DUMMYFUNCTION("""COMPUTED_VALUE"""),"")</f>
        <v/>
      </c>
    </row>
    <row r="244">
      <c r="A244" s="2">
        <f>IFERROR(__xludf.DUMMYFUNCTION("""COMPUTED_VALUE"""),43640.812475115745)</f>
        <v>43640.81248</v>
      </c>
      <c r="B244" s="1" t="str">
        <f>IFERROR(__xludf.DUMMYFUNCTION("""COMPUTED_VALUE"""),"Yinzheng ZHOU")</f>
        <v>Yinzheng ZHOU</v>
      </c>
      <c r="C244" s="1" t="str">
        <f>IFERROR(__xludf.DUMMYFUNCTION("""COMPUTED_VALUE"""),"Le président et un inconnu")</f>
        <v>Le président et un inconnu</v>
      </c>
      <c r="D244" s="1" t="str">
        <f>IFERROR(__xludf.DUMMYFUNCTION("""COMPUTED_VALUE"""),"BDE")</f>
        <v>BDE</v>
      </c>
      <c r="E244" s="1">
        <f>IFERROR(__xludf.DUMMYFUNCTION("""COMPUTED_VALUE"""),2.0)</f>
        <v>2</v>
      </c>
      <c r="F244" s="1" t="str">
        <f>IFERROR(__xludf.DUMMYFUNCTION("""COMPUTED_VALUE"""),"Jazz, Autre")</f>
        <v>Jazz, Autre</v>
      </c>
      <c r="G244" s="1" t="str">
        <f>IFERROR(__xludf.DUMMYFUNCTION("""COMPUTED_VALUE"""),"Pas du tout")</f>
        <v>Pas du tout</v>
      </c>
      <c r="H244" s="1" t="str">
        <f>IFERROR(__xludf.DUMMYFUNCTION("""COMPUTED_VALUE"""),"Seulement les soirs de pleine lune")</f>
        <v>Seulement les soirs de pleine lune</v>
      </c>
      <c r="I244" s="1" t="str">
        <f>IFERROR(__xludf.DUMMYFUNCTION("""COMPUTED_VALUE"""),"Plusieurs fois par semaine")</f>
        <v>Plusieurs fois par semaine</v>
      </c>
      <c r="J244" s="1" t="str">
        <f>IFERROR(__xludf.DUMMYFUNCTION("""COMPUTED_VALUE"""),"Pour le développement perso et se dépasser")</f>
        <v>Pour le développement perso et se dépasser</v>
      </c>
      <c r="K244" s="1" t="str">
        <f>IFERROR(__xludf.DUMMYFUNCTION("""COMPUTED_VALUE"""),"Sports collectifs, Sports de raquette, Athlétisme")</f>
        <v>Sports collectifs, Sports de raquette, Athlétisme</v>
      </c>
      <c r="L244" s="1" t="str">
        <f>IFERROR(__xludf.DUMMYFUNCTION("""COMPUTED_VALUE"""),"Je fais toujours attention à bien manger")</f>
        <v>Je fais toujours attention à bien manger</v>
      </c>
      <c r="M244" s="1">
        <f>IFERROR(__xludf.DUMMYFUNCTION("""COMPUTED_VALUE"""),3.0)</f>
        <v>3</v>
      </c>
      <c r="N244" s="1" t="str">
        <f>IFERROR(__xludf.DUMMYFUNCTION("""COMPUTED_VALUE"""),"Une fois par semaine")</f>
        <v>Une fois par semaine</v>
      </c>
      <c r="O244" s="1" t="str">
        <f>IFERROR(__xludf.DUMMYFUNCTION("""COMPUTED_VALUE"""),"Tu viens pas")</f>
        <v>Tu viens pas</v>
      </c>
      <c r="P244" s="1">
        <f>IFERROR(__xludf.DUMMYFUNCTION("""COMPUTED_VALUE"""),1.0)</f>
        <v>1</v>
      </c>
      <c r="Q244" s="1" t="str">
        <f>IFERROR(__xludf.DUMMYFUNCTION("""COMPUTED_VALUE"""),"Non")</f>
        <v>Non</v>
      </c>
      <c r="R244" s="1" t="str">
        <f>IFERROR(__xludf.DUMMYFUNCTION("""COMPUTED_VALUE"""),"Non")</f>
        <v>Non</v>
      </c>
      <c r="S244" s="1" t="str">
        <f>IFERROR(__xludf.DUMMYFUNCTION("""COMPUTED_VALUE"""),"Los Insoportables")</f>
        <v>Los Insoportables</v>
      </c>
      <c r="T244" s="1" t="str">
        <f>IFERROR(__xludf.DUMMYFUNCTION("""COMPUTED_VALUE"""),"Sais pas trop, des bières?")</f>
        <v>Sais pas trop, des bières?</v>
      </c>
      <c r="U244" t="str">
        <f>IFERROR(__xludf.DUMMYFUNCTION("""COMPUTED_VALUE"""),"")</f>
        <v/>
      </c>
      <c r="V244" t="str">
        <f>IFERROR(__xludf.DUMMYFUNCTION("""COMPUTED_VALUE"""),"")</f>
        <v/>
      </c>
      <c r="W244" t="str">
        <f>IFERROR(__xludf.DUMMYFUNCTION("""COMPUTED_VALUE"""),"")</f>
        <v/>
      </c>
      <c r="X244" t="str">
        <f>IFERROR(__xludf.DUMMYFUNCTION("""COMPUTED_VALUE"""),"")</f>
        <v/>
      </c>
      <c r="Y244" t="str">
        <f>IFERROR(__xludf.DUMMYFUNCTION("""COMPUTED_VALUE"""),"")</f>
        <v/>
      </c>
      <c r="Z244" t="str">
        <f>IFERROR(__xludf.DUMMYFUNCTION("""COMPUTED_VALUE"""),"")</f>
        <v/>
      </c>
      <c r="AA244" t="str">
        <f>IFERROR(__xludf.DUMMYFUNCTION("""COMPUTED_VALUE"""),"")</f>
        <v/>
      </c>
      <c r="AB244" t="str">
        <f>IFERROR(__xludf.DUMMYFUNCTION("""COMPUTED_VALUE"""),"")</f>
        <v/>
      </c>
    </row>
    <row r="245">
      <c r="A245" s="2">
        <f>IFERROR(__xludf.DUMMYFUNCTION("""COMPUTED_VALUE"""),43640.863026817126)</f>
        <v>43640.86303</v>
      </c>
      <c r="B245" s="1" t="str">
        <f>IFERROR(__xludf.DUMMYFUNCTION("""COMPUTED_VALUE"""),"Alexandre Bryk")</f>
        <v>Alexandre Bryk</v>
      </c>
      <c r="C24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5" s="1" t="str">
        <f>IFERROR(__xludf.DUMMYFUNCTION("""COMPUTED_VALUE"""),"BDA")</f>
        <v>BDA</v>
      </c>
      <c r="E245" s="1">
        <f>IFERROR(__xludf.DUMMYFUNCTION("""COMPUTED_VALUE"""),3.0)</f>
        <v>3</v>
      </c>
      <c r="F245" s="1" t="str">
        <f>IFERROR(__xludf.DUMMYFUNCTION("""COMPUTED_VALUE"""),"Autre")</f>
        <v>Autre</v>
      </c>
      <c r="G245" s="1" t="str">
        <f>IFERROR(__xludf.DUMMYFUNCTION("""COMPUTED_VALUE"""),"Cinéma, Autre")</f>
        <v>Cinéma, Autre</v>
      </c>
      <c r="H245" s="1" t="str">
        <f>IFERROR(__xludf.DUMMYFUNCTION("""COMPUTED_VALUE"""),"Quelques fois par semaine")</f>
        <v>Quelques fois par semaine</v>
      </c>
      <c r="I245" s="1" t="str">
        <f>IFERROR(__xludf.DUMMYFUNCTION("""COMPUTED_VALUE"""),"Plusieurs fois par semaine")</f>
        <v>Plusieurs fois par semaine</v>
      </c>
      <c r="J245" s="1" t="str">
        <f>IFERROR(__xludf.DUMMYFUNCTION("""COMPUTED_VALUE"""),"Pour le développement perso et se dépasser")</f>
        <v>Pour le développement perso et se dépasser</v>
      </c>
      <c r="K245" s="1" t="str">
        <f>IFERROR(__xludf.DUMMYFUNCTION("""COMPUTED_VALUE"""),"Autre")</f>
        <v>Autre</v>
      </c>
      <c r="L245" s="1" t="str">
        <f>IFERROR(__xludf.DUMMYFUNCTION("""COMPUTED_VALUE"""),"Je fais toujours attention à bien manger")</f>
        <v>Je fais toujours attention à bien manger</v>
      </c>
      <c r="M245" s="1">
        <f>IFERROR(__xludf.DUMMYFUNCTION("""COMPUTED_VALUE"""),2.0)</f>
        <v>2</v>
      </c>
      <c r="N245" s="1" t="str">
        <f>IFERROR(__xludf.DUMMYFUNCTION("""COMPUTED_VALUE"""),"Une fois par mois")</f>
        <v>Une fois par mois</v>
      </c>
      <c r="O245" s="1" t="str">
        <f>IFERROR(__xludf.DUMMYFUNCTION("""COMPUTED_VALUE"""),"Tu te poses dans un coin, chill !!")</f>
        <v>Tu te poses dans un coin, chill !!</v>
      </c>
      <c r="P245" s="1">
        <f>IFERROR(__xludf.DUMMYFUNCTION("""COMPUTED_VALUE"""),1.0)</f>
        <v>1</v>
      </c>
      <c r="Q245" s="1" t="str">
        <f>IFERROR(__xludf.DUMMYFUNCTION("""COMPUTED_VALUE"""),"Non")</f>
        <v>Non</v>
      </c>
      <c r="R245" s="1" t="str">
        <f>IFERROR(__xludf.DUMMYFUNCTION("""COMPUTED_VALUE"""),"Non")</f>
        <v>Non</v>
      </c>
      <c r="S245" s="1" t="str">
        <f>IFERROR(__xludf.DUMMYFUNCTION("""COMPUTED_VALUE"""),"La Vigie ")</f>
        <v>La Vigie </v>
      </c>
      <c r="T245" s="1" t="str">
        <f>IFERROR(__xludf.DUMMYFUNCTION("""COMPUTED_VALUE"""),"Aucune idée")</f>
        <v>Aucune idée</v>
      </c>
      <c r="U245" t="str">
        <f>IFERROR(__xludf.DUMMYFUNCTION("""COMPUTED_VALUE"""),"")</f>
        <v/>
      </c>
      <c r="V245" t="str">
        <f>IFERROR(__xludf.DUMMYFUNCTION("""COMPUTED_VALUE"""),"")</f>
        <v/>
      </c>
      <c r="W245" t="str">
        <f>IFERROR(__xludf.DUMMYFUNCTION("""COMPUTED_VALUE"""),"")</f>
        <v/>
      </c>
      <c r="X245" t="str">
        <f>IFERROR(__xludf.DUMMYFUNCTION("""COMPUTED_VALUE"""),"")</f>
        <v/>
      </c>
      <c r="Y245" t="str">
        <f>IFERROR(__xludf.DUMMYFUNCTION("""COMPUTED_VALUE"""),"")</f>
        <v/>
      </c>
      <c r="Z245" t="str">
        <f>IFERROR(__xludf.DUMMYFUNCTION("""COMPUTED_VALUE"""),"")</f>
        <v/>
      </c>
      <c r="AA245" t="str">
        <f>IFERROR(__xludf.DUMMYFUNCTION("""COMPUTED_VALUE"""),"")</f>
        <v/>
      </c>
      <c r="AB245" t="str">
        <f>IFERROR(__xludf.DUMMYFUNCTION("""COMPUTED_VALUE"""),"")</f>
        <v/>
      </c>
    </row>
    <row r="246">
      <c r="A246" s="2">
        <f>IFERROR(__xludf.DUMMYFUNCTION("""COMPUTED_VALUE"""),43640.87831598379)</f>
        <v>43640.87832</v>
      </c>
      <c r="B246" s="1" t="str">
        <f>IFERROR(__xludf.DUMMYFUNCTION("""COMPUTED_VALUE"""),"Sebastian CEPEDA")</f>
        <v>Sebastian CEPEDA</v>
      </c>
      <c r="C246" s="1" t="str">
        <f>IFERROR(__xludf.DUMMYFUNCTION("""COMPUTED_VALUE"""),"Le président et un inconnu")</f>
        <v>Le président et un inconnu</v>
      </c>
      <c r="D246" s="1" t="str">
        <f>IFERROR(__xludf.DUMMYFUNCTION("""COMPUTED_VALUE"""),"Pas de liste")</f>
        <v>Pas de liste</v>
      </c>
      <c r="E246" s="1">
        <f>IFERROR(__xludf.DUMMYFUNCTION("""COMPUTED_VALUE"""),4.0)</f>
        <v>4</v>
      </c>
      <c r="F246" s="1" t="str">
        <f>IFERROR(__xludf.DUMMYFUNCTION("""COMPUTED_VALUE"""),"Rock, Metal, Electro posée, Electro hard, Rap, Pop, Musique fançaise, Jazz, Musique classique, Autre")</f>
        <v>Rock, Metal, Electro posée, Electro hard, Rap, Pop, Musique fançaise, Jazz, Musique classique, Autre</v>
      </c>
      <c r="G246" s="1" t="str">
        <f>IFERROR(__xludf.DUMMYFUNCTION("""COMPUTED_VALUE"""),"Peinture, Littérature, Musique, Cinéma, Autre")</f>
        <v>Peinture, Littérature, Musique, Cinéma, Autre</v>
      </c>
      <c r="H246" s="1" t="str">
        <f>IFERROR(__xludf.DUMMYFUNCTION("""COMPUTED_VALUE"""),"Quelques fois par semaine")</f>
        <v>Quelques fois par semaine</v>
      </c>
      <c r="I246" s="1" t="str">
        <f>IFERROR(__xludf.DUMMYFUNCTION("""COMPUTED_VALUE"""),"Le dimanche à 15h32 s'il fait beau")</f>
        <v>Le dimanche à 15h32 s'il fait beau</v>
      </c>
      <c r="J246" s="1" t="str">
        <f>IFERROR(__xludf.DUMMYFUNCTION("""COMPUTED_VALUE"""),"Pour le développement perso et se dépasser")</f>
        <v>Pour le développement perso et se dépasser</v>
      </c>
      <c r="K246" s="1" t="str">
        <f>IFERROR(__xludf.DUMMYFUNCTION("""COMPUTED_VALUE"""),"Athlétisme")</f>
        <v>Athlétisme</v>
      </c>
      <c r="L246" s="1" t="str">
        <f>IFERROR(__xludf.DUMMYFUNCTION("""COMPUTED_VALUE"""),"Oh oui, et les trucs bien gras ça me connait !")</f>
        <v>Oh oui, et les trucs bien gras ça me connait !</v>
      </c>
      <c r="M246" s="1">
        <f>IFERROR(__xludf.DUMMYFUNCTION("""COMPUTED_VALUE"""),8.0)</f>
        <v>8</v>
      </c>
      <c r="N246" s="1" t="str">
        <f>IFERROR(__xludf.DUMMYFUNCTION("""COMPUTED_VALUE"""),"Une fois par mois")</f>
        <v>Une fois par mois</v>
      </c>
      <c r="O246" s="1" t="str">
        <f>IFERROR(__xludf.DUMMYFUNCTION("""COMPUTED_VALUE"""),"Tu te poses dans un coin, chill !!")</f>
        <v>Tu te poses dans un coin, chill !!</v>
      </c>
      <c r="P246" s="1">
        <f>IFERROR(__xludf.DUMMYFUNCTION("""COMPUTED_VALUE"""),1.0)</f>
        <v>1</v>
      </c>
      <c r="Q246" s="1" t="str">
        <f>IFERROR(__xludf.DUMMYFUNCTION("""COMPUTED_VALUE"""),"Non")</f>
        <v>Non</v>
      </c>
      <c r="R246" s="1" t="str">
        <f>IFERROR(__xludf.DUMMYFUNCTION("""COMPUTED_VALUE"""),"Non")</f>
        <v>Non</v>
      </c>
      <c r="S246" s="1" t="str">
        <f>IFERROR(__xludf.DUMMYFUNCTION("""COMPUTED_VALUE"""),"los Insoportables")</f>
        <v>los Insoportables</v>
      </c>
      <c r="T246" s="1" t="str">
        <f>IFERROR(__xludf.DUMMYFUNCTION("""COMPUTED_VALUE"""),"un bout de papier ")</f>
        <v>un bout de papier </v>
      </c>
      <c r="U246" t="str">
        <f>IFERROR(__xludf.DUMMYFUNCTION("""COMPUTED_VALUE"""),"")</f>
        <v/>
      </c>
      <c r="V246" t="str">
        <f>IFERROR(__xludf.DUMMYFUNCTION("""COMPUTED_VALUE"""),"")</f>
        <v/>
      </c>
      <c r="W246" t="str">
        <f>IFERROR(__xludf.DUMMYFUNCTION("""COMPUTED_VALUE"""),"")</f>
        <v/>
      </c>
      <c r="X246" t="str">
        <f>IFERROR(__xludf.DUMMYFUNCTION("""COMPUTED_VALUE"""),"")</f>
        <v/>
      </c>
      <c r="Y246" t="str">
        <f>IFERROR(__xludf.DUMMYFUNCTION("""COMPUTED_VALUE"""),"")</f>
        <v/>
      </c>
      <c r="Z246" t="str">
        <f>IFERROR(__xludf.DUMMYFUNCTION("""COMPUTED_VALUE"""),"")</f>
        <v/>
      </c>
      <c r="AA246" t="str">
        <f>IFERROR(__xludf.DUMMYFUNCTION("""COMPUTED_VALUE"""),"")</f>
        <v/>
      </c>
      <c r="AB246" t="str">
        <f>IFERROR(__xludf.DUMMYFUNCTION("""COMPUTED_VALUE"""),"")</f>
        <v/>
      </c>
    </row>
    <row r="247">
      <c r="A247" s="2">
        <f>IFERROR(__xludf.DUMMYFUNCTION("""COMPUTED_VALUE"""),43640.906111006945)</f>
        <v>43640.90611</v>
      </c>
      <c r="B247" s="1" t="str">
        <f>IFERROR(__xludf.DUMMYFUNCTION("""COMPUTED_VALUE"""),"Julián David HERNÁNDEZ TOVAR")</f>
        <v>Julián David HERNÁNDEZ TOVAR</v>
      </c>
      <c r="C24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7" s="1" t="str">
        <f>IFERROR(__xludf.DUMMYFUNCTION("""COMPUTED_VALUE"""),"Pas de liste")</f>
        <v>Pas de liste</v>
      </c>
      <c r="E247" s="1">
        <f>IFERROR(__xludf.DUMMYFUNCTION("""COMPUTED_VALUE"""),1.0)</f>
        <v>1</v>
      </c>
      <c r="F247" s="1" t="str">
        <f>IFERROR(__xludf.DUMMYFUNCTION("""COMPUTED_VALUE"""),"Rock, Electro posée, Pop, Musique fançaise, Musique classique, Autre")</f>
        <v>Rock, Electro posée, Pop, Musique fançaise, Musique classique, Autre</v>
      </c>
      <c r="G247" s="1" t="str">
        <f>IFERROR(__xludf.DUMMYFUNCTION("""COMPUTED_VALUE"""),"Danse, Musique, Cinéma")</f>
        <v>Danse, Musique, Cinéma</v>
      </c>
      <c r="H247" s="1" t="str">
        <f>IFERROR(__xludf.DUMMYFUNCTION("""COMPUTED_VALUE"""),"Seulement les soirs de pleine lune")</f>
        <v>Seulement les soirs de pleine lune</v>
      </c>
      <c r="I247" s="1" t="str">
        <f>IFERROR(__xludf.DUMMYFUNCTION("""COMPUTED_VALUE"""),"Une fois par semaine")</f>
        <v>Une fois par semaine</v>
      </c>
      <c r="J247" s="1" t="str">
        <f>IFERROR(__xludf.DUMMYFUNCTION("""COMPUTED_VALUE"""),"Pour le développement perso et se dépasser")</f>
        <v>Pour le développement perso et se dépasser</v>
      </c>
      <c r="K247" s="1" t="str">
        <f>IFERROR(__xludf.DUMMYFUNCTION("""COMPUTED_VALUE"""),"Autre")</f>
        <v>Autre</v>
      </c>
      <c r="L247" s="1" t="str">
        <f>IFERROR(__xludf.DUMMYFUNCTION("""COMPUTED_VALUE"""),"Je fais toujours attention à bien manger")</f>
        <v>Je fais toujours attention à bien manger</v>
      </c>
      <c r="M247" s="1">
        <f>IFERROR(__xludf.DUMMYFUNCTION("""COMPUTED_VALUE"""),4.0)</f>
        <v>4</v>
      </c>
      <c r="N247" s="1" t="str">
        <f>IFERROR(__xludf.DUMMYFUNCTION("""COMPUTED_VALUE"""),"Une fois par semaine")</f>
        <v>Une fois par semaine</v>
      </c>
      <c r="O247" s="1" t="str">
        <f>IFERROR(__xludf.DUMMYFUNCTION("""COMPUTED_VALUE"""),"T'enflammes le dancefloor")</f>
        <v>T'enflammes le dancefloor</v>
      </c>
      <c r="P247" s="1">
        <f>IFERROR(__xludf.DUMMYFUNCTION("""COMPUTED_VALUE"""),1.0)</f>
        <v>1</v>
      </c>
      <c r="Q247" s="1" t="str">
        <f>IFERROR(__xludf.DUMMYFUNCTION("""COMPUTED_VALUE"""),"Non")</f>
        <v>Non</v>
      </c>
      <c r="R247" s="1" t="str">
        <f>IFERROR(__xludf.DUMMYFUNCTION("""COMPUTED_VALUE"""),"Non")</f>
        <v>Non</v>
      </c>
      <c r="S247" s="1" t="str">
        <f>IFERROR(__xludf.DUMMYFUNCTION("""COMPUTED_VALUE"""),"Los insoportables")</f>
        <v>Los insoportables</v>
      </c>
      <c r="T247" s="1" t="str">
        <f>IFERROR(__xludf.DUMMYFUNCTION("""COMPUTED_VALUE"""),"""molinillo"" colombien, truc pour mélanger le cacao colombien :)")</f>
        <v>"molinillo" colombien, truc pour mélanger le cacao colombien :)</v>
      </c>
      <c r="U247" t="str">
        <f>IFERROR(__xludf.DUMMYFUNCTION("""COMPUTED_VALUE"""),"")</f>
        <v/>
      </c>
      <c r="V247" t="str">
        <f>IFERROR(__xludf.DUMMYFUNCTION("""COMPUTED_VALUE"""),"")</f>
        <v/>
      </c>
      <c r="W247" t="str">
        <f>IFERROR(__xludf.DUMMYFUNCTION("""COMPUTED_VALUE"""),"")</f>
        <v/>
      </c>
      <c r="X247" t="str">
        <f>IFERROR(__xludf.DUMMYFUNCTION("""COMPUTED_VALUE"""),"")</f>
        <v/>
      </c>
      <c r="Y247" t="str">
        <f>IFERROR(__xludf.DUMMYFUNCTION("""COMPUTED_VALUE"""),"")</f>
        <v/>
      </c>
      <c r="Z247" t="str">
        <f>IFERROR(__xludf.DUMMYFUNCTION("""COMPUTED_VALUE"""),"")</f>
        <v/>
      </c>
      <c r="AA247" t="str">
        <f>IFERROR(__xludf.DUMMYFUNCTION("""COMPUTED_VALUE"""),"")</f>
        <v/>
      </c>
      <c r="AB247" t="str">
        <f>IFERROR(__xludf.DUMMYFUNCTION("""COMPUTED_VALUE"""),"")</f>
        <v/>
      </c>
    </row>
    <row r="248">
      <c r="A248" s="2">
        <f>IFERROR(__xludf.DUMMYFUNCTION("""COMPUTED_VALUE"""),43641.24131498842)</f>
        <v>43641.24131</v>
      </c>
      <c r="B248" s="1" t="str">
        <f>IFERROR(__xludf.DUMMYFUNCTION("""COMPUTED_VALUE"""),"Ananda VANDERWEGEN")</f>
        <v>Ananda VANDERWEGEN</v>
      </c>
      <c r="C24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48" s="1" t="str">
        <f>IFERROR(__xludf.DUMMYFUNCTION("""COMPUTED_VALUE"""),"BDA")</f>
        <v>BDA</v>
      </c>
      <c r="E248" s="1">
        <f>IFERROR(__xludf.DUMMYFUNCTION("""COMPUTED_VALUE"""),2.0)</f>
        <v>2</v>
      </c>
      <c r="F248" s="1" t="str">
        <f>IFERROR(__xludf.DUMMYFUNCTION("""COMPUTED_VALUE"""),"Rock, Pop, Jazz, Musique classique, Autre")</f>
        <v>Rock, Pop, Jazz, Musique classique, Autre</v>
      </c>
      <c r="G248" s="1" t="str">
        <f>IFERROR(__xludf.DUMMYFUNCTION("""COMPUTED_VALUE"""),"Peinture, Littérature, Danse, Musique, Théâtre, Cinéma")</f>
        <v>Peinture, Littérature, Danse, Musique, Théâtre, Cinéma</v>
      </c>
      <c r="H248" s="1" t="str">
        <f>IFERROR(__xludf.DUMMYFUNCTION("""COMPUTED_VALUE"""),"Seulement les soirs de pleine lune")</f>
        <v>Seulement les soirs de pleine lune</v>
      </c>
      <c r="I248" s="1" t="str">
        <f>IFERROR(__xludf.DUMMYFUNCTION("""COMPUTED_VALUE"""),"Une fois par semaine")</f>
        <v>Une fois par semaine</v>
      </c>
      <c r="J248" s="1" t="str">
        <f>IFERROR(__xludf.DUMMYFUNCTION("""COMPUTED_VALUE"""),"Pour les autres")</f>
        <v>Pour les autres</v>
      </c>
      <c r="K248" s="1" t="str">
        <f>IFERROR(__xludf.DUMMYFUNCTION("""COMPUTED_VALUE"""),"Sports de combat")</f>
        <v>Sports de combat</v>
      </c>
      <c r="L248" s="1" t="str">
        <f>IFERROR(__xludf.DUMMYFUNCTION("""COMPUTED_VALUE"""),"J'aime cuisiner le WE ou quand j'ai le temps")</f>
        <v>J'aime cuisiner le WE ou quand j'ai le temps</v>
      </c>
      <c r="M248" s="1">
        <f>IFERROR(__xludf.DUMMYFUNCTION("""COMPUTED_VALUE"""),3.0)</f>
        <v>3</v>
      </c>
      <c r="N248" s="1" t="str">
        <f>IFERROR(__xludf.DUMMYFUNCTION("""COMPUTED_VALUE"""),"Une fois par mois")</f>
        <v>Une fois par mois</v>
      </c>
      <c r="O248" s="1" t="str">
        <f>IFERROR(__xludf.DUMMYFUNCTION("""COMPUTED_VALUE"""),"Tu te poses dans un coin, chill !!")</f>
        <v>Tu te poses dans un coin, chill !!</v>
      </c>
      <c r="P248" s="1">
        <f>IFERROR(__xludf.DUMMYFUNCTION("""COMPUTED_VALUE"""),1.0)</f>
        <v>1</v>
      </c>
      <c r="Q248" s="1" t="str">
        <f>IFERROR(__xludf.DUMMYFUNCTION("""COMPUTED_VALUE"""),"Oui")</f>
        <v>Oui</v>
      </c>
      <c r="R248" s="1" t="str">
        <f>IFERROR(__xludf.DUMMYFUNCTION("""COMPUTED_VALUE"""),"Non")</f>
        <v>Non</v>
      </c>
      <c r="S248" s="1" t="str">
        <f>IFERROR(__xludf.DUMMYFUNCTION("""COMPUTED_VALUE"""),"Grande famille ")</f>
        <v>Grande famille </v>
      </c>
      <c r="T248" s="1" t="str">
        <f>IFERROR(__xludf.DUMMYFUNCTION("""COMPUTED_VALUE"""),"T shirt ")</f>
        <v>T shirt </v>
      </c>
      <c r="U248" t="str">
        <f>IFERROR(__xludf.DUMMYFUNCTION("""COMPUTED_VALUE"""),"")</f>
        <v/>
      </c>
      <c r="V248" t="str">
        <f>IFERROR(__xludf.DUMMYFUNCTION("""COMPUTED_VALUE"""),"")</f>
        <v/>
      </c>
      <c r="W248" t="str">
        <f>IFERROR(__xludf.DUMMYFUNCTION("""COMPUTED_VALUE"""),"")</f>
        <v/>
      </c>
      <c r="X248" t="str">
        <f>IFERROR(__xludf.DUMMYFUNCTION("""COMPUTED_VALUE"""),"")</f>
        <v/>
      </c>
      <c r="Y248" t="str">
        <f>IFERROR(__xludf.DUMMYFUNCTION("""COMPUTED_VALUE"""),"")</f>
        <v/>
      </c>
      <c r="Z248" t="str">
        <f>IFERROR(__xludf.DUMMYFUNCTION("""COMPUTED_VALUE"""),"")</f>
        <v/>
      </c>
      <c r="AA248" t="str">
        <f>IFERROR(__xludf.DUMMYFUNCTION("""COMPUTED_VALUE"""),"")</f>
        <v/>
      </c>
      <c r="AB248" t="str">
        <f>IFERROR(__xludf.DUMMYFUNCTION("""COMPUTED_VALUE"""),"")</f>
        <v/>
      </c>
    </row>
    <row r="249">
      <c r="A249" s="2">
        <f>IFERROR(__xludf.DUMMYFUNCTION("""COMPUTED_VALUE"""),43641.279112372686)</f>
        <v>43641.27911</v>
      </c>
      <c r="B249" s="1" t="str">
        <f>IFERROR(__xludf.DUMMYFUNCTION("""COMPUTED_VALUE"""),"Sébastien VILLA")</f>
        <v>Sébastien VILLA</v>
      </c>
      <c r="C249" s="1" t="str">
        <f>IFERROR(__xludf.DUMMYFUNCTION("""COMPUTED_VALUE"""),"Deux inconnus")</f>
        <v>Deux inconnus</v>
      </c>
      <c r="D249" s="1" t="str">
        <f>IFERROR(__xludf.DUMMYFUNCTION("""COMPUTED_VALUE"""),"BDE")</f>
        <v>BDE</v>
      </c>
      <c r="E249" s="1">
        <f>IFERROR(__xludf.DUMMYFUNCTION("""COMPUTED_VALUE"""),2.0)</f>
        <v>2</v>
      </c>
      <c r="F249" s="1" t="str">
        <f>IFERROR(__xludf.DUMMYFUNCTION("""COMPUTED_VALUE"""),"Rock")</f>
        <v>Rock</v>
      </c>
      <c r="G249" s="1" t="str">
        <f>IFERROR(__xludf.DUMMYFUNCTION("""COMPUTED_VALUE"""),"Musique")</f>
        <v>Musique</v>
      </c>
      <c r="H249" s="1" t="str">
        <f>IFERROR(__xludf.DUMMYFUNCTION("""COMPUTED_VALUE"""),"Une fois de temps en temps")</f>
        <v>Une fois de temps en temps</v>
      </c>
      <c r="I249" s="1" t="str">
        <f>IFERROR(__xludf.DUMMYFUNCTION("""COMPUTED_VALUE"""),"Une fois par jour")</f>
        <v>Une fois par jour</v>
      </c>
      <c r="J249" s="1" t="str">
        <f>IFERROR(__xludf.DUMMYFUNCTION("""COMPUTED_VALUE"""),"Pour le développement perso et se dépasser")</f>
        <v>Pour le développement perso et se dépasser</v>
      </c>
      <c r="K249" s="1" t="str">
        <f>IFERROR(__xludf.DUMMYFUNCTION("""COMPUTED_VALUE"""),"Sports collectifs, Sports de rames, Escalade")</f>
        <v>Sports collectifs, Sports de rames, Escalade</v>
      </c>
      <c r="L249" s="1" t="str">
        <f>IFERROR(__xludf.DUMMYFUNCTION("""COMPUTED_VALUE"""),"Oh oui, et les trucs bien gras ça me connait !")</f>
        <v>Oh oui, et les trucs bien gras ça me connait !</v>
      </c>
      <c r="M249" s="1">
        <f>IFERROR(__xludf.DUMMYFUNCTION("""COMPUTED_VALUE"""),8.0)</f>
        <v>8</v>
      </c>
      <c r="N249" s="1" t="str">
        <f>IFERROR(__xludf.DUMMYFUNCTION("""COMPUTED_VALUE"""),"Une fois par semaine")</f>
        <v>Une fois par semaine</v>
      </c>
      <c r="O249" s="1" t="str">
        <f>IFERROR(__xludf.DUMMYFUNCTION("""COMPUTED_VALUE"""),"T'enflammes le dancefloor")</f>
        <v>T'enflammes le dancefloor</v>
      </c>
      <c r="P249" s="1">
        <f>IFERROR(__xludf.DUMMYFUNCTION("""COMPUTED_VALUE"""),2.0)</f>
        <v>2</v>
      </c>
      <c r="Q249" s="1" t="str">
        <f>IFERROR(__xludf.DUMMYFUNCTION("""COMPUTED_VALUE"""),"Non")</f>
        <v>Non</v>
      </c>
      <c r="R249" s="1" t="str">
        <f>IFERROR(__xludf.DUMMYFUNCTION("""COMPUTED_VALUE"""),"Non")</f>
        <v>Non</v>
      </c>
      <c r="S249" s="1" t="str">
        <f>IFERROR(__xludf.DUMMYFUNCTION("""COMPUTED_VALUE"""),"La glotte")</f>
        <v>La glotte</v>
      </c>
      <c r="T249" s="1" t="str">
        <f>IFERROR(__xludf.DUMMYFUNCTION("""COMPUTED_VALUE"""),"un aviron")</f>
        <v>un aviron</v>
      </c>
      <c r="U249" t="str">
        <f>IFERROR(__xludf.DUMMYFUNCTION("""COMPUTED_VALUE"""),"")</f>
        <v/>
      </c>
      <c r="V249" t="str">
        <f>IFERROR(__xludf.DUMMYFUNCTION("""COMPUTED_VALUE"""),"")</f>
        <v/>
      </c>
      <c r="W249" t="str">
        <f>IFERROR(__xludf.DUMMYFUNCTION("""COMPUTED_VALUE"""),"")</f>
        <v/>
      </c>
      <c r="X249" t="str">
        <f>IFERROR(__xludf.DUMMYFUNCTION("""COMPUTED_VALUE"""),"")</f>
        <v/>
      </c>
      <c r="Y249" t="str">
        <f>IFERROR(__xludf.DUMMYFUNCTION("""COMPUTED_VALUE"""),"")</f>
        <v/>
      </c>
      <c r="Z249" t="str">
        <f>IFERROR(__xludf.DUMMYFUNCTION("""COMPUTED_VALUE"""),"")</f>
        <v/>
      </c>
      <c r="AA249" t="str">
        <f>IFERROR(__xludf.DUMMYFUNCTION("""COMPUTED_VALUE"""),"")</f>
        <v/>
      </c>
      <c r="AB249" t="str">
        <f>IFERROR(__xludf.DUMMYFUNCTION("""COMPUTED_VALUE"""),"")</f>
        <v/>
      </c>
    </row>
    <row r="250">
      <c r="A250" s="2">
        <f>IFERROR(__xludf.DUMMYFUNCTION("""COMPUTED_VALUE"""),43641.330440000005)</f>
        <v>43641.33044</v>
      </c>
      <c r="B250" s="1" t="str">
        <f>IFERROR(__xludf.DUMMYFUNCTION("""COMPUTED_VALUE"""),"Pierre Libault")</f>
        <v>Pierre Libault</v>
      </c>
      <c r="C25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0" s="1" t="str">
        <f>IFERROR(__xludf.DUMMYFUNCTION("""COMPUTED_VALUE"""),"BDS")</f>
        <v>BDS</v>
      </c>
      <c r="E250" s="1">
        <f>IFERROR(__xludf.DUMMYFUNCTION("""COMPUTED_VALUE"""),3.0)</f>
        <v>3</v>
      </c>
      <c r="F250" s="1" t="str">
        <f>IFERROR(__xludf.DUMMYFUNCTION("""COMPUTED_VALUE"""),"Electro posée, Rap")</f>
        <v>Electro posée, Rap</v>
      </c>
      <c r="G250" s="1" t="str">
        <f>IFERROR(__xludf.DUMMYFUNCTION("""COMPUTED_VALUE"""),"Peinture, Cinéma, Graphisme")</f>
        <v>Peinture, Cinéma, Graphisme</v>
      </c>
      <c r="H250" s="1" t="str">
        <f>IFERROR(__xludf.DUMMYFUNCTION("""COMPUTED_VALUE"""),"Une fois de temps en temps")</f>
        <v>Une fois de temps en temps</v>
      </c>
      <c r="I250" s="1" t="str">
        <f>IFERROR(__xludf.DUMMYFUNCTION("""COMPUTED_VALUE"""),"Plusieurs fois par semaine")</f>
        <v>Plusieurs fois par semaine</v>
      </c>
      <c r="J250" s="1" t="str">
        <f>IFERROR(__xludf.DUMMYFUNCTION("""COMPUTED_VALUE"""),"Pour le fun")</f>
        <v>Pour le fun</v>
      </c>
      <c r="K250" s="1" t="str">
        <f>IFERROR(__xludf.DUMMYFUNCTION("""COMPUTED_VALUE"""),"Sports collectifs")</f>
        <v>Sports collectifs</v>
      </c>
      <c r="L250" s="1" t="str">
        <f>IFERROR(__xludf.DUMMYFUNCTION("""COMPUTED_VALUE"""),"Oh oui, et les trucs bien gras ça me connait !")</f>
        <v>Oh oui, et les trucs bien gras ça me connait !</v>
      </c>
      <c r="M250" s="1">
        <f>IFERROR(__xludf.DUMMYFUNCTION("""COMPUTED_VALUE"""),8.0)</f>
        <v>8</v>
      </c>
      <c r="N250" s="1" t="str">
        <f>IFERROR(__xludf.DUMMYFUNCTION("""COMPUTED_VALUE"""),"Plusieurs fois par semaine")</f>
        <v>Plusieurs fois par semaine</v>
      </c>
      <c r="O250" s="1" t="str">
        <f>IFERROR(__xludf.DUMMYFUNCTION("""COMPUTED_VALUE"""),"Tu te poses dans un coin, chill !!")</f>
        <v>Tu te poses dans un coin, chill !!</v>
      </c>
      <c r="P250" s="1">
        <f>IFERROR(__xludf.DUMMYFUNCTION("""COMPUTED_VALUE"""),2.0)</f>
        <v>2</v>
      </c>
      <c r="Q250" s="1" t="str">
        <f>IFERROR(__xludf.DUMMYFUNCTION("""COMPUTED_VALUE"""),"Oui")</f>
        <v>Oui</v>
      </c>
      <c r="R250" s="1" t="str">
        <f>IFERROR(__xludf.DUMMYFUNCTION("""COMPUTED_VALUE"""),"Non")</f>
        <v>Non</v>
      </c>
      <c r="S250" s="1" t="str">
        <f>IFERROR(__xludf.DUMMYFUNCTION("""COMPUTED_VALUE"""),"Les 6 salopards")</f>
        <v>Les 6 salopards</v>
      </c>
      <c r="T250" s="1" t="str">
        <f>IFERROR(__xludf.DUMMYFUNCTION("""COMPUTED_VALUE"""),"En réflexion ")</f>
        <v>En réflexion </v>
      </c>
      <c r="U250" t="str">
        <f>IFERROR(__xludf.DUMMYFUNCTION("""COMPUTED_VALUE"""),"")</f>
        <v/>
      </c>
      <c r="V250" t="str">
        <f>IFERROR(__xludf.DUMMYFUNCTION("""COMPUTED_VALUE"""),"")</f>
        <v/>
      </c>
      <c r="W250" t="str">
        <f>IFERROR(__xludf.DUMMYFUNCTION("""COMPUTED_VALUE"""),"")</f>
        <v/>
      </c>
      <c r="X250" t="str">
        <f>IFERROR(__xludf.DUMMYFUNCTION("""COMPUTED_VALUE"""),"")</f>
        <v/>
      </c>
      <c r="Y250" t="str">
        <f>IFERROR(__xludf.DUMMYFUNCTION("""COMPUTED_VALUE"""),"")</f>
        <v/>
      </c>
      <c r="Z250" t="str">
        <f>IFERROR(__xludf.DUMMYFUNCTION("""COMPUTED_VALUE"""),"")</f>
        <v/>
      </c>
      <c r="AA250" t="str">
        <f>IFERROR(__xludf.DUMMYFUNCTION("""COMPUTED_VALUE"""),"")</f>
        <v/>
      </c>
      <c r="AB250" t="str">
        <f>IFERROR(__xludf.DUMMYFUNCTION("""COMPUTED_VALUE"""),"")</f>
        <v/>
      </c>
    </row>
    <row r="251">
      <c r="A251" s="2">
        <f>IFERROR(__xludf.DUMMYFUNCTION("""COMPUTED_VALUE"""),43641.6062071412)</f>
        <v>43641.60621</v>
      </c>
      <c r="B251" s="1" t="str">
        <f>IFERROR(__xludf.DUMMYFUNCTION("""COMPUTED_VALUE"""),"Adam EL YOUMI")</f>
        <v>Adam EL YOUMI</v>
      </c>
      <c r="C251" s="1" t="str">
        <f>IFERROR(__xludf.DUMMYFUNCTION("""COMPUTED_VALUE"""),"Le président et un inconnu")</f>
        <v>Le président et un inconnu</v>
      </c>
      <c r="D251" s="1" t="str">
        <f>IFERROR(__xludf.DUMMYFUNCTION("""COMPUTED_VALUE"""),"BDS")</f>
        <v>BDS</v>
      </c>
      <c r="E251" s="1">
        <f>IFERROR(__xludf.DUMMYFUNCTION("""COMPUTED_VALUE"""),1.0)</f>
        <v>1</v>
      </c>
      <c r="F251" s="1" t="str">
        <f>IFERROR(__xludf.DUMMYFUNCTION("""COMPUTED_VALUE"""),"Rock, Electro posée, Electro hard, Rap, Pop, Musique fançaise, Musique classique")</f>
        <v>Rock, Electro posée, Electro hard, Rap, Pop, Musique fançaise, Musique classique</v>
      </c>
      <c r="G251" s="1" t="str">
        <f>IFERROR(__xludf.DUMMYFUNCTION("""COMPUTED_VALUE"""),"Peinture, Littérature, Sculpture, Musique, Théâtre, Cinéma, Graphisme")</f>
        <v>Peinture, Littérature, Sculpture, Musique, Théâtre, Cinéma, Graphisme</v>
      </c>
      <c r="H251" s="1" t="str">
        <f>IFERROR(__xludf.DUMMYFUNCTION("""COMPUTED_VALUE"""),"Une fois par jour")</f>
        <v>Une fois par jour</v>
      </c>
      <c r="I251" s="1" t="str">
        <f>IFERROR(__xludf.DUMMYFUNCTION("""COMPUTED_VALUE"""),"Une fois par semaine")</f>
        <v>Une fois par semaine</v>
      </c>
      <c r="J251" s="1" t="str">
        <f>IFERROR(__xludf.DUMMYFUNCTION("""COMPUTED_VALUE"""),"Pour le fun")</f>
        <v>Pour le fun</v>
      </c>
      <c r="K251" s="1" t="str">
        <f>IFERROR(__xludf.DUMMYFUNCTION("""COMPUTED_VALUE"""),"Sports de raquette")</f>
        <v>Sports de raquette</v>
      </c>
      <c r="L251" s="1" t="str">
        <f>IFERROR(__xludf.DUMMYFUNCTION("""COMPUTED_VALUE"""),"J'aime cuisiner le WE ou quand j'ai le temps")</f>
        <v>J'aime cuisiner le WE ou quand j'ai le temps</v>
      </c>
      <c r="M251" s="1">
        <f>IFERROR(__xludf.DUMMYFUNCTION("""COMPUTED_VALUE"""),3.0)</f>
        <v>3</v>
      </c>
      <c r="N251" s="1" t="str">
        <f>IFERROR(__xludf.DUMMYFUNCTION("""COMPUTED_VALUE"""),"Une fois par semaine")</f>
        <v>Une fois par semaine</v>
      </c>
      <c r="O251" s="1" t="str">
        <f>IFERROR(__xludf.DUMMYFUNCTION("""COMPUTED_VALUE"""),"Tu te poses dans un coin, chill !!")</f>
        <v>Tu te poses dans un coin, chill !!</v>
      </c>
      <c r="P251" s="1">
        <f>IFERROR(__xludf.DUMMYFUNCTION("""COMPUTED_VALUE"""),2.0)</f>
        <v>2</v>
      </c>
      <c r="Q251" s="1" t="str">
        <f>IFERROR(__xludf.DUMMYFUNCTION("""COMPUTED_VALUE"""),"Non")</f>
        <v>Non</v>
      </c>
      <c r="R251" s="1" t="str">
        <f>IFERROR(__xludf.DUMMYFUNCTION("""COMPUTED_VALUE"""),"Non")</f>
        <v>Non</v>
      </c>
      <c r="S251" s="1" t="str">
        <f>IFERROR(__xludf.DUMMYFUNCTION("""COMPUTED_VALUE"""),"Les parrainplégiques")</f>
        <v>Les parrainplégiques</v>
      </c>
      <c r="T251" s="1" t="str">
        <f>IFERROR(__xludf.DUMMYFUNCTION("""COMPUTED_VALUE"""),"un cornichon")</f>
        <v>un cornichon</v>
      </c>
      <c r="U251" t="str">
        <f>IFERROR(__xludf.DUMMYFUNCTION("""COMPUTED_VALUE"""),"")</f>
        <v/>
      </c>
      <c r="V251" t="str">
        <f>IFERROR(__xludf.DUMMYFUNCTION("""COMPUTED_VALUE"""),"")</f>
        <v/>
      </c>
      <c r="W251" t="str">
        <f>IFERROR(__xludf.DUMMYFUNCTION("""COMPUTED_VALUE"""),"")</f>
        <v/>
      </c>
      <c r="X251" t="str">
        <f>IFERROR(__xludf.DUMMYFUNCTION("""COMPUTED_VALUE"""),"")</f>
        <v/>
      </c>
      <c r="Y251" t="str">
        <f>IFERROR(__xludf.DUMMYFUNCTION("""COMPUTED_VALUE"""),"")</f>
        <v/>
      </c>
      <c r="Z251" t="str">
        <f>IFERROR(__xludf.DUMMYFUNCTION("""COMPUTED_VALUE"""),"")</f>
        <v/>
      </c>
      <c r="AA251" t="str">
        <f>IFERROR(__xludf.DUMMYFUNCTION("""COMPUTED_VALUE"""),"")</f>
        <v/>
      </c>
      <c r="AB251" t="str">
        <f>IFERROR(__xludf.DUMMYFUNCTION("""COMPUTED_VALUE"""),"")</f>
        <v/>
      </c>
    </row>
    <row r="252">
      <c r="A252" s="2">
        <f>IFERROR(__xludf.DUMMYFUNCTION("""COMPUTED_VALUE"""),43641.61028055556)</f>
        <v>43641.61028</v>
      </c>
      <c r="B252" s="1" t="str">
        <f>IFERROR(__xludf.DUMMYFUNCTION("""COMPUTED_VALUE"""),"Vincent ESPINASSE")</f>
        <v>Vincent ESPINASSE</v>
      </c>
      <c r="C252" s="1" t="str">
        <f>IFERROR(__xludf.DUMMYFUNCTION("""COMPUTED_VALUE"""),"Deux inconnus")</f>
        <v>Deux inconnus</v>
      </c>
      <c r="D252" s="1" t="str">
        <f>IFERROR(__xludf.DUMMYFUNCTION("""COMPUTED_VALUE"""),"BDA")</f>
        <v>BDA</v>
      </c>
      <c r="E252" s="1">
        <f>IFERROR(__xludf.DUMMYFUNCTION("""COMPUTED_VALUE"""),4.0)</f>
        <v>4</v>
      </c>
      <c r="F252" s="1" t="str">
        <f>IFERROR(__xludf.DUMMYFUNCTION("""COMPUTED_VALUE"""),"Metal")</f>
        <v>Metal</v>
      </c>
      <c r="G252" s="1" t="str">
        <f>IFERROR(__xludf.DUMMYFUNCTION("""COMPUTED_VALUE"""),"Littérature, Sculpture, Théâtre, Cinéma, Graphisme")</f>
        <v>Littérature, Sculpture, Théâtre, Cinéma, Graphisme</v>
      </c>
      <c r="H252" s="1" t="str">
        <f>IFERROR(__xludf.DUMMYFUNCTION("""COMPUTED_VALUE"""),"Une fois par jour")</f>
        <v>Une fois par jour</v>
      </c>
      <c r="I252" s="1" t="str">
        <f>IFERROR(__xludf.DUMMYFUNCTION("""COMPUTED_VALUE"""),"Le dimanche à 15h32 s'il fait beau")</f>
        <v>Le dimanche à 15h32 s'il fait beau</v>
      </c>
      <c r="J252" s="1" t="str">
        <f>IFERROR(__xludf.DUMMYFUNCTION("""COMPUTED_VALUE"""),"Pour les autres")</f>
        <v>Pour les autres</v>
      </c>
      <c r="K252" s="1" t="str">
        <f>IFERROR(__xludf.DUMMYFUNCTION("""COMPUTED_VALUE"""),"Pas de sport")</f>
        <v>Pas de sport</v>
      </c>
      <c r="L252" s="1" t="str">
        <f>IFERROR(__xludf.DUMMYFUNCTION("""COMPUTED_VALUE"""),"Oh oui, et les trucs bien gras ça me connait !")</f>
        <v>Oh oui, et les trucs bien gras ça me connait !</v>
      </c>
      <c r="M252" s="1">
        <f>IFERROR(__xludf.DUMMYFUNCTION("""COMPUTED_VALUE"""),7.0)</f>
        <v>7</v>
      </c>
      <c r="N252" s="1" t="str">
        <f>IFERROR(__xludf.DUMMYFUNCTION("""COMPUTED_VALUE"""),"Une fois par semaine")</f>
        <v>Une fois par semaine</v>
      </c>
      <c r="O252" s="1" t="str">
        <f>IFERROR(__xludf.DUMMYFUNCTION("""COMPUTED_VALUE"""),"Tu te poses dans un coin, chill !!")</f>
        <v>Tu te poses dans un coin, chill !!</v>
      </c>
      <c r="P252" s="1">
        <f>IFERROR(__xludf.DUMMYFUNCTION("""COMPUTED_VALUE"""),3.0)</f>
        <v>3</v>
      </c>
      <c r="Q252" s="1" t="str">
        <f>IFERROR(__xludf.DUMMYFUNCTION("""COMPUTED_VALUE"""),"Oui")</f>
        <v>Oui</v>
      </c>
      <c r="R252" s="1" t="str">
        <f>IFERROR(__xludf.DUMMYFUNCTION("""COMPUTED_VALUE"""),"Non")</f>
        <v>Non</v>
      </c>
      <c r="S252" s="1" t="str">
        <f>IFERROR(__xludf.DUMMYFUNCTION("""COMPUTED_VALUE"""),"PB-Nuage")</f>
        <v>PB-Nuage</v>
      </c>
      <c r="T252" s="1" t="str">
        <f>IFERROR(__xludf.DUMMYFUNCTION("""COMPUTED_VALUE"""),"un masque de lapin")</f>
        <v>un masque de lapin</v>
      </c>
      <c r="U252" t="str">
        <f>IFERROR(__xludf.DUMMYFUNCTION("""COMPUTED_VALUE"""),"")</f>
        <v/>
      </c>
      <c r="V252" t="str">
        <f>IFERROR(__xludf.DUMMYFUNCTION("""COMPUTED_VALUE"""),"")</f>
        <v/>
      </c>
      <c r="W252" t="str">
        <f>IFERROR(__xludf.DUMMYFUNCTION("""COMPUTED_VALUE"""),"")</f>
        <v/>
      </c>
      <c r="X252" t="str">
        <f>IFERROR(__xludf.DUMMYFUNCTION("""COMPUTED_VALUE"""),"")</f>
        <v/>
      </c>
      <c r="Y252" t="str">
        <f>IFERROR(__xludf.DUMMYFUNCTION("""COMPUTED_VALUE"""),"")</f>
        <v/>
      </c>
      <c r="Z252" t="str">
        <f>IFERROR(__xludf.DUMMYFUNCTION("""COMPUTED_VALUE"""),"")</f>
        <v/>
      </c>
      <c r="AA252" t="str">
        <f>IFERROR(__xludf.DUMMYFUNCTION("""COMPUTED_VALUE"""),"")</f>
        <v/>
      </c>
      <c r="AB252" t="str">
        <f>IFERROR(__xludf.DUMMYFUNCTION("""COMPUTED_VALUE"""),"")</f>
        <v/>
      </c>
    </row>
    <row r="253">
      <c r="A253" s="2">
        <f>IFERROR(__xludf.DUMMYFUNCTION("""COMPUTED_VALUE"""),43641.90321755787)</f>
        <v>43641.90322</v>
      </c>
      <c r="B253" s="1" t="str">
        <f>IFERROR(__xludf.DUMMYFUNCTION("""COMPUTED_VALUE"""),"Félix-Olivier Ngangue Nseke")</f>
        <v>Félix-Olivier Ngangue Nseke</v>
      </c>
      <c r="C25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3" s="1" t="str">
        <f>IFERROR(__xludf.DUMMYFUNCTION("""COMPUTED_VALUE"""),"BDS")</f>
        <v>BDS</v>
      </c>
      <c r="E253" s="1">
        <f>IFERROR(__xludf.DUMMYFUNCTION("""COMPUTED_VALUE"""),3.0)</f>
        <v>3</v>
      </c>
      <c r="F253" s="1" t="str">
        <f>IFERROR(__xludf.DUMMYFUNCTION("""COMPUTED_VALUE"""),"Rap")</f>
        <v>Rap</v>
      </c>
      <c r="G253" s="1" t="str">
        <f>IFERROR(__xludf.DUMMYFUNCTION("""COMPUTED_VALUE"""),"Cinéma")</f>
        <v>Cinéma</v>
      </c>
      <c r="H253" s="1" t="str">
        <f>IFERROR(__xludf.DUMMYFUNCTION("""COMPUTED_VALUE"""),"Une fois de temps en temps")</f>
        <v>Une fois de temps en temps</v>
      </c>
      <c r="I253" s="1" t="str">
        <f>IFERROR(__xludf.DUMMYFUNCTION("""COMPUTED_VALUE"""),"Plusieurs fois par semaine")</f>
        <v>Plusieurs fois par semaine</v>
      </c>
      <c r="J253" s="1" t="str">
        <f>IFERROR(__xludf.DUMMYFUNCTION("""COMPUTED_VALUE"""),"Pour le fun")</f>
        <v>Pour le fun</v>
      </c>
      <c r="K253" s="1" t="str">
        <f>IFERROR(__xludf.DUMMYFUNCTION("""COMPUTED_VALUE"""),"Sports collectifs")</f>
        <v>Sports collectifs</v>
      </c>
      <c r="L253" s="1" t="str">
        <f>IFERROR(__xludf.DUMMYFUNCTION("""COMPUTED_VALUE"""),"Alterner entre grec et coquillettes ça compte ?")</f>
        <v>Alterner entre grec et coquillettes ça compte ?</v>
      </c>
      <c r="M253" s="1">
        <f>IFERROR(__xludf.DUMMYFUNCTION("""COMPUTED_VALUE"""),6.0)</f>
        <v>6</v>
      </c>
      <c r="N253" s="1" t="str">
        <f>IFERROR(__xludf.DUMMYFUNCTION("""COMPUTED_VALUE"""),"Une fois par semaine")</f>
        <v>Une fois par semaine</v>
      </c>
      <c r="O253" s="1" t="str">
        <f>IFERROR(__xludf.DUMMYFUNCTION("""COMPUTED_VALUE"""),"Tu te poses dans un coin, chill !!")</f>
        <v>Tu te poses dans un coin, chill !!</v>
      </c>
      <c r="P253" s="1">
        <f>IFERROR(__xludf.DUMMYFUNCTION("""COMPUTED_VALUE"""),1.0)</f>
        <v>1</v>
      </c>
      <c r="Q253" s="1" t="str">
        <f>IFERROR(__xludf.DUMMYFUNCTION("""COMPUTED_VALUE"""),"Oui")</f>
        <v>Oui</v>
      </c>
      <c r="R253" s="1" t="str">
        <f>IFERROR(__xludf.DUMMYFUNCTION("""COMPUTED_VALUE"""),"Non")</f>
        <v>Non</v>
      </c>
      <c r="S253" s="1" t="str">
        <f>IFERROR(__xludf.DUMMYFUNCTION("""COMPUTED_VALUE"""),"Les 6 salopards")</f>
        <v>Les 6 salopards</v>
      </c>
      <c r="T253" s="1" t="str">
        <f>IFERROR(__xludf.DUMMYFUNCTION("""COMPUTED_VALUE"""),"maillot de foot")</f>
        <v>maillot de foot</v>
      </c>
      <c r="U253" t="str">
        <f>IFERROR(__xludf.DUMMYFUNCTION("""COMPUTED_VALUE"""),"")</f>
        <v/>
      </c>
      <c r="V253" t="str">
        <f>IFERROR(__xludf.DUMMYFUNCTION("""COMPUTED_VALUE"""),"")</f>
        <v/>
      </c>
      <c r="W253" t="str">
        <f>IFERROR(__xludf.DUMMYFUNCTION("""COMPUTED_VALUE"""),"")</f>
        <v/>
      </c>
      <c r="X253" t="str">
        <f>IFERROR(__xludf.DUMMYFUNCTION("""COMPUTED_VALUE"""),"")</f>
        <v/>
      </c>
      <c r="Y253" t="str">
        <f>IFERROR(__xludf.DUMMYFUNCTION("""COMPUTED_VALUE"""),"")</f>
        <v/>
      </c>
      <c r="Z253" t="str">
        <f>IFERROR(__xludf.DUMMYFUNCTION("""COMPUTED_VALUE"""),"")</f>
        <v/>
      </c>
      <c r="AA253" t="str">
        <f>IFERROR(__xludf.DUMMYFUNCTION("""COMPUTED_VALUE"""),"")</f>
        <v/>
      </c>
      <c r="AB253" t="str">
        <f>IFERROR(__xludf.DUMMYFUNCTION("""COMPUTED_VALUE"""),"")</f>
        <v/>
      </c>
    </row>
    <row r="254">
      <c r="A254" s="2">
        <f>IFERROR(__xludf.DUMMYFUNCTION("""COMPUTED_VALUE"""),43642.370825694445)</f>
        <v>43642.37083</v>
      </c>
      <c r="B254" s="1" t="str">
        <f>IFERROR(__xludf.DUMMYFUNCTION("""COMPUTED_VALUE"""),"Laurène THILLIER")</f>
        <v>Laurène THILLIER</v>
      </c>
      <c r="C25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4" s="1" t="str">
        <f>IFERROR(__xludf.DUMMYFUNCTION("""COMPUTED_VALUE"""),"BDE")</f>
        <v>BDE</v>
      </c>
      <c r="E254" s="1">
        <f>IFERROR(__xludf.DUMMYFUNCTION("""COMPUTED_VALUE"""),2.0)</f>
        <v>2</v>
      </c>
      <c r="F254" s="1" t="str">
        <f>IFERROR(__xludf.DUMMYFUNCTION("""COMPUTED_VALUE"""),"Pop")</f>
        <v>Pop</v>
      </c>
      <c r="G254" s="1" t="str">
        <f>IFERROR(__xludf.DUMMYFUNCTION("""COMPUTED_VALUE"""),"Peinture, Littérature, Danse, Musique")</f>
        <v>Peinture, Littérature, Danse, Musique</v>
      </c>
      <c r="H254" s="1" t="str">
        <f>IFERROR(__xludf.DUMMYFUNCTION("""COMPUTED_VALUE"""),"Seulement les soirs de pleine lune")</f>
        <v>Seulement les soirs de pleine lune</v>
      </c>
      <c r="I254" s="1" t="str">
        <f>IFERROR(__xludf.DUMMYFUNCTION("""COMPUTED_VALUE"""),"Plusieurs fois par semaine")</f>
        <v>Plusieurs fois par semaine</v>
      </c>
      <c r="J254" s="1" t="str">
        <f>IFERROR(__xludf.DUMMYFUNCTION("""COMPUTED_VALUE"""),"Pour le fun")</f>
        <v>Pour le fun</v>
      </c>
      <c r="K254" s="1" t="str">
        <f>IFERROR(__xludf.DUMMYFUNCTION("""COMPUTED_VALUE"""),"Autre")</f>
        <v>Autre</v>
      </c>
      <c r="L254" s="1" t="str">
        <f>IFERROR(__xludf.DUMMYFUNCTION("""COMPUTED_VALUE"""),"Je fais toujours attention à bien manger")</f>
        <v>Je fais toujours attention à bien manger</v>
      </c>
      <c r="M254" s="1">
        <f>IFERROR(__xludf.DUMMYFUNCTION("""COMPUTED_VALUE"""),5.0)</f>
        <v>5</v>
      </c>
      <c r="N254" s="1" t="str">
        <f>IFERROR(__xludf.DUMMYFUNCTION("""COMPUTED_VALUE"""),"Une fois par semaine")</f>
        <v>Une fois par semaine</v>
      </c>
      <c r="O254" s="1" t="str">
        <f>IFERROR(__xludf.DUMMYFUNCTION("""COMPUTED_VALUE"""),"T'enflammes le dancefloor")</f>
        <v>T'enflammes le dancefloor</v>
      </c>
      <c r="P254" s="1">
        <f>IFERROR(__xludf.DUMMYFUNCTION("""COMPUTED_VALUE"""),1.0)</f>
        <v>1</v>
      </c>
      <c r="Q254" s="1" t="str">
        <f>IFERROR(__xludf.DUMMYFUNCTION("""COMPUTED_VALUE"""),"Non")</f>
        <v>Non</v>
      </c>
      <c r="R254" s="1" t="str">
        <f>IFERROR(__xludf.DUMMYFUNCTION("""COMPUTED_VALUE"""),"Non")</f>
        <v>Non</v>
      </c>
      <c r="S254" s="1" t="str">
        <f>IFERROR(__xludf.DUMMYFUNCTION("""COMPUTED_VALUE"""),"Les 6 salopards")</f>
        <v>Les 6 salopards</v>
      </c>
      <c r="T254" s="1" t="str">
        <f>IFERROR(__xludf.DUMMYFUNCTION("""COMPUTED_VALUE"""),"oreilles de cochon")</f>
        <v>oreilles de cochon</v>
      </c>
      <c r="U254" t="str">
        <f>IFERROR(__xludf.DUMMYFUNCTION("""COMPUTED_VALUE"""),"")</f>
        <v/>
      </c>
      <c r="V254" t="str">
        <f>IFERROR(__xludf.DUMMYFUNCTION("""COMPUTED_VALUE"""),"")</f>
        <v/>
      </c>
      <c r="W254" t="str">
        <f>IFERROR(__xludf.DUMMYFUNCTION("""COMPUTED_VALUE"""),"")</f>
        <v/>
      </c>
      <c r="X254" t="str">
        <f>IFERROR(__xludf.DUMMYFUNCTION("""COMPUTED_VALUE"""),"")</f>
        <v/>
      </c>
      <c r="Y254" t="str">
        <f>IFERROR(__xludf.DUMMYFUNCTION("""COMPUTED_VALUE"""),"")</f>
        <v/>
      </c>
      <c r="Z254" t="str">
        <f>IFERROR(__xludf.DUMMYFUNCTION("""COMPUTED_VALUE"""),"")</f>
        <v/>
      </c>
      <c r="AA254" t="str">
        <f>IFERROR(__xludf.DUMMYFUNCTION("""COMPUTED_VALUE"""),"")</f>
        <v/>
      </c>
      <c r="AB254" t="str">
        <f>IFERROR(__xludf.DUMMYFUNCTION("""COMPUTED_VALUE"""),"")</f>
        <v/>
      </c>
    </row>
    <row r="255">
      <c r="A255" s="2">
        <f>IFERROR(__xludf.DUMMYFUNCTION("""COMPUTED_VALUE"""),43642.91262120371)</f>
        <v>43642.91262</v>
      </c>
      <c r="B255" s="1" t="str">
        <f>IFERROR(__xludf.DUMMYFUNCTION("""COMPUTED_VALUE"""),"Tanguy CABARET")</f>
        <v>Tanguy CABARET</v>
      </c>
      <c r="C255" s="1" t="str">
        <f>IFERROR(__xludf.DUMMYFUNCTION("""COMPUTED_VALUE"""),"Le président et un inconnu")</f>
        <v>Le président et un inconnu</v>
      </c>
      <c r="D255" s="1" t="str">
        <f>IFERROR(__xludf.DUMMYFUNCTION("""COMPUTED_VALUE"""),"BDE")</f>
        <v>BDE</v>
      </c>
      <c r="E255" s="1">
        <f>IFERROR(__xludf.DUMMYFUNCTION("""COMPUTED_VALUE"""),5.0)</f>
        <v>5</v>
      </c>
      <c r="F255" s="1" t="str">
        <f>IFERROR(__xludf.DUMMYFUNCTION("""COMPUTED_VALUE"""),"Rock, Metal, Electro posée, Electro hard, Rap, Pop, Musique fançaise, Jazz, Musique classique")</f>
        <v>Rock, Metal, Electro posée, Electro hard, Rap, Pop, Musique fançaise, Jazz, Musique classique</v>
      </c>
      <c r="G255" s="1" t="str">
        <f>IFERROR(__xludf.DUMMYFUNCTION("""COMPUTED_VALUE"""),"Peinture, Danse, Musique, Cinéma")</f>
        <v>Peinture, Danse, Musique, Cinéma</v>
      </c>
      <c r="H255" s="1" t="str">
        <f>IFERROR(__xludf.DUMMYFUNCTION("""COMPUTED_VALUE"""),"Une fois de temps en temps")</f>
        <v>Une fois de temps en temps</v>
      </c>
      <c r="I255" s="1" t="str">
        <f>IFERROR(__xludf.DUMMYFUNCTION("""COMPUTED_VALUE"""),"Une fois par semaine")</f>
        <v>Une fois par semaine</v>
      </c>
      <c r="J255" s="1" t="str">
        <f>IFERROR(__xludf.DUMMYFUNCTION("""COMPUTED_VALUE"""),"Pour le fun")</f>
        <v>Pour le fun</v>
      </c>
      <c r="K255" s="1" t="str">
        <f>IFERROR(__xludf.DUMMYFUNCTION("""COMPUTED_VALUE"""),"Voile, Sports de combat, Autre")</f>
        <v>Voile, Sports de combat, Autre</v>
      </c>
      <c r="L255" s="1" t="str">
        <f>IFERROR(__xludf.DUMMYFUNCTION("""COMPUTED_VALUE"""),"Alterner entre grec et coquillettes ça compte ?")</f>
        <v>Alterner entre grec et coquillettes ça compte ?</v>
      </c>
      <c r="M255" s="1">
        <f>IFERROR(__xludf.DUMMYFUNCTION("""COMPUTED_VALUE"""),10.0)</f>
        <v>10</v>
      </c>
      <c r="N255" s="1" t="str">
        <f>IFERROR(__xludf.DUMMYFUNCTION("""COMPUTED_VALUE"""),"Plusieurs fois par semaine")</f>
        <v>Plusieurs fois par semaine</v>
      </c>
      <c r="O255" s="1" t="str">
        <f>IFERROR(__xludf.DUMMYFUNCTION("""COMPUTED_VALUE"""),"T'enflammes le dancefloor")</f>
        <v>T'enflammes le dancefloor</v>
      </c>
      <c r="P255" s="1">
        <f>IFERROR(__xludf.DUMMYFUNCTION("""COMPUTED_VALUE"""),2.0)</f>
        <v>2</v>
      </c>
      <c r="Q255" s="1" t="str">
        <f>IFERROR(__xludf.DUMMYFUNCTION("""COMPUTED_VALUE"""),"Oui")</f>
        <v>Oui</v>
      </c>
      <c r="R255" s="1" t="str">
        <f>IFERROR(__xludf.DUMMYFUNCTION("""COMPUTED_VALUE"""),"Non")</f>
        <v>Non</v>
      </c>
      <c r="S255" s="1" t="str">
        <f>IFERROR(__xludf.DUMMYFUNCTION("""COMPUTED_VALUE"""),"Les 6 salopards")</f>
        <v>Les 6 salopards</v>
      </c>
      <c r="T255" s="1" t="str">
        <f>IFERROR(__xludf.DUMMYFUNCTION("""COMPUTED_VALUE"""),"Une piece de bagnole mais je sais pas encore quoi ")</f>
        <v>Une piece de bagnole mais je sais pas encore quoi </v>
      </c>
      <c r="U255" t="str">
        <f>IFERROR(__xludf.DUMMYFUNCTION("""COMPUTED_VALUE"""),"")</f>
        <v/>
      </c>
      <c r="V255" t="str">
        <f>IFERROR(__xludf.DUMMYFUNCTION("""COMPUTED_VALUE"""),"")</f>
        <v/>
      </c>
      <c r="W255" t="str">
        <f>IFERROR(__xludf.DUMMYFUNCTION("""COMPUTED_VALUE"""),"")</f>
        <v/>
      </c>
      <c r="X255" t="str">
        <f>IFERROR(__xludf.DUMMYFUNCTION("""COMPUTED_VALUE"""),"")</f>
        <v/>
      </c>
      <c r="Y255" t="str">
        <f>IFERROR(__xludf.DUMMYFUNCTION("""COMPUTED_VALUE"""),"")</f>
        <v/>
      </c>
      <c r="Z255" t="str">
        <f>IFERROR(__xludf.DUMMYFUNCTION("""COMPUTED_VALUE"""),"")</f>
        <v/>
      </c>
      <c r="AA255" t="str">
        <f>IFERROR(__xludf.DUMMYFUNCTION("""COMPUTED_VALUE"""),"")</f>
        <v/>
      </c>
      <c r="AB255" t="str">
        <f>IFERROR(__xludf.DUMMYFUNCTION("""COMPUTED_VALUE"""),"")</f>
        <v/>
      </c>
    </row>
    <row r="256">
      <c r="A256" s="2">
        <f>IFERROR(__xludf.DUMMYFUNCTION("""COMPUTED_VALUE"""),43643.2750428588)</f>
        <v>43643.27504</v>
      </c>
      <c r="B256" t="str">
        <f>IFERROR(__xludf.DUMMYFUNCTION("""COMPUTED_VALUE"""),"Romane CARIOU")</f>
        <v>Romane CARIOU</v>
      </c>
      <c r="C256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6" t="str">
        <f>IFERROR(__xludf.DUMMYFUNCTION("""COMPUTED_VALUE"""),"BDS")</f>
        <v>BDS</v>
      </c>
      <c r="E256">
        <f>IFERROR(__xludf.DUMMYFUNCTION("""COMPUTED_VALUE"""),5.0)</f>
        <v>5</v>
      </c>
      <c r="F256" t="str">
        <f>IFERROR(__xludf.DUMMYFUNCTION("""COMPUTED_VALUE"""),"Rock, Metal, Pop, Musique fançaise, Jazz, Musique classique")</f>
        <v>Rock, Metal, Pop, Musique fançaise, Jazz, Musique classique</v>
      </c>
      <c r="G256" t="str">
        <f>IFERROR(__xludf.DUMMYFUNCTION("""COMPUTED_VALUE"""),"Littérature, Danse, Musique, Théâtre, Cinéma")</f>
        <v>Littérature, Danse, Musique, Théâtre, Cinéma</v>
      </c>
      <c r="H256" t="str">
        <f>IFERROR(__xludf.DUMMYFUNCTION("""COMPUTED_VALUE"""),"Seulement les soirs de pleine lune")</f>
        <v>Seulement les soirs de pleine lune</v>
      </c>
      <c r="I256" t="str">
        <f>IFERROR(__xludf.DUMMYFUNCTION("""COMPUTED_VALUE"""),"Plusieurs fois par semaine")</f>
        <v>Plusieurs fois par semaine</v>
      </c>
      <c r="J256" t="str">
        <f>IFERROR(__xludf.DUMMYFUNCTION("""COMPUTED_VALUE"""),"Pour le développement perso et se dépasser")</f>
        <v>Pour le développement perso et se dépasser</v>
      </c>
      <c r="K256" t="str">
        <f>IFERROR(__xludf.DUMMYFUNCTION("""COMPUTED_VALUE"""),"Sports collectifs, Sports de rames, Sports aquatiques, Escalade")</f>
        <v>Sports collectifs, Sports de rames, Sports aquatiques, Escalade</v>
      </c>
      <c r="L256" t="str">
        <f>IFERROR(__xludf.DUMMYFUNCTION("""COMPUTED_VALUE"""),"Je fais toujours attention à bien manger")</f>
        <v>Je fais toujours attention à bien manger</v>
      </c>
      <c r="M256">
        <f>IFERROR(__xludf.DUMMYFUNCTION("""COMPUTED_VALUE"""),4.0)</f>
        <v>4</v>
      </c>
      <c r="N256" t="str">
        <f>IFERROR(__xludf.DUMMYFUNCTION("""COMPUTED_VALUE"""),"Une fois par semaine")</f>
        <v>Une fois par semaine</v>
      </c>
      <c r="O256" t="str">
        <f>IFERROR(__xludf.DUMMYFUNCTION("""COMPUTED_VALUE"""),"T'enflammes le dancefloor")</f>
        <v>T'enflammes le dancefloor</v>
      </c>
      <c r="P256">
        <f>IFERROR(__xludf.DUMMYFUNCTION("""COMPUTED_VALUE"""),3.0)</f>
        <v>3</v>
      </c>
      <c r="Q256" t="str">
        <f>IFERROR(__xludf.DUMMYFUNCTION("""COMPUTED_VALUE"""),"Oui")</f>
        <v>Oui</v>
      </c>
      <c r="R256" t="str">
        <f>IFERROR(__xludf.DUMMYFUNCTION("""COMPUTED_VALUE"""),"Non")</f>
        <v>Non</v>
      </c>
      <c r="S256" t="str">
        <f>IFERROR(__xludf.DUMMYFUNCTION("""COMPUTED_VALUE"""),"La Crypte ")</f>
        <v>La Crypte </v>
      </c>
      <c r="T256" t="str">
        <f>IFERROR(__xludf.DUMMYFUNCTION("""COMPUTED_VALUE"""),"une corde de harpe ")</f>
        <v>une corde de harpe </v>
      </c>
      <c r="U256" t="str">
        <f>IFERROR(__xludf.DUMMYFUNCTION("""COMPUTED_VALUE"""),"")</f>
        <v/>
      </c>
      <c r="V256" t="str">
        <f>IFERROR(__xludf.DUMMYFUNCTION("""COMPUTED_VALUE"""),"")</f>
        <v/>
      </c>
      <c r="W256" t="str">
        <f>IFERROR(__xludf.DUMMYFUNCTION("""COMPUTED_VALUE"""),"")</f>
        <v/>
      </c>
      <c r="X256" t="str">
        <f>IFERROR(__xludf.DUMMYFUNCTION("""COMPUTED_VALUE"""),"")</f>
        <v/>
      </c>
      <c r="Y256" t="str">
        <f>IFERROR(__xludf.DUMMYFUNCTION("""COMPUTED_VALUE"""),"")</f>
        <v/>
      </c>
      <c r="Z256" t="str">
        <f>IFERROR(__xludf.DUMMYFUNCTION("""COMPUTED_VALUE"""),"")</f>
        <v/>
      </c>
      <c r="AA256" t="str">
        <f>IFERROR(__xludf.DUMMYFUNCTION("""COMPUTED_VALUE"""),"")</f>
        <v/>
      </c>
      <c r="AB256" t="str">
        <f>IFERROR(__xludf.DUMMYFUNCTION("""COMPUTED_VALUE"""),"")</f>
        <v/>
      </c>
    </row>
    <row r="257">
      <c r="A257" s="2">
        <f>IFERROR(__xludf.DUMMYFUNCTION("""COMPUTED_VALUE"""),43647.85176201389)</f>
        <v>43647.85176</v>
      </c>
      <c r="B257" s="1" t="str">
        <f>IFERROR(__xludf.DUMMYFUNCTION("""COMPUTED_VALUE"""),"Romain SUCCHE")</f>
        <v>Romain SUCCHE</v>
      </c>
      <c r="C257" s="1" t="str">
        <f>IFERROR(__xludf.DUMMYFUNCTION("""COMPUTED_VALUE"""),"Le président et un inconnu")</f>
        <v>Le président et un inconnu</v>
      </c>
      <c r="D257" s="1" t="str">
        <f>IFERROR(__xludf.DUMMYFUNCTION("""COMPUTED_VALUE"""),"BDE")</f>
        <v>BDE</v>
      </c>
      <c r="E257" s="1">
        <f>IFERROR(__xludf.DUMMYFUNCTION("""COMPUTED_VALUE"""),5.0)</f>
        <v>5</v>
      </c>
      <c r="F257" s="1" t="str">
        <f>IFERROR(__xludf.DUMMYFUNCTION("""COMPUTED_VALUE"""),"Electro posée, Pop, Musique fançaise")</f>
        <v>Electro posée, Pop, Musique fançaise</v>
      </c>
      <c r="G257" s="1" t="str">
        <f>IFERROR(__xludf.DUMMYFUNCTION("""COMPUTED_VALUE"""),"Pas du tout")</f>
        <v>Pas du tout</v>
      </c>
      <c r="H257" s="1" t="str">
        <f>IFERROR(__xludf.DUMMYFUNCTION("""COMPUTED_VALUE"""),"Seulement les soirs de pleine lune")</f>
        <v>Seulement les soirs de pleine lune</v>
      </c>
      <c r="I257" s="1" t="str">
        <f>IFERROR(__xludf.DUMMYFUNCTION("""COMPUTED_VALUE"""),"Plusieurs fois par semaine")</f>
        <v>Plusieurs fois par semaine</v>
      </c>
      <c r="J257" s="1" t="str">
        <f>IFERROR(__xludf.DUMMYFUNCTION("""COMPUTED_VALUE"""),"Pour le fun")</f>
        <v>Pour le fun</v>
      </c>
      <c r="K257" s="1" t="str">
        <f>IFERROR(__xludf.DUMMYFUNCTION("""COMPUTED_VALUE"""),"Sports collectifs")</f>
        <v>Sports collectifs</v>
      </c>
      <c r="L257" s="1" t="str">
        <f>IFERROR(__xludf.DUMMYFUNCTION("""COMPUTED_VALUE"""),"J'aime cuisiner le WE ou quand j'ai le temps")</f>
        <v>J'aime cuisiner le WE ou quand j'ai le temps</v>
      </c>
      <c r="M257" s="1">
        <f>IFERROR(__xludf.DUMMYFUNCTION("""COMPUTED_VALUE"""),7.0)</f>
        <v>7</v>
      </c>
      <c r="N257" s="1" t="str">
        <f>IFERROR(__xludf.DUMMYFUNCTION("""COMPUTED_VALUE"""),"Une fois par semaine")</f>
        <v>Une fois par semaine</v>
      </c>
      <c r="O257" s="1" t="str">
        <f>IFERROR(__xludf.DUMMYFUNCTION("""COMPUTED_VALUE"""),"T'enflammes le dancefloor")</f>
        <v>T'enflammes le dancefloor</v>
      </c>
      <c r="P257" s="1">
        <f>IFERROR(__xludf.DUMMYFUNCTION("""COMPUTED_VALUE"""),1.0)</f>
        <v>1</v>
      </c>
      <c r="Q257" s="1" t="str">
        <f>IFERROR(__xludf.DUMMYFUNCTION("""COMPUTED_VALUE"""),"Oui")</f>
        <v>Oui</v>
      </c>
      <c r="R257" s="1" t="str">
        <f>IFERROR(__xludf.DUMMYFUNCTION("""COMPUTED_VALUE"""),"Non")</f>
        <v>Non</v>
      </c>
      <c r="S257" s="1" t="str">
        <f>IFERROR(__xludf.DUMMYFUNCTION("""COMPUTED_VALUE"""),"Les cyclistes ")</f>
        <v>Les cyclistes </v>
      </c>
      <c r="T257" s="1" t="str">
        <f>IFERROR(__xludf.DUMMYFUNCTION("""COMPUTED_VALUE"""),"Lunettes cassées ")</f>
        <v>Lunettes cassées </v>
      </c>
      <c r="U257" t="str">
        <f>IFERROR(__xludf.DUMMYFUNCTION("""COMPUTED_VALUE"""),"")</f>
        <v/>
      </c>
      <c r="V257" t="str">
        <f>IFERROR(__xludf.DUMMYFUNCTION("""COMPUTED_VALUE"""),"")</f>
        <v/>
      </c>
      <c r="W257" t="str">
        <f>IFERROR(__xludf.DUMMYFUNCTION("""COMPUTED_VALUE"""),"")</f>
        <v/>
      </c>
      <c r="X257" t="str">
        <f>IFERROR(__xludf.DUMMYFUNCTION("""COMPUTED_VALUE"""),"")</f>
        <v/>
      </c>
      <c r="Y257" t="str">
        <f>IFERROR(__xludf.DUMMYFUNCTION("""COMPUTED_VALUE"""),"")</f>
        <v/>
      </c>
      <c r="Z257" t="str">
        <f>IFERROR(__xludf.DUMMYFUNCTION("""COMPUTED_VALUE"""),"")</f>
        <v/>
      </c>
      <c r="AA257" t="str">
        <f>IFERROR(__xludf.DUMMYFUNCTION("""COMPUTED_VALUE"""),"")</f>
        <v/>
      </c>
      <c r="AB257" t="str">
        <f>IFERROR(__xludf.DUMMYFUNCTION("""COMPUTED_VALUE"""),"")</f>
        <v/>
      </c>
    </row>
    <row r="258">
      <c r="A258" s="2">
        <f>IFERROR(__xludf.DUMMYFUNCTION("""COMPUTED_VALUE"""),43647.87916188657)</f>
        <v>43647.87916</v>
      </c>
      <c r="B258" s="1" t="str">
        <f>IFERROR(__xludf.DUMMYFUNCTION("""COMPUTED_VALUE"""),"Nicolas ROGER")</f>
        <v>Nicolas ROGER</v>
      </c>
      <c r="C25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8" s="1" t="str">
        <f>IFERROR(__xludf.DUMMYFUNCTION("""COMPUTED_VALUE"""),"BDE")</f>
        <v>BDE</v>
      </c>
      <c r="E258" s="1">
        <f>IFERROR(__xludf.DUMMYFUNCTION("""COMPUTED_VALUE"""),1.0)</f>
        <v>1</v>
      </c>
      <c r="F258" s="1" t="str">
        <f>IFERROR(__xludf.DUMMYFUNCTION("""COMPUTED_VALUE"""),"Electro posée, Rap, Musique classique")</f>
        <v>Electro posée, Rap, Musique classique</v>
      </c>
      <c r="G258" s="1" t="str">
        <f>IFERROR(__xludf.DUMMYFUNCTION("""COMPUTED_VALUE"""),"Musique")</f>
        <v>Musique</v>
      </c>
      <c r="H258" s="1" t="str">
        <f>IFERROR(__xludf.DUMMYFUNCTION("""COMPUTED_VALUE"""),"Une fois de temps en temps")</f>
        <v>Une fois de temps en temps</v>
      </c>
      <c r="I258" s="1" t="str">
        <f>IFERROR(__xludf.DUMMYFUNCTION("""COMPUTED_VALUE"""),"Une fois par semaine")</f>
        <v>Une fois par semaine</v>
      </c>
      <c r="J258" s="1" t="str">
        <f>IFERROR(__xludf.DUMMYFUNCTION("""COMPUTED_VALUE"""),"Pour le fun")</f>
        <v>Pour le fun</v>
      </c>
      <c r="K258" s="1" t="str">
        <f>IFERROR(__xludf.DUMMYFUNCTION("""COMPUTED_VALUE"""),"Sports de raquette, Sports de rames")</f>
        <v>Sports de raquette, Sports de rames</v>
      </c>
      <c r="L258" s="1" t="str">
        <f>IFERROR(__xludf.DUMMYFUNCTION("""COMPUTED_VALUE"""),"Je fais toujours attention à bien manger")</f>
        <v>Je fais toujours attention à bien manger</v>
      </c>
      <c r="M258" s="1">
        <f>IFERROR(__xludf.DUMMYFUNCTION("""COMPUTED_VALUE"""),4.0)</f>
        <v>4</v>
      </c>
      <c r="N258" s="1" t="str">
        <f>IFERROR(__xludf.DUMMYFUNCTION("""COMPUTED_VALUE"""),"Une fois par semaine")</f>
        <v>Une fois par semaine</v>
      </c>
      <c r="O258" s="1" t="str">
        <f>IFERROR(__xludf.DUMMYFUNCTION("""COMPUTED_VALUE"""),"Tu te poses dans un coin, chill !!")</f>
        <v>Tu te poses dans un coin, chill !!</v>
      </c>
      <c r="P258" s="1">
        <f>IFERROR(__xludf.DUMMYFUNCTION("""COMPUTED_VALUE"""),1.0)</f>
        <v>1</v>
      </c>
      <c r="Q258" s="1" t="str">
        <f>IFERROR(__xludf.DUMMYFUNCTION("""COMPUTED_VALUE"""),"Non")</f>
        <v>Non</v>
      </c>
      <c r="R258" s="1" t="str">
        <f>IFERROR(__xludf.DUMMYFUNCTION("""COMPUTED_VALUE"""),"Non")</f>
        <v>Non</v>
      </c>
      <c r="S258" s="1" t="str">
        <f>IFERROR(__xludf.DUMMYFUNCTION("""COMPUTED_VALUE"""),"Les cyclistes ")</f>
        <v>Les cyclistes </v>
      </c>
      <c r="T258" s="1" t="str">
        <f>IFERROR(__xludf.DUMMYFUNCTION("""COMPUTED_VALUE"""),"Une gamelle de chat ")</f>
        <v>Une gamelle de chat </v>
      </c>
      <c r="U258" t="str">
        <f>IFERROR(__xludf.DUMMYFUNCTION("""COMPUTED_VALUE"""),"")</f>
        <v/>
      </c>
      <c r="V258" t="str">
        <f>IFERROR(__xludf.DUMMYFUNCTION("""COMPUTED_VALUE"""),"")</f>
        <v/>
      </c>
      <c r="W258" t="str">
        <f>IFERROR(__xludf.DUMMYFUNCTION("""COMPUTED_VALUE"""),"")</f>
        <v/>
      </c>
      <c r="X258" t="str">
        <f>IFERROR(__xludf.DUMMYFUNCTION("""COMPUTED_VALUE"""),"")</f>
        <v/>
      </c>
      <c r="Y258" t="str">
        <f>IFERROR(__xludf.DUMMYFUNCTION("""COMPUTED_VALUE"""),"")</f>
        <v/>
      </c>
      <c r="Z258" t="str">
        <f>IFERROR(__xludf.DUMMYFUNCTION("""COMPUTED_VALUE"""),"")</f>
        <v/>
      </c>
      <c r="AA258" t="str">
        <f>IFERROR(__xludf.DUMMYFUNCTION("""COMPUTED_VALUE"""),"")</f>
        <v/>
      </c>
      <c r="AB258" t="str">
        <f>IFERROR(__xludf.DUMMYFUNCTION("""COMPUTED_VALUE"""),"")</f>
        <v/>
      </c>
    </row>
    <row r="259">
      <c r="A259" s="2">
        <f>IFERROR(__xludf.DUMMYFUNCTION("""COMPUTED_VALUE"""),43647.88387853009)</f>
        <v>43647.88388</v>
      </c>
      <c r="B259" s="1" t="str">
        <f>IFERROR(__xludf.DUMMYFUNCTION("""COMPUTED_VALUE"""),"Emmanuel COLLIGNAN")</f>
        <v>Emmanuel COLLIGNAN</v>
      </c>
      <c r="C25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59" s="1" t="str">
        <f>IFERROR(__xludf.DUMMYFUNCTION("""COMPUTED_VALUE"""),"BDE")</f>
        <v>BDE</v>
      </c>
      <c r="E259" s="1">
        <f>IFERROR(__xludf.DUMMYFUNCTION("""COMPUTED_VALUE"""),5.0)</f>
        <v>5</v>
      </c>
      <c r="F259" s="1" t="str">
        <f>IFERROR(__xludf.DUMMYFUNCTION("""COMPUTED_VALUE"""),"Autre")</f>
        <v>Autre</v>
      </c>
      <c r="G259" s="1" t="str">
        <f>IFERROR(__xludf.DUMMYFUNCTION("""COMPUTED_VALUE"""),"Musique, Théâtre, Cinéma")</f>
        <v>Musique, Théâtre, Cinéma</v>
      </c>
      <c r="H259" s="1" t="str">
        <f>IFERROR(__xludf.DUMMYFUNCTION("""COMPUTED_VALUE"""),"Seulement les soirs de pleine lune")</f>
        <v>Seulement les soirs de pleine lune</v>
      </c>
      <c r="I259" s="1" t="str">
        <f>IFERROR(__xludf.DUMMYFUNCTION("""COMPUTED_VALUE"""),"Une fois par jour")</f>
        <v>Une fois par jour</v>
      </c>
      <c r="J259" s="1" t="str">
        <f>IFERROR(__xludf.DUMMYFUNCTION("""COMPUTED_VALUE"""),"Pour le développement perso et se dépasser")</f>
        <v>Pour le développement perso et se dépasser</v>
      </c>
      <c r="K259" s="1" t="str">
        <f>IFERROR(__xludf.DUMMYFUNCTION("""COMPUTED_VALUE"""),"Sports collectifs, Sports de raquette")</f>
        <v>Sports collectifs, Sports de raquette</v>
      </c>
      <c r="L259" s="1" t="str">
        <f>IFERROR(__xludf.DUMMYFUNCTION("""COMPUTED_VALUE"""),"J'aime cuisiner le WE ou quand j'ai le temps")</f>
        <v>J'aime cuisiner le WE ou quand j'ai le temps</v>
      </c>
      <c r="M259" s="1">
        <f>IFERROR(__xludf.DUMMYFUNCTION("""COMPUTED_VALUE"""),7.0)</f>
        <v>7</v>
      </c>
      <c r="N259" s="1" t="str">
        <f>IFERROR(__xludf.DUMMYFUNCTION("""COMPUTED_VALUE"""),"Plusieurs fois par semaine")</f>
        <v>Plusieurs fois par semaine</v>
      </c>
      <c r="O259" s="1" t="str">
        <f>IFERROR(__xludf.DUMMYFUNCTION("""COMPUTED_VALUE"""),"Tu te poses dans un coin, chill !!")</f>
        <v>Tu te poses dans un coin, chill !!</v>
      </c>
      <c r="P259" s="1">
        <f>IFERROR(__xludf.DUMMYFUNCTION("""COMPUTED_VALUE"""),2.0)</f>
        <v>2</v>
      </c>
      <c r="Q259" s="1" t="str">
        <f>IFERROR(__xludf.DUMMYFUNCTION("""COMPUTED_VALUE"""),"Non")</f>
        <v>Non</v>
      </c>
      <c r="R259" s="1" t="str">
        <f>IFERROR(__xludf.DUMMYFUNCTION("""COMPUTED_VALUE"""),"Non")</f>
        <v>Non</v>
      </c>
      <c r="S259" s="1" t="str">
        <f>IFERROR(__xludf.DUMMYFUNCTION("""COMPUTED_VALUE"""),"les cyclistes")</f>
        <v>les cyclistes</v>
      </c>
      <c r="T259" s="1" t="str">
        <f>IFERROR(__xludf.DUMMYFUNCTION("""COMPUTED_VALUE"""),"Ballon?")</f>
        <v>Ballon?</v>
      </c>
      <c r="U259" t="str">
        <f>IFERROR(__xludf.DUMMYFUNCTION("""COMPUTED_VALUE"""),"")</f>
        <v/>
      </c>
      <c r="V259" t="str">
        <f>IFERROR(__xludf.DUMMYFUNCTION("""COMPUTED_VALUE"""),"")</f>
        <v/>
      </c>
      <c r="W259" t="str">
        <f>IFERROR(__xludf.DUMMYFUNCTION("""COMPUTED_VALUE"""),"")</f>
        <v/>
      </c>
      <c r="X259" t="str">
        <f>IFERROR(__xludf.DUMMYFUNCTION("""COMPUTED_VALUE"""),"")</f>
        <v/>
      </c>
      <c r="Y259" t="str">
        <f>IFERROR(__xludf.DUMMYFUNCTION("""COMPUTED_VALUE"""),"")</f>
        <v/>
      </c>
      <c r="Z259" t="str">
        <f>IFERROR(__xludf.DUMMYFUNCTION("""COMPUTED_VALUE"""),"")</f>
        <v/>
      </c>
      <c r="AA259" t="str">
        <f>IFERROR(__xludf.DUMMYFUNCTION("""COMPUTED_VALUE"""),"")</f>
        <v/>
      </c>
      <c r="AB259" t="str">
        <f>IFERROR(__xludf.DUMMYFUNCTION("""COMPUTED_VALUE"""),"")</f>
        <v/>
      </c>
    </row>
    <row r="260">
      <c r="A260" s="2">
        <f>IFERROR(__xludf.DUMMYFUNCTION("""COMPUTED_VALUE"""),43647.96907653935)</f>
        <v>43647.96908</v>
      </c>
      <c r="B260" s="1" t="str">
        <f>IFERROR(__xludf.DUMMYFUNCTION("""COMPUTED_VALUE"""),"Jérôme VILLEROT")</f>
        <v>Jérôme VILLEROT</v>
      </c>
      <c r="C260" s="1" t="str">
        <f>IFERROR(__xludf.DUMMYFUNCTION("""COMPUTED_VALUE"""),"Le président et un inconnu")</f>
        <v>Le président et un inconnu</v>
      </c>
      <c r="D260" s="1" t="str">
        <f>IFERROR(__xludf.DUMMYFUNCTION("""COMPUTED_VALUE"""),"BDE")</f>
        <v>BDE</v>
      </c>
      <c r="E260" s="1">
        <f>IFERROR(__xludf.DUMMYFUNCTION("""COMPUTED_VALUE"""),5.0)</f>
        <v>5</v>
      </c>
      <c r="F260" s="1" t="str">
        <f>IFERROR(__xludf.DUMMYFUNCTION("""COMPUTED_VALUE"""),"Rock, Electro posée, Rap, Pop, Musique fançaise, Jazz, Musique classique, Kpop, Autre")</f>
        <v>Rock, Electro posée, Rap, Pop, Musique fançaise, Jazz, Musique classique, Kpop, Autre</v>
      </c>
      <c r="G260" s="1" t="str">
        <f>IFERROR(__xludf.DUMMYFUNCTION("""COMPUTED_VALUE"""),"Peinture, Littérature, Danse, Musique, Théâtre, Cinéma, Autre")</f>
        <v>Peinture, Littérature, Danse, Musique, Théâtre, Cinéma, Autre</v>
      </c>
      <c r="H260" s="1" t="str">
        <f>IFERROR(__xludf.DUMMYFUNCTION("""COMPUTED_VALUE"""),"Seulement les soirs de pleine lune")</f>
        <v>Seulement les soirs de pleine lune</v>
      </c>
      <c r="I260" s="1" t="str">
        <f>IFERROR(__xludf.DUMMYFUNCTION("""COMPUTED_VALUE"""),"Une fois par jour")</f>
        <v>Une fois par jour</v>
      </c>
      <c r="J260" s="1" t="str">
        <f>IFERROR(__xludf.DUMMYFUNCTION("""COMPUTED_VALUE"""),"Pour le fun")</f>
        <v>Pour le fun</v>
      </c>
      <c r="K260" s="1" t="str">
        <f>IFERROR(__xludf.DUMMYFUNCTION("""COMPUTED_VALUE"""),"Sports collectifs, Sports de raquette, Athlétisme, Voile, Sports de rames")</f>
        <v>Sports collectifs, Sports de raquette, Athlétisme, Voile, Sports de rames</v>
      </c>
      <c r="L260" s="1" t="str">
        <f>IFERROR(__xludf.DUMMYFUNCTION("""COMPUTED_VALUE"""),"Oh oui, et les trucs bien gras ça me connait !")</f>
        <v>Oh oui, et les trucs bien gras ça me connait !</v>
      </c>
      <c r="M260" s="1">
        <f>IFERROR(__xludf.DUMMYFUNCTION("""COMPUTED_VALUE"""),7.0)</f>
        <v>7</v>
      </c>
      <c r="N260" s="1" t="str">
        <f>IFERROR(__xludf.DUMMYFUNCTION("""COMPUTED_VALUE"""),"Une fois par semaine")</f>
        <v>Une fois par semaine</v>
      </c>
      <c r="O260" s="1" t="str">
        <f>IFERROR(__xludf.DUMMYFUNCTION("""COMPUTED_VALUE"""),"T'enflammes le dancefloor")</f>
        <v>T'enflammes le dancefloor</v>
      </c>
      <c r="P260" s="1">
        <f>IFERROR(__xludf.DUMMYFUNCTION("""COMPUTED_VALUE"""),3.0)</f>
        <v>3</v>
      </c>
      <c r="Q260" s="1" t="str">
        <f>IFERROR(__xludf.DUMMYFUNCTION("""COMPUTED_VALUE"""),"Non")</f>
        <v>Non</v>
      </c>
      <c r="R260" s="1" t="str">
        <f>IFERROR(__xludf.DUMMYFUNCTION("""COMPUTED_VALUE"""),"Non")</f>
        <v>Non</v>
      </c>
      <c r="S260" s="1" t="str">
        <f>IFERROR(__xludf.DUMMYFUNCTION("""COMPUTED_VALUE"""),"Les cyclistes")</f>
        <v>Les cyclistes</v>
      </c>
      <c r="T260" s="1" t="str">
        <f>IFERROR(__xludf.DUMMYFUNCTION("""COMPUTED_VALUE"""),"Un billet")</f>
        <v>Un billet</v>
      </c>
      <c r="U260" t="str">
        <f>IFERROR(__xludf.DUMMYFUNCTION("""COMPUTED_VALUE"""),"")</f>
        <v/>
      </c>
      <c r="V260" t="str">
        <f>IFERROR(__xludf.DUMMYFUNCTION("""COMPUTED_VALUE"""),"")</f>
        <v/>
      </c>
      <c r="W260" t="str">
        <f>IFERROR(__xludf.DUMMYFUNCTION("""COMPUTED_VALUE"""),"")</f>
        <v/>
      </c>
      <c r="X260" t="str">
        <f>IFERROR(__xludf.DUMMYFUNCTION("""COMPUTED_VALUE"""),"")</f>
        <v/>
      </c>
      <c r="Y260" t="str">
        <f>IFERROR(__xludf.DUMMYFUNCTION("""COMPUTED_VALUE"""),"")</f>
        <v/>
      </c>
      <c r="Z260" t="str">
        <f>IFERROR(__xludf.DUMMYFUNCTION("""COMPUTED_VALUE"""),"")</f>
        <v/>
      </c>
      <c r="AA260" t="str">
        <f>IFERROR(__xludf.DUMMYFUNCTION("""COMPUTED_VALUE"""),"")</f>
        <v/>
      </c>
      <c r="AB260" t="str">
        <f>IFERROR(__xludf.DUMMYFUNCTION("""COMPUTED_VALUE"""),"")</f>
        <v/>
      </c>
    </row>
    <row r="261">
      <c r="A261" s="2">
        <f>IFERROR(__xludf.DUMMYFUNCTION("""COMPUTED_VALUE"""),43650.68595248843)</f>
        <v>43650.68595</v>
      </c>
      <c r="B261" s="1" t="str">
        <f>IFERROR(__xludf.DUMMYFUNCTION("""COMPUTED_VALUE"""),"Borget")</f>
        <v>Borget</v>
      </c>
      <c r="C26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1" s="1" t="str">
        <f>IFERROR(__xludf.DUMMYFUNCTION("""COMPUTED_VALUE"""),"BDE")</f>
        <v>BDE</v>
      </c>
      <c r="E261" s="1">
        <f>IFERROR(__xludf.DUMMYFUNCTION("""COMPUTED_VALUE"""),3.0)</f>
        <v>3</v>
      </c>
      <c r="F261" s="1" t="str">
        <f>IFERROR(__xludf.DUMMYFUNCTION("""COMPUTED_VALUE"""),"Electro posée, Electro hard, Musique fançaise, Jazz")</f>
        <v>Electro posée, Electro hard, Musique fançaise, Jazz</v>
      </c>
      <c r="G261" s="1" t="str">
        <f>IFERROR(__xludf.DUMMYFUNCTION("""COMPUTED_VALUE"""),"Peinture, Littérature, Musique, Théâtre, Cinéma")</f>
        <v>Peinture, Littérature, Musique, Théâtre, Cinéma</v>
      </c>
      <c r="H261" s="1" t="str">
        <f>IFERROR(__xludf.DUMMYFUNCTION("""COMPUTED_VALUE"""),"Seulement les soirs de pleine lune")</f>
        <v>Seulement les soirs de pleine lune</v>
      </c>
      <c r="I261" s="1" t="str">
        <f>IFERROR(__xludf.DUMMYFUNCTION("""COMPUTED_VALUE"""),"Plusieurs fois par semaine")</f>
        <v>Plusieurs fois par semaine</v>
      </c>
      <c r="J261" s="1" t="str">
        <f>IFERROR(__xludf.DUMMYFUNCTION("""COMPUTED_VALUE"""),"Pour le fun")</f>
        <v>Pour le fun</v>
      </c>
      <c r="K261" s="1" t="str">
        <f>IFERROR(__xludf.DUMMYFUNCTION("""COMPUTED_VALUE"""),"Sports aquatiques, Equitation")</f>
        <v>Sports aquatiques, Equitation</v>
      </c>
      <c r="L261" s="1" t="str">
        <f>IFERROR(__xludf.DUMMYFUNCTION("""COMPUTED_VALUE"""),"Je fais toujours attention à bien manger")</f>
        <v>Je fais toujours attention à bien manger</v>
      </c>
      <c r="M261" s="1">
        <f>IFERROR(__xludf.DUMMYFUNCTION("""COMPUTED_VALUE"""),7.0)</f>
        <v>7</v>
      </c>
      <c r="N261" s="1" t="str">
        <f>IFERROR(__xludf.DUMMYFUNCTION("""COMPUTED_VALUE"""),"Une fois par semaine")</f>
        <v>Une fois par semaine</v>
      </c>
      <c r="O261" s="1" t="str">
        <f>IFERROR(__xludf.DUMMYFUNCTION("""COMPUTED_VALUE"""),"T'enflammes le dancefloor")</f>
        <v>T'enflammes le dancefloor</v>
      </c>
      <c r="P261" s="1">
        <f>IFERROR(__xludf.DUMMYFUNCTION("""COMPUTED_VALUE"""),3.0)</f>
        <v>3</v>
      </c>
      <c r="Q261" s="1" t="str">
        <f>IFERROR(__xludf.DUMMYFUNCTION("""COMPUTED_VALUE"""),"Oui")</f>
        <v>Oui</v>
      </c>
      <c r="R261" s="1" t="str">
        <f>IFERROR(__xludf.DUMMYFUNCTION("""COMPUTED_VALUE"""),"Non")</f>
        <v>Non</v>
      </c>
      <c r="S261" s="1" t="str">
        <f>IFERROR(__xludf.DUMMYFUNCTION("""COMPUTED_VALUE"""),"Sans abris")</f>
        <v>Sans abris</v>
      </c>
      <c r="T261" s="1" t="str">
        <f>IFERROR(__xludf.DUMMYFUNCTION("""COMPUTED_VALUE"""),"Un cochon")</f>
        <v>Un cochon</v>
      </c>
      <c r="U261" t="str">
        <f>IFERROR(__xludf.DUMMYFUNCTION("""COMPUTED_VALUE"""),"")</f>
        <v/>
      </c>
      <c r="V261" t="str">
        <f>IFERROR(__xludf.DUMMYFUNCTION("""COMPUTED_VALUE"""),"")</f>
        <v/>
      </c>
      <c r="W261" t="str">
        <f>IFERROR(__xludf.DUMMYFUNCTION("""COMPUTED_VALUE"""),"")</f>
        <v/>
      </c>
      <c r="X261" t="str">
        <f>IFERROR(__xludf.DUMMYFUNCTION("""COMPUTED_VALUE"""),"")</f>
        <v/>
      </c>
      <c r="Y261" t="str">
        <f>IFERROR(__xludf.DUMMYFUNCTION("""COMPUTED_VALUE"""),"")</f>
        <v/>
      </c>
      <c r="Z261" t="str">
        <f>IFERROR(__xludf.DUMMYFUNCTION("""COMPUTED_VALUE"""),"")</f>
        <v/>
      </c>
      <c r="AA261" t="str">
        <f>IFERROR(__xludf.DUMMYFUNCTION("""COMPUTED_VALUE"""),"")</f>
        <v/>
      </c>
      <c r="AB261" t="str">
        <f>IFERROR(__xludf.DUMMYFUNCTION("""COMPUTED_VALUE"""),"")</f>
        <v/>
      </c>
    </row>
    <row r="262">
      <c r="A262" s="2">
        <f>IFERROR(__xludf.DUMMYFUNCTION("""COMPUTED_VALUE"""),43661.52326943287)</f>
        <v>43661.52327</v>
      </c>
      <c r="B262" s="1" t="str">
        <f>IFERROR(__xludf.DUMMYFUNCTION("""COMPUTED_VALUE"""),"Raúl VILLAFUERTE")</f>
        <v>Raúl VILLAFUERTE</v>
      </c>
      <c r="C262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2" s="1" t="str">
        <f>IFERROR(__xludf.DUMMYFUNCTION("""COMPUTED_VALUE"""),"Pas de liste")</f>
        <v>Pas de liste</v>
      </c>
      <c r="E262" s="1">
        <f>IFERROR(__xludf.DUMMYFUNCTION("""COMPUTED_VALUE"""),3.0)</f>
        <v>3</v>
      </c>
      <c r="F262" s="1" t="str">
        <f>IFERROR(__xludf.DUMMYFUNCTION("""COMPUTED_VALUE"""),"Rock, Pop, Musique fançaise, Autre")</f>
        <v>Rock, Pop, Musique fançaise, Autre</v>
      </c>
      <c r="G262" s="1" t="str">
        <f>IFERROR(__xludf.DUMMYFUNCTION("""COMPUTED_VALUE"""),"Littérature, Sculpture, Danse, Graphisme, Autre")</f>
        <v>Littérature, Sculpture, Danse, Graphisme, Autre</v>
      </c>
      <c r="H262" s="1" t="str">
        <f>IFERROR(__xludf.DUMMYFUNCTION("""COMPUTED_VALUE"""),"Une fois de temps en temps")</f>
        <v>Une fois de temps en temps</v>
      </c>
      <c r="I262" s="1" t="str">
        <f>IFERROR(__xludf.DUMMYFUNCTION("""COMPUTED_VALUE"""),"Le dimanche à 15h32 s'il fait beau")</f>
        <v>Le dimanche à 15h32 s'il fait beau</v>
      </c>
      <c r="J262" s="1" t="str">
        <f>IFERROR(__xludf.DUMMYFUNCTION("""COMPUTED_VALUE"""),"Pour le développement perso et se dépasser")</f>
        <v>Pour le développement perso et se dépasser</v>
      </c>
      <c r="K262" s="1" t="str">
        <f>IFERROR(__xludf.DUMMYFUNCTION("""COMPUTED_VALUE"""),"Autre")</f>
        <v>Autre</v>
      </c>
      <c r="L262" s="1" t="str">
        <f>IFERROR(__xludf.DUMMYFUNCTION("""COMPUTED_VALUE"""),"Je fais toujours attention à bien manger")</f>
        <v>Je fais toujours attention à bien manger</v>
      </c>
      <c r="M262" s="1">
        <f>IFERROR(__xludf.DUMMYFUNCTION("""COMPUTED_VALUE"""),8.0)</f>
        <v>8</v>
      </c>
      <c r="N262" s="1" t="str">
        <f>IFERROR(__xludf.DUMMYFUNCTION("""COMPUTED_VALUE"""),"Plusieurs fois par semaine")</f>
        <v>Plusieurs fois par semaine</v>
      </c>
      <c r="O262" s="1" t="str">
        <f>IFERROR(__xludf.DUMMYFUNCTION("""COMPUTED_VALUE"""),"T'enflammes le dancefloor")</f>
        <v>T'enflammes le dancefloor</v>
      </c>
      <c r="P262" s="1">
        <f>IFERROR(__xludf.DUMMYFUNCTION("""COMPUTED_VALUE"""),4.0)</f>
        <v>4</v>
      </c>
      <c r="Q262" s="1" t="str">
        <f>IFERROR(__xludf.DUMMYFUNCTION("""COMPUTED_VALUE"""),"Oui")</f>
        <v>Oui</v>
      </c>
      <c r="R262" s="1" t="str">
        <f>IFERROR(__xludf.DUMMYFUNCTION("""COMPUTED_VALUE"""),"Oui")</f>
        <v>Oui</v>
      </c>
      <c r="S262" s="1" t="str">
        <f>IFERROR(__xludf.DUMMYFUNCTION("""COMPUTED_VALUE"""),"Malandros team")</f>
        <v>Malandros team</v>
      </c>
      <c r="T262" s="1" t="str">
        <f>IFERROR(__xludf.DUMMYFUNCTION("""COMPUTED_VALUE"""),"Tequila")</f>
        <v>Tequila</v>
      </c>
      <c r="U262" t="str">
        <f>IFERROR(__xludf.DUMMYFUNCTION("""COMPUTED_VALUE"""),"")</f>
        <v/>
      </c>
      <c r="V262" t="str">
        <f>IFERROR(__xludf.DUMMYFUNCTION("""COMPUTED_VALUE"""),"")</f>
        <v/>
      </c>
      <c r="W262" t="str">
        <f>IFERROR(__xludf.DUMMYFUNCTION("""COMPUTED_VALUE"""),"")</f>
        <v/>
      </c>
      <c r="X262" t="str">
        <f>IFERROR(__xludf.DUMMYFUNCTION("""COMPUTED_VALUE"""),"")</f>
        <v/>
      </c>
      <c r="Y262" t="str">
        <f>IFERROR(__xludf.DUMMYFUNCTION("""COMPUTED_VALUE"""),"")</f>
        <v/>
      </c>
      <c r="Z262" t="str">
        <f>IFERROR(__xludf.DUMMYFUNCTION("""COMPUTED_VALUE"""),"")</f>
        <v/>
      </c>
      <c r="AA262" t="str">
        <f>IFERROR(__xludf.DUMMYFUNCTION("""COMPUTED_VALUE"""),"")</f>
        <v/>
      </c>
      <c r="AB262" t="str">
        <f>IFERROR(__xludf.DUMMYFUNCTION("""COMPUTED_VALUE"""),"")</f>
        <v/>
      </c>
    </row>
    <row r="263">
      <c r="A263" s="2">
        <f>IFERROR(__xludf.DUMMYFUNCTION("""COMPUTED_VALUE"""),43673.75279628472)</f>
        <v>43673.7528</v>
      </c>
      <c r="B263" s="1" t="str">
        <f>IFERROR(__xludf.DUMMYFUNCTION("""COMPUTED_VALUE"""),"Paul SAUBION")</f>
        <v>Paul SAUBION</v>
      </c>
      <c r="C263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3" s="1" t="str">
        <f>IFERROR(__xludf.DUMMYFUNCTION("""COMPUTED_VALUE"""),"BDA")</f>
        <v>BDA</v>
      </c>
      <c r="E263" s="1">
        <f>IFERROR(__xludf.DUMMYFUNCTION("""COMPUTED_VALUE"""),3.0)</f>
        <v>3</v>
      </c>
      <c r="F263" s="1" t="str">
        <f>IFERROR(__xludf.DUMMYFUNCTION("""COMPUTED_VALUE"""),"Rock, Metal, Electro posée, Pop, Musique fançaise, Jazz, Musique classique")</f>
        <v>Rock, Metal, Electro posée, Pop, Musique fançaise, Jazz, Musique classique</v>
      </c>
      <c r="G263" s="1" t="str">
        <f>IFERROR(__xludf.DUMMYFUNCTION("""COMPUTED_VALUE"""),"Cinéma")</f>
        <v>Cinéma</v>
      </c>
      <c r="H263" s="1" t="str">
        <f>IFERROR(__xludf.DUMMYFUNCTION("""COMPUTED_VALUE"""),"Une fois de temps en temps")</f>
        <v>Une fois de temps en temps</v>
      </c>
      <c r="I263" s="1" t="str">
        <f>IFERROR(__xludf.DUMMYFUNCTION("""COMPUTED_VALUE"""),"Plusieurs fois par semaine")</f>
        <v>Plusieurs fois par semaine</v>
      </c>
      <c r="J263" s="1" t="str">
        <f>IFERROR(__xludf.DUMMYFUNCTION("""COMPUTED_VALUE"""),"Pour le développement perso et se dépasser")</f>
        <v>Pour le développement perso et se dépasser</v>
      </c>
      <c r="K263" s="1" t="str">
        <f>IFERROR(__xludf.DUMMYFUNCTION("""COMPUTED_VALUE"""),"Sports collectifs, Sports de raquette, Athlétisme, Sports aquatiques")</f>
        <v>Sports collectifs, Sports de raquette, Athlétisme, Sports aquatiques</v>
      </c>
      <c r="L263" s="1" t="str">
        <f>IFERROR(__xludf.DUMMYFUNCTION("""COMPUTED_VALUE"""),"Alterner entre grec et coquillettes ça compte ?")</f>
        <v>Alterner entre grec et coquillettes ça compte ?</v>
      </c>
      <c r="M263" s="1">
        <f>IFERROR(__xludf.DUMMYFUNCTION("""COMPUTED_VALUE"""),6.0)</f>
        <v>6</v>
      </c>
      <c r="N263" s="1" t="str">
        <f>IFERROR(__xludf.DUMMYFUNCTION("""COMPUTED_VALUE"""),"Plusieurs fois par semaine")</f>
        <v>Plusieurs fois par semaine</v>
      </c>
      <c r="O263" s="1" t="str">
        <f>IFERROR(__xludf.DUMMYFUNCTION("""COMPUTED_VALUE"""),"Tu te poses dans un coin, chill !!")</f>
        <v>Tu te poses dans un coin, chill !!</v>
      </c>
      <c r="P263" s="1">
        <f>IFERROR(__xludf.DUMMYFUNCTION("""COMPUTED_VALUE"""),1.0)</f>
        <v>1</v>
      </c>
      <c r="Q263" s="1" t="str">
        <f>IFERROR(__xludf.DUMMYFUNCTION("""COMPUTED_VALUE"""),"Oui")</f>
        <v>Oui</v>
      </c>
      <c r="R263" s="1" t="str">
        <f>IFERROR(__xludf.DUMMYFUNCTION("""COMPUTED_VALUE"""),"Non")</f>
        <v>Non</v>
      </c>
      <c r="S263" s="1" t="str">
        <f>IFERROR(__xludf.DUMMYFUNCTION("""COMPUTED_VALUE"""),"Juaman’GI Reloaded")</f>
        <v>Juaman’GI Reloaded</v>
      </c>
      <c r="T263" s="1" t="str">
        <f>IFERROR(__xludf.DUMMYFUNCTION("""COMPUTED_VALUE"""),"Une porte")</f>
        <v>Une porte</v>
      </c>
      <c r="U263" t="str">
        <f>IFERROR(__xludf.DUMMYFUNCTION("""COMPUTED_VALUE"""),"")</f>
        <v/>
      </c>
      <c r="V263" t="str">
        <f>IFERROR(__xludf.DUMMYFUNCTION("""COMPUTED_VALUE"""),"")</f>
        <v/>
      </c>
      <c r="W263" t="str">
        <f>IFERROR(__xludf.DUMMYFUNCTION("""COMPUTED_VALUE"""),"")</f>
        <v/>
      </c>
      <c r="X263" t="str">
        <f>IFERROR(__xludf.DUMMYFUNCTION("""COMPUTED_VALUE"""),"")</f>
        <v/>
      </c>
      <c r="Y263" t="str">
        <f>IFERROR(__xludf.DUMMYFUNCTION("""COMPUTED_VALUE"""),"")</f>
        <v/>
      </c>
      <c r="Z263" t="str">
        <f>IFERROR(__xludf.DUMMYFUNCTION("""COMPUTED_VALUE"""),"")</f>
        <v/>
      </c>
      <c r="AA263" t="str">
        <f>IFERROR(__xludf.DUMMYFUNCTION("""COMPUTED_VALUE"""),"")</f>
        <v/>
      </c>
      <c r="AB263" t="str">
        <f>IFERROR(__xludf.DUMMYFUNCTION("""COMPUTED_VALUE"""),"")</f>
        <v/>
      </c>
    </row>
    <row r="264">
      <c r="A264" s="2">
        <f>IFERROR(__xludf.DUMMYFUNCTION("""COMPUTED_VALUE"""),43673.75761376157)</f>
        <v>43673.75761</v>
      </c>
      <c r="B264" s="1" t="str">
        <f>IFERROR(__xludf.DUMMYFUNCTION("""COMPUTED_VALUE"""),"Florian BARTOCCI")</f>
        <v>Florian BARTOCCI</v>
      </c>
      <c r="C264" s="1" t="str">
        <f>IFERROR(__xludf.DUMMYFUNCTION("""COMPUTED_VALUE"""),"Le président et un inconnu")</f>
        <v>Le président et un inconnu</v>
      </c>
      <c r="D264" s="1" t="str">
        <f>IFERROR(__xludf.DUMMYFUNCTION("""COMPUTED_VALUE"""),"BDE")</f>
        <v>BDE</v>
      </c>
      <c r="E264" s="1">
        <f>IFERROR(__xludf.DUMMYFUNCTION("""COMPUTED_VALUE"""),5.0)</f>
        <v>5</v>
      </c>
      <c r="F264" s="1" t="str">
        <f>IFERROR(__xludf.DUMMYFUNCTION("""COMPUTED_VALUE"""),"Rock, Electro posée, Electro hard, Rap, Pop, Musique fançaise, Jazz, Musique classique, Autre")</f>
        <v>Rock, Electro posée, Electro hard, Rap, Pop, Musique fançaise, Jazz, Musique classique, Autre</v>
      </c>
      <c r="G264" s="1" t="str">
        <f>IFERROR(__xludf.DUMMYFUNCTION("""COMPUTED_VALUE"""),"Peinture, Littérature, Musique, Théâtre, Cinéma")</f>
        <v>Peinture, Littérature, Musique, Théâtre, Cinéma</v>
      </c>
      <c r="H264" s="1" t="str">
        <f>IFERROR(__xludf.DUMMYFUNCTION("""COMPUTED_VALUE"""),"Une fois de temps en temps")</f>
        <v>Une fois de temps en temps</v>
      </c>
      <c r="I264" s="1" t="str">
        <f>IFERROR(__xludf.DUMMYFUNCTION("""COMPUTED_VALUE"""),"Une fois par semaine")</f>
        <v>Une fois par semaine</v>
      </c>
      <c r="J264" s="1" t="str">
        <f>IFERROR(__xludf.DUMMYFUNCTION("""COMPUTED_VALUE"""),"Pour le fun")</f>
        <v>Pour le fun</v>
      </c>
      <c r="K264" s="1" t="str">
        <f>IFERROR(__xludf.DUMMYFUNCTION("""COMPUTED_VALUE"""),"Sports collectifs, Sports de raquette, Sports de rames")</f>
        <v>Sports collectifs, Sports de raquette, Sports de rames</v>
      </c>
      <c r="L264" s="1" t="str">
        <f>IFERROR(__xludf.DUMMYFUNCTION("""COMPUTED_VALUE"""),"J'aime cuisiner le WE ou quand j'ai le temps")</f>
        <v>J'aime cuisiner le WE ou quand j'ai le temps</v>
      </c>
      <c r="M264" s="1">
        <f>IFERROR(__xludf.DUMMYFUNCTION("""COMPUTED_VALUE"""),6.0)</f>
        <v>6</v>
      </c>
      <c r="N264" s="1" t="str">
        <f>IFERROR(__xludf.DUMMYFUNCTION("""COMPUTED_VALUE"""),"Plusieurs fois par semaine")</f>
        <v>Plusieurs fois par semaine</v>
      </c>
      <c r="O264" s="1" t="str">
        <f>IFERROR(__xludf.DUMMYFUNCTION("""COMPUTED_VALUE"""),"Tu te poses dans un coin, chill !!")</f>
        <v>Tu te poses dans un coin, chill !!</v>
      </c>
      <c r="P264" s="1">
        <f>IFERROR(__xludf.DUMMYFUNCTION("""COMPUTED_VALUE"""),1.0)</f>
        <v>1</v>
      </c>
      <c r="Q264" s="1" t="str">
        <f>IFERROR(__xludf.DUMMYFUNCTION("""COMPUTED_VALUE"""),"Non")</f>
        <v>Non</v>
      </c>
      <c r="R264" s="1" t="str">
        <f>IFERROR(__xludf.DUMMYFUNCTION("""COMPUTED_VALUE"""),"Non")</f>
        <v>Non</v>
      </c>
      <c r="S264" s="1" t="str">
        <f>IFERROR(__xludf.DUMMYFUNCTION("""COMPUTED_VALUE"""),"Juman'GI Reloaded")</f>
        <v>Juman'GI Reloaded</v>
      </c>
      <c r="T264" s="1" t="str">
        <f>IFERROR(__xludf.DUMMYFUNCTION("""COMPUTED_VALUE"""),"Album de Gims")</f>
        <v>Album de Gims</v>
      </c>
      <c r="U264" t="str">
        <f>IFERROR(__xludf.DUMMYFUNCTION("""COMPUTED_VALUE"""),"")</f>
        <v/>
      </c>
      <c r="V264" t="str">
        <f>IFERROR(__xludf.DUMMYFUNCTION("""COMPUTED_VALUE"""),"")</f>
        <v/>
      </c>
      <c r="W264" t="str">
        <f>IFERROR(__xludf.DUMMYFUNCTION("""COMPUTED_VALUE"""),"")</f>
        <v/>
      </c>
      <c r="X264" t="str">
        <f>IFERROR(__xludf.DUMMYFUNCTION("""COMPUTED_VALUE"""),"")</f>
        <v/>
      </c>
      <c r="Y264" t="str">
        <f>IFERROR(__xludf.DUMMYFUNCTION("""COMPUTED_VALUE"""),"")</f>
        <v/>
      </c>
      <c r="Z264" t="str">
        <f>IFERROR(__xludf.DUMMYFUNCTION("""COMPUTED_VALUE"""),"")</f>
        <v/>
      </c>
      <c r="AA264" t="str">
        <f>IFERROR(__xludf.DUMMYFUNCTION("""COMPUTED_VALUE"""),"")</f>
        <v/>
      </c>
      <c r="AB264" t="str">
        <f>IFERROR(__xludf.DUMMYFUNCTION("""COMPUTED_VALUE"""),"")</f>
        <v/>
      </c>
    </row>
    <row r="265">
      <c r="A265" s="2">
        <f>IFERROR(__xludf.DUMMYFUNCTION("""COMPUTED_VALUE"""),43673.76412979167)</f>
        <v>43673.76413</v>
      </c>
      <c r="B265" s="1" t="str">
        <f>IFERROR(__xludf.DUMMYFUNCTION("""COMPUTED_VALUE"""),"Jean-Baptiste de BECO")</f>
        <v>Jean-Baptiste de BECO</v>
      </c>
      <c r="C26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5" s="1" t="str">
        <f>IFERROR(__xludf.DUMMYFUNCTION("""COMPUTED_VALUE"""),"BDA")</f>
        <v>BDA</v>
      </c>
      <c r="E265" s="1">
        <f>IFERROR(__xludf.DUMMYFUNCTION("""COMPUTED_VALUE"""),4.0)</f>
        <v>4</v>
      </c>
      <c r="F265" s="1" t="str">
        <f>IFERROR(__xludf.DUMMYFUNCTION("""COMPUTED_VALUE"""),"Rock, Electro posée, Pop, Musique fançaise")</f>
        <v>Rock, Electro posée, Pop, Musique fançaise</v>
      </c>
      <c r="G265" s="1" t="str">
        <f>IFERROR(__xludf.DUMMYFUNCTION("""COMPUTED_VALUE"""),"Cinéma")</f>
        <v>Cinéma</v>
      </c>
      <c r="H265" s="1" t="str">
        <f>IFERROR(__xludf.DUMMYFUNCTION("""COMPUTED_VALUE"""),"Quelques fois par semaine")</f>
        <v>Quelques fois par semaine</v>
      </c>
      <c r="I265" s="1" t="str">
        <f>IFERROR(__xludf.DUMMYFUNCTION("""COMPUTED_VALUE"""),"Une fois par semaine")</f>
        <v>Une fois par semaine</v>
      </c>
      <c r="J265" s="1" t="str">
        <f>IFERROR(__xludf.DUMMYFUNCTION("""COMPUTED_VALUE"""),"Pour le fun")</f>
        <v>Pour le fun</v>
      </c>
      <c r="K265" s="1" t="str">
        <f>IFERROR(__xludf.DUMMYFUNCTION("""COMPUTED_VALUE"""),"Sports aquatiques")</f>
        <v>Sports aquatiques</v>
      </c>
      <c r="L265" s="1" t="str">
        <f>IFERROR(__xludf.DUMMYFUNCTION("""COMPUTED_VALUE"""),"J'aime cuisiner le WE ou quand j'ai le temps")</f>
        <v>J'aime cuisiner le WE ou quand j'ai le temps</v>
      </c>
      <c r="M265" s="1">
        <f>IFERROR(__xludf.DUMMYFUNCTION("""COMPUTED_VALUE"""),10.0)</f>
        <v>10</v>
      </c>
      <c r="N265" s="1" t="str">
        <f>IFERROR(__xludf.DUMMYFUNCTION("""COMPUTED_VALUE"""),"Une fois par semaine")</f>
        <v>Une fois par semaine</v>
      </c>
      <c r="O265" s="1" t="str">
        <f>IFERROR(__xludf.DUMMYFUNCTION("""COMPUTED_VALUE"""),"Tu te poses dans un coin, chill !!")</f>
        <v>Tu te poses dans un coin, chill !!</v>
      </c>
      <c r="P265" s="1">
        <f>IFERROR(__xludf.DUMMYFUNCTION("""COMPUTED_VALUE"""),1.0)</f>
        <v>1</v>
      </c>
      <c r="Q265" s="1" t="str">
        <f>IFERROR(__xludf.DUMMYFUNCTION("""COMPUTED_VALUE"""),"Non")</f>
        <v>Non</v>
      </c>
      <c r="R265" s="1" t="str">
        <f>IFERROR(__xludf.DUMMYFUNCTION("""COMPUTED_VALUE"""),"Non")</f>
        <v>Non</v>
      </c>
      <c r="S265" s="1" t="str">
        <f>IFERROR(__xludf.DUMMYFUNCTION("""COMPUTED_VALUE"""),"Juman'GI Reloaded")</f>
        <v>Juman'GI Reloaded</v>
      </c>
      <c r="T265" s="1" t="str">
        <f>IFERROR(__xludf.DUMMYFUNCTION("""COMPUTED_VALUE"""),"Bouteille de picon")</f>
        <v>Bouteille de picon</v>
      </c>
      <c r="U265" t="str">
        <f>IFERROR(__xludf.DUMMYFUNCTION("""COMPUTED_VALUE"""),"")</f>
        <v/>
      </c>
      <c r="V265" t="str">
        <f>IFERROR(__xludf.DUMMYFUNCTION("""COMPUTED_VALUE"""),"")</f>
        <v/>
      </c>
      <c r="W265" t="str">
        <f>IFERROR(__xludf.DUMMYFUNCTION("""COMPUTED_VALUE"""),"")</f>
        <v/>
      </c>
      <c r="X265" t="str">
        <f>IFERROR(__xludf.DUMMYFUNCTION("""COMPUTED_VALUE"""),"")</f>
        <v/>
      </c>
      <c r="Y265" t="str">
        <f>IFERROR(__xludf.DUMMYFUNCTION("""COMPUTED_VALUE"""),"")</f>
        <v/>
      </c>
      <c r="Z265" t="str">
        <f>IFERROR(__xludf.DUMMYFUNCTION("""COMPUTED_VALUE"""),"")</f>
        <v/>
      </c>
      <c r="AA265" t="str">
        <f>IFERROR(__xludf.DUMMYFUNCTION("""COMPUTED_VALUE"""),"")</f>
        <v/>
      </c>
      <c r="AB265" t="str">
        <f>IFERROR(__xludf.DUMMYFUNCTION("""COMPUTED_VALUE"""),"")</f>
        <v/>
      </c>
    </row>
    <row r="266">
      <c r="A266" s="2">
        <f>IFERROR(__xludf.DUMMYFUNCTION("""COMPUTED_VALUE"""),43673.778571793984)</f>
        <v>43673.77857</v>
      </c>
      <c r="B266" s="1" t="str">
        <f>IFERROR(__xludf.DUMMYFUNCTION("""COMPUTED_VALUE"""),"Matthieu LAMIELLE")</f>
        <v>Matthieu LAMIELLE</v>
      </c>
      <c r="C26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6" s="1" t="str">
        <f>IFERROR(__xludf.DUMMYFUNCTION("""COMPUTED_VALUE"""),"BDE")</f>
        <v>BDE</v>
      </c>
      <c r="E266" s="1">
        <f>IFERROR(__xludf.DUMMYFUNCTION("""COMPUTED_VALUE"""),4.0)</f>
        <v>4</v>
      </c>
      <c r="F266" t="str">
        <f>IFERROR(__xludf.DUMMYFUNCTION("""COMPUTED_VALUE"""),"Rock, Metal, Electro posée, Musique classique, Autre")</f>
        <v>Rock, Metal, Electro posée, Musique classique, Autre</v>
      </c>
      <c r="G266" s="1" t="str">
        <f>IFERROR(__xludf.DUMMYFUNCTION("""COMPUTED_VALUE"""),"Peinture, Littérature, Musique, Cinéma")</f>
        <v>Peinture, Littérature, Musique, Cinéma</v>
      </c>
      <c r="H266" s="1" t="str">
        <f>IFERROR(__xludf.DUMMYFUNCTION("""COMPUTED_VALUE"""),"Une fois par jour")</f>
        <v>Une fois par jour</v>
      </c>
      <c r="I266" s="1" t="str">
        <f>IFERROR(__xludf.DUMMYFUNCTION("""COMPUTED_VALUE"""),"Plusieurs fois par semaine")</f>
        <v>Plusieurs fois par semaine</v>
      </c>
      <c r="J266" s="1" t="str">
        <f>IFERROR(__xludf.DUMMYFUNCTION("""COMPUTED_VALUE"""),"Pour le développement perso et se dépasser")</f>
        <v>Pour le développement perso et se dépasser</v>
      </c>
      <c r="K266" s="1" t="str">
        <f>IFERROR(__xludf.DUMMYFUNCTION("""COMPUTED_VALUE"""),"Escalade, Autre")</f>
        <v>Escalade, Autre</v>
      </c>
      <c r="L266" s="1" t="str">
        <f>IFERROR(__xludf.DUMMYFUNCTION("""COMPUTED_VALUE"""),"Oh oui, et les trucs bien gras ça me connait !")</f>
        <v>Oh oui, et les trucs bien gras ça me connait !</v>
      </c>
      <c r="M266" s="1">
        <f>IFERROR(__xludf.DUMMYFUNCTION("""COMPUTED_VALUE"""),8.0)</f>
        <v>8</v>
      </c>
      <c r="N266" s="1" t="str">
        <f>IFERROR(__xludf.DUMMYFUNCTION("""COMPUTED_VALUE"""),"Une fois par semaine")</f>
        <v>Une fois par semaine</v>
      </c>
      <c r="O266" s="1" t="str">
        <f>IFERROR(__xludf.DUMMYFUNCTION("""COMPUTED_VALUE"""),"Tu te poses dans un coin, chill !!")</f>
        <v>Tu te poses dans un coin, chill !!</v>
      </c>
      <c r="P266" s="1">
        <f>IFERROR(__xludf.DUMMYFUNCTION("""COMPUTED_VALUE"""),1.0)</f>
        <v>1</v>
      </c>
      <c r="Q266" s="1" t="str">
        <f>IFERROR(__xludf.DUMMYFUNCTION("""COMPUTED_VALUE"""),"Non")</f>
        <v>Non</v>
      </c>
      <c r="R266" s="1" t="str">
        <f>IFERROR(__xludf.DUMMYFUNCTION("""COMPUTED_VALUE"""),"Non")</f>
        <v>Non</v>
      </c>
      <c r="S266" s="1" t="str">
        <f>IFERROR(__xludf.DUMMYFUNCTION("""COMPUTED_VALUE"""),"Juman'GI Reloaded")</f>
        <v>Juman'GI Reloaded</v>
      </c>
      <c r="T266" s="1" t="str">
        <f>IFERROR(__xludf.DUMMYFUNCTION("""COMPUTED_VALUE"""),"Une corde")</f>
        <v>Une corde</v>
      </c>
      <c r="U266" t="str">
        <f>IFERROR(__xludf.DUMMYFUNCTION("""COMPUTED_VALUE"""),"")</f>
        <v/>
      </c>
      <c r="V266" t="str">
        <f>IFERROR(__xludf.DUMMYFUNCTION("""COMPUTED_VALUE"""),"")</f>
        <v/>
      </c>
      <c r="W266" t="str">
        <f>IFERROR(__xludf.DUMMYFUNCTION("""COMPUTED_VALUE"""),"")</f>
        <v/>
      </c>
      <c r="X266" t="str">
        <f>IFERROR(__xludf.DUMMYFUNCTION("""COMPUTED_VALUE"""),"")</f>
        <v/>
      </c>
      <c r="Y266" t="str">
        <f>IFERROR(__xludf.DUMMYFUNCTION("""COMPUTED_VALUE"""),"")</f>
        <v/>
      </c>
      <c r="Z266" t="str">
        <f>IFERROR(__xludf.DUMMYFUNCTION("""COMPUTED_VALUE"""),"")</f>
        <v/>
      </c>
      <c r="AA266" t="str">
        <f>IFERROR(__xludf.DUMMYFUNCTION("""COMPUTED_VALUE"""),"")</f>
        <v/>
      </c>
      <c r="AB266" t="str">
        <f>IFERROR(__xludf.DUMMYFUNCTION("""COMPUTED_VALUE"""),"")</f>
        <v/>
      </c>
    </row>
    <row r="267">
      <c r="A267" s="2">
        <f>IFERROR(__xludf.DUMMYFUNCTION("""COMPUTED_VALUE"""),43674.46223366898)</f>
        <v>43674.46223</v>
      </c>
      <c r="B267" s="1" t="str">
        <f>IFERROR(__xludf.DUMMYFUNCTION("""COMPUTED_VALUE"""),"Adrien BERSIER")</f>
        <v>Adrien BERSIER</v>
      </c>
      <c r="C267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7" s="1" t="str">
        <f>IFERROR(__xludf.DUMMYFUNCTION("""COMPUTED_VALUE"""),"BDE")</f>
        <v>BDE</v>
      </c>
      <c r="E267" s="1">
        <f>IFERROR(__xludf.DUMMYFUNCTION("""COMPUTED_VALUE"""),2.0)</f>
        <v>2</v>
      </c>
      <c r="F267" s="1" t="str">
        <f>IFERROR(__xludf.DUMMYFUNCTION("""COMPUTED_VALUE"""),"Je suis aigri et j'aime pas la musique, Musique fançaise")</f>
        <v>Je suis aigri et j'aime pas la musique, Musique fançaise</v>
      </c>
      <c r="G267" s="1" t="str">
        <f>IFERROR(__xludf.DUMMYFUNCTION("""COMPUTED_VALUE"""),"Littérature, Théâtre, Cinéma")</f>
        <v>Littérature, Théâtre, Cinéma</v>
      </c>
      <c r="H267" s="1" t="str">
        <f>IFERROR(__xludf.DUMMYFUNCTION("""COMPUTED_VALUE"""),"Une fois de temps en temps")</f>
        <v>Une fois de temps en temps</v>
      </c>
      <c r="I267" s="1" t="str">
        <f>IFERROR(__xludf.DUMMYFUNCTION("""COMPUTED_VALUE"""),"Le dimanche à 15h32 s'il fait beau")</f>
        <v>Le dimanche à 15h32 s'il fait beau</v>
      </c>
      <c r="J267" s="1" t="str">
        <f>IFERROR(__xludf.DUMMYFUNCTION("""COMPUTED_VALUE"""),"Pour les autres")</f>
        <v>Pour les autres</v>
      </c>
      <c r="K267" s="1" t="str">
        <f>IFERROR(__xludf.DUMMYFUNCTION("""COMPUTED_VALUE"""),"Sports de combat")</f>
        <v>Sports de combat</v>
      </c>
      <c r="L267" s="1" t="str">
        <f>IFERROR(__xludf.DUMMYFUNCTION("""COMPUTED_VALUE"""),"Alterner entre grec et coquillettes ça compte ?")</f>
        <v>Alterner entre grec et coquillettes ça compte ?</v>
      </c>
      <c r="M267" s="1">
        <f>IFERROR(__xludf.DUMMYFUNCTION("""COMPUTED_VALUE"""),6.0)</f>
        <v>6</v>
      </c>
      <c r="N267" s="1" t="str">
        <f>IFERROR(__xludf.DUMMYFUNCTION("""COMPUTED_VALUE"""),"Une fois par semaine")</f>
        <v>Une fois par semaine</v>
      </c>
      <c r="O267" s="1" t="str">
        <f>IFERROR(__xludf.DUMMYFUNCTION("""COMPUTED_VALUE"""),"T'enflammes le dancefloor")</f>
        <v>T'enflammes le dancefloor</v>
      </c>
      <c r="P267" s="1">
        <f>IFERROR(__xludf.DUMMYFUNCTION("""COMPUTED_VALUE"""),1.0)</f>
        <v>1</v>
      </c>
      <c r="Q267" s="1" t="str">
        <f>IFERROR(__xludf.DUMMYFUNCTION("""COMPUTED_VALUE"""),"Non")</f>
        <v>Non</v>
      </c>
      <c r="R267" s="1" t="str">
        <f>IFERROR(__xludf.DUMMYFUNCTION("""COMPUTED_VALUE"""),"Non")</f>
        <v>Non</v>
      </c>
      <c r="S267" s="1" t="str">
        <f>IFERROR(__xludf.DUMMYFUNCTION("""COMPUTED_VALUE"""),"Juman'GI reloaded")</f>
        <v>Juman'GI reloaded</v>
      </c>
      <c r="T267" s="1" t="str">
        <f>IFERROR(__xludf.DUMMYFUNCTION("""COMPUTED_VALUE"""),"Un diadème ")</f>
        <v>Un diadème </v>
      </c>
      <c r="U267" t="str">
        <f>IFERROR(__xludf.DUMMYFUNCTION("""COMPUTED_VALUE"""),"")</f>
        <v/>
      </c>
      <c r="V267" t="str">
        <f>IFERROR(__xludf.DUMMYFUNCTION("""COMPUTED_VALUE"""),"")</f>
        <v/>
      </c>
      <c r="W267" t="str">
        <f>IFERROR(__xludf.DUMMYFUNCTION("""COMPUTED_VALUE"""),"")</f>
        <v/>
      </c>
      <c r="X267" t="str">
        <f>IFERROR(__xludf.DUMMYFUNCTION("""COMPUTED_VALUE"""),"")</f>
        <v/>
      </c>
      <c r="Y267" t="str">
        <f>IFERROR(__xludf.DUMMYFUNCTION("""COMPUTED_VALUE"""),"")</f>
        <v/>
      </c>
      <c r="Z267" t="str">
        <f>IFERROR(__xludf.DUMMYFUNCTION("""COMPUTED_VALUE"""),"")</f>
        <v/>
      </c>
      <c r="AA267" t="str">
        <f>IFERROR(__xludf.DUMMYFUNCTION("""COMPUTED_VALUE"""),"")</f>
        <v/>
      </c>
      <c r="AB267" t="str">
        <f>IFERROR(__xludf.DUMMYFUNCTION("""COMPUTED_VALUE"""),"")</f>
        <v/>
      </c>
    </row>
    <row r="268">
      <c r="A268" s="2">
        <f>IFERROR(__xludf.DUMMYFUNCTION("""COMPUTED_VALUE"""),43682.40807978009)</f>
        <v>43682.40808</v>
      </c>
      <c r="B268" s="1" t="str">
        <f>IFERROR(__xludf.DUMMYFUNCTION("""COMPUTED_VALUE"""),"Aygalic JARA")</f>
        <v>Aygalic JARA</v>
      </c>
      <c r="C268" s="1" t="str">
        <f>IFERROR(__xludf.DUMMYFUNCTION("""COMPUTED_VALUE"""),"Deux inconnus")</f>
        <v>Deux inconnus</v>
      </c>
      <c r="D268" s="1" t="str">
        <f>IFERROR(__xludf.DUMMYFUNCTION("""COMPUTED_VALUE"""),"BDE")</f>
        <v>BDE</v>
      </c>
      <c r="E268" s="1">
        <f>IFERROR(__xludf.DUMMYFUNCTION("""COMPUTED_VALUE"""),2.0)</f>
        <v>2</v>
      </c>
      <c r="F268" s="1" t="str">
        <f>IFERROR(__xludf.DUMMYFUNCTION("""COMPUTED_VALUE"""),"Rap")</f>
        <v>Rap</v>
      </c>
      <c r="G268" s="1" t="str">
        <f>IFERROR(__xludf.DUMMYFUNCTION("""COMPUTED_VALUE"""),"Pas du tout")</f>
        <v>Pas du tout</v>
      </c>
      <c r="H268" s="1" t="str">
        <f>IFERROR(__xludf.DUMMYFUNCTION("""COMPUTED_VALUE"""),"Quelques fois par semaine")</f>
        <v>Quelques fois par semaine</v>
      </c>
      <c r="I268" s="1" t="str">
        <f>IFERROR(__xludf.DUMMYFUNCTION("""COMPUTED_VALUE"""),"Plusieurs fois par semaine")</f>
        <v>Plusieurs fois par semaine</v>
      </c>
      <c r="J268" s="1" t="str">
        <f>IFERROR(__xludf.DUMMYFUNCTION("""COMPUTED_VALUE"""),"Pour le fun")</f>
        <v>Pour le fun</v>
      </c>
      <c r="K268" s="1" t="str">
        <f>IFERROR(__xludf.DUMMYFUNCTION("""COMPUTED_VALUE"""),"Athlétisme")</f>
        <v>Athlétisme</v>
      </c>
      <c r="L268" s="1" t="str">
        <f>IFERROR(__xludf.DUMMYFUNCTION("""COMPUTED_VALUE"""),"Alterner entre grec et coquillettes ça compte ?")</f>
        <v>Alterner entre grec et coquillettes ça compte ?</v>
      </c>
      <c r="M268" s="1">
        <f>IFERROR(__xludf.DUMMYFUNCTION("""COMPUTED_VALUE"""),10.0)</f>
        <v>10</v>
      </c>
      <c r="N268" s="1" t="str">
        <f>IFERROR(__xludf.DUMMYFUNCTION("""COMPUTED_VALUE"""),"Plusieurs fois par semaine")</f>
        <v>Plusieurs fois par semaine</v>
      </c>
      <c r="O268" s="1" t="str">
        <f>IFERROR(__xludf.DUMMYFUNCTION("""COMPUTED_VALUE"""),"Tu te poses dans un coin, chill !!")</f>
        <v>Tu te poses dans un coin, chill !!</v>
      </c>
      <c r="P268" s="1">
        <f>IFERROR(__xludf.DUMMYFUNCTION("""COMPUTED_VALUE"""),1.0)</f>
        <v>1</v>
      </c>
      <c r="Q268" s="1" t="str">
        <f>IFERROR(__xludf.DUMMYFUNCTION("""COMPUTED_VALUE"""),"Oui")</f>
        <v>Oui</v>
      </c>
      <c r="R268" s="1" t="str">
        <f>IFERROR(__xludf.DUMMYFUNCTION("""COMPUTED_VALUE"""),"Non")</f>
        <v>Non</v>
      </c>
      <c r="S268" s="1" t="str">
        <f>IFERROR(__xludf.DUMMYFUNCTION("""COMPUTED_VALUE"""),"Le squat")</f>
        <v>Le squat</v>
      </c>
      <c r="T268" s="1" t="str">
        <f>IFERROR(__xludf.DUMMYFUNCTION("""COMPUTED_VALUE"""),"Une ecocup ")</f>
        <v>Une ecocup </v>
      </c>
      <c r="U268" t="str">
        <f>IFERROR(__xludf.DUMMYFUNCTION("""COMPUTED_VALUE"""),"")</f>
        <v/>
      </c>
      <c r="V268" t="str">
        <f>IFERROR(__xludf.DUMMYFUNCTION("""COMPUTED_VALUE"""),"")</f>
        <v/>
      </c>
      <c r="W268" t="str">
        <f>IFERROR(__xludf.DUMMYFUNCTION("""COMPUTED_VALUE"""),"")</f>
        <v/>
      </c>
      <c r="X268" t="str">
        <f>IFERROR(__xludf.DUMMYFUNCTION("""COMPUTED_VALUE"""),"")</f>
        <v/>
      </c>
      <c r="Y268" t="str">
        <f>IFERROR(__xludf.DUMMYFUNCTION("""COMPUTED_VALUE"""),"")</f>
        <v/>
      </c>
      <c r="Z268" t="str">
        <f>IFERROR(__xludf.DUMMYFUNCTION("""COMPUTED_VALUE"""),"")</f>
        <v/>
      </c>
      <c r="AA268" t="str">
        <f>IFERROR(__xludf.DUMMYFUNCTION("""COMPUTED_VALUE"""),"")</f>
        <v/>
      </c>
      <c r="AB268" t="str">
        <f>IFERROR(__xludf.DUMMYFUNCTION("""COMPUTED_VALUE"""),"")</f>
        <v/>
      </c>
    </row>
    <row r="269">
      <c r="A269" s="2">
        <f>IFERROR(__xludf.DUMMYFUNCTION("""COMPUTED_VALUE"""),43705.85507016204)</f>
        <v>43705.85507</v>
      </c>
      <c r="B269" s="1" t="str">
        <f>IFERROR(__xludf.DUMMYFUNCTION("""COMPUTED_VALUE"""),"Thomas HERRBACH")</f>
        <v>Thomas HERRBACH</v>
      </c>
      <c r="C26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69" s="1" t="str">
        <f>IFERROR(__xludf.DUMMYFUNCTION("""COMPUTED_VALUE"""),"BDE")</f>
        <v>BDE</v>
      </c>
      <c r="E269" s="1">
        <f>IFERROR(__xludf.DUMMYFUNCTION("""COMPUTED_VALUE"""),4.0)</f>
        <v>4</v>
      </c>
      <c r="F269" s="1" t="str">
        <f>IFERROR(__xludf.DUMMYFUNCTION("""COMPUTED_VALUE"""),"Je suis aigri et j'aime pas la musique, Rock, Metal, Electro hard, Musique fançaise, Musique classique")</f>
        <v>Je suis aigri et j'aime pas la musique, Rock, Metal, Electro hard, Musique fançaise, Musique classique</v>
      </c>
      <c r="G269" s="1" t="str">
        <f>IFERROR(__xludf.DUMMYFUNCTION("""COMPUTED_VALUE"""),"Littérature")</f>
        <v>Littérature</v>
      </c>
      <c r="H269" s="1" t="str">
        <f>IFERROR(__xludf.DUMMYFUNCTION("""COMPUTED_VALUE"""),"Quelques fois par semaine")</f>
        <v>Quelques fois par semaine</v>
      </c>
      <c r="I269" s="1" t="str">
        <f>IFERROR(__xludf.DUMMYFUNCTION("""COMPUTED_VALUE"""),"Plusieurs fois par semaine")</f>
        <v>Plusieurs fois par semaine</v>
      </c>
      <c r="J269" s="1" t="str">
        <f>IFERROR(__xludf.DUMMYFUNCTION("""COMPUTED_VALUE"""),"Pour le fun")</f>
        <v>Pour le fun</v>
      </c>
      <c r="K269" s="1" t="str">
        <f>IFERROR(__xludf.DUMMYFUNCTION("""COMPUTED_VALUE"""),"Sports collectifs, Athlétisme")</f>
        <v>Sports collectifs, Athlétisme</v>
      </c>
      <c r="L269" s="1" t="str">
        <f>IFERROR(__xludf.DUMMYFUNCTION("""COMPUTED_VALUE"""),"J'aime cuisiner le WE ou quand j'ai le temps")</f>
        <v>J'aime cuisiner le WE ou quand j'ai le temps</v>
      </c>
      <c r="M269" s="1">
        <f>IFERROR(__xludf.DUMMYFUNCTION("""COMPUTED_VALUE"""),7.0)</f>
        <v>7</v>
      </c>
      <c r="N269" s="1" t="str">
        <f>IFERROR(__xludf.DUMMYFUNCTION("""COMPUTED_VALUE"""),"Une fois par mois")</f>
        <v>Une fois par mois</v>
      </c>
      <c r="O269" s="1" t="str">
        <f>IFERROR(__xludf.DUMMYFUNCTION("""COMPUTED_VALUE"""),"Tu te poses dans un coin, chill !!")</f>
        <v>Tu te poses dans un coin, chill !!</v>
      </c>
      <c r="P269" s="1">
        <f>IFERROR(__xludf.DUMMYFUNCTION("""COMPUTED_VALUE"""),1.0)</f>
        <v>1</v>
      </c>
      <c r="Q269" s="1" t="str">
        <f>IFERROR(__xludf.DUMMYFUNCTION("""COMPUTED_VALUE"""),"Oui")</f>
        <v>Oui</v>
      </c>
      <c r="R269" s="1" t="str">
        <f>IFERROR(__xludf.DUMMYFUNCTION("""COMPUTED_VALUE"""),"Non")</f>
        <v>Non</v>
      </c>
      <c r="S269" s="1" t="str">
        <f>IFERROR(__xludf.DUMMYFUNCTION("""COMPUTED_VALUE"""),"La Vigie")</f>
        <v>La Vigie</v>
      </c>
      <c r="T269" s="1" t="str">
        <f>IFERROR(__xludf.DUMMYFUNCTION("""COMPUTED_VALUE"""),"Une bouture de romarin")</f>
        <v>Une bouture de romarin</v>
      </c>
      <c r="U269" t="str">
        <f>IFERROR(__xludf.DUMMYFUNCTION("""COMPUTED_VALUE"""),"")</f>
        <v/>
      </c>
      <c r="V269" t="str">
        <f>IFERROR(__xludf.DUMMYFUNCTION("""COMPUTED_VALUE"""),"")</f>
        <v/>
      </c>
      <c r="W269" t="str">
        <f>IFERROR(__xludf.DUMMYFUNCTION("""COMPUTED_VALUE"""),"")</f>
        <v/>
      </c>
      <c r="X269" t="str">
        <f>IFERROR(__xludf.DUMMYFUNCTION("""COMPUTED_VALUE"""),"")</f>
        <v/>
      </c>
      <c r="Y269" t="str">
        <f>IFERROR(__xludf.DUMMYFUNCTION("""COMPUTED_VALUE"""),"")</f>
        <v/>
      </c>
      <c r="Z269" t="str">
        <f>IFERROR(__xludf.DUMMYFUNCTION("""COMPUTED_VALUE"""),"")</f>
        <v/>
      </c>
      <c r="AA269" t="str">
        <f>IFERROR(__xludf.DUMMYFUNCTION("""COMPUTED_VALUE"""),"")</f>
        <v/>
      </c>
      <c r="AB269" t="str">
        <f>IFERROR(__xludf.DUMMYFUNCTION("""COMPUTED_VALUE"""),"")</f>
        <v/>
      </c>
    </row>
    <row r="270">
      <c r="A270" s="2">
        <f>IFERROR(__xludf.DUMMYFUNCTION("""COMPUTED_VALUE"""),43705.869723842596)</f>
        <v>43705.86972</v>
      </c>
      <c r="B270" s="1" t="str">
        <f>IFERROR(__xludf.DUMMYFUNCTION("""COMPUTED_VALUE"""),"Márcio Bruno DOS SANTOS CORREIA")</f>
        <v>Márcio Bruno DOS SANTOS CORREIA</v>
      </c>
      <c r="C27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0" s="1" t="str">
        <f>IFERROR(__xludf.DUMMYFUNCTION("""COMPUTED_VALUE"""),"Pas de liste")</f>
        <v>Pas de liste</v>
      </c>
      <c r="E270" s="1">
        <f>IFERROR(__xludf.DUMMYFUNCTION("""COMPUTED_VALUE"""),2.0)</f>
        <v>2</v>
      </c>
      <c r="F270" s="1" t="str">
        <f>IFERROR(__xludf.DUMMYFUNCTION("""COMPUTED_VALUE"""),"Rock, Pop, Jazz")</f>
        <v>Rock, Pop, Jazz</v>
      </c>
      <c r="G270" s="1" t="str">
        <f>IFERROR(__xludf.DUMMYFUNCTION("""COMPUTED_VALUE"""),"Musique, Cinéma")</f>
        <v>Musique, Cinéma</v>
      </c>
      <c r="H270" s="1" t="str">
        <f>IFERROR(__xludf.DUMMYFUNCTION("""COMPUTED_VALUE"""),"Une fois de temps en temps")</f>
        <v>Une fois de temps en temps</v>
      </c>
      <c r="I270" s="1" t="str">
        <f>IFERROR(__xludf.DUMMYFUNCTION("""COMPUTED_VALUE"""),"Une fois par semaine")</f>
        <v>Une fois par semaine</v>
      </c>
      <c r="J270" s="1" t="str">
        <f>IFERROR(__xludf.DUMMYFUNCTION("""COMPUTED_VALUE"""),"Pour le développement perso et se dépasser")</f>
        <v>Pour le développement perso et se dépasser</v>
      </c>
      <c r="K270" s="1" t="str">
        <f>IFERROR(__xludf.DUMMYFUNCTION("""COMPUTED_VALUE"""),"Sports collectifs")</f>
        <v>Sports collectifs</v>
      </c>
      <c r="L270" s="1" t="str">
        <f>IFERROR(__xludf.DUMMYFUNCTION("""COMPUTED_VALUE"""),"J'aime cuisiner le WE ou quand j'ai le temps")</f>
        <v>J'aime cuisiner le WE ou quand j'ai le temps</v>
      </c>
      <c r="M270" s="1">
        <f>IFERROR(__xludf.DUMMYFUNCTION("""COMPUTED_VALUE"""),2.0)</f>
        <v>2</v>
      </c>
      <c r="N270" s="1" t="str">
        <f>IFERROR(__xludf.DUMMYFUNCTION("""COMPUTED_VALUE"""),"Une fois par semaine")</f>
        <v>Une fois par semaine</v>
      </c>
      <c r="O270" s="1" t="str">
        <f>IFERROR(__xludf.DUMMYFUNCTION("""COMPUTED_VALUE"""),"Tu te poses dans un coin, chill !!")</f>
        <v>Tu te poses dans un coin, chill !!</v>
      </c>
      <c r="P270" s="1">
        <f>IFERROR(__xludf.DUMMYFUNCTION("""COMPUTED_VALUE"""),1.0)</f>
        <v>1</v>
      </c>
      <c r="Q270" s="1" t="str">
        <f>IFERROR(__xludf.DUMMYFUNCTION("""COMPUTED_VALUE"""),"Oui")</f>
        <v>Oui</v>
      </c>
      <c r="R270" s="1" t="str">
        <f>IFERROR(__xludf.DUMMYFUNCTION("""COMPUTED_VALUE"""),"Non")</f>
        <v>Non</v>
      </c>
      <c r="S270" s="1" t="str">
        <f>IFERROR(__xludf.DUMMYFUNCTION("""COMPUTED_VALUE"""),"Grande famille")</f>
        <v>Grande famille</v>
      </c>
      <c r="T270" s="1" t="str">
        <f>IFERROR(__xludf.DUMMYFUNCTION("""COMPUTED_VALUE"""),"Livre")</f>
        <v>Livre</v>
      </c>
      <c r="U270" t="str">
        <f>IFERROR(__xludf.DUMMYFUNCTION("""COMPUTED_VALUE"""),"")</f>
        <v/>
      </c>
      <c r="V270" t="str">
        <f>IFERROR(__xludf.DUMMYFUNCTION("""COMPUTED_VALUE"""),"")</f>
        <v/>
      </c>
      <c r="W270" t="str">
        <f>IFERROR(__xludf.DUMMYFUNCTION("""COMPUTED_VALUE"""),"")</f>
        <v/>
      </c>
      <c r="X270" t="str">
        <f>IFERROR(__xludf.DUMMYFUNCTION("""COMPUTED_VALUE"""),"")</f>
        <v/>
      </c>
      <c r="Y270" t="str">
        <f>IFERROR(__xludf.DUMMYFUNCTION("""COMPUTED_VALUE"""),"")</f>
        <v/>
      </c>
      <c r="Z270" t="str">
        <f>IFERROR(__xludf.DUMMYFUNCTION("""COMPUTED_VALUE"""),"")</f>
        <v/>
      </c>
      <c r="AA270" t="str">
        <f>IFERROR(__xludf.DUMMYFUNCTION("""COMPUTED_VALUE"""),"")</f>
        <v/>
      </c>
      <c r="AB270" t="str">
        <f>IFERROR(__xludf.DUMMYFUNCTION("""COMPUTED_VALUE"""),"")</f>
        <v/>
      </c>
    </row>
    <row r="271">
      <c r="A271" s="2">
        <f>IFERROR(__xludf.DUMMYFUNCTION("""COMPUTED_VALUE"""),43709.839877997685)</f>
        <v>43709.83988</v>
      </c>
      <c r="B271" s="1" t="str">
        <f>IFERROR(__xludf.DUMMYFUNCTION("""COMPUTED_VALUE"""),"Adrien BOUVIER")</f>
        <v>Adrien BOUVIER</v>
      </c>
      <c r="C27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1" s="1" t="str">
        <f>IFERROR(__xludf.DUMMYFUNCTION("""COMPUTED_VALUE"""),"BDE")</f>
        <v>BDE</v>
      </c>
      <c r="E271" s="1">
        <f>IFERROR(__xludf.DUMMYFUNCTION("""COMPUTED_VALUE"""),5.0)</f>
        <v>5</v>
      </c>
      <c r="F271" s="1" t="str">
        <f>IFERROR(__xludf.DUMMYFUNCTION("""COMPUTED_VALUE"""),"Rap")</f>
        <v>Rap</v>
      </c>
      <c r="G271" s="1" t="str">
        <f>IFERROR(__xludf.DUMMYFUNCTION("""COMPUTED_VALUE"""),"Pas du tout")</f>
        <v>Pas du tout</v>
      </c>
      <c r="H271" s="1" t="str">
        <f>IFERROR(__xludf.DUMMYFUNCTION("""COMPUTED_VALUE"""),"Une fois de temps en temps")</f>
        <v>Une fois de temps en temps</v>
      </c>
      <c r="I271" s="1" t="str">
        <f>IFERROR(__xludf.DUMMYFUNCTION("""COMPUTED_VALUE"""),"Plusieurs fois par semaine")</f>
        <v>Plusieurs fois par semaine</v>
      </c>
      <c r="J271" s="1" t="str">
        <f>IFERROR(__xludf.DUMMYFUNCTION("""COMPUTED_VALUE"""),"Pour le développement perso et se dépasser")</f>
        <v>Pour le développement perso et se dépasser</v>
      </c>
      <c r="K271" s="1" t="str">
        <f>IFERROR(__xludf.DUMMYFUNCTION("""COMPUTED_VALUE"""),"Autre")</f>
        <v>Autre</v>
      </c>
      <c r="L271" s="1" t="str">
        <f>IFERROR(__xludf.DUMMYFUNCTION("""COMPUTED_VALUE"""),"Je fais toujours attention à bien manger")</f>
        <v>Je fais toujours attention à bien manger</v>
      </c>
      <c r="M271" s="1">
        <f>IFERROR(__xludf.DUMMYFUNCTION("""COMPUTED_VALUE"""),6.0)</f>
        <v>6</v>
      </c>
      <c r="N271" s="1" t="str">
        <f>IFERROR(__xludf.DUMMYFUNCTION("""COMPUTED_VALUE"""),"Une fois par semaine")</f>
        <v>Une fois par semaine</v>
      </c>
      <c r="O271" s="1" t="str">
        <f>IFERROR(__xludf.DUMMYFUNCTION("""COMPUTED_VALUE"""),"Tu te poses dans un coin, chill !!")</f>
        <v>Tu te poses dans un coin, chill !!</v>
      </c>
      <c r="P271" s="1">
        <f>IFERROR(__xludf.DUMMYFUNCTION("""COMPUTED_VALUE"""),1.0)</f>
        <v>1</v>
      </c>
      <c r="Q271" s="1" t="str">
        <f>IFERROR(__xludf.DUMMYFUNCTION("""COMPUTED_VALUE"""),"Oui")</f>
        <v>Oui</v>
      </c>
      <c r="R271" s="1" t="str">
        <f>IFERROR(__xludf.DUMMYFUNCTION("""COMPUTED_VALUE"""),"Non")</f>
        <v>Non</v>
      </c>
      <c r="S271" s="1" t="str">
        <f>IFERROR(__xludf.DUMMYFUNCTION("""COMPUTED_VALUE"""),"pimp my ride")</f>
        <v>pimp my ride</v>
      </c>
      <c r="T271" s="1" t="str">
        <f>IFERROR(__xludf.DUMMYFUNCTION("""COMPUTED_VALUE"""),"Un poids pour barre olympique ")</f>
        <v>Un poids pour barre olympique </v>
      </c>
      <c r="U271" t="str">
        <f>IFERROR(__xludf.DUMMYFUNCTION("""COMPUTED_VALUE"""),"")</f>
        <v/>
      </c>
      <c r="V271" t="str">
        <f>IFERROR(__xludf.DUMMYFUNCTION("""COMPUTED_VALUE"""),"")</f>
        <v/>
      </c>
      <c r="W271" t="str">
        <f>IFERROR(__xludf.DUMMYFUNCTION("""COMPUTED_VALUE"""),"")</f>
        <v/>
      </c>
      <c r="X271" t="str">
        <f>IFERROR(__xludf.DUMMYFUNCTION("""COMPUTED_VALUE"""),"")</f>
        <v/>
      </c>
      <c r="Y271" t="str">
        <f>IFERROR(__xludf.DUMMYFUNCTION("""COMPUTED_VALUE"""),"")</f>
        <v/>
      </c>
      <c r="Z271" t="str">
        <f>IFERROR(__xludf.DUMMYFUNCTION("""COMPUTED_VALUE"""),"")</f>
        <v/>
      </c>
      <c r="AA271" t="str">
        <f>IFERROR(__xludf.DUMMYFUNCTION("""COMPUTED_VALUE"""),"")</f>
        <v/>
      </c>
      <c r="AB271" t="str">
        <f>IFERROR(__xludf.DUMMYFUNCTION("""COMPUTED_VALUE"""),"")</f>
        <v/>
      </c>
    </row>
    <row r="272">
      <c r="A272" s="2">
        <f>IFERROR(__xludf.DUMMYFUNCTION("""COMPUTED_VALUE"""),43709.87812256944)</f>
        <v>43709.87812</v>
      </c>
      <c r="B272" t="str">
        <f>IFERROR(__xludf.DUMMYFUNCTION("""COMPUTED_VALUE"""),"Hugo Weiss")</f>
        <v>Hugo Weiss</v>
      </c>
      <c r="C272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2" t="str">
        <f>IFERROR(__xludf.DUMMYFUNCTION("""COMPUTED_VALUE"""),"BDE")</f>
        <v>BDE</v>
      </c>
      <c r="E272">
        <f>IFERROR(__xludf.DUMMYFUNCTION("""COMPUTED_VALUE"""),3.0)</f>
        <v>3</v>
      </c>
      <c r="F272" t="str">
        <f>IFERROR(__xludf.DUMMYFUNCTION("""COMPUTED_VALUE"""),"Musique fançaise")</f>
        <v>Musique fançaise</v>
      </c>
      <c r="G272" t="str">
        <f>IFERROR(__xludf.DUMMYFUNCTION("""COMPUTED_VALUE"""),"Cinéma")</f>
        <v>Cinéma</v>
      </c>
      <c r="H272" t="str">
        <f>IFERROR(__xludf.DUMMYFUNCTION("""COMPUTED_VALUE"""),"Une fois de temps en temps")</f>
        <v>Une fois de temps en temps</v>
      </c>
      <c r="I272" t="str">
        <f>IFERROR(__xludf.DUMMYFUNCTION("""COMPUTED_VALUE"""),"Plusieurs fois par semaine")</f>
        <v>Plusieurs fois par semaine</v>
      </c>
      <c r="J272" t="str">
        <f>IFERROR(__xludf.DUMMYFUNCTION("""COMPUTED_VALUE"""),"Pour la compet")</f>
        <v>Pour la compet</v>
      </c>
      <c r="K272" t="str">
        <f>IFERROR(__xludf.DUMMYFUNCTION("""COMPUTED_VALUE"""),"Sports de raquette")</f>
        <v>Sports de raquette</v>
      </c>
      <c r="L272" t="str">
        <f>IFERROR(__xludf.DUMMYFUNCTION("""COMPUTED_VALUE"""),"Oh oui, et les trucs bien gras ça me connait !")</f>
        <v>Oh oui, et les trucs bien gras ça me connait !</v>
      </c>
      <c r="M272">
        <f>IFERROR(__xludf.DUMMYFUNCTION("""COMPUTED_VALUE"""),8.0)</f>
        <v>8</v>
      </c>
      <c r="N272" t="str">
        <f>IFERROR(__xludf.DUMMYFUNCTION("""COMPUTED_VALUE"""),"Plusieurs fois par semaine")</f>
        <v>Plusieurs fois par semaine</v>
      </c>
      <c r="O272" t="str">
        <f>IFERROR(__xludf.DUMMYFUNCTION("""COMPUTED_VALUE"""),"Tu te poses dans un coin, chill !!")</f>
        <v>Tu te poses dans un coin, chill !!</v>
      </c>
      <c r="P272">
        <f>IFERROR(__xludf.DUMMYFUNCTION("""COMPUTED_VALUE"""),2.0)</f>
        <v>2</v>
      </c>
      <c r="Q272" t="str">
        <f>IFERROR(__xludf.DUMMYFUNCTION("""COMPUTED_VALUE"""),"Non")</f>
        <v>Non</v>
      </c>
      <c r="R272" t="str">
        <f>IFERROR(__xludf.DUMMYFUNCTION("""COMPUTED_VALUE"""),"Non")</f>
        <v>Non</v>
      </c>
      <c r="S272" t="str">
        <f>IFERROR(__xludf.DUMMYFUNCTION("""COMPUTED_VALUE"""),"Mafia ")</f>
        <v>Mafia </v>
      </c>
      <c r="T272" t="str">
        <f>IFERROR(__xludf.DUMMYFUNCTION("""COMPUTED_VALUE"""),"Une photo de Gaël Monfils")</f>
        <v>Une photo de Gaël Monfils</v>
      </c>
      <c r="U272" t="str">
        <f>IFERROR(__xludf.DUMMYFUNCTION("""COMPUTED_VALUE"""),"")</f>
        <v/>
      </c>
      <c r="V272" t="str">
        <f>IFERROR(__xludf.DUMMYFUNCTION("""COMPUTED_VALUE"""),"")</f>
        <v/>
      </c>
      <c r="W272" t="str">
        <f>IFERROR(__xludf.DUMMYFUNCTION("""COMPUTED_VALUE"""),"")</f>
        <v/>
      </c>
      <c r="X272" t="str">
        <f>IFERROR(__xludf.DUMMYFUNCTION("""COMPUTED_VALUE"""),"")</f>
        <v/>
      </c>
      <c r="Y272" t="str">
        <f>IFERROR(__xludf.DUMMYFUNCTION("""COMPUTED_VALUE"""),"")</f>
        <v/>
      </c>
      <c r="Z272" t="str">
        <f>IFERROR(__xludf.DUMMYFUNCTION("""COMPUTED_VALUE"""),"")</f>
        <v/>
      </c>
      <c r="AA272" t="str">
        <f>IFERROR(__xludf.DUMMYFUNCTION("""COMPUTED_VALUE"""),"")</f>
        <v/>
      </c>
      <c r="AB272" t="str">
        <f>IFERROR(__xludf.DUMMYFUNCTION("""COMPUTED_VALUE"""),"")</f>
        <v/>
      </c>
    </row>
    <row r="273">
      <c r="A273" s="2">
        <f>IFERROR(__xludf.DUMMYFUNCTION("""COMPUTED_VALUE"""),43710.061569502315)</f>
        <v>43710.06157</v>
      </c>
      <c r="B273" s="1" t="str">
        <f>IFERROR(__xludf.DUMMYFUNCTION("""COMPUTED_VALUE"""),"Adele ONDARCUHU")</f>
        <v>Adele ONDARCUHU</v>
      </c>
      <c r="C273" s="1" t="str">
        <f>IFERROR(__xludf.DUMMYFUNCTION("""COMPUTED_VALUE"""),"Deux inconnus")</f>
        <v>Deux inconnus</v>
      </c>
      <c r="D273" s="1" t="str">
        <f>IFERROR(__xludf.DUMMYFUNCTION("""COMPUTED_VALUE"""),"BDE")</f>
        <v>BDE</v>
      </c>
      <c r="E273" s="1">
        <f>IFERROR(__xludf.DUMMYFUNCTION("""COMPUTED_VALUE"""),2.0)</f>
        <v>2</v>
      </c>
      <c r="F273" s="1" t="str">
        <f>IFERROR(__xludf.DUMMYFUNCTION("""COMPUTED_VALUE"""),"Electro posée, Pop, Musique fançaise")</f>
        <v>Electro posée, Pop, Musique fançaise</v>
      </c>
      <c r="G273" s="1" t="str">
        <f>IFERROR(__xludf.DUMMYFUNCTION("""COMPUTED_VALUE"""),"Musique, Cinéma")</f>
        <v>Musique, Cinéma</v>
      </c>
      <c r="H273" s="1" t="str">
        <f>IFERROR(__xludf.DUMMYFUNCTION("""COMPUTED_VALUE"""),"Seulement les soirs de pleine lune")</f>
        <v>Seulement les soirs de pleine lune</v>
      </c>
      <c r="I273" s="1" t="str">
        <f>IFERROR(__xludf.DUMMYFUNCTION("""COMPUTED_VALUE"""),"Plusieurs fois par semaine")</f>
        <v>Plusieurs fois par semaine</v>
      </c>
      <c r="J273" s="1" t="str">
        <f>IFERROR(__xludf.DUMMYFUNCTION("""COMPUTED_VALUE"""),"Pour le fun")</f>
        <v>Pour le fun</v>
      </c>
      <c r="K273" s="1" t="str">
        <f>IFERROR(__xludf.DUMMYFUNCTION("""COMPUTED_VALUE"""),"Sports collectifs, Athlétisme")</f>
        <v>Sports collectifs, Athlétisme</v>
      </c>
      <c r="L273" s="1" t="str">
        <f>IFERROR(__xludf.DUMMYFUNCTION("""COMPUTED_VALUE"""),"Je fais toujours attention à bien manger")</f>
        <v>Je fais toujours attention à bien manger</v>
      </c>
      <c r="M273" s="1">
        <f>IFERROR(__xludf.DUMMYFUNCTION("""COMPUTED_VALUE"""),7.0)</f>
        <v>7</v>
      </c>
      <c r="N273" s="1" t="str">
        <f>IFERROR(__xludf.DUMMYFUNCTION("""COMPUTED_VALUE"""),"Plusieurs fois par semaine")</f>
        <v>Plusieurs fois par semaine</v>
      </c>
      <c r="O273" s="1" t="str">
        <f>IFERROR(__xludf.DUMMYFUNCTION("""COMPUTED_VALUE"""),"T'enflammes le dancefloor")</f>
        <v>T'enflammes le dancefloor</v>
      </c>
      <c r="P273" s="1">
        <f>IFERROR(__xludf.DUMMYFUNCTION("""COMPUTED_VALUE"""),2.0)</f>
        <v>2</v>
      </c>
      <c r="Q273" s="1" t="str">
        <f>IFERROR(__xludf.DUMMYFUNCTION("""COMPUTED_VALUE"""),"Non")</f>
        <v>Non</v>
      </c>
      <c r="R273" s="1" t="str">
        <f>IFERROR(__xludf.DUMMYFUNCTION("""COMPUTED_VALUE"""),"Non")</f>
        <v>Non</v>
      </c>
      <c r="S273" s="1" t="str">
        <f>IFERROR(__xludf.DUMMYFUNCTION("""COMPUTED_VALUE"""),"Mafia")</f>
        <v>Mafia</v>
      </c>
      <c r="T273" s="1" t="str">
        <f>IFERROR(__xludf.DUMMYFUNCTION("""COMPUTED_VALUE"""),"Pas encore choisi")</f>
        <v>Pas encore choisi</v>
      </c>
      <c r="U273" t="str">
        <f>IFERROR(__xludf.DUMMYFUNCTION("""COMPUTED_VALUE"""),"")</f>
        <v/>
      </c>
      <c r="V273" t="str">
        <f>IFERROR(__xludf.DUMMYFUNCTION("""COMPUTED_VALUE"""),"")</f>
        <v/>
      </c>
      <c r="W273" t="str">
        <f>IFERROR(__xludf.DUMMYFUNCTION("""COMPUTED_VALUE"""),"")</f>
        <v/>
      </c>
      <c r="X273" t="str">
        <f>IFERROR(__xludf.DUMMYFUNCTION("""COMPUTED_VALUE"""),"")</f>
        <v/>
      </c>
      <c r="Y273" t="str">
        <f>IFERROR(__xludf.DUMMYFUNCTION("""COMPUTED_VALUE"""),"")</f>
        <v/>
      </c>
      <c r="Z273" t="str">
        <f>IFERROR(__xludf.DUMMYFUNCTION("""COMPUTED_VALUE"""),"")</f>
        <v/>
      </c>
      <c r="AA273" t="str">
        <f>IFERROR(__xludf.DUMMYFUNCTION("""COMPUTED_VALUE"""),"")</f>
        <v/>
      </c>
      <c r="AB273" t="str">
        <f>IFERROR(__xludf.DUMMYFUNCTION("""COMPUTED_VALUE"""),"")</f>
        <v/>
      </c>
    </row>
    <row r="274">
      <c r="A274" s="2">
        <f>IFERROR(__xludf.DUMMYFUNCTION("""COMPUTED_VALUE"""),43710.24096303241)</f>
        <v>43710.24096</v>
      </c>
      <c r="B274" t="str">
        <f>IFERROR(__xludf.DUMMYFUNCTION("""COMPUTED_VALUE"""),"Vire")</f>
        <v>Vire</v>
      </c>
      <c r="C274" t="str">
        <f>IFERROR(__xludf.DUMMYFUNCTION("""COMPUTED_VALUE"""),"Deux inconnus")</f>
        <v>Deux inconnus</v>
      </c>
      <c r="D274" t="str">
        <f>IFERROR(__xludf.DUMMYFUNCTION("""COMPUTED_VALUE"""),"BDE")</f>
        <v>BDE</v>
      </c>
      <c r="E274">
        <f>IFERROR(__xludf.DUMMYFUNCTION("""COMPUTED_VALUE"""),4.0)</f>
        <v>4</v>
      </c>
      <c r="F274" t="str">
        <f>IFERROR(__xludf.DUMMYFUNCTION("""COMPUTED_VALUE"""),"Electro hard")</f>
        <v>Electro hard</v>
      </c>
      <c r="G274" t="str">
        <f>IFERROR(__xludf.DUMMYFUNCTION("""COMPUTED_VALUE"""),"Pas du tout")</f>
        <v>Pas du tout</v>
      </c>
      <c r="H274" t="str">
        <f>IFERROR(__xludf.DUMMYFUNCTION("""COMPUTED_VALUE"""),"Une fois de temps en temps")</f>
        <v>Une fois de temps en temps</v>
      </c>
      <c r="I274" t="str">
        <f>IFERROR(__xludf.DUMMYFUNCTION("""COMPUTED_VALUE"""),"Le dimanche à 15h32 s'il fait beau")</f>
        <v>Le dimanche à 15h32 s'il fait beau</v>
      </c>
      <c r="J274" t="str">
        <f>IFERROR(__xludf.DUMMYFUNCTION("""COMPUTED_VALUE"""),"Pour le fun")</f>
        <v>Pour le fun</v>
      </c>
      <c r="K274" t="str">
        <f>IFERROR(__xludf.DUMMYFUNCTION("""COMPUTED_VALUE"""),"Sports de raquette")</f>
        <v>Sports de raquette</v>
      </c>
      <c r="L274" t="str">
        <f>IFERROR(__xludf.DUMMYFUNCTION("""COMPUTED_VALUE"""),"Oh oui, et les trucs bien gras ça me connait !")</f>
        <v>Oh oui, et les trucs bien gras ça me connait !</v>
      </c>
      <c r="M274">
        <f>IFERROR(__xludf.DUMMYFUNCTION("""COMPUTED_VALUE"""),9.0)</f>
        <v>9</v>
      </c>
      <c r="N274" t="str">
        <f>IFERROR(__xludf.DUMMYFUNCTION("""COMPUTED_VALUE"""),"Une fois par jour (voire plus)")</f>
        <v>Une fois par jour (voire plus)</v>
      </c>
      <c r="O274" t="str">
        <f>IFERROR(__xludf.DUMMYFUNCTION("""COMPUTED_VALUE"""),"T'enflammes le dancefloor")</f>
        <v>T'enflammes le dancefloor</v>
      </c>
      <c r="P274">
        <f>IFERROR(__xludf.DUMMYFUNCTION("""COMPUTED_VALUE"""),3.0)</f>
        <v>3</v>
      </c>
      <c r="Q274" t="str">
        <f>IFERROR(__xludf.DUMMYFUNCTION("""COMPUTED_VALUE"""),"Non")</f>
        <v>Non</v>
      </c>
      <c r="R274" t="str">
        <f>IFERROR(__xludf.DUMMYFUNCTION("""COMPUTED_VALUE"""),"Non")</f>
        <v>Non</v>
      </c>
      <c r="S274" t="str">
        <f>IFERROR(__xludf.DUMMYFUNCTION("""COMPUTED_VALUE"""),"Mafia")</f>
        <v>Mafia</v>
      </c>
      <c r="T274" t="str">
        <f>IFERROR(__xludf.DUMMYFUNCTION("""COMPUTED_VALUE"""),"Raquette cassée")</f>
        <v>Raquette cassée</v>
      </c>
      <c r="U274" t="str">
        <f>IFERROR(__xludf.DUMMYFUNCTION("""COMPUTED_VALUE"""),"")</f>
        <v/>
      </c>
      <c r="V274" t="str">
        <f>IFERROR(__xludf.DUMMYFUNCTION("""COMPUTED_VALUE"""),"")</f>
        <v/>
      </c>
      <c r="W274" t="str">
        <f>IFERROR(__xludf.DUMMYFUNCTION("""COMPUTED_VALUE"""),"")</f>
        <v/>
      </c>
      <c r="X274" t="str">
        <f>IFERROR(__xludf.DUMMYFUNCTION("""COMPUTED_VALUE"""),"")</f>
        <v/>
      </c>
      <c r="Y274" t="str">
        <f>IFERROR(__xludf.DUMMYFUNCTION("""COMPUTED_VALUE"""),"")</f>
        <v/>
      </c>
      <c r="Z274" t="str">
        <f>IFERROR(__xludf.DUMMYFUNCTION("""COMPUTED_VALUE"""),"")</f>
        <v/>
      </c>
      <c r="AA274" t="str">
        <f>IFERROR(__xludf.DUMMYFUNCTION("""COMPUTED_VALUE"""),"")</f>
        <v/>
      </c>
      <c r="AB274" t="str">
        <f>IFERROR(__xludf.DUMMYFUNCTION("""COMPUTED_VALUE"""),"")</f>
        <v/>
      </c>
    </row>
    <row r="275">
      <c r="A275" s="2">
        <f>IFERROR(__xludf.DUMMYFUNCTION("""COMPUTED_VALUE"""),43710.441701006945)</f>
        <v>43710.4417</v>
      </c>
      <c r="B275" s="1" t="str">
        <f>IFERROR(__xludf.DUMMYFUNCTION("""COMPUTED_VALUE"""),"Valentin Pibernus")</f>
        <v>Valentin Pibernus</v>
      </c>
      <c r="C27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5" s="1" t="str">
        <f>IFERROR(__xludf.DUMMYFUNCTION("""COMPUTED_VALUE"""),"BDS")</f>
        <v>BDS</v>
      </c>
      <c r="E275" s="1">
        <f>IFERROR(__xludf.DUMMYFUNCTION("""COMPUTED_VALUE"""),2.0)</f>
        <v>2</v>
      </c>
      <c r="F275" s="1" t="str">
        <f>IFERROR(__xludf.DUMMYFUNCTION("""COMPUTED_VALUE"""),"Electro posée, Electro hard, Pop")</f>
        <v>Electro posée, Electro hard, Pop</v>
      </c>
      <c r="G275" s="1" t="str">
        <f>IFERROR(__xludf.DUMMYFUNCTION("""COMPUTED_VALUE"""),"Littérature, Musique, Cinéma")</f>
        <v>Littérature, Musique, Cinéma</v>
      </c>
      <c r="H275" s="1" t="str">
        <f>IFERROR(__xludf.DUMMYFUNCTION("""COMPUTED_VALUE"""),"Quelques fois par semaine")</f>
        <v>Quelques fois par semaine</v>
      </c>
      <c r="I275" s="1" t="str">
        <f>IFERROR(__xludf.DUMMYFUNCTION("""COMPUTED_VALUE"""),"Plusieurs fois par semaine")</f>
        <v>Plusieurs fois par semaine</v>
      </c>
      <c r="J275" s="1" t="str">
        <f>IFERROR(__xludf.DUMMYFUNCTION("""COMPUTED_VALUE"""),"Pour le développement perso et se dépasser")</f>
        <v>Pour le développement perso et se dépasser</v>
      </c>
      <c r="K275" s="1" t="str">
        <f>IFERROR(__xludf.DUMMYFUNCTION("""COMPUTED_VALUE"""),"Sports collectifs, Escalade, Autre")</f>
        <v>Sports collectifs, Escalade, Autre</v>
      </c>
      <c r="L275" s="1" t="str">
        <f>IFERROR(__xludf.DUMMYFUNCTION("""COMPUTED_VALUE"""),"Je fais toujours attention à bien manger")</f>
        <v>Je fais toujours attention à bien manger</v>
      </c>
      <c r="M275" s="1">
        <f>IFERROR(__xludf.DUMMYFUNCTION("""COMPUTED_VALUE"""),6.0)</f>
        <v>6</v>
      </c>
      <c r="N275" s="1" t="str">
        <f>IFERROR(__xludf.DUMMYFUNCTION("""COMPUTED_VALUE"""),"Une fois par semaine")</f>
        <v>Une fois par semaine</v>
      </c>
      <c r="O275" s="1" t="str">
        <f>IFERROR(__xludf.DUMMYFUNCTION("""COMPUTED_VALUE"""),"T'enflammes le dancefloor")</f>
        <v>T'enflammes le dancefloor</v>
      </c>
      <c r="P275" s="1">
        <f>IFERROR(__xludf.DUMMYFUNCTION("""COMPUTED_VALUE"""),3.0)</f>
        <v>3</v>
      </c>
      <c r="Q275" s="1" t="str">
        <f>IFERROR(__xludf.DUMMYFUNCTION("""COMPUTED_VALUE"""),"Non")</f>
        <v>Non</v>
      </c>
      <c r="R275" s="1" t="str">
        <f>IFERROR(__xludf.DUMMYFUNCTION("""COMPUTED_VALUE"""),"Non")</f>
        <v>Non</v>
      </c>
      <c r="S275" s="1" t="str">
        <f>IFERROR(__xludf.DUMMYFUNCTION("""COMPUTED_VALUE"""),"Parainplegiques ")</f>
        <v>Parainplegiques </v>
      </c>
      <c r="T275" s="1" t="str">
        <f>IFERROR(__xludf.DUMMYFUNCTION("""COMPUTED_VALUE"""),"Surprise ")</f>
        <v>Surprise </v>
      </c>
      <c r="U275" t="str">
        <f>IFERROR(__xludf.DUMMYFUNCTION("""COMPUTED_VALUE"""),"")</f>
        <v/>
      </c>
      <c r="V275" t="str">
        <f>IFERROR(__xludf.DUMMYFUNCTION("""COMPUTED_VALUE"""),"")</f>
        <v/>
      </c>
      <c r="W275" t="str">
        <f>IFERROR(__xludf.DUMMYFUNCTION("""COMPUTED_VALUE"""),"")</f>
        <v/>
      </c>
      <c r="X275" t="str">
        <f>IFERROR(__xludf.DUMMYFUNCTION("""COMPUTED_VALUE"""),"")</f>
        <v/>
      </c>
      <c r="Y275" t="str">
        <f>IFERROR(__xludf.DUMMYFUNCTION("""COMPUTED_VALUE"""),"")</f>
        <v/>
      </c>
      <c r="Z275" t="str">
        <f>IFERROR(__xludf.DUMMYFUNCTION("""COMPUTED_VALUE"""),"")</f>
        <v/>
      </c>
      <c r="AA275" t="str">
        <f>IFERROR(__xludf.DUMMYFUNCTION("""COMPUTED_VALUE"""),"")</f>
        <v/>
      </c>
      <c r="AB275" t="str">
        <f>IFERROR(__xludf.DUMMYFUNCTION("""COMPUTED_VALUE"""),"")</f>
        <v/>
      </c>
    </row>
    <row r="276">
      <c r="A276" s="2">
        <f>IFERROR(__xludf.DUMMYFUNCTION("""COMPUTED_VALUE"""),43710.72685601852)</f>
        <v>43710.72686</v>
      </c>
      <c r="B276" s="1" t="str">
        <f>IFERROR(__xludf.DUMMYFUNCTION("""COMPUTED_VALUE"""),"Fabien RAVET")</f>
        <v>Fabien RAVET</v>
      </c>
      <c r="C276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6" s="1" t="str">
        <f>IFERROR(__xludf.DUMMYFUNCTION("""COMPUTED_VALUE"""),"Pas de liste")</f>
        <v>Pas de liste</v>
      </c>
      <c r="E276" s="1">
        <f>IFERROR(__xludf.DUMMYFUNCTION("""COMPUTED_VALUE"""),3.0)</f>
        <v>3</v>
      </c>
      <c r="F276" s="1" t="str">
        <f>IFERROR(__xludf.DUMMYFUNCTION("""COMPUTED_VALUE"""),"Rock, Pop, Musique fançaise, Musique classique")</f>
        <v>Rock, Pop, Musique fançaise, Musique classique</v>
      </c>
      <c r="G276" s="1" t="str">
        <f>IFERROR(__xludf.DUMMYFUNCTION("""COMPUTED_VALUE"""),"Musique, Cinéma")</f>
        <v>Musique, Cinéma</v>
      </c>
      <c r="H276" s="1" t="str">
        <f>IFERROR(__xludf.DUMMYFUNCTION("""COMPUTED_VALUE"""),"Une fois par jour")</f>
        <v>Une fois par jour</v>
      </c>
      <c r="I276" s="1" t="str">
        <f>IFERROR(__xludf.DUMMYFUNCTION("""COMPUTED_VALUE"""),"Plusieurs fois par semaine")</f>
        <v>Plusieurs fois par semaine</v>
      </c>
      <c r="J276" s="1" t="str">
        <f>IFERROR(__xludf.DUMMYFUNCTION("""COMPUTED_VALUE"""),"Pour le développement perso et se dépasser")</f>
        <v>Pour le développement perso et se dépasser</v>
      </c>
      <c r="K276" s="1" t="str">
        <f>IFERROR(__xludf.DUMMYFUNCTION("""COMPUTED_VALUE"""),"Sports de raquette, Escalade")</f>
        <v>Sports de raquette, Escalade</v>
      </c>
      <c r="L276" s="1" t="str">
        <f>IFERROR(__xludf.DUMMYFUNCTION("""COMPUTED_VALUE"""),"J'aime cuisiner le WE ou quand j'ai le temps")</f>
        <v>J'aime cuisiner le WE ou quand j'ai le temps</v>
      </c>
      <c r="M276" s="1">
        <f>IFERROR(__xludf.DUMMYFUNCTION("""COMPUTED_VALUE"""),3.0)</f>
        <v>3</v>
      </c>
      <c r="N276" s="1" t="str">
        <f>IFERROR(__xludf.DUMMYFUNCTION("""COMPUTED_VALUE"""),"Une fois par mois")</f>
        <v>Une fois par mois</v>
      </c>
      <c r="O276" s="1" t="str">
        <f>IFERROR(__xludf.DUMMYFUNCTION("""COMPUTED_VALUE"""),"Tu viens pas")</f>
        <v>Tu viens pas</v>
      </c>
      <c r="P276" s="1">
        <f>IFERROR(__xludf.DUMMYFUNCTION("""COMPUTED_VALUE"""),1.0)</f>
        <v>1</v>
      </c>
      <c r="Q276" s="1" t="str">
        <f>IFERROR(__xludf.DUMMYFUNCTION("""COMPUTED_VALUE"""),"Non")</f>
        <v>Non</v>
      </c>
      <c r="R276" s="1" t="str">
        <f>IFERROR(__xludf.DUMMYFUNCTION("""COMPUTED_VALUE"""),"Non")</f>
        <v>Non</v>
      </c>
      <c r="S276" s="1" t="str">
        <f>IFERROR(__xludf.DUMMYFUNCTION("""COMPUTED_VALUE"""),"La Vigie")</f>
        <v>La Vigie</v>
      </c>
      <c r="T276" s="1" t="str">
        <f>IFERROR(__xludf.DUMMYFUNCTION("""COMPUTED_VALUE"""),"Une partition")</f>
        <v>Une partition</v>
      </c>
      <c r="U276" t="str">
        <f>IFERROR(__xludf.DUMMYFUNCTION("""COMPUTED_VALUE"""),"")</f>
        <v/>
      </c>
      <c r="V276" t="str">
        <f>IFERROR(__xludf.DUMMYFUNCTION("""COMPUTED_VALUE"""),"")</f>
        <v/>
      </c>
      <c r="W276" t="str">
        <f>IFERROR(__xludf.DUMMYFUNCTION("""COMPUTED_VALUE"""),"")</f>
        <v/>
      </c>
      <c r="X276" t="str">
        <f>IFERROR(__xludf.DUMMYFUNCTION("""COMPUTED_VALUE"""),"")</f>
        <v/>
      </c>
      <c r="Y276" t="str">
        <f>IFERROR(__xludf.DUMMYFUNCTION("""COMPUTED_VALUE"""),"")</f>
        <v/>
      </c>
      <c r="Z276" t="str">
        <f>IFERROR(__xludf.DUMMYFUNCTION("""COMPUTED_VALUE"""),"")</f>
        <v/>
      </c>
      <c r="AA276" t="str">
        <f>IFERROR(__xludf.DUMMYFUNCTION("""COMPUTED_VALUE"""),"")</f>
        <v/>
      </c>
      <c r="AB276" t="str">
        <f>IFERROR(__xludf.DUMMYFUNCTION("""COMPUTED_VALUE"""),"")</f>
        <v/>
      </c>
    </row>
    <row r="277">
      <c r="A277" s="2">
        <f>IFERROR(__xludf.DUMMYFUNCTION("""COMPUTED_VALUE"""),43711.6139424537)</f>
        <v>43711.61394</v>
      </c>
      <c r="B277" s="1" t="str">
        <f>IFERROR(__xludf.DUMMYFUNCTION("""COMPUTED_VALUE"""),"Bastien")</f>
        <v>Bastien</v>
      </c>
      <c r="C277" s="1" t="str">
        <f>IFERROR(__xludf.DUMMYFUNCTION("""COMPUTED_VALUE"""),"Le président et un inconnu")</f>
        <v>Le président et un inconnu</v>
      </c>
      <c r="D277" s="1" t="str">
        <f>IFERROR(__xludf.DUMMYFUNCTION("""COMPUTED_VALUE"""),"BDE")</f>
        <v>BDE</v>
      </c>
      <c r="E277" s="1">
        <f>IFERROR(__xludf.DUMMYFUNCTION("""COMPUTED_VALUE"""),1.0)</f>
        <v>1</v>
      </c>
      <c r="F277" s="1" t="str">
        <f>IFERROR(__xludf.DUMMYFUNCTION("""COMPUTED_VALUE"""),"Electro posée, Rap, Pop")</f>
        <v>Electro posée, Rap, Pop</v>
      </c>
      <c r="G277" s="1" t="str">
        <f>IFERROR(__xludf.DUMMYFUNCTION("""COMPUTED_VALUE"""),"Pas du tout")</f>
        <v>Pas du tout</v>
      </c>
      <c r="H277" s="1" t="str">
        <f>IFERROR(__xludf.DUMMYFUNCTION("""COMPUTED_VALUE"""),"Une fois de temps en temps")</f>
        <v>Une fois de temps en temps</v>
      </c>
      <c r="I277" s="1" t="str">
        <f>IFERROR(__xludf.DUMMYFUNCTION("""COMPUTED_VALUE"""),"Une fois par jour")</f>
        <v>Une fois par jour</v>
      </c>
      <c r="J277" s="1" t="str">
        <f>IFERROR(__xludf.DUMMYFUNCTION("""COMPUTED_VALUE"""),"Pour la compet")</f>
        <v>Pour la compet</v>
      </c>
      <c r="K277" s="1" t="str">
        <f>IFERROR(__xludf.DUMMYFUNCTION("""COMPUTED_VALUE"""),"Sports collectifs")</f>
        <v>Sports collectifs</v>
      </c>
      <c r="L277" s="1" t="str">
        <f>IFERROR(__xludf.DUMMYFUNCTION("""COMPUTED_VALUE"""),"Je fais toujours attention à bien manger")</f>
        <v>Je fais toujours attention à bien manger</v>
      </c>
      <c r="M277" s="1">
        <f>IFERROR(__xludf.DUMMYFUNCTION("""COMPUTED_VALUE"""),7.0)</f>
        <v>7</v>
      </c>
      <c r="N277" s="1" t="str">
        <f>IFERROR(__xludf.DUMMYFUNCTION("""COMPUTED_VALUE"""),"Une fois par semaine")</f>
        <v>Une fois par semaine</v>
      </c>
      <c r="O277" s="1" t="str">
        <f>IFERROR(__xludf.DUMMYFUNCTION("""COMPUTED_VALUE"""),"T'enflammes le dancefloor")</f>
        <v>T'enflammes le dancefloor</v>
      </c>
      <c r="P277" s="1">
        <f>IFERROR(__xludf.DUMMYFUNCTION("""COMPUTED_VALUE"""),1.0)</f>
        <v>1</v>
      </c>
      <c r="Q277" s="1" t="str">
        <f>IFERROR(__xludf.DUMMYFUNCTION("""COMPUTED_VALUE"""),"Oui")</f>
        <v>Oui</v>
      </c>
      <c r="R277" s="1" t="str">
        <f>IFERROR(__xludf.DUMMYFUNCTION("""COMPUTED_VALUE"""),"Non")</f>
        <v>Non</v>
      </c>
      <c r="S277" s="1" t="str">
        <f>IFERROR(__xludf.DUMMYFUNCTION("""COMPUTED_VALUE"""),"La dézingue")</f>
        <v>La dézingue</v>
      </c>
      <c r="T277" s="1" t="str">
        <f>IFERROR(__xludf.DUMMYFUNCTION("""COMPUTED_VALUE"""),"Pique de brochette")</f>
        <v>Pique de brochette</v>
      </c>
      <c r="U277" t="str">
        <f>IFERROR(__xludf.DUMMYFUNCTION("""COMPUTED_VALUE"""),"")</f>
        <v/>
      </c>
      <c r="V277" t="str">
        <f>IFERROR(__xludf.DUMMYFUNCTION("""COMPUTED_VALUE"""),"")</f>
        <v/>
      </c>
      <c r="W277" t="str">
        <f>IFERROR(__xludf.DUMMYFUNCTION("""COMPUTED_VALUE"""),"")</f>
        <v/>
      </c>
      <c r="X277" t="str">
        <f>IFERROR(__xludf.DUMMYFUNCTION("""COMPUTED_VALUE"""),"")</f>
        <v/>
      </c>
      <c r="Y277" t="str">
        <f>IFERROR(__xludf.DUMMYFUNCTION("""COMPUTED_VALUE"""),"")</f>
        <v/>
      </c>
      <c r="Z277" t="str">
        <f>IFERROR(__xludf.DUMMYFUNCTION("""COMPUTED_VALUE"""),"")</f>
        <v/>
      </c>
      <c r="AA277" t="str">
        <f>IFERROR(__xludf.DUMMYFUNCTION("""COMPUTED_VALUE"""),"")</f>
        <v/>
      </c>
      <c r="AB277" t="str">
        <f>IFERROR(__xludf.DUMMYFUNCTION("""COMPUTED_VALUE"""),"")</f>
        <v/>
      </c>
    </row>
    <row r="278">
      <c r="A278" s="2">
        <f>IFERROR(__xludf.DUMMYFUNCTION("""COMPUTED_VALUE"""),43711.752836631946)</f>
        <v>43711.75284</v>
      </c>
      <c r="B278" s="1" t="str">
        <f>IFERROR(__xludf.DUMMYFUNCTION("""COMPUTED_VALUE"""),"Audric BALSSA")</f>
        <v>Audric BALSSA</v>
      </c>
      <c r="C27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8" s="1" t="str">
        <f>IFERROR(__xludf.DUMMYFUNCTION("""COMPUTED_VALUE"""),"BDA")</f>
        <v>BDA</v>
      </c>
      <c r="E278" s="1">
        <f>IFERROR(__xludf.DUMMYFUNCTION("""COMPUTED_VALUE"""),1.0)</f>
        <v>1</v>
      </c>
      <c r="F278" s="1" t="str">
        <f>IFERROR(__xludf.DUMMYFUNCTION("""COMPUTED_VALUE"""),"Rock, Pop")</f>
        <v>Rock, Pop</v>
      </c>
      <c r="G278" s="1" t="str">
        <f>IFERROR(__xludf.DUMMYFUNCTION("""COMPUTED_VALUE"""),"Littérature, Musique")</f>
        <v>Littérature, Musique</v>
      </c>
      <c r="H278" s="1" t="str">
        <f>IFERROR(__xludf.DUMMYFUNCTION("""COMPUTED_VALUE"""),"Une fois par jour")</f>
        <v>Une fois par jour</v>
      </c>
      <c r="I278" s="1" t="str">
        <f>IFERROR(__xludf.DUMMYFUNCTION("""COMPUTED_VALUE"""),"Plusieurs fois par semaine")</f>
        <v>Plusieurs fois par semaine</v>
      </c>
      <c r="J278" s="1" t="str">
        <f>IFERROR(__xludf.DUMMYFUNCTION("""COMPUTED_VALUE"""),"Pour le fun")</f>
        <v>Pour le fun</v>
      </c>
      <c r="K278" s="1" t="str">
        <f>IFERROR(__xludf.DUMMYFUNCTION("""COMPUTED_VALUE"""),"Sports de raquette, Autre")</f>
        <v>Sports de raquette, Autre</v>
      </c>
      <c r="L278" s="1" t="str">
        <f>IFERROR(__xludf.DUMMYFUNCTION("""COMPUTED_VALUE"""),"J'aime cuisiner le WE ou quand j'ai le temps")</f>
        <v>J'aime cuisiner le WE ou quand j'ai le temps</v>
      </c>
      <c r="M278" s="1">
        <f>IFERROR(__xludf.DUMMYFUNCTION("""COMPUTED_VALUE"""),6.0)</f>
        <v>6</v>
      </c>
      <c r="N278" s="1" t="str">
        <f>IFERROR(__xludf.DUMMYFUNCTION("""COMPUTED_VALUE"""),"Plusieurs fois par semaine")</f>
        <v>Plusieurs fois par semaine</v>
      </c>
      <c r="O278" s="1" t="str">
        <f>IFERROR(__xludf.DUMMYFUNCTION("""COMPUTED_VALUE"""),"Tu te poses dans un coin, chill !!")</f>
        <v>Tu te poses dans un coin, chill !!</v>
      </c>
      <c r="P278" s="1">
        <f>IFERROR(__xludf.DUMMYFUNCTION("""COMPUTED_VALUE"""),1.0)</f>
        <v>1</v>
      </c>
      <c r="Q278" s="1" t="str">
        <f>IFERROR(__xludf.DUMMYFUNCTION("""COMPUTED_VALUE"""),"Oui")</f>
        <v>Oui</v>
      </c>
      <c r="R278" s="1" t="str">
        <f>IFERROR(__xludf.DUMMYFUNCTION("""COMPUTED_VALUE"""),"Non")</f>
        <v>Non</v>
      </c>
      <c r="S278" s="1" t="str">
        <f>IFERROR(__xludf.DUMMYFUNCTION("""COMPUTED_VALUE"""),"Waltherock")</f>
        <v>Waltherock</v>
      </c>
      <c r="T278" s="1" t="str">
        <f>IFERROR(__xludf.DUMMYFUNCTION("""COMPUTED_VALUE"""),"Ce choix n'est pas définitif")</f>
        <v>Ce choix n'est pas définitif</v>
      </c>
      <c r="U278" t="str">
        <f>IFERROR(__xludf.DUMMYFUNCTION("""COMPUTED_VALUE"""),"")</f>
        <v/>
      </c>
      <c r="V278" t="str">
        <f>IFERROR(__xludf.DUMMYFUNCTION("""COMPUTED_VALUE"""),"")</f>
        <v/>
      </c>
      <c r="W278" t="str">
        <f>IFERROR(__xludf.DUMMYFUNCTION("""COMPUTED_VALUE"""),"")</f>
        <v/>
      </c>
      <c r="X278" t="str">
        <f>IFERROR(__xludf.DUMMYFUNCTION("""COMPUTED_VALUE"""),"")</f>
        <v/>
      </c>
      <c r="Y278" t="str">
        <f>IFERROR(__xludf.DUMMYFUNCTION("""COMPUTED_VALUE"""),"")</f>
        <v/>
      </c>
      <c r="Z278" t="str">
        <f>IFERROR(__xludf.DUMMYFUNCTION("""COMPUTED_VALUE"""),"")</f>
        <v/>
      </c>
      <c r="AA278" t="str">
        <f>IFERROR(__xludf.DUMMYFUNCTION("""COMPUTED_VALUE"""),"")</f>
        <v/>
      </c>
      <c r="AB278" t="str">
        <f>IFERROR(__xludf.DUMMYFUNCTION("""COMPUTED_VALUE"""),"")</f>
        <v/>
      </c>
    </row>
    <row r="279">
      <c r="A279" s="2">
        <f>IFERROR(__xludf.DUMMYFUNCTION("""COMPUTED_VALUE"""),43711.75391381944)</f>
        <v>43711.75391</v>
      </c>
      <c r="B279" s="1" t="str">
        <f>IFERROR(__xludf.DUMMYFUNCTION("""COMPUTED_VALUE"""),"Alexandre SEVENO")</f>
        <v>Alexandre SEVENO</v>
      </c>
      <c r="C279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79" s="1" t="str">
        <f>IFERROR(__xludf.DUMMYFUNCTION("""COMPUTED_VALUE"""),"BDS")</f>
        <v>BDS</v>
      </c>
      <c r="E279" s="1">
        <f>IFERROR(__xludf.DUMMYFUNCTION("""COMPUTED_VALUE"""),4.0)</f>
        <v>4</v>
      </c>
      <c r="F279" s="1" t="str">
        <f>IFERROR(__xludf.DUMMYFUNCTION("""COMPUTED_VALUE"""),"Rock")</f>
        <v>Rock</v>
      </c>
      <c r="G279" s="1" t="str">
        <f>IFERROR(__xludf.DUMMYFUNCTION("""COMPUTED_VALUE"""),"Pas du tout")</f>
        <v>Pas du tout</v>
      </c>
      <c r="H279" s="1" t="str">
        <f>IFERROR(__xludf.DUMMYFUNCTION("""COMPUTED_VALUE"""),"Quelques fois par semaine")</f>
        <v>Quelques fois par semaine</v>
      </c>
      <c r="I279" s="1" t="str">
        <f>IFERROR(__xludf.DUMMYFUNCTION("""COMPUTED_VALUE"""),"Une fois par semaine")</f>
        <v>Une fois par semaine</v>
      </c>
      <c r="J279" s="1" t="str">
        <f>IFERROR(__xludf.DUMMYFUNCTION("""COMPUTED_VALUE"""),"Pour la compet")</f>
        <v>Pour la compet</v>
      </c>
      <c r="K279" s="1" t="str">
        <f>IFERROR(__xludf.DUMMYFUNCTION("""COMPUTED_VALUE"""),"Sports de raquette, Sports de combat")</f>
        <v>Sports de raquette, Sports de combat</v>
      </c>
      <c r="L279" s="1" t="str">
        <f>IFERROR(__xludf.DUMMYFUNCTION("""COMPUTED_VALUE"""),"J'aime cuisiner le WE ou quand j'ai le temps")</f>
        <v>J'aime cuisiner le WE ou quand j'ai le temps</v>
      </c>
      <c r="M279" s="1">
        <f>IFERROR(__xludf.DUMMYFUNCTION("""COMPUTED_VALUE"""),8.0)</f>
        <v>8</v>
      </c>
      <c r="N279" s="1" t="str">
        <f>IFERROR(__xludf.DUMMYFUNCTION("""COMPUTED_VALUE"""),"Plusieurs fois par semaine")</f>
        <v>Plusieurs fois par semaine</v>
      </c>
      <c r="O279" s="1" t="str">
        <f>IFERROR(__xludf.DUMMYFUNCTION("""COMPUTED_VALUE"""),"Tu te poses dans un coin, chill !!")</f>
        <v>Tu te poses dans un coin, chill !!</v>
      </c>
      <c r="P279" s="1">
        <f>IFERROR(__xludf.DUMMYFUNCTION("""COMPUTED_VALUE"""),1.0)</f>
        <v>1</v>
      </c>
      <c r="Q279" s="1" t="str">
        <f>IFERROR(__xludf.DUMMYFUNCTION("""COMPUTED_VALUE"""),"Non")</f>
        <v>Non</v>
      </c>
      <c r="R279" s="1" t="str">
        <f>IFERROR(__xludf.DUMMYFUNCTION("""COMPUTED_VALUE"""),"Non")</f>
        <v>Non</v>
      </c>
      <c r="S279" s="1" t="str">
        <f>IFERROR(__xludf.DUMMYFUNCTION("""COMPUTED_VALUE"""),"Le donjon ")</f>
        <v>Le donjon </v>
      </c>
      <c r="T279" s="1" t="str">
        <f>IFERROR(__xludf.DUMMYFUNCTION("""COMPUTED_VALUE"""),"Un gant de moto")</f>
        <v>Un gant de moto</v>
      </c>
      <c r="U279" t="str">
        <f>IFERROR(__xludf.DUMMYFUNCTION("""COMPUTED_VALUE"""),"")</f>
        <v/>
      </c>
      <c r="V279" t="str">
        <f>IFERROR(__xludf.DUMMYFUNCTION("""COMPUTED_VALUE"""),"")</f>
        <v/>
      </c>
      <c r="W279" t="str">
        <f>IFERROR(__xludf.DUMMYFUNCTION("""COMPUTED_VALUE"""),"")</f>
        <v/>
      </c>
      <c r="X279" t="str">
        <f>IFERROR(__xludf.DUMMYFUNCTION("""COMPUTED_VALUE"""),"")</f>
        <v/>
      </c>
      <c r="Y279" t="str">
        <f>IFERROR(__xludf.DUMMYFUNCTION("""COMPUTED_VALUE"""),"")</f>
        <v/>
      </c>
      <c r="Z279" t="str">
        <f>IFERROR(__xludf.DUMMYFUNCTION("""COMPUTED_VALUE"""),"")</f>
        <v/>
      </c>
      <c r="AA279" t="str">
        <f>IFERROR(__xludf.DUMMYFUNCTION("""COMPUTED_VALUE"""),"")</f>
        <v/>
      </c>
      <c r="AB279" t="str">
        <f>IFERROR(__xludf.DUMMYFUNCTION("""COMPUTED_VALUE"""),"")</f>
        <v/>
      </c>
    </row>
    <row r="280">
      <c r="A280" s="2">
        <f>IFERROR(__xludf.DUMMYFUNCTION("""COMPUTED_VALUE"""),43711.75501349537)</f>
        <v>43711.75501</v>
      </c>
      <c r="B280" s="1" t="str">
        <f>IFERROR(__xludf.DUMMYFUNCTION("""COMPUTED_VALUE"""),"Maxime PATRY")</f>
        <v>Maxime PATRY</v>
      </c>
      <c r="C280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80" s="1" t="str">
        <f>IFERROR(__xludf.DUMMYFUNCTION("""COMPUTED_VALUE"""),"BDS")</f>
        <v>BDS</v>
      </c>
      <c r="E280" s="1">
        <f>IFERROR(__xludf.DUMMYFUNCTION("""COMPUTED_VALUE"""),4.0)</f>
        <v>4</v>
      </c>
      <c r="F280" s="1" t="str">
        <f>IFERROR(__xludf.DUMMYFUNCTION("""COMPUTED_VALUE"""),"Rock, Electro posée, Rap, Pop, Musique fançaise, Jazz, Musique classique")</f>
        <v>Rock, Electro posée, Rap, Pop, Musique fançaise, Jazz, Musique classique</v>
      </c>
      <c r="G280" s="1" t="str">
        <f>IFERROR(__xludf.DUMMYFUNCTION("""COMPUTED_VALUE"""),"Peinture, Sculpture, Musique, Théâtre")</f>
        <v>Peinture, Sculpture, Musique, Théâtre</v>
      </c>
      <c r="H280" s="1" t="str">
        <f>IFERROR(__xludf.DUMMYFUNCTION("""COMPUTED_VALUE"""),"Une fois de temps en temps")</f>
        <v>Une fois de temps en temps</v>
      </c>
      <c r="I280" s="1" t="str">
        <f>IFERROR(__xludf.DUMMYFUNCTION("""COMPUTED_VALUE"""),"Plusieurs fois par semaine")</f>
        <v>Plusieurs fois par semaine</v>
      </c>
      <c r="J280" s="1" t="str">
        <f>IFERROR(__xludf.DUMMYFUNCTION("""COMPUTED_VALUE"""),"Pour le développement perso et se dépasser")</f>
        <v>Pour le développement perso et se dépasser</v>
      </c>
      <c r="K280" s="1" t="str">
        <f>IFERROR(__xludf.DUMMYFUNCTION("""COMPUTED_VALUE"""),"Sports collectifs, Autre")</f>
        <v>Sports collectifs, Autre</v>
      </c>
      <c r="L280" s="1" t="str">
        <f>IFERROR(__xludf.DUMMYFUNCTION("""COMPUTED_VALUE"""),"Je fais toujours attention à bien manger")</f>
        <v>Je fais toujours attention à bien manger</v>
      </c>
      <c r="M280" s="1">
        <f>IFERROR(__xludf.DUMMYFUNCTION("""COMPUTED_VALUE"""),9.0)</f>
        <v>9</v>
      </c>
      <c r="N280" s="1" t="str">
        <f>IFERROR(__xludf.DUMMYFUNCTION("""COMPUTED_VALUE"""),"Plusieurs fois par semaine")</f>
        <v>Plusieurs fois par semaine</v>
      </c>
      <c r="O280" s="1" t="str">
        <f>IFERROR(__xludf.DUMMYFUNCTION("""COMPUTED_VALUE"""),"Tu te poses dans un coin, chill !!")</f>
        <v>Tu te poses dans un coin, chill !!</v>
      </c>
      <c r="P280" s="1">
        <f>IFERROR(__xludf.DUMMYFUNCTION("""COMPUTED_VALUE"""),4.0)</f>
        <v>4</v>
      </c>
      <c r="Q280" s="1" t="str">
        <f>IFERROR(__xludf.DUMMYFUNCTION("""COMPUTED_VALUE"""),"Non")</f>
        <v>Non</v>
      </c>
      <c r="R280" s="1" t="str">
        <f>IFERROR(__xludf.DUMMYFUNCTION("""COMPUTED_VALUE"""),"Non")</f>
        <v>Non</v>
      </c>
      <c r="S280" s="1" t="str">
        <f>IFERROR(__xludf.DUMMYFUNCTION("""COMPUTED_VALUE"""),"Le Donjon")</f>
        <v>Le Donjon</v>
      </c>
      <c r="T280" s="1" t="str">
        <f>IFERROR(__xludf.DUMMYFUNCTION("""COMPUTED_VALUE"""),"Un chien mélange entre Trump et Thanos imprimé en 3d")</f>
        <v>Un chien mélange entre Trump et Thanos imprimé en 3d</v>
      </c>
      <c r="U280" t="str">
        <f>IFERROR(__xludf.DUMMYFUNCTION("""COMPUTED_VALUE"""),"")</f>
        <v/>
      </c>
      <c r="V280" t="str">
        <f>IFERROR(__xludf.DUMMYFUNCTION("""COMPUTED_VALUE"""),"")</f>
        <v/>
      </c>
      <c r="W280" t="str">
        <f>IFERROR(__xludf.DUMMYFUNCTION("""COMPUTED_VALUE"""),"")</f>
        <v/>
      </c>
      <c r="X280" t="str">
        <f>IFERROR(__xludf.DUMMYFUNCTION("""COMPUTED_VALUE"""),"")</f>
        <v/>
      </c>
      <c r="Y280" t="str">
        <f>IFERROR(__xludf.DUMMYFUNCTION("""COMPUTED_VALUE"""),"")</f>
        <v/>
      </c>
      <c r="Z280" t="str">
        <f>IFERROR(__xludf.DUMMYFUNCTION("""COMPUTED_VALUE"""),"")</f>
        <v/>
      </c>
      <c r="AA280" t="str">
        <f>IFERROR(__xludf.DUMMYFUNCTION("""COMPUTED_VALUE"""),"")</f>
        <v/>
      </c>
      <c r="AB280" t="str">
        <f>IFERROR(__xludf.DUMMYFUNCTION("""COMPUTED_VALUE"""),"")</f>
        <v/>
      </c>
    </row>
    <row r="281">
      <c r="A281" s="2">
        <f>IFERROR(__xludf.DUMMYFUNCTION("""COMPUTED_VALUE"""),43711.76551474537)</f>
        <v>43711.76551</v>
      </c>
      <c r="B281" s="1" t="str">
        <f>IFERROR(__xludf.DUMMYFUNCTION("""COMPUTED_VALUE"""),"Selim Autones")</f>
        <v>Selim Autones</v>
      </c>
      <c r="C281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81" s="1" t="str">
        <f>IFERROR(__xludf.DUMMYFUNCTION("""COMPUTED_VALUE"""),"BDS")</f>
        <v>BDS</v>
      </c>
      <c r="E281" s="1">
        <f>IFERROR(__xludf.DUMMYFUNCTION("""COMPUTED_VALUE"""),4.0)</f>
        <v>4</v>
      </c>
      <c r="F281" s="1" t="str">
        <f>IFERROR(__xludf.DUMMYFUNCTION("""COMPUTED_VALUE"""),"Rock, Metal, Electro posée, Rap, Pop, Jazz")</f>
        <v>Rock, Metal, Electro posée, Rap, Pop, Jazz</v>
      </c>
      <c r="G281" s="1" t="str">
        <f>IFERROR(__xludf.DUMMYFUNCTION("""COMPUTED_VALUE"""),"Peinture, Musique, Cinéma")</f>
        <v>Peinture, Musique, Cinéma</v>
      </c>
      <c r="H281" s="1" t="str">
        <f>IFERROR(__xludf.DUMMYFUNCTION("""COMPUTED_VALUE"""),"Quelques fois par semaine")</f>
        <v>Quelques fois par semaine</v>
      </c>
      <c r="I281" s="1" t="str">
        <f>IFERROR(__xludf.DUMMYFUNCTION("""COMPUTED_VALUE"""),"Plusieurs fois par semaine")</f>
        <v>Plusieurs fois par semaine</v>
      </c>
      <c r="J281" s="1" t="str">
        <f>IFERROR(__xludf.DUMMYFUNCTION("""COMPUTED_VALUE"""),"Pour le développement perso et se dépasser")</f>
        <v>Pour le développement perso et se dépasser</v>
      </c>
      <c r="K281" s="1" t="str">
        <f>IFERROR(__xludf.DUMMYFUNCTION("""COMPUTED_VALUE"""),"Sports collectifs, Sports aquatiques, Autre")</f>
        <v>Sports collectifs, Sports aquatiques, Autre</v>
      </c>
      <c r="L281" s="1" t="str">
        <f>IFERROR(__xludf.DUMMYFUNCTION("""COMPUTED_VALUE"""),"Je fais toujours attention à bien manger")</f>
        <v>Je fais toujours attention à bien manger</v>
      </c>
      <c r="M281" s="1">
        <f>IFERROR(__xludf.DUMMYFUNCTION("""COMPUTED_VALUE"""),8.0)</f>
        <v>8</v>
      </c>
      <c r="N281" s="1" t="str">
        <f>IFERROR(__xludf.DUMMYFUNCTION("""COMPUTED_VALUE"""),"Plusieurs fois par semaine")</f>
        <v>Plusieurs fois par semaine</v>
      </c>
      <c r="O281" s="1" t="str">
        <f>IFERROR(__xludf.DUMMYFUNCTION("""COMPUTED_VALUE"""),"Tu te poses dans un coin, chill !!")</f>
        <v>Tu te poses dans un coin, chill !!</v>
      </c>
      <c r="P281" s="1">
        <f>IFERROR(__xludf.DUMMYFUNCTION("""COMPUTED_VALUE"""),5.0)</f>
        <v>5</v>
      </c>
      <c r="Q281" s="1" t="str">
        <f>IFERROR(__xludf.DUMMYFUNCTION("""COMPUTED_VALUE"""),"Oui")</f>
        <v>Oui</v>
      </c>
      <c r="R281" s="1" t="str">
        <f>IFERROR(__xludf.DUMMYFUNCTION("""COMPUTED_VALUE"""),"Non")</f>
        <v>Non</v>
      </c>
      <c r="S281" s="1" t="str">
        <f>IFERROR(__xludf.DUMMYFUNCTION("""COMPUTED_VALUE"""),"L'Alliance")</f>
        <v>L'Alliance</v>
      </c>
      <c r="T281" s="1" t="str">
        <f>IFERROR(__xludf.DUMMYFUNCTION("""COMPUTED_VALUE"""),"Pull sporla")</f>
        <v>Pull sporla</v>
      </c>
      <c r="U281" t="str">
        <f>IFERROR(__xludf.DUMMYFUNCTION("""COMPUTED_VALUE"""),"")</f>
        <v/>
      </c>
      <c r="V281" t="str">
        <f>IFERROR(__xludf.DUMMYFUNCTION("""COMPUTED_VALUE"""),"")</f>
        <v/>
      </c>
      <c r="W281" t="str">
        <f>IFERROR(__xludf.DUMMYFUNCTION("""COMPUTED_VALUE"""),"")</f>
        <v/>
      </c>
      <c r="X281" t="str">
        <f>IFERROR(__xludf.DUMMYFUNCTION("""COMPUTED_VALUE"""),"")</f>
        <v/>
      </c>
      <c r="Y281" t="str">
        <f>IFERROR(__xludf.DUMMYFUNCTION("""COMPUTED_VALUE"""),"")</f>
        <v/>
      </c>
      <c r="Z281" t="str">
        <f>IFERROR(__xludf.DUMMYFUNCTION("""COMPUTED_VALUE"""),"")</f>
        <v/>
      </c>
      <c r="AA281" t="str">
        <f>IFERROR(__xludf.DUMMYFUNCTION("""COMPUTED_VALUE"""),"")</f>
        <v/>
      </c>
      <c r="AB281" t="str">
        <f>IFERROR(__xludf.DUMMYFUNCTION("""COMPUTED_VALUE"""),"")</f>
        <v/>
      </c>
    </row>
    <row r="282">
      <c r="A282" s="2">
        <f>IFERROR(__xludf.DUMMYFUNCTION("""COMPUTED_VALUE"""),43711.76913006944)</f>
        <v>43711.76913</v>
      </c>
      <c r="B282" s="1" t="str">
        <f>IFERROR(__xludf.DUMMYFUNCTION("""COMPUTED_VALUE"""),"Arthur")</f>
        <v>Arthur</v>
      </c>
      <c r="C282" s="1" t="str">
        <f>IFERROR(__xludf.DUMMYFUNCTION("""COMPUTED_VALUE"""),"Le président et un inconnu")</f>
        <v>Le président et un inconnu</v>
      </c>
      <c r="D282" s="1" t="str">
        <f>IFERROR(__xludf.DUMMYFUNCTION("""COMPUTED_VALUE"""),"BDE")</f>
        <v>BDE</v>
      </c>
      <c r="E282" s="1">
        <f>IFERROR(__xludf.DUMMYFUNCTION("""COMPUTED_VALUE"""),4.0)</f>
        <v>4</v>
      </c>
      <c r="F282" s="1" t="str">
        <f>IFERROR(__xludf.DUMMYFUNCTION("""COMPUTED_VALUE"""),"Rap, Pop, Musique fançaise, Musique classique")</f>
        <v>Rap, Pop, Musique fançaise, Musique classique</v>
      </c>
      <c r="G282" s="1" t="str">
        <f>IFERROR(__xludf.DUMMYFUNCTION("""COMPUTED_VALUE"""),"Littérature, Musique, Théâtre, Cinéma")</f>
        <v>Littérature, Musique, Théâtre, Cinéma</v>
      </c>
      <c r="H282" s="1" t="str">
        <f>IFERROR(__xludf.DUMMYFUNCTION("""COMPUTED_VALUE"""),"Une fois de temps en temps")</f>
        <v>Une fois de temps en temps</v>
      </c>
      <c r="I282" s="1" t="str">
        <f>IFERROR(__xludf.DUMMYFUNCTION("""COMPUTED_VALUE"""),"Une fois par jour")</f>
        <v>Une fois par jour</v>
      </c>
      <c r="J282" s="1" t="str">
        <f>IFERROR(__xludf.DUMMYFUNCTION("""COMPUTED_VALUE"""),"Pour la compet")</f>
        <v>Pour la compet</v>
      </c>
      <c r="K282" s="1" t="str">
        <f>IFERROR(__xludf.DUMMYFUNCTION("""COMPUTED_VALUE"""),"Sports collectifs, Voile, Sports aquatiques, Autre")</f>
        <v>Sports collectifs, Voile, Sports aquatiques, Autre</v>
      </c>
      <c r="L282" s="1" t="str">
        <f>IFERROR(__xludf.DUMMYFUNCTION("""COMPUTED_VALUE"""),"J'aime cuisiner le WE ou quand j'ai le temps")</f>
        <v>J'aime cuisiner le WE ou quand j'ai le temps</v>
      </c>
      <c r="M282" s="1">
        <f>IFERROR(__xludf.DUMMYFUNCTION("""COMPUTED_VALUE"""),1.0)</f>
        <v>1</v>
      </c>
      <c r="N282" s="1" t="str">
        <f>IFERROR(__xludf.DUMMYFUNCTION("""COMPUTED_VALUE"""),"Plusieurs fois par semaine")</f>
        <v>Plusieurs fois par semaine</v>
      </c>
      <c r="O282" s="1" t="str">
        <f>IFERROR(__xludf.DUMMYFUNCTION("""COMPUTED_VALUE"""),"T'enflammes le dancefloor")</f>
        <v>T'enflammes le dancefloor</v>
      </c>
      <c r="P282" s="1">
        <f>IFERROR(__xludf.DUMMYFUNCTION("""COMPUTED_VALUE"""),1.0)</f>
        <v>1</v>
      </c>
      <c r="Q282" s="1" t="str">
        <f>IFERROR(__xludf.DUMMYFUNCTION("""COMPUTED_VALUE"""),"Non")</f>
        <v>Non</v>
      </c>
      <c r="R282" s="1" t="str">
        <f>IFERROR(__xludf.DUMMYFUNCTION("""COMPUTED_VALUE"""),"Non")</f>
        <v>Non</v>
      </c>
      <c r="S282" s="1" t="str">
        <f>IFERROR(__xludf.DUMMYFUNCTION("""COMPUTED_VALUE"""),"Aspero")</f>
        <v>Aspero</v>
      </c>
      <c r="T282" s="1" t="str">
        <f>IFERROR(__xludf.DUMMYFUNCTION("""COMPUTED_VALUE"""),"Une banane")</f>
        <v>Une banane</v>
      </c>
      <c r="U282" t="str">
        <f>IFERROR(__xludf.DUMMYFUNCTION("""COMPUTED_VALUE"""),"")</f>
        <v/>
      </c>
      <c r="V282" t="str">
        <f>IFERROR(__xludf.DUMMYFUNCTION("""COMPUTED_VALUE"""),"")</f>
        <v/>
      </c>
      <c r="W282" t="str">
        <f>IFERROR(__xludf.DUMMYFUNCTION("""COMPUTED_VALUE"""),"")</f>
        <v/>
      </c>
      <c r="X282" t="str">
        <f>IFERROR(__xludf.DUMMYFUNCTION("""COMPUTED_VALUE"""),"")</f>
        <v/>
      </c>
      <c r="Y282" t="str">
        <f>IFERROR(__xludf.DUMMYFUNCTION("""COMPUTED_VALUE"""),"")</f>
        <v/>
      </c>
      <c r="Z282" t="str">
        <f>IFERROR(__xludf.DUMMYFUNCTION("""COMPUTED_VALUE"""),"")</f>
        <v/>
      </c>
      <c r="AA282" t="str">
        <f>IFERROR(__xludf.DUMMYFUNCTION("""COMPUTED_VALUE"""),"")</f>
        <v/>
      </c>
      <c r="AB282" t="str">
        <f>IFERROR(__xludf.DUMMYFUNCTION("""COMPUTED_VALUE"""),"")</f>
        <v/>
      </c>
    </row>
    <row r="283">
      <c r="A283" s="2">
        <f>IFERROR(__xludf.DUMMYFUNCTION("""COMPUTED_VALUE"""),43711.77545311343)</f>
        <v>43711.77545</v>
      </c>
      <c r="B283" s="1" t="str">
        <f>IFERROR(__xludf.DUMMYFUNCTION("""COMPUTED_VALUE"""),"Mathurin Schneider")</f>
        <v>Mathurin Schneider</v>
      </c>
      <c r="C283" s="1" t="str">
        <f>IFERROR(__xludf.DUMMYFUNCTION("""COMPUTED_VALUE"""),"Le président et un inconnu")</f>
        <v>Le président et un inconnu</v>
      </c>
      <c r="D283" s="1" t="str">
        <f>IFERROR(__xludf.DUMMYFUNCTION("""COMPUTED_VALUE"""),"BDE")</f>
        <v>BDE</v>
      </c>
      <c r="E283" s="1">
        <f>IFERROR(__xludf.DUMMYFUNCTION("""COMPUTED_VALUE"""),2.0)</f>
        <v>2</v>
      </c>
      <c r="F283" s="1" t="str">
        <f>IFERROR(__xludf.DUMMYFUNCTION("""COMPUTED_VALUE"""),"Autre")</f>
        <v>Autre</v>
      </c>
      <c r="G283" s="1" t="str">
        <f>IFERROR(__xludf.DUMMYFUNCTION("""COMPUTED_VALUE"""),"Peinture, Musique, Graphisme")</f>
        <v>Peinture, Musique, Graphisme</v>
      </c>
      <c r="H283" s="1" t="str">
        <f>IFERROR(__xludf.DUMMYFUNCTION("""COMPUTED_VALUE"""),"Quelques fois par semaine")</f>
        <v>Quelques fois par semaine</v>
      </c>
      <c r="I283" s="1" t="str">
        <f>IFERROR(__xludf.DUMMYFUNCTION("""COMPUTED_VALUE"""),"Plusieurs fois par semaine")</f>
        <v>Plusieurs fois par semaine</v>
      </c>
      <c r="J283" s="1" t="str">
        <f>IFERROR(__xludf.DUMMYFUNCTION("""COMPUTED_VALUE"""),"Pour le fun")</f>
        <v>Pour le fun</v>
      </c>
      <c r="K283" s="1" t="str">
        <f>IFERROR(__xludf.DUMMYFUNCTION("""COMPUTED_VALUE"""),"Sports collectifs")</f>
        <v>Sports collectifs</v>
      </c>
      <c r="L283" s="1" t="str">
        <f>IFERROR(__xludf.DUMMYFUNCTION("""COMPUTED_VALUE"""),"J'aime cuisiner le WE ou quand j'ai le temps")</f>
        <v>J'aime cuisiner le WE ou quand j'ai le temps</v>
      </c>
      <c r="M283" s="1">
        <f>IFERROR(__xludf.DUMMYFUNCTION("""COMPUTED_VALUE"""),7.0)</f>
        <v>7</v>
      </c>
      <c r="N283" s="1" t="str">
        <f>IFERROR(__xludf.DUMMYFUNCTION("""COMPUTED_VALUE"""),"Une fois par semaine")</f>
        <v>Une fois par semaine</v>
      </c>
      <c r="O283" s="1" t="str">
        <f>IFERROR(__xludf.DUMMYFUNCTION("""COMPUTED_VALUE"""),"T'enflammes le dancefloor")</f>
        <v>T'enflammes le dancefloor</v>
      </c>
      <c r="P283" s="1">
        <f>IFERROR(__xludf.DUMMYFUNCTION("""COMPUTED_VALUE"""),2.0)</f>
        <v>2</v>
      </c>
      <c r="Q283" s="1" t="str">
        <f>IFERROR(__xludf.DUMMYFUNCTION("""COMPUTED_VALUE"""),"Non")</f>
        <v>Non</v>
      </c>
      <c r="R283" s="1" t="str">
        <f>IFERROR(__xludf.DUMMYFUNCTION("""COMPUTED_VALUE"""),"Non")</f>
        <v>Non</v>
      </c>
      <c r="S283" s="1" t="str">
        <f>IFERROR(__xludf.DUMMYFUNCTION("""COMPUTED_VALUE"""),"Les fortiches")</f>
        <v>Les fortiches</v>
      </c>
      <c r="T283" s="1" t="str">
        <f>IFERROR(__xludf.DUMMYFUNCTION("""COMPUTED_VALUE"""),"Un truc en rapport avec les graffitis, une bombe ou un truc du genre !")</f>
        <v>Un truc en rapport avec les graffitis, une bombe ou un truc du genre !</v>
      </c>
      <c r="U283" t="str">
        <f>IFERROR(__xludf.DUMMYFUNCTION("""COMPUTED_VALUE"""),"")</f>
        <v/>
      </c>
      <c r="V283" t="str">
        <f>IFERROR(__xludf.DUMMYFUNCTION("""COMPUTED_VALUE"""),"")</f>
        <v/>
      </c>
      <c r="W283" t="str">
        <f>IFERROR(__xludf.DUMMYFUNCTION("""COMPUTED_VALUE"""),"")</f>
        <v/>
      </c>
      <c r="X283" t="str">
        <f>IFERROR(__xludf.DUMMYFUNCTION("""COMPUTED_VALUE"""),"")</f>
        <v/>
      </c>
      <c r="Y283" t="str">
        <f>IFERROR(__xludf.DUMMYFUNCTION("""COMPUTED_VALUE"""),"")</f>
        <v/>
      </c>
      <c r="Z283" t="str">
        <f>IFERROR(__xludf.DUMMYFUNCTION("""COMPUTED_VALUE"""),"")</f>
        <v/>
      </c>
      <c r="AA283" t="str">
        <f>IFERROR(__xludf.DUMMYFUNCTION("""COMPUTED_VALUE"""),"")</f>
        <v/>
      </c>
      <c r="AB283" t="str">
        <f>IFERROR(__xludf.DUMMYFUNCTION("""COMPUTED_VALUE"""),"")</f>
        <v/>
      </c>
    </row>
    <row r="284">
      <c r="A284" s="2">
        <f>IFERROR(__xludf.DUMMYFUNCTION("""COMPUTED_VALUE"""),43711.85146293981)</f>
        <v>43711.85146</v>
      </c>
      <c r="B284" s="1" t="str">
        <f>IFERROR(__xludf.DUMMYFUNCTION("""COMPUTED_VALUE"""),"KONATE")</f>
        <v>KONATE</v>
      </c>
      <c r="C284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84" s="1" t="str">
        <f>IFERROR(__xludf.DUMMYFUNCTION("""COMPUTED_VALUE"""),"BDS")</f>
        <v>BDS</v>
      </c>
      <c r="E284" s="1">
        <f>IFERROR(__xludf.DUMMYFUNCTION("""COMPUTED_VALUE"""),3.0)</f>
        <v>3</v>
      </c>
      <c r="F284" s="1" t="str">
        <f>IFERROR(__xludf.DUMMYFUNCTION("""COMPUTED_VALUE"""),"Electro posée, Rap, Pop, Musique fançaise")</f>
        <v>Electro posée, Rap, Pop, Musique fançaise</v>
      </c>
      <c r="G284" s="1" t="str">
        <f>IFERROR(__xludf.DUMMYFUNCTION("""COMPUTED_VALUE"""),"Peinture, Littérature, Musique")</f>
        <v>Peinture, Littérature, Musique</v>
      </c>
      <c r="H284" s="1" t="str">
        <f>IFERROR(__xludf.DUMMYFUNCTION("""COMPUTED_VALUE"""),"Seulement les soirs de pleine lune")</f>
        <v>Seulement les soirs de pleine lune</v>
      </c>
      <c r="I284" s="1" t="str">
        <f>IFERROR(__xludf.DUMMYFUNCTION("""COMPUTED_VALUE"""),"Une fois par semaine")</f>
        <v>Une fois par semaine</v>
      </c>
      <c r="J284" s="1" t="str">
        <f>IFERROR(__xludf.DUMMYFUNCTION("""COMPUTED_VALUE"""),"Pour le développement perso et se dépasser")</f>
        <v>Pour le développement perso et se dépasser</v>
      </c>
      <c r="K284" s="1" t="str">
        <f>IFERROR(__xludf.DUMMYFUNCTION("""COMPUTED_VALUE"""),"Athlétisme, Sports de combat")</f>
        <v>Athlétisme, Sports de combat</v>
      </c>
      <c r="L284" s="1" t="str">
        <f>IFERROR(__xludf.DUMMYFUNCTION("""COMPUTED_VALUE"""),"Je fais toujours attention à bien manger")</f>
        <v>Je fais toujours attention à bien manger</v>
      </c>
      <c r="M284" s="1">
        <f>IFERROR(__xludf.DUMMYFUNCTION("""COMPUTED_VALUE"""),6.0)</f>
        <v>6</v>
      </c>
      <c r="N284" s="1" t="str">
        <f>IFERROR(__xludf.DUMMYFUNCTION("""COMPUTED_VALUE"""),"Plusieurs fois par semaine")</f>
        <v>Plusieurs fois par semaine</v>
      </c>
      <c r="O284" s="1" t="str">
        <f>IFERROR(__xludf.DUMMYFUNCTION("""COMPUTED_VALUE"""),"T'enflammes le dancefloor")</f>
        <v>T'enflammes le dancefloor</v>
      </c>
      <c r="P284" s="1">
        <f>IFERROR(__xludf.DUMMYFUNCTION("""COMPUTED_VALUE"""),2.0)</f>
        <v>2</v>
      </c>
      <c r="Q284" s="1" t="str">
        <f>IFERROR(__xludf.DUMMYFUNCTION("""COMPUTED_VALUE"""),"Non")</f>
        <v>Non</v>
      </c>
      <c r="R284" s="1" t="str">
        <f>IFERROR(__xludf.DUMMYFUNCTION("""COMPUTED_VALUE"""),"Non")</f>
        <v>Non</v>
      </c>
      <c r="S284" s="1" t="str">
        <f>IFERROR(__xludf.DUMMYFUNCTION("""COMPUTED_VALUE"""),"La 4 étoiles")</f>
        <v>La 4 étoiles</v>
      </c>
      <c r="T284" s="1" t="str">
        <f>IFERROR(__xludf.DUMMYFUNCTION("""COMPUTED_VALUE"""),"Une bouteille de monbazillac")</f>
        <v>Une bouteille de monbazillac</v>
      </c>
      <c r="U284" t="str">
        <f>IFERROR(__xludf.DUMMYFUNCTION("""COMPUTED_VALUE"""),"")</f>
        <v/>
      </c>
      <c r="V284" t="str">
        <f>IFERROR(__xludf.DUMMYFUNCTION("""COMPUTED_VALUE"""),"")</f>
        <v/>
      </c>
      <c r="W284" t="str">
        <f>IFERROR(__xludf.DUMMYFUNCTION("""COMPUTED_VALUE"""),"")</f>
        <v/>
      </c>
      <c r="X284" t="str">
        <f>IFERROR(__xludf.DUMMYFUNCTION("""COMPUTED_VALUE"""),"")</f>
        <v/>
      </c>
      <c r="Y284" t="str">
        <f>IFERROR(__xludf.DUMMYFUNCTION("""COMPUTED_VALUE"""),"")</f>
        <v/>
      </c>
      <c r="Z284" t="str">
        <f>IFERROR(__xludf.DUMMYFUNCTION("""COMPUTED_VALUE"""),"")</f>
        <v/>
      </c>
      <c r="AA284" t="str">
        <f>IFERROR(__xludf.DUMMYFUNCTION("""COMPUTED_VALUE"""),"")</f>
        <v/>
      </c>
      <c r="AB284" t="str">
        <f>IFERROR(__xludf.DUMMYFUNCTION("""COMPUTED_VALUE"""),"")</f>
        <v/>
      </c>
    </row>
    <row r="285">
      <c r="A285" s="2">
        <f>IFERROR(__xludf.DUMMYFUNCTION("""COMPUTED_VALUE"""),43711.890276921295)</f>
        <v>43711.89028</v>
      </c>
      <c r="B285" s="1" t="str">
        <f>IFERROR(__xludf.DUMMYFUNCTION("""COMPUTED_VALUE"""),"Alexandre FOSSORIER")</f>
        <v>Alexandre FOSSORIER</v>
      </c>
      <c r="C285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85" s="1" t="str">
        <f>IFERROR(__xludf.DUMMYFUNCTION("""COMPUTED_VALUE"""),"BDS")</f>
        <v>BDS</v>
      </c>
      <c r="E285" s="1">
        <f>IFERROR(__xludf.DUMMYFUNCTION("""COMPUTED_VALUE"""),3.0)</f>
        <v>3</v>
      </c>
      <c r="F285" s="1" t="str">
        <f>IFERROR(__xludf.DUMMYFUNCTION("""COMPUTED_VALUE"""),"Rap, Musique fançaise")</f>
        <v>Rap, Musique fançaise</v>
      </c>
      <c r="G285" s="1" t="str">
        <f>IFERROR(__xludf.DUMMYFUNCTION("""COMPUTED_VALUE"""),"Pas du tout")</f>
        <v>Pas du tout</v>
      </c>
      <c r="H285" s="1" t="str">
        <f>IFERROR(__xludf.DUMMYFUNCTION("""COMPUTED_VALUE"""),"Seulement les soirs de pleine lune")</f>
        <v>Seulement les soirs de pleine lune</v>
      </c>
      <c r="I285" s="1" t="str">
        <f>IFERROR(__xludf.DUMMYFUNCTION("""COMPUTED_VALUE"""),"Plusieurs fois par semaine")</f>
        <v>Plusieurs fois par semaine</v>
      </c>
      <c r="J285" s="1" t="str">
        <f>IFERROR(__xludf.DUMMYFUNCTION("""COMPUTED_VALUE"""),"Pour le fun")</f>
        <v>Pour le fun</v>
      </c>
      <c r="K285" s="1" t="str">
        <f>IFERROR(__xludf.DUMMYFUNCTION("""COMPUTED_VALUE"""),"Sports de raquette")</f>
        <v>Sports de raquette</v>
      </c>
      <c r="L285" s="1" t="str">
        <f>IFERROR(__xludf.DUMMYFUNCTION("""COMPUTED_VALUE"""),"Oh oui, et les trucs bien gras ça me connait !")</f>
        <v>Oh oui, et les trucs bien gras ça me connait !</v>
      </c>
      <c r="M285" s="1">
        <f>IFERROR(__xludf.DUMMYFUNCTION("""COMPUTED_VALUE"""),8.0)</f>
        <v>8</v>
      </c>
      <c r="N285" s="1" t="str">
        <f>IFERROR(__xludf.DUMMYFUNCTION("""COMPUTED_VALUE"""),"Plusieurs fois par semaine")</f>
        <v>Plusieurs fois par semaine</v>
      </c>
      <c r="O285" s="1" t="str">
        <f>IFERROR(__xludf.DUMMYFUNCTION("""COMPUTED_VALUE"""),"Tu te poses dans un coin, chill !!")</f>
        <v>Tu te poses dans un coin, chill !!</v>
      </c>
      <c r="P285" s="1">
        <f>IFERROR(__xludf.DUMMYFUNCTION("""COMPUTED_VALUE"""),1.0)</f>
        <v>1</v>
      </c>
      <c r="Q285" s="1" t="str">
        <f>IFERROR(__xludf.DUMMYFUNCTION("""COMPUTED_VALUE"""),"Oui")</f>
        <v>Oui</v>
      </c>
      <c r="R285" s="1" t="str">
        <f>IFERROR(__xludf.DUMMYFUNCTION("""COMPUTED_VALUE"""),"Non")</f>
        <v>Non</v>
      </c>
      <c r="S285" s="1" t="str">
        <f>IFERROR(__xludf.DUMMYFUNCTION("""COMPUTED_VALUE"""),"Les 6 salopards")</f>
        <v>Les 6 salopards</v>
      </c>
      <c r="T285" s="1" t="str">
        <f>IFERROR(__xludf.DUMMYFUNCTION("""COMPUTED_VALUE"""),"Mystère ")</f>
        <v>Mystère </v>
      </c>
      <c r="U285" t="str">
        <f>IFERROR(__xludf.DUMMYFUNCTION("""COMPUTED_VALUE"""),"")</f>
        <v/>
      </c>
      <c r="V285" t="str">
        <f>IFERROR(__xludf.DUMMYFUNCTION("""COMPUTED_VALUE"""),"")</f>
        <v/>
      </c>
      <c r="W285" t="str">
        <f>IFERROR(__xludf.DUMMYFUNCTION("""COMPUTED_VALUE"""),"")</f>
        <v/>
      </c>
      <c r="X285" t="str">
        <f>IFERROR(__xludf.DUMMYFUNCTION("""COMPUTED_VALUE"""),"")</f>
        <v/>
      </c>
      <c r="Y285" t="str">
        <f>IFERROR(__xludf.DUMMYFUNCTION("""COMPUTED_VALUE"""),"")</f>
        <v/>
      </c>
      <c r="Z285" t="str">
        <f>IFERROR(__xludf.DUMMYFUNCTION("""COMPUTED_VALUE"""),"")</f>
        <v/>
      </c>
      <c r="AA285" t="str">
        <f>IFERROR(__xludf.DUMMYFUNCTION("""COMPUTED_VALUE"""),"")</f>
        <v/>
      </c>
      <c r="AB285" t="str">
        <f>IFERROR(__xludf.DUMMYFUNCTION("""COMPUTED_VALUE"""),"")</f>
        <v/>
      </c>
    </row>
    <row r="286">
      <c r="A286" s="2">
        <f>IFERROR(__xludf.DUMMYFUNCTION("""COMPUTED_VALUE"""),43711.913661388884)</f>
        <v>43711.91366</v>
      </c>
      <c r="B286" s="1" t="str">
        <f>IFERROR(__xludf.DUMMYFUNCTION("""COMPUTED_VALUE"""),"Werner")</f>
        <v>Werner</v>
      </c>
      <c r="C286" s="1" t="str">
        <f>IFERROR(__xludf.DUMMYFUNCTION("""COMPUTED_VALUE"""),"Deux inconnus")</f>
        <v>Deux inconnus</v>
      </c>
      <c r="D286" s="1" t="str">
        <f>IFERROR(__xludf.DUMMYFUNCTION("""COMPUTED_VALUE"""),"BDS")</f>
        <v>BDS</v>
      </c>
      <c r="E286" s="1">
        <f>IFERROR(__xludf.DUMMYFUNCTION("""COMPUTED_VALUE"""),1.0)</f>
        <v>1</v>
      </c>
      <c r="F286" s="1" t="str">
        <f>IFERROR(__xludf.DUMMYFUNCTION("""COMPUTED_VALUE"""),"Rock, Electro posée, Electro hard, Musique classique")</f>
        <v>Rock, Electro posée, Electro hard, Musique classique</v>
      </c>
      <c r="G286" s="1" t="str">
        <f>IFERROR(__xludf.DUMMYFUNCTION("""COMPUTED_VALUE"""),"Littérature, Danse, Musique, Cinéma, Graphisme")</f>
        <v>Littérature, Danse, Musique, Cinéma, Graphisme</v>
      </c>
      <c r="H286" s="1" t="str">
        <f>IFERROR(__xludf.DUMMYFUNCTION("""COMPUTED_VALUE"""),"Seulement les soirs de pleine lune")</f>
        <v>Seulement les soirs de pleine lune</v>
      </c>
      <c r="I286" s="1" t="str">
        <f>IFERROR(__xludf.DUMMYFUNCTION("""COMPUTED_VALUE"""),"Le dimanche à 15h32 s'il fait beau")</f>
        <v>Le dimanche à 15h32 s'il fait beau</v>
      </c>
      <c r="J286" s="1" t="str">
        <f>IFERROR(__xludf.DUMMYFUNCTION("""COMPUTED_VALUE"""),"Pour les autres")</f>
        <v>Pour les autres</v>
      </c>
      <c r="K286" s="1" t="str">
        <f>IFERROR(__xludf.DUMMYFUNCTION("""COMPUTED_VALUE"""),"Sports de rames, Autre")</f>
        <v>Sports de rames, Autre</v>
      </c>
      <c r="L286" s="1" t="str">
        <f>IFERROR(__xludf.DUMMYFUNCTION("""COMPUTED_VALUE"""),"Alterner entre grec et coquillettes ça compte ?")</f>
        <v>Alterner entre grec et coquillettes ça compte ?</v>
      </c>
      <c r="M286" s="1">
        <f>IFERROR(__xludf.DUMMYFUNCTION("""COMPUTED_VALUE"""),1.0)</f>
        <v>1</v>
      </c>
      <c r="N286" s="1" t="str">
        <f>IFERROR(__xludf.DUMMYFUNCTION("""COMPUTED_VALUE"""),"Une fois par jour (voire plus)")</f>
        <v>Une fois par jour (voire plus)</v>
      </c>
      <c r="O286" s="1" t="str">
        <f>IFERROR(__xludf.DUMMYFUNCTION("""COMPUTED_VALUE"""),"Objectif grosse défonce")</f>
        <v>Objectif grosse défonce</v>
      </c>
      <c r="P286" s="1">
        <f>IFERROR(__xludf.DUMMYFUNCTION("""COMPUTED_VALUE"""),1.0)</f>
        <v>1</v>
      </c>
      <c r="Q286" s="1" t="str">
        <f>IFERROR(__xludf.DUMMYFUNCTION("""COMPUTED_VALUE"""),"Non")</f>
        <v>Non</v>
      </c>
      <c r="R286" s="1" t="str">
        <f>IFERROR(__xludf.DUMMYFUNCTION("""COMPUTED_VALUE"""),"Non")</f>
        <v>Non</v>
      </c>
      <c r="S286" s="1" t="str">
        <f>IFERROR(__xludf.DUMMYFUNCTION("""COMPUTED_VALUE"""),"l'Alliance")</f>
        <v>l'Alliance</v>
      </c>
      <c r="T286" s="1" t="str">
        <f>IFERROR(__xludf.DUMMYFUNCTION("""COMPUTED_VALUE"""),"un cheveu de Poitou :o ")</f>
        <v>un cheveu de Poitou :o </v>
      </c>
      <c r="U286" t="str">
        <f>IFERROR(__xludf.DUMMYFUNCTION("""COMPUTED_VALUE"""),"")</f>
        <v/>
      </c>
      <c r="V286" t="str">
        <f>IFERROR(__xludf.DUMMYFUNCTION("""COMPUTED_VALUE"""),"")</f>
        <v/>
      </c>
      <c r="W286" t="str">
        <f>IFERROR(__xludf.DUMMYFUNCTION("""COMPUTED_VALUE"""),"")</f>
        <v/>
      </c>
      <c r="X286" t="str">
        <f>IFERROR(__xludf.DUMMYFUNCTION("""COMPUTED_VALUE"""),"")</f>
        <v/>
      </c>
      <c r="Y286" t="str">
        <f>IFERROR(__xludf.DUMMYFUNCTION("""COMPUTED_VALUE"""),"")</f>
        <v/>
      </c>
      <c r="Z286" t="str">
        <f>IFERROR(__xludf.DUMMYFUNCTION("""COMPUTED_VALUE"""),"")</f>
        <v/>
      </c>
      <c r="AA286" t="str">
        <f>IFERROR(__xludf.DUMMYFUNCTION("""COMPUTED_VALUE"""),"")</f>
        <v/>
      </c>
      <c r="AB286" t="str">
        <f>IFERROR(__xludf.DUMMYFUNCTION("""COMPUTED_VALUE"""),"")</f>
        <v/>
      </c>
    </row>
    <row r="287">
      <c r="A287" s="2">
        <f>IFERROR(__xludf.DUMMYFUNCTION("""COMPUTED_VALUE"""),43712.24018807871)</f>
        <v>43712.24019</v>
      </c>
      <c r="B287" s="1" t="str">
        <f>IFERROR(__xludf.DUMMYFUNCTION("""COMPUTED_VALUE"""),"Paniez")</f>
        <v>Paniez</v>
      </c>
      <c r="C287" s="1" t="str">
        <f>IFERROR(__xludf.DUMMYFUNCTION("""COMPUTED_VALUE"""),"Deux inconnus")</f>
        <v>Deux inconnus</v>
      </c>
      <c r="D287" s="1" t="str">
        <f>IFERROR(__xludf.DUMMYFUNCTION("""COMPUTED_VALUE"""),"BDS")</f>
        <v>BDS</v>
      </c>
      <c r="E287" s="1">
        <f>IFERROR(__xludf.DUMMYFUNCTION("""COMPUTED_VALUE"""),2.0)</f>
        <v>2</v>
      </c>
      <c r="F287" s="1" t="str">
        <f>IFERROR(__xludf.DUMMYFUNCTION("""COMPUTED_VALUE"""),"Rock, Electro posée, Rap")</f>
        <v>Rock, Electro posée, Rap</v>
      </c>
      <c r="G287" s="1" t="str">
        <f>IFERROR(__xludf.DUMMYFUNCTION("""COMPUTED_VALUE"""),"Sculpture, Théâtre, Cinéma")</f>
        <v>Sculpture, Théâtre, Cinéma</v>
      </c>
      <c r="H287" s="1" t="str">
        <f>IFERROR(__xludf.DUMMYFUNCTION("""COMPUTED_VALUE"""),"Quelques fois par semaine")</f>
        <v>Quelques fois par semaine</v>
      </c>
      <c r="I287" s="1" t="str">
        <f>IFERROR(__xludf.DUMMYFUNCTION("""COMPUTED_VALUE"""),"Plusieurs fois par semaine")</f>
        <v>Plusieurs fois par semaine</v>
      </c>
      <c r="J287" s="1" t="str">
        <f>IFERROR(__xludf.DUMMYFUNCTION("""COMPUTED_VALUE"""),"Pour le développement perso et se dépasser")</f>
        <v>Pour le développement perso et se dépasser</v>
      </c>
      <c r="K287" s="1" t="str">
        <f>IFERROR(__xludf.DUMMYFUNCTION("""COMPUTED_VALUE"""),"Sports collectifs, Autre")</f>
        <v>Sports collectifs, Autre</v>
      </c>
      <c r="L287" s="1" t="str">
        <f>IFERROR(__xludf.DUMMYFUNCTION("""COMPUTED_VALUE"""),"Je fais toujours attention à bien manger")</f>
        <v>Je fais toujours attention à bien manger</v>
      </c>
      <c r="M287" s="1">
        <f>IFERROR(__xludf.DUMMYFUNCTION("""COMPUTED_VALUE"""),7.0)</f>
        <v>7</v>
      </c>
      <c r="N287" s="1" t="str">
        <f>IFERROR(__xludf.DUMMYFUNCTION("""COMPUTED_VALUE"""),"Une fois par semaine")</f>
        <v>Une fois par semaine</v>
      </c>
      <c r="O287" s="1" t="str">
        <f>IFERROR(__xludf.DUMMYFUNCTION("""COMPUTED_VALUE"""),"Tu te poses dans un coin, chill !!")</f>
        <v>Tu te poses dans un coin, chill !!</v>
      </c>
      <c r="P287" s="1">
        <f>IFERROR(__xludf.DUMMYFUNCTION("""COMPUTED_VALUE"""),2.0)</f>
        <v>2</v>
      </c>
      <c r="Q287" s="1" t="str">
        <f>IFERROR(__xludf.DUMMYFUNCTION("""COMPUTED_VALUE"""),"Oui")</f>
        <v>Oui</v>
      </c>
      <c r="R287" s="1" t="str">
        <f>IFERROR(__xludf.DUMMYFUNCTION("""COMPUTED_VALUE"""),"Non")</f>
        <v>Non</v>
      </c>
      <c r="S287" s="1" t="str">
        <f>IFERROR(__xludf.DUMMYFUNCTION("""COMPUTED_VALUE"""),"Parrainplégique ")</f>
        <v>Parrainplégique </v>
      </c>
      <c r="T287" s="1" t="str">
        <f>IFERROR(__xludf.DUMMYFUNCTION("""COMPUTED_VALUE"""),"Une table")</f>
        <v>Une table</v>
      </c>
      <c r="U287" t="str">
        <f>IFERROR(__xludf.DUMMYFUNCTION("""COMPUTED_VALUE"""),"")</f>
        <v/>
      </c>
      <c r="V287" t="str">
        <f>IFERROR(__xludf.DUMMYFUNCTION("""COMPUTED_VALUE"""),"")</f>
        <v/>
      </c>
      <c r="W287" t="str">
        <f>IFERROR(__xludf.DUMMYFUNCTION("""COMPUTED_VALUE"""),"")</f>
        <v/>
      </c>
      <c r="X287" t="str">
        <f>IFERROR(__xludf.DUMMYFUNCTION("""COMPUTED_VALUE"""),"")</f>
        <v/>
      </c>
      <c r="Y287" t="str">
        <f>IFERROR(__xludf.DUMMYFUNCTION("""COMPUTED_VALUE"""),"")</f>
        <v/>
      </c>
      <c r="Z287" t="str">
        <f>IFERROR(__xludf.DUMMYFUNCTION("""COMPUTED_VALUE"""),"")</f>
        <v/>
      </c>
      <c r="AA287" t="str">
        <f>IFERROR(__xludf.DUMMYFUNCTION("""COMPUTED_VALUE"""),"")</f>
        <v/>
      </c>
      <c r="AB287" t="str">
        <f>IFERROR(__xludf.DUMMYFUNCTION("""COMPUTED_VALUE"""),"")</f>
        <v/>
      </c>
    </row>
    <row r="288">
      <c r="A288" s="2">
        <f>IFERROR(__xludf.DUMMYFUNCTION("""COMPUTED_VALUE"""),43712.48356732639)</f>
        <v>43712.48357</v>
      </c>
      <c r="B288" s="1" t="str">
        <f>IFERROR(__xludf.DUMMYFUNCTION("""COMPUTED_VALUE"""),"Adrien HALLARD")</f>
        <v>Adrien HALLARD</v>
      </c>
      <c r="C288" s="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88" s="1" t="str">
        <f>IFERROR(__xludf.DUMMYFUNCTION("""COMPUTED_VALUE"""),"BDS")</f>
        <v>BDS</v>
      </c>
      <c r="E288" s="1">
        <f>IFERROR(__xludf.DUMMYFUNCTION("""COMPUTED_VALUE"""),4.0)</f>
        <v>4</v>
      </c>
      <c r="F288" s="1" t="str">
        <f>IFERROR(__xludf.DUMMYFUNCTION("""COMPUTED_VALUE"""),"Rap, Pop")</f>
        <v>Rap, Pop</v>
      </c>
      <c r="G288" s="1" t="str">
        <f>IFERROR(__xludf.DUMMYFUNCTION("""COMPUTED_VALUE"""),"Peinture, Littérature")</f>
        <v>Peinture, Littérature</v>
      </c>
      <c r="H288" s="1" t="str">
        <f>IFERROR(__xludf.DUMMYFUNCTION("""COMPUTED_VALUE"""),"Une fois de temps en temps")</f>
        <v>Une fois de temps en temps</v>
      </c>
      <c r="I288" s="1" t="str">
        <f>IFERROR(__xludf.DUMMYFUNCTION("""COMPUTED_VALUE"""),"Plusieurs fois par semaine")</f>
        <v>Plusieurs fois par semaine</v>
      </c>
      <c r="J288" s="1" t="str">
        <f>IFERROR(__xludf.DUMMYFUNCTION("""COMPUTED_VALUE"""),"Pour le développement perso et se dépasser")</f>
        <v>Pour le développement perso et se dépasser</v>
      </c>
      <c r="K288" s="1" t="str">
        <f>IFERROR(__xludf.DUMMYFUNCTION("""COMPUTED_VALUE"""),"Sports collectifs")</f>
        <v>Sports collectifs</v>
      </c>
      <c r="L288" s="1" t="str">
        <f>IFERROR(__xludf.DUMMYFUNCTION("""COMPUTED_VALUE"""),"J'aime cuisiner le WE ou quand j'ai le temps")</f>
        <v>J'aime cuisiner le WE ou quand j'ai le temps</v>
      </c>
      <c r="M288" s="1">
        <f>IFERROR(__xludf.DUMMYFUNCTION("""COMPUTED_VALUE"""),3.0)</f>
        <v>3</v>
      </c>
      <c r="N288" s="1" t="str">
        <f>IFERROR(__xludf.DUMMYFUNCTION("""COMPUTED_VALUE"""),"Une fois par semaine")</f>
        <v>Une fois par semaine</v>
      </c>
      <c r="O288" s="1" t="str">
        <f>IFERROR(__xludf.DUMMYFUNCTION("""COMPUTED_VALUE"""),"Tu te poses dans un coin, chill !!")</f>
        <v>Tu te poses dans un coin, chill !!</v>
      </c>
      <c r="P288" s="1">
        <f>IFERROR(__xludf.DUMMYFUNCTION("""COMPUTED_VALUE"""),1.0)</f>
        <v>1</v>
      </c>
      <c r="Q288" s="1" t="str">
        <f>IFERROR(__xludf.DUMMYFUNCTION("""COMPUTED_VALUE"""),"Non")</f>
        <v>Non</v>
      </c>
      <c r="R288" s="1" t="str">
        <f>IFERROR(__xludf.DUMMYFUNCTION("""COMPUTED_VALUE"""),"Non")</f>
        <v>Non</v>
      </c>
      <c r="S288" s="1" t="str">
        <f>IFERROR(__xludf.DUMMYFUNCTION("""COMPUTED_VALUE"""),"Le Kraal")</f>
        <v>Le Kraal</v>
      </c>
      <c r="T288" s="1" t="str">
        <f>IFERROR(__xludf.DUMMYFUNCTION("""COMPUTED_VALUE"""),"?")</f>
        <v>?</v>
      </c>
      <c r="U288" t="str">
        <f>IFERROR(__xludf.DUMMYFUNCTION("""COMPUTED_VALUE"""),"")</f>
        <v/>
      </c>
      <c r="V288" t="str">
        <f>IFERROR(__xludf.DUMMYFUNCTION("""COMPUTED_VALUE"""),"")</f>
        <v/>
      </c>
      <c r="W288" t="str">
        <f>IFERROR(__xludf.DUMMYFUNCTION("""COMPUTED_VALUE"""),"")</f>
        <v/>
      </c>
      <c r="X288" t="str">
        <f>IFERROR(__xludf.DUMMYFUNCTION("""COMPUTED_VALUE"""),"")</f>
        <v/>
      </c>
      <c r="Y288" t="str">
        <f>IFERROR(__xludf.DUMMYFUNCTION("""COMPUTED_VALUE"""),"")</f>
        <v/>
      </c>
      <c r="Z288" t="str">
        <f>IFERROR(__xludf.DUMMYFUNCTION("""COMPUTED_VALUE"""),"")</f>
        <v/>
      </c>
      <c r="AA288" t="str">
        <f>IFERROR(__xludf.DUMMYFUNCTION("""COMPUTED_VALUE"""),"")</f>
        <v/>
      </c>
      <c r="AB288" t="str">
        <f>IFERROR(__xludf.DUMMYFUNCTION("""COMPUTED_VALUE"""),"")</f>
        <v/>
      </c>
    </row>
    <row r="289">
      <c r="A289" s="2">
        <f>IFERROR(__xludf.DUMMYFUNCTION("""COMPUTED_VALUE"""),43712.81148842593)</f>
        <v>43712.81149</v>
      </c>
      <c r="B289" s="1" t="str">
        <f>IFERROR(__xludf.DUMMYFUNCTION("""COMPUTED_VALUE"""),"Timothée Corlay")</f>
        <v>Timothée Corlay</v>
      </c>
      <c r="C289" s="1" t="str">
        <f>IFERROR(__xludf.DUMMYFUNCTION("""COMPUTED_VALUE"""),"Le président et un inconnu")</f>
        <v>Le président et un inconnu</v>
      </c>
      <c r="D289" s="1" t="str">
        <f>IFERROR(__xludf.DUMMYFUNCTION("""COMPUTED_VALUE"""),"BDS")</f>
        <v>BDS</v>
      </c>
      <c r="E289" s="1">
        <f>IFERROR(__xludf.DUMMYFUNCTION("""COMPUTED_VALUE"""),3.0)</f>
        <v>3</v>
      </c>
      <c r="F289" s="1" t="str">
        <f>IFERROR(__xludf.DUMMYFUNCTION("""COMPUTED_VALUE"""),"Rock, Pop, Musique fançaise")</f>
        <v>Rock, Pop, Musique fançaise</v>
      </c>
      <c r="G289" s="1" t="str">
        <f>IFERROR(__xludf.DUMMYFUNCTION("""COMPUTED_VALUE"""),"Cinéma")</f>
        <v>Cinéma</v>
      </c>
      <c r="H289" s="1" t="str">
        <f>IFERROR(__xludf.DUMMYFUNCTION("""COMPUTED_VALUE"""),"Une fois de temps en temps")</f>
        <v>Une fois de temps en temps</v>
      </c>
      <c r="I289" s="1" t="str">
        <f>IFERROR(__xludf.DUMMYFUNCTION("""COMPUTED_VALUE"""),"Une fois par jour")</f>
        <v>Une fois par jour</v>
      </c>
      <c r="J289" s="1" t="str">
        <f>IFERROR(__xludf.DUMMYFUNCTION("""COMPUTED_VALUE"""),"Pour la compet")</f>
        <v>Pour la compet</v>
      </c>
      <c r="K289" s="1" t="str">
        <f>IFERROR(__xludf.DUMMYFUNCTION("""COMPUTED_VALUE"""),"Sports collectifs, Sports de raquette, Voile")</f>
        <v>Sports collectifs, Sports de raquette, Voile</v>
      </c>
      <c r="L289" s="1" t="str">
        <f>IFERROR(__xludf.DUMMYFUNCTION("""COMPUTED_VALUE"""),"Oh oui, et les trucs bien gras ça me connait !")</f>
        <v>Oh oui, et les trucs bien gras ça me connait !</v>
      </c>
      <c r="M289" s="1">
        <f>IFERROR(__xludf.DUMMYFUNCTION("""COMPUTED_VALUE"""),7.0)</f>
        <v>7</v>
      </c>
      <c r="N289" s="1" t="str">
        <f>IFERROR(__xludf.DUMMYFUNCTION("""COMPUTED_VALUE"""),"Plusieurs fois par semaine")</f>
        <v>Plusieurs fois par semaine</v>
      </c>
      <c r="O289" s="1" t="str">
        <f>IFERROR(__xludf.DUMMYFUNCTION("""COMPUTED_VALUE"""),"T'enflammes le dancefloor")</f>
        <v>T'enflammes le dancefloor</v>
      </c>
      <c r="P289" s="1">
        <f>IFERROR(__xludf.DUMMYFUNCTION("""COMPUTED_VALUE"""),1.0)</f>
        <v>1</v>
      </c>
      <c r="Q289" s="1" t="str">
        <f>IFERROR(__xludf.DUMMYFUNCTION("""COMPUTED_VALUE"""),"Oui")</f>
        <v>Oui</v>
      </c>
      <c r="R289" s="1" t="str">
        <f>IFERROR(__xludf.DUMMYFUNCTION("""COMPUTED_VALUE"""),"Non")</f>
        <v>Non</v>
      </c>
      <c r="S289" s="1" t="str">
        <f>IFERROR(__xludf.DUMMYFUNCTION("""COMPUTED_VALUE"""),"Team corlay")</f>
        <v>Team corlay</v>
      </c>
      <c r="T289" s="1" t="str">
        <f>IFERROR(__xludf.DUMMYFUNCTION("""COMPUTED_VALUE"""),"Raquette de squash")</f>
        <v>Raquette de squash</v>
      </c>
      <c r="U289" t="str">
        <f>IFERROR(__xludf.DUMMYFUNCTION("""COMPUTED_VALUE"""),"")</f>
        <v/>
      </c>
      <c r="V289" t="str">
        <f>IFERROR(__xludf.DUMMYFUNCTION("""COMPUTED_VALUE"""),"")</f>
        <v/>
      </c>
      <c r="W289" t="str">
        <f>IFERROR(__xludf.DUMMYFUNCTION("""COMPUTED_VALUE"""),"")</f>
        <v/>
      </c>
      <c r="X289" t="str">
        <f>IFERROR(__xludf.DUMMYFUNCTION("""COMPUTED_VALUE"""),"")</f>
        <v/>
      </c>
      <c r="Y289" t="str">
        <f>IFERROR(__xludf.DUMMYFUNCTION("""COMPUTED_VALUE"""),"")</f>
        <v/>
      </c>
      <c r="Z289" t="str">
        <f>IFERROR(__xludf.DUMMYFUNCTION("""COMPUTED_VALUE"""),"")</f>
        <v/>
      </c>
      <c r="AA289" t="str">
        <f>IFERROR(__xludf.DUMMYFUNCTION("""COMPUTED_VALUE"""),"")</f>
        <v/>
      </c>
      <c r="AB289" t="str">
        <f>IFERROR(__xludf.DUMMYFUNCTION("""COMPUTED_VALUE"""),"")</f>
        <v/>
      </c>
    </row>
    <row r="290">
      <c r="A290" s="2">
        <f>IFERROR(__xludf.DUMMYFUNCTION("""COMPUTED_VALUE"""),43713.841121122685)</f>
        <v>43713.84112</v>
      </c>
      <c r="B290" t="str">
        <f>IFERROR(__xludf.DUMMYFUNCTION("""COMPUTED_VALUE"""),"Aurélio Catel")</f>
        <v>Aurélio Catel</v>
      </c>
      <c r="C290" t="str">
        <f>IFERROR(__xludf.DUMMYFUNCTION("""COMPUTED_VALUE"""),"Deux inconnus")</f>
        <v>Deux inconnus</v>
      </c>
      <c r="D290" t="str">
        <f>IFERROR(__xludf.DUMMYFUNCTION("""COMPUTED_VALUE"""),"BDS")</f>
        <v>BDS</v>
      </c>
      <c r="E290">
        <f>IFERROR(__xludf.DUMMYFUNCTION("""COMPUTED_VALUE"""),1.0)</f>
        <v>1</v>
      </c>
      <c r="F290" t="str">
        <f>IFERROR(__xludf.DUMMYFUNCTION("""COMPUTED_VALUE"""),"Rock, Pop")</f>
        <v>Rock, Pop</v>
      </c>
      <c r="G290" t="str">
        <f>IFERROR(__xludf.DUMMYFUNCTION("""COMPUTED_VALUE"""),"Pas du tout")</f>
        <v>Pas du tout</v>
      </c>
      <c r="H290" t="str">
        <f>IFERROR(__xludf.DUMMYFUNCTION("""COMPUTED_VALUE"""),"Seulement les soirs de pleine lune")</f>
        <v>Seulement les soirs de pleine lune</v>
      </c>
      <c r="I290" t="str">
        <f>IFERROR(__xludf.DUMMYFUNCTION("""COMPUTED_VALUE"""),"Plusieurs fois par semaine")</f>
        <v>Plusieurs fois par semaine</v>
      </c>
      <c r="J290" t="str">
        <f>IFERROR(__xludf.DUMMYFUNCTION("""COMPUTED_VALUE"""),"Pour le développement perso et se dépasser")</f>
        <v>Pour le développement perso et se dépasser</v>
      </c>
      <c r="K290" t="str">
        <f>IFERROR(__xludf.DUMMYFUNCTION("""COMPUTED_VALUE"""),"Athlétisme")</f>
        <v>Athlétisme</v>
      </c>
      <c r="L290" t="str">
        <f>IFERROR(__xludf.DUMMYFUNCTION("""COMPUTED_VALUE"""),"Je fais toujours attention à bien manger")</f>
        <v>Je fais toujours attention à bien manger</v>
      </c>
      <c r="M290">
        <f>IFERROR(__xludf.DUMMYFUNCTION("""COMPUTED_VALUE"""),5.0)</f>
        <v>5</v>
      </c>
      <c r="N290" t="str">
        <f>IFERROR(__xludf.DUMMYFUNCTION("""COMPUTED_VALUE"""),"Une fois par semaine")</f>
        <v>Une fois par semaine</v>
      </c>
      <c r="O290" t="str">
        <f>IFERROR(__xludf.DUMMYFUNCTION("""COMPUTED_VALUE"""),"Tu viens pas")</f>
        <v>Tu viens pas</v>
      </c>
      <c r="P290">
        <f>IFERROR(__xludf.DUMMYFUNCTION("""COMPUTED_VALUE"""),3.0)</f>
        <v>3</v>
      </c>
      <c r="Q290" t="str">
        <f>IFERROR(__xludf.DUMMYFUNCTION("""COMPUTED_VALUE"""),"Oui")</f>
        <v>Oui</v>
      </c>
      <c r="R290" t="str">
        <f>IFERROR(__xludf.DUMMYFUNCTION("""COMPUTED_VALUE"""),"Non")</f>
        <v>Non</v>
      </c>
      <c r="S290" t="str">
        <f>IFERROR(__xludf.DUMMYFUNCTION("""COMPUTED_VALUE"""),"Les trutitas")</f>
        <v>Les trutitas</v>
      </c>
      <c r="T290" t="str">
        <f>IFERROR(__xludf.DUMMYFUNCTION("""COMPUTED_VALUE"""),"Médaille ")</f>
        <v>Médaille </v>
      </c>
      <c r="U290" t="str">
        <f>IFERROR(__xludf.DUMMYFUNCTION("""COMPUTED_VALUE"""),"")</f>
        <v/>
      </c>
      <c r="V290" t="str">
        <f>IFERROR(__xludf.DUMMYFUNCTION("""COMPUTED_VALUE"""),"")</f>
        <v/>
      </c>
      <c r="W290" t="str">
        <f>IFERROR(__xludf.DUMMYFUNCTION("""COMPUTED_VALUE"""),"")</f>
        <v/>
      </c>
      <c r="X290" t="str">
        <f>IFERROR(__xludf.DUMMYFUNCTION("""COMPUTED_VALUE"""),"")</f>
        <v/>
      </c>
      <c r="Y290" t="str">
        <f>IFERROR(__xludf.DUMMYFUNCTION("""COMPUTED_VALUE"""),"")</f>
        <v/>
      </c>
      <c r="Z290" t="str">
        <f>IFERROR(__xludf.DUMMYFUNCTION("""COMPUTED_VALUE"""),"")</f>
        <v/>
      </c>
      <c r="AA290" t="str">
        <f>IFERROR(__xludf.DUMMYFUNCTION("""COMPUTED_VALUE"""),"")</f>
        <v/>
      </c>
      <c r="AB290" t="str">
        <f>IFERROR(__xludf.DUMMYFUNCTION("""COMPUTED_VALUE"""),"")</f>
        <v/>
      </c>
    </row>
    <row r="291">
      <c r="A291" s="2">
        <f>IFERROR(__xludf.DUMMYFUNCTION("""COMPUTED_VALUE"""),43714.44398149305)</f>
        <v>43714.44398</v>
      </c>
      <c r="B291" t="str">
        <f>IFERROR(__xludf.DUMMYFUNCTION("""COMPUTED_VALUE"""),"Yuna Landais")</f>
        <v>Yuna Landais</v>
      </c>
      <c r="C291" t="str">
        <f>IFERROR(__xludf.DUMMYFUNCTION("""COMPUTED_VALUE"""),"L'homme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  <c r="D291" t="str">
        <f>IFERROR(__xludf.DUMMYFUNCTION("""COMPUTED_VALUE"""),"BDE")</f>
        <v>BDE</v>
      </c>
      <c r="E291">
        <f>IFERROR(__xludf.DUMMYFUNCTION("""COMPUTED_VALUE"""),3.0)</f>
        <v>3</v>
      </c>
      <c r="F291" t="str">
        <f>IFERROR(__xludf.DUMMYFUNCTION("""COMPUTED_VALUE"""),"Musique fançaise")</f>
        <v>Musique fançaise</v>
      </c>
      <c r="G291" t="str">
        <f>IFERROR(__xludf.DUMMYFUNCTION("""COMPUTED_VALUE"""),"Peinture, Littérature, Danse, Théâtre, Cinéma")</f>
        <v>Peinture, Littérature, Danse, Théâtre, Cinéma</v>
      </c>
      <c r="H291" t="str">
        <f>IFERROR(__xludf.DUMMYFUNCTION("""COMPUTED_VALUE"""),"Seulement les soirs de pleine lune")</f>
        <v>Seulement les soirs de pleine lune</v>
      </c>
      <c r="I291" t="str">
        <f>IFERROR(__xludf.DUMMYFUNCTION("""COMPUTED_VALUE"""),"Plusieurs fois par semaine")</f>
        <v>Plusieurs fois par semaine</v>
      </c>
      <c r="J291" t="str">
        <f>IFERROR(__xludf.DUMMYFUNCTION("""COMPUTED_VALUE"""),"Pour le fun")</f>
        <v>Pour le fun</v>
      </c>
      <c r="K291" t="str">
        <f>IFERROR(__xludf.DUMMYFUNCTION("""COMPUTED_VALUE"""),"Athlétisme")</f>
        <v>Athlétisme</v>
      </c>
      <c r="L291" t="str">
        <f>IFERROR(__xludf.DUMMYFUNCTION("""COMPUTED_VALUE"""),"Je fais toujours attention à bien manger")</f>
        <v>Je fais toujours attention à bien manger</v>
      </c>
      <c r="M291">
        <f>IFERROR(__xludf.DUMMYFUNCTION("""COMPUTED_VALUE"""),1.0)</f>
        <v>1</v>
      </c>
      <c r="N291" t="str">
        <f>IFERROR(__xludf.DUMMYFUNCTION("""COMPUTED_VALUE"""),"Une fois par semaine")</f>
        <v>Une fois par semaine</v>
      </c>
      <c r="O291" t="str">
        <f>IFERROR(__xludf.DUMMYFUNCTION("""COMPUTED_VALUE"""),"Tu te poses dans un coin, chill !!")</f>
        <v>Tu te poses dans un coin, chill !!</v>
      </c>
      <c r="P291">
        <f>IFERROR(__xludf.DUMMYFUNCTION("""COMPUTED_VALUE"""),1.0)</f>
        <v>1</v>
      </c>
      <c r="Q291" t="str">
        <f>IFERROR(__xludf.DUMMYFUNCTION("""COMPUTED_VALUE"""),"Oui")</f>
        <v>Oui</v>
      </c>
      <c r="R291" t="str">
        <f>IFERROR(__xludf.DUMMYFUNCTION("""COMPUTED_VALUE"""),"Non")</f>
        <v>Non</v>
      </c>
      <c r="S291" t="str">
        <f>IFERROR(__xludf.DUMMYFUNCTION("""COMPUTED_VALUE"""),"Les 6 salopards")</f>
        <v>Les 6 salopards</v>
      </c>
      <c r="T291" t="str">
        <f>IFERROR(__xludf.DUMMYFUNCTION("""COMPUTED_VALUE"""),"Drapeau breton ")</f>
        <v>Drapeau breton </v>
      </c>
      <c r="U291" t="str">
        <f>IFERROR(__xludf.DUMMYFUNCTION("""COMPUTED_VALUE"""),"")</f>
        <v/>
      </c>
      <c r="V291" t="str">
        <f>IFERROR(__xludf.DUMMYFUNCTION("""COMPUTED_VALUE"""),"")</f>
        <v/>
      </c>
      <c r="W291" t="str">
        <f>IFERROR(__xludf.DUMMYFUNCTION("""COMPUTED_VALUE"""),"")</f>
        <v/>
      </c>
      <c r="X291" t="str">
        <f>IFERROR(__xludf.DUMMYFUNCTION("""COMPUTED_VALUE"""),"")</f>
        <v/>
      </c>
      <c r="Y291" t="str">
        <f>IFERROR(__xludf.DUMMYFUNCTION("""COMPUTED_VALUE"""),"")</f>
        <v/>
      </c>
      <c r="Z291" t="str">
        <f>IFERROR(__xludf.DUMMYFUNCTION("""COMPUTED_VALUE"""),"")</f>
        <v/>
      </c>
      <c r="AA291" t="str">
        <f>IFERROR(__xludf.DUMMYFUNCTION("""COMPUTED_VALUE"""),"")</f>
        <v/>
      </c>
      <c r="AB291" t="str">
        <f>IFERROR(__xludf.DUMMYFUNCTION("""COMPUTED_VALUE"""),"")</f>
        <v/>
      </c>
    </row>
    <row r="388">
      <c r="D388" s="1"/>
      <c r="E388" s="1"/>
      <c r="G388" s="1"/>
      <c r="K388" s="1"/>
      <c r="M388" s="1"/>
      <c r="N388" s="1"/>
      <c r="Q388" s="1"/>
      <c r="R388" s="1"/>
      <c r="S388" s="1"/>
      <c r="T388" s="1"/>
      <c r="U388" s="1"/>
      <c r="V388" s="1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61">
      <c r="A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2"/>
    </row>
    <row r="678">
      <c r="A678" s="2"/>
    </row>
  </sheetData>
  <conditionalFormatting sqref="A1:AB1000">
    <cfRule type="endsWith" dxfId="0" priority="1" operator="endsWith" text=" ">
      <formula>RIGHT((A1),LEN(" "))=(" 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  <col customWidth="1" min="5" max="5" width="29.29"/>
    <col customWidth="1" min="6" max="36" width="28.71"/>
    <col customWidth="1" min="37" max="37" width="31.14"/>
    <col customWidth="1" min="38" max="57" width="28.71"/>
    <col customWidth="1" min="58" max="58" width="30.14"/>
    <col customWidth="1" min="59" max="59" width="30.86"/>
    <col customWidth="1" min="60" max="78" width="28.71"/>
  </cols>
  <sheetData>
    <row r="1">
      <c r="A1" s="3" t="s">
        <v>22</v>
      </c>
      <c r="B1" s="4" t="s">
        <v>23</v>
      </c>
      <c r="C1" s="5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5" t="s">
        <v>35</v>
      </c>
      <c r="O1" s="6" t="s">
        <v>36</v>
      </c>
      <c r="P1" s="6" t="s">
        <v>37</v>
      </c>
      <c r="Q1" s="5" t="s">
        <v>38</v>
      </c>
      <c r="R1" s="5" t="s">
        <v>39</v>
      </c>
      <c r="S1" s="6" t="s">
        <v>40</v>
      </c>
      <c r="T1" s="6" t="s">
        <v>41</v>
      </c>
      <c r="U1" s="5" t="s">
        <v>42</v>
      </c>
      <c r="V1" s="5" t="s">
        <v>43</v>
      </c>
      <c r="W1" s="6" t="s">
        <v>44</v>
      </c>
      <c r="X1" s="5" t="s">
        <v>45</v>
      </c>
      <c r="Y1" s="5" t="s">
        <v>46</v>
      </c>
      <c r="Z1" s="6" t="s">
        <v>47</v>
      </c>
      <c r="AA1" s="5" t="s">
        <v>48</v>
      </c>
      <c r="AB1" s="5" t="s">
        <v>49</v>
      </c>
      <c r="AC1" s="6" t="s">
        <v>50</v>
      </c>
      <c r="AD1" s="6" t="s">
        <v>51</v>
      </c>
      <c r="AE1" s="7" t="s">
        <v>52</v>
      </c>
      <c r="AF1" s="6" t="s">
        <v>53</v>
      </c>
      <c r="AG1" s="5" t="s">
        <v>54</v>
      </c>
      <c r="AH1" s="5" t="s">
        <v>55</v>
      </c>
      <c r="AI1" s="6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7" t="s">
        <v>62</v>
      </c>
      <c r="AP1" s="7" t="s">
        <v>63</v>
      </c>
      <c r="AQ1" s="7" t="s">
        <v>64</v>
      </c>
      <c r="AR1" s="7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7" t="s">
        <v>70</v>
      </c>
      <c r="AX1" s="7" t="s">
        <v>71</v>
      </c>
      <c r="AY1" s="7" t="s">
        <v>72</v>
      </c>
      <c r="AZ1" s="7" t="s">
        <v>73</v>
      </c>
      <c r="BA1" s="7" t="s">
        <v>74</v>
      </c>
      <c r="BB1" s="7" t="s">
        <v>75</v>
      </c>
      <c r="BC1" s="7" t="s">
        <v>76</v>
      </c>
      <c r="BD1" s="7" t="s">
        <v>77</v>
      </c>
      <c r="BE1" s="5" t="s">
        <v>78</v>
      </c>
      <c r="BF1" s="7" t="s">
        <v>79</v>
      </c>
      <c r="BG1" s="5" t="s">
        <v>80</v>
      </c>
      <c r="BH1" s="5" t="s">
        <v>81</v>
      </c>
      <c r="BI1" s="7" t="s">
        <v>82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8"/>
    </row>
    <row r="2">
      <c r="A2" s="9" t="s">
        <v>101</v>
      </c>
      <c r="B2" s="10" t="s">
        <v>83</v>
      </c>
      <c r="C2" s="11" t="s">
        <v>118</v>
      </c>
      <c r="D2" s="12" t="s">
        <v>124</v>
      </c>
      <c r="E2" s="12" t="s">
        <v>128</v>
      </c>
      <c r="F2" s="12" t="s">
        <v>129</v>
      </c>
      <c r="G2" s="12" t="s">
        <v>131</v>
      </c>
      <c r="H2" s="12" t="s">
        <v>132</v>
      </c>
      <c r="I2" s="12" t="s">
        <v>133</v>
      </c>
      <c r="J2" s="12" t="s">
        <v>134</v>
      </c>
      <c r="K2" s="11" t="s">
        <v>135</v>
      </c>
      <c r="L2" s="12" t="s">
        <v>137</v>
      </c>
      <c r="M2" s="12" t="s">
        <v>138</v>
      </c>
      <c r="N2" s="12" t="s">
        <v>139</v>
      </c>
      <c r="O2" s="12" t="s">
        <v>141</v>
      </c>
      <c r="P2" s="12" t="s">
        <v>142</v>
      </c>
      <c r="Q2" s="12" t="s">
        <v>143</v>
      </c>
      <c r="R2" s="12" t="s">
        <v>145</v>
      </c>
      <c r="S2" s="12" t="s">
        <v>147</v>
      </c>
      <c r="T2" s="11" t="s">
        <v>148</v>
      </c>
      <c r="U2" s="12" t="s">
        <v>149</v>
      </c>
      <c r="V2" s="12" t="s">
        <v>150</v>
      </c>
      <c r="W2" s="12" t="s">
        <v>151</v>
      </c>
      <c r="X2" s="12" t="s">
        <v>153</v>
      </c>
      <c r="Y2" s="12" t="s">
        <v>154</v>
      </c>
      <c r="Z2" s="12" t="s">
        <v>155</v>
      </c>
      <c r="AA2" s="12" t="s">
        <v>156</v>
      </c>
      <c r="AB2" s="12" t="s">
        <v>157</v>
      </c>
      <c r="AC2" s="12" t="s">
        <v>158</v>
      </c>
      <c r="AD2" s="12" t="s">
        <v>159</v>
      </c>
      <c r="AE2" s="12" t="s">
        <v>161</v>
      </c>
      <c r="AF2" s="12" t="s">
        <v>162</v>
      </c>
      <c r="AG2" s="12" t="s">
        <v>163</v>
      </c>
      <c r="AH2" s="12" t="s">
        <v>164</v>
      </c>
      <c r="AI2" s="12" t="s">
        <v>167</v>
      </c>
      <c r="AJ2" s="12" t="s">
        <v>168</v>
      </c>
      <c r="AK2" s="12" t="s">
        <v>169</v>
      </c>
      <c r="AL2" s="12" t="s">
        <v>171</v>
      </c>
      <c r="AM2" s="12" t="s">
        <v>173</v>
      </c>
      <c r="AN2" s="12" t="s">
        <v>174</v>
      </c>
      <c r="AO2" s="12" t="s">
        <v>175</v>
      </c>
      <c r="AP2" s="12" t="s">
        <v>176</v>
      </c>
      <c r="AQ2" s="13" t="s">
        <v>178</v>
      </c>
      <c r="AR2" s="12" t="s">
        <v>181</v>
      </c>
      <c r="AS2" s="14" t="s">
        <v>182</v>
      </c>
      <c r="AT2" s="12" t="s">
        <v>186</v>
      </c>
      <c r="AU2" s="12" t="s">
        <v>187</v>
      </c>
      <c r="AV2" s="12" t="s">
        <v>188</v>
      </c>
      <c r="AW2" s="12" t="s">
        <v>189</v>
      </c>
      <c r="AX2" s="12" t="s">
        <v>190</v>
      </c>
      <c r="AY2" s="12" t="s">
        <v>192</v>
      </c>
      <c r="AZ2" s="12" t="s">
        <v>193</v>
      </c>
      <c r="BA2" s="12" t="s">
        <v>194</v>
      </c>
      <c r="BB2" s="12" t="s">
        <v>195</v>
      </c>
      <c r="BC2" s="11" t="s">
        <v>196</v>
      </c>
      <c r="BD2" s="12" t="s">
        <v>197</v>
      </c>
      <c r="BE2" s="12" t="s">
        <v>199</v>
      </c>
      <c r="BF2" s="11" t="s">
        <v>200</v>
      </c>
      <c r="BG2" s="12" t="s">
        <v>202</v>
      </c>
      <c r="BH2" s="12" t="s">
        <v>203</v>
      </c>
      <c r="BI2" s="12" t="s">
        <v>204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5"/>
    </row>
    <row r="3">
      <c r="A3" s="16"/>
      <c r="B3" s="13" t="s">
        <v>97</v>
      </c>
      <c r="C3" s="14" t="s">
        <v>165</v>
      </c>
      <c r="D3" s="14" t="s">
        <v>211</v>
      </c>
      <c r="E3" s="14" t="s">
        <v>212</v>
      </c>
      <c r="F3" s="14" t="s">
        <v>213</v>
      </c>
      <c r="G3" s="14" t="s">
        <v>214</v>
      </c>
      <c r="H3" s="14" t="s">
        <v>215</v>
      </c>
      <c r="I3" s="14" t="s">
        <v>217</v>
      </c>
      <c r="J3" s="14" t="s">
        <v>218</v>
      </c>
      <c r="K3" s="14" t="s">
        <v>219</v>
      </c>
      <c r="L3" s="14" t="s">
        <v>220</v>
      </c>
      <c r="M3" s="14" t="s">
        <v>221</v>
      </c>
      <c r="N3" s="14" t="s">
        <v>223</v>
      </c>
      <c r="O3" s="14" t="s">
        <v>224</v>
      </c>
      <c r="P3" s="14" t="s">
        <v>226</v>
      </c>
      <c r="Q3" s="14" t="s">
        <v>227</v>
      </c>
      <c r="R3" s="14" t="s">
        <v>228</v>
      </c>
      <c r="S3" s="14" t="s">
        <v>229</v>
      </c>
      <c r="T3" s="14" t="s">
        <v>230</v>
      </c>
      <c r="U3" s="17" t="s">
        <v>232</v>
      </c>
      <c r="V3" s="14" t="s">
        <v>234</v>
      </c>
      <c r="W3" s="14" t="s">
        <v>235</v>
      </c>
      <c r="X3" s="14" t="s">
        <v>236</v>
      </c>
      <c r="Y3" s="14" t="s">
        <v>238</v>
      </c>
      <c r="Z3" s="14" t="s">
        <v>239</v>
      </c>
      <c r="AA3" s="14" t="s">
        <v>240</v>
      </c>
      <c r="AB3" s="14" t="s">
        <v>241</v>
      </c>
      <c r="AC3" s="14" t="s">
        <v>242</v>
      </c>
      <c r="AD3" s="14" t="s">
        <v>243</v>
      </c>
      <c r="AE3" s="14" t="s">
        <v>244</v>
      </c>
      <c r="AF3" s="17" t="s">
        <v>246</v>
      </c>
      <c r="AG3" s="14" t="s">
        <v>248</v>
      </c>
      <c r="AH3" s="14" t="s">
        <v>249</v>
      </c>
      <c r="AI3" s="14" t="s">
        <v>250</v>
      </c>
      <c r="AJ3" s="14" t="s">
        <v>251</v>
      </c>
      <c r="AK3" s="14" t="s">
        <v>252</v>
      </c>
      <c r="AL3" s="17" t="s">
        <v>253</v>
      </c>
      <c r="AM3" s="14" t="s">
        <v>254</v>
      </c>
      <c r="AN3" s="14" t="s">
        <v>255</v>
      </c>
      <c r="AO3" s="17" t="s">
        <v>256</v>
      </c>
      <c r="AP3" s="14" t="s">
        <v>257</v>
      </c>
      <c r="AQ3" s="14" t="s">
        <v>258</v>
      </c>
      <c r="AR3" s="14" t="s">
        <v>260</v>
      </c>
      <c r="AS3" s="18" t="s">
        <v>261</v>
      </c>
      <c r="AT3" s="17" t="s">
        <v>264</v>
      </c>
      <c r="AU3" s="14" t="s">
        <v>265</v>
      </c>
      <c r="AV3" s="14" t="s">
        <v>266</v>
      </c>
      <c r="AW3" s="14" t="s">
        <v>267</v>
      </c>
      <c r="AX3" s="14" t="s">
        <v>268</v>
      </c>
      <c r="AY3" s="14" t="s">
        <v>269</v>
      </c>
      <c r="AZ3" s="14" t="s">
        <v>270</v>
      </c>
      <c r="BA3" s="14" t="s">
        <v>271</v>
      </c>
      <c r="BB3" s="14" t="s">
        <v>273</v>
      </c>
      <c r="BC3" s="14" t="s">
        <v>274</v>
      </c>
      <c r="BD3" s="17" t="s">
        <v>275</v>
      </c>
      <c r="BE3" s="14" t="s">
        <v>276</v>
      </c>
      <c r="BF3" s="14" t="s">
        <v>277</v>
      </c>
      <c r="BG3" s="14" t="s">
        <v>279</v>
      </c>
      <c r="BH3" s="17" t="s">
        <v>280</v>
      </c>
      <c r="BI3" s="14" t="s">
        <v>281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9"/>
    </row>
    <row r="4">
      <c r="A4" s="16"/>
      <c r="B4" s="13" t="s">
        <v>108</v>
      </c>
      <c r="C4" s="14" t="s">
        <v>180</v>
      </c>
      <c r="D4" s="17" t="s">
        <v>289</v>
      </c>
      <c r="E4" s="14" t="s">
        <v>262</v>
      </c>
      <c r="F4" s="14" t="s">
        <v>291</v>
      </c>
      <c r="G4" s="14" t="s">
        <v>292</v>
      </c>
      <c r="H4" s="14" t="s">
        <v>293</v>
      </c>
      <c r="I4" s="14" t="s">
        <v>294</v>
      </c>
      <c r="J4" s="14" t="s">
        <v>295</v>
      </c>
      <c r="K4" s="14" t="s">
        <v>296</v>
      </c>
      <c r="L4" s="17" t="s">
        <v>298</v>
      </c>
      <c r="M4" s="14" t="s">
        <v>300</v>
      </c>
      <c r="N4" s="17" t="s">
        <v>301</v>
      </c>
      <c r="O4" s="14" t="s">
        <v>302</v>
      </c>
      <c r="P4" s="17" t="s">
        <v>303</v>
      </c>
      <c r="Q4" s="14" t="s">
        <v>305</v>
      </c>
      <c r="R4" s="20" t="s">
        <v>306</v>
      </c>
      <c r="S4" s="14" t="s">
        <v>308</v>
      </c>
      <c r="T4" s="14" t="s">
        <v>309</v>
      </c>
      <c r="U4" s="14" t="s">
        <v>310</v>
      </c>
      <c r="V4" s="14" t="s">
        <v>312</v>
      </c>
      <c r="W4" s="14" t="s">
        <v>313</v>
      </c>
      <c r="X4" s="14" t="s">
        <v>314</v>
      </c>
      <c r="Y4" s="17" t="s">
        <v>315</v>
      </c>
      <c r="Z4" s="14" t="s">
        <v>316</v>
      </c>
      <c r="AA4" s="14" t="s">
        <v>317</v>
      </c>
      <c r="AB4" s="14" t="s">
        <v>318</v>
      </c>
      <c r="AC4" s="14" t="s">
        <v>319</v>
      </c>
      <c r="AD4" s="14" t="s">
        <v>320</v>
      </c>
      <c r="AE4" s="14" t="s">
        <v>321</v>
      </c>
      <c r="AF4" s="14" t="s">
        <v>322</v>
      </c>
      <c r="AG4" s="14" t="s">
        <v>323</v>
      </c>
      <c r="AH4" s="14" t="s">
        <v>324</v>
      </c>
      <c r="AI4" s="14" t="s">
        <v>326</v>
      </c>
      <c r="AJ4" s="14" t="s">
        <v>328</v>
      </c>
      <c r="AK4" s="14" t="s">
        <v>329</v>
      </c>
      <c r="AL4" s="14" t="s">
        <v>330</v>
      </c>
      <c r="AM4" s="14" t="s">
        <v>331</v>
      </c>
      <c r="AN4" s="17" t="s">
        <v>332</v>
      </c>
      <c r="AO4" s="14" t="s">
        <v>333</v>
      </c>
      <c r="AP4" s="14" t="s">
        <v>334</v>
      </c>
      <c r="AQ4" s="14" t="s">
        <v>336</v>
      </c>
      <c r="AR4" s="14" t="s">
        <v>337</v>
      </c>
      <c r="AS4" s="14" t="s">
        <v>338</v>
      </c>
      <c r="AT4" s="14" t="s">
        <v>339</v>
      </c>
      <c r="AU4" s="14" t="s">
        <v>340</v>
      </c>
      <c r="AV4" s="14" t="s">
        <v>341</v>
      </c>
      <c r="AW4" s="14" t="s">
        <v>342</v>
      </c>
      <c r="AX4" s="14" t="s">
        <v>343</v>
      </c>
      <c r="AY4" s="14" t="s">
        <v>344</v>
      </c>
      <c r="AZ4" s="14" t="s">
        <v>345</v>
      </c>
      <c r="BA4" s="14" t="s">
        <v>346</v>
      </c>
      <c r="BB4" s="14" t="s">
        <v>347</v>
      </c>
      <c r="BC4" s="14" t="s">
        <v>348</v>
      </c>
      <c r="BD4" s="14" t="s">
        <v>349</v>
      </c>
      <c r="BE4" s="14" t="s">
        <v>350</v>
      </c>
      <c r="BF4" s="17" t="s">
        <v>351</v>
      </c>
      <c r="BG4" s="14" t="s">
        <v>352</v>
      </c>
      <c r="BH4" s="14" t="s">
        <v>353</v>
      </c>
      <c r="BI4" s="14" t="s">
        <v>354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9"/>
    </row>
    <row r="5">
      <c r="A5" s="16"/>
      <c r="B5" s="13" t="s">
        <v>117</v>
      </c>
      <c r="C5" s="14"/>
      <c r="D5" s="14" t="s">
        <v>355</v>
      </c>
      <c r="E5" s="17" t="s">
        <v>278</v>
      </c>
      <c r="F5" s="14" t="s">
        <v>356</v>
      </c>
      <c r="G5" s="14" t="s">
        <v>357</v>
      </c>
      <c r="H5" s="17" t="s">
        <v>358</v>
      </c>
      <c r="I5" s="14" t="s">
        <v>359</v>
      </c>
      <c r="J5" s="14" t="s">
        <v>360</v>
      </c>
      <c r="K5" s="14" t="s">
        <v>362</v>
      </c>
      <c r="L5" s="17" t="s">
        <v>364</v>
      </c>
      <c r="M5" s="14" t="s">
        <v>365</v>
      </c>
      <c r="N5" s="14" t="s">
        <v>366</v>
      </c>
      <c r="O5" s="14" t="s">
        <v>367</v>
      </c>
      <c r="P5" s="14" t="s">
        <v>368</v>
      </c>
      <c r="Q5" s="17" t="s">
        <v>369</v>
      </c>
      <c r="R5" s="14" t="s">
        <v>370</v>
      </c>
      <c r="S5" s="14" t="s">
        <v>371</v>
      </c>
      <c r="T5" s="17" t="s">
        <v>372</v>
      </c>
      <c r="U5" s="14" t="s">
        <v>373</v>
      </c>
      <c r="V5" s="14" t="s">
        <v>374</v>
      </c>
      <c r="W5" s="14" t="s">
        <v>375</v>
      </c>
      <c r="X5" s="14" t="s">
        <v>377</v>
      </c>
      <c r="Y5" s="17" t="s">
        <v>378</v>
      </c>
      <c r="Z5" s="13" t="s">
        <v>379</v>
      </c>
      <c r="AA5" s="14" t="s">
        <v>380</v>
      </c>
      <c r="AB5" s="14" t="s">
        <v>381</v>
      </c>
      <c r="AC5" s="14" t="s">
        <v>382</v>
      </c>
      <c r="AD5" s="14" t="s">
        <v>383</v>
      </c>
      <c r="AE5" s="14" t="s">
        <v>385</v>
      </c>
      <c r="AF5" s="14" t="s">
        <v>387</v>
      </c>
      <c r="AG5" s="14" t="s">
        <v>388</v>
      </c>
      <c r="AH5" s="17" t="s">
        <v>389</v>
      </c>
      <c r="AI5" s="14" t="s">
        <v>391</v>
      </c>
      <c r="AJ5" s="14" t="s">
        <v>392</v>
      </c>
      <c r="AK5" s="14" t="s">
        <v>393</v>
      </c>
      <c r="AL5" s="14" t="s">
        <v>394</v>
      </c>
      <c r="AM5" s="14" t="s">
        <v>395</v>
      </c>
      <c r="AN5" s="17" t="s">
        <v>396</v>
      </c>
      <c r="AO5" s="21" t="s">
        <v>397</v>
      </c>
      <c r="AP5" s="17" t="s">
        <v>399</v>
      </c>
      <c r="AQ5" s="14"/>
      <c r="AR5" s="14" t="s">
        <v>400</v>
      </c>
      <c r="AS5" s="17" t="s">
        <v>401</v>
      </c>
      <c r="AT5" s="14" t="s">
        <v>402</v>
      </c>
      <c r="AU5" s="14"/>
      <c r="AV5" s="14" t="s">
        <v>403</v>
      </c>
      <c r="AW5" s="14" t="s">
        <v>404</v>
      </c>
      <c r="AX5" s="14" t="s">
        <v>405</v>
      </c>
      <c r="AY5" s="17" t="s">
        <v>406</v>
      </c>
      <c r="AZ5" s="14"/>
      <c r="BA5" s="14" t="s">
        <v>408</v>
      </c>
      <c r="BB5" s="14"/>
      <c r="BC5" s="14" t="s">
        <v>409</v>
      </c>
      <c r="BD5" s="14"/>
      <c r="BE5" s="14" t="s">
        <v>410</v>
      </c>
      <c r="BF5" s="14" t="s">
        <v>411</v>
      </c>
      <c r="BG5" s="14" t="s">
        <v>412</v>
      </c>
      <c r="BH5" s="14" t="s">
        <v>413</v>
      </c>
      <c r="BI5" s="14" t="s">
        <v>415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9"/>
    </row>
    <row r="6">
      <c r="A6" s="16"/>
      <c r="B6" s="13" t="s">
        <v>140</v>
      </c>
      <c r="C6" s="14"/>
      <c r="D6" s="14" t="s">
        <v>417</v>
      </c>
      <c r="E6" s="14" t="s">
        <v>418</v>
      </c>
      <c r="F6" s="14"/>
      <c r="G6" s="14"/>
      <c r="H6" s="14" t="s">
        <v>419</v>
      </c>
      <c r="I6" s="14" t="s">
        <v>421</v>
      </c>
      <c r="J6" s="14" t="s">
        <v>423</v>
      </c>
      <c r="K6" s="14" t="s">
        <v>424</v>
      </c>
      <c r="L6" s="14" t="s">
        <v>425</v>
      </c>
      <c r="M6" s="14" t="s">
        <v>426</v>
      </c>
      <c r="N6" s="17" t="s">
        <v>427</v>
      </c>
      <c r="O6" s="14" t="s">
        <v>428</v>
      </c>
      <c r="P6" s="14" t="s">
        <v>430</v>
      </c>
      <c r="Q6" s="14" t="s">
        <v>432</v>
      </c>
      <c r="S6" s="14" t="s">
        <v>433</v>
      </c>
      <c r="T6" s="14" t="s">
        <v>434</v>
      </c>
      <c r="U6" s="14"/>
      <c r="V6" s="14"/>
      <c r="W6" s="17" t="s">
        <v>435</v>
      </c>
      <c r="X6" s="14"/>
      <c r="Y6" s="14" t="s">
        <v>437</v>
      </c>
      <c r="Z6" s="14"/>
      <c r="AA6" s="14"/>
      <c r="AB6" s="14" t="s">
        <v>438</v>
      </c>
      <c r="AC6" s="14" t="s">
        <v>439</v>
      </c>
      <c r="AD6" s="14"/>
      <c r="AE6" s="14" t="s">
        <v>440</v>
      </c>
      <c r="AF6" s="14"/>
      <c r="AG6" s="14" t="s">
        <v>442</v>
      </c>
      <c r="AH6" s="14" t="s">
        <v>443</v>
      </c>
      <c r="AI6" s="14" t="s">
        <v>444</v>
      </c>
      <c r="AJ6" s="14" t="s">
        <v>445</v>
      </c>
      <c r="AK6" s="14"/>
      <c r="AL6" s="14" t="s">
        <v>446</v>
      </c>
      <c r="AM6" s="13" t="s">
        <v>447</v>
      </c>
      <c r="AN6" s="14"/>
      <c r="AO6" s="14" t="s">
        <v>449</v>
      </c>
      <c r="AP6" s="17" t="s">
        <v>451</v>
      </c>
      <c r="AQ6" s="14"/>
      <c r="AR6" s="14" t="s">
        <v>452</v>
      </c>
      <c r="AS6" s="14"/>
      <c r="AT6" s="14" t="s">
        <v>453</v>
      </c>
      <c r="AU6" s="14"/>
      <c r="AV6" s="14"/>
      <c r="AW6" s="14" t="s">
        <v>454</v>
      </c>
      <c r="AX6" s="14" t="s">
        <v>455</v>
      </c>
      <c r="AY6" s="14"/>
      <c r="AZ6" s="14"/>
      <c r="BA6" s="17" t="s">
        <v>456</v>
      </c>
      <c r="BB6" s="14"/>
      <c r="BC6" s="14" t="s">
        <v>457</v>
      </c>
      <c r="BD6" s="14"/>
      <c r="BE6" s="14"/>
      <c r="BF6" s="14" t="s">
        <v>459</v>
      </c>
      <c r="BG6" s="14" t="s">
        <v>460</v>
      </c>
      <c r="BH6" s="14"/>
      <c r="BI6" s="14" t="s">
        <v>461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9"/>
    </row>
    <row r="7">
      <c r="A7" s="22"/>
      <c r="B7" s="23" t="s">
        <v>222</v>
      </c>
      <c r="C7" s="24"/>
      <c r="D7" s="24"/>
      <c r="E7" s="24" t="s">
        <v>468</v>
      </c>
      <c r="F7" s="24"/>
      <c r="G7" s="24"/>
      <c r="H7" s="24" t="s">
        <v>471</v>
      </c>
      <c r="I7" s="24" t="s">
        <v>472</v>
      </c>
      <c r="J7" s="24"/>
      <c r="K7" s="24"/>
      <c r="L7" s="24"/>
      <c r="M7" s="24"/>
      <c r="N7" s="24" t="s">
        <v>473</v>
      </c>
      <c r="O7" s="24" t="s">
        <v>474</v>
      </c>
      <c r="P7" s="25" t="s">
        <v>475</v>
      </c>
      <c r="Q7" s="24"/>
      <c r="R7" s="24"/>
      <c r="S7" s="24" t="s">
        <v>479</v>
      </c>
      <c r="T7" s="24" t="s">
        <v>480</v>
      </c>
      <c r="U7" s="24"/>
      <c r="V7" s="24"/>
      <c r="W7" s="24" t="s">
        <v>483</v>
      </c>
      <c r="X7" s="24"/>
      <c r="Y7" s="24" t="s">
        <v>484</v>
      </c>
      <c r="Z7" s="24"/>
      <c r="AA7" s="24"/>
      <c r="AB7" s="24" t="s">
        <v>486</v>
      </c>
      <c r="AC7" s="24" t="s">
        <v>487</v>
      </c>
      <c r="AD7" s="24"/>
      <c r="AE7" s="24"/>
      <c r="AF7" s="24"/>
      <c r="AG7" s="24" t="s">
        <v>488</v>
      </c>
      <c r="AH7" s="24"/>
      <c r="AI7" s="24"/>
      <c r="AJ7" s="24" t="s">
        <v>490</v>
      </c>
      <c r="AK7" s="24"/>
      <c r="AL7" s="24"/>
      <c r="AM7" s="24"/>
      <c r="AN7" s="24"/>
      <c r="AO7" s="24"/>
      <c r="AP7" s="24" t="s">
        <v>491</v>
      </c>
      <c r="AQ7" s="24"/>
      <c r="AR7" s="24"/>
      <c r="AS7" s="24"/>
      <c r="AT7" s="24" t="s">
        <v>494</v>
      </c>
      <c r="AU7" s="24"/>
      <c r="AV7" s="24"/>
      <c r="AW7" s="24"/>
      <c r="AX7" s="24"/>
      <c r="AY7" s="24"/>
      <c r="AZ7" s="24"/>
      <c r="BA7" s="24" t="s">
        <v>497</v>
      </c>
      <c r="BB7" s="24"/>
      <c r="BC7" s="24"/>
      <c r="BD7" s="24"/>
      <c r="BE7" s="24"/>
      <c r="BF7" s="24" t="s">
        <v>499</v>
      </c>
      <c r="BG7" s="25" t="s">
        <v>500</v>
      </c>
      <c r="BH7" s="24"/>
      <c r="BI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6"/>
    </row>
    <row r="8">
      <c r="A8" s="27"/>
      <c r="B8" s="27">
        <f t="shared" ref="B8:BI8" si="1">COUNTA(B2:B7)</f>
        <v>6</v>
      </c>
      <c r="C8" s="27">
        <f t="shared" si="1"/>
        <v>3</v>
      </c>
      <c r="D8" s="27">
        <f t="shared" si="1"/>
        <v>5</v>
      </c>
      <c r="E8" s="27">
        <f t="shared" si="1"/>
        <v>6</v>
      </c>
      <c r="F8" s="27">
        <f t="shared" si="1"/>
        <v>4</v>
      </c>
      <c r="G8" s="27">
        <f t="shared" si="1"/>
        <v>4</v>
      </c>
      <c r="H8" s="27">
        <f t="shared" si="1"/>
        <v>6</v>
      </c>
      <c r="I8" s="27">
        <f t="shared" si="1"/>
        <v>6</v>
      </c>
      <c r="J8" s="27">
        <f t="shared" si="1"/>
        <v>5</v>
      </c>
      <c r="K8" s="27">
        <f t="shared" si="1"/>
        <v>5</v>
      </c>
      <c r="L8" s="27">
        <f t="shared" si="1"/>
        <v>5</v>
      </c>
      <c r="M8" s="27">
        <f t="shared" si="1"/>
        <v>5</v>
      </c>
      <c r="N8" s="27">
        <f t="shared" si="1"/>
        <v>6</v>
      </c>
      <c r="O8" s="27">
        <f t="shared" si="1"/>
        <v>6</v>
      </c>
      <c r="P8" s="27">
        <f t="shared" si="1"/>
        <v>6</v>
      </c>
      <c r="Q8" s="27">
        <f t="shared" si="1"/>
        <v>5</v>
      </c>
      <c r="R8" s="27">
        <f t="shared" si="1"/>
        <v>4</v>
      </c>
      <c r="S8" s="27">
        <f t="shared" si="1"/>
        <v>6</v>
      </c>
      <c r="T8" s="27">
        <f t="shared" si="1"/>
        <v>6</v>
      </c>
      <c r="U8" s="27">
        <f t="shared" si="1"/>
        <v>4</v>
      </c>
      <c r="V8" s="27">
        <f t="shared" si="1"/>
        <v>4</v>
      </c>
      <c r="W8" s="27">
        <f t="shared" si="1"/>
        <v>6</v>
      </c>
      <c r="X8" s="27">
        <f t="shared" si="1"/>
        <v>4</v>
      </c>
      <c r="Y8" s="27">
        <f t="shared" si="1"/>
        <v>6</v>
      </c>
      <c r="Z8" s="27">
        <f t="shared" si="1"/>
        <v>4</v>
      </c>
      <c r="AA8" s="27">
        <f t="shared" si="1"/>
        <v>4</v>
      </c>
      <c r="AB8" s="27">
        <f t="shared" si="1"/>
        <v>6</v>
      </c>
      <c r="AC8" s="27">
        <f t="shared" si="1"/>
        <v>6</v>
      </c>
      <c r="AD8" s="27">
        <f t="shared" si="1"/>
        <v>4</v>
      </c>
      <c r="AE8" s="27">
        <f t="shared" si="1"/>
        <v>5</v>
      </c>
      <c r="AF8" s="27">
        <f t="shared" si="1"/>
        <v>4</v>
      </c>
      <c r="AG8" s="27">
        <f t="shared" si="1"/>
        <v>6</v>
      </c>
      <c r="AH8" s="27">
        <f t="shared" si="1"/>
        <v>5</v>
      </c>
      <c r="AI8" s="27">
        <f t="shared" si="1"/>
        <v>5</v>
      </c>
      <c r="AJ8" s="27">
        <f t="shared" si="1"/>
        <v>6</v>
      </c>
      <c r="AK8" s="27">
        <f t="shared" si="1"/>
        <v>4</v>
      </c>
      <c r="AL8" s="27">
        <f t="shared" si="1"/>
        <v>5</v>
      </c>
      <c r="AM8" s="27">
        <f t="shared" si="1"/>
        <v>5</v>
      </c>
      <c r="AN8" s="27">
        <f t="shared" si="1"/>
        <v>4</v>
      </c>
      <c r="AO8" s="27">
        <f t="shared" si="1"/>
        <v>5</v>
      </c>
      <c r="AP8" s="27">
        <f t="shared" si="1"/>
        <v>6</v>
      </c>
      <c r="AQ8" s="27">
        <f t="shared" si="1"/>
        <v>3</v>
      </c>
      <c r="AR8" s="27">
        <f t="shared" si="1"/>
        <v>5</v>
      </c>
      <c r="AS8" s="27">
        <f t="shared" si="1"/>
        <v>4</v>
      </c>
      <c r="AT8" s="27">
        <f t="shared" si="1"/>
        <v>6</v>
      </c>
      <c r="AU8" s="27">
        <f t="shared" si="1"/>
        <v>3</v>
      </c>
      <c r="AV8" s="27">
        <f t="shared" si="1"/>
        <v>4</v>
      </c>
      <c r="AW8" s="27">
        <f t="shared" si="1"/>
        <v>5</v>
      </c>
      <c r="AX8" s="27">
        <f t="shared" si="1"/>
        <v>5</v>
      </c>
      <c r="AY8" s="27">
        <f t="shared" si="1"/>
        <v>4</v>
      </c>
      <c r="AZ8" s="27">
        <f t="shared" si="1"/>
        <v>3</v>
      </c>
      <c r="BA8" s="27">
        <f t="shared" si="1"/>
        <v>6</v>
      </c>
      <c r="BB8" s="27">
        <f t="shared" si="1"/>
        <v>3</v>
      </c>
      <c r="BC8" s="27">
        <f t="shared" si="1"/>
        <v>5</v>
      </c>
      <c r="BD8" s="27">
        <f t="shared" si="1"/>
        <v>3</v>
      </c>
      <c r="BE8" s="27">
        <f t="shared" si="1"/>
        <v>4</v>
      </c>
      <c r="BF8" s="27">
        <f t="shared" si="1"/>
        <v>6</v>
      </c>
      <c r="BG8" s="27">
        <f t="shared" si="1"/>
        <v>6</v>
      </c>
      <c r="BH8" s="27">
        <f t="shared" si="1"/>
        <v>4</v>
      </c>
      <c r="BI8" s="27">
        <f t="shared" si="1"/>
        <v>5</v>
      </c>
      <c r="BJ8" s="27">
        <f>COUNTA(BI2:BI7)</f>
        <v>5</v>
      </c>
      <c r="BK8" s="27">
        <f t="shared" ref="BK8:BZ8" si="2">COUNTA(BK2:BK7)</f>
        <v>0</v>
      </c>
      <c r="BL8" s="27">
        <f t="shared" si="2"/>
        <v>0</v>
      </c>
      <c r="BM8" s="27">
        <f t="shared" si="2"/>
        <v>0</v>
      </c>
      <c r="BN8" s="27">
        <f t="shared" si="2"/>
        <v>0</v>
      </c>
      <c r="BO8" s="27">
        <f t="shared" si="2"/>
        <v>0</v>
      </c>
      <c r="BP8" s="27">
        <f t="shared" si="2"/>
        <v>0</v>
      </c>
      <c r="BQ8" s="27">
        <f t="shared" si="2"/>
        <v>0</v>
      </c>
      <c r="BR8" s="27">
        <f t="shared" si="2"/>
        <v>0</v>
      </c>
      <c r="BS8" s="27">
        <f t="shared" si="2"/>
        <v>0</v>
      </c>
      <c r="BT8" s="27">
        <f t="shared" si="2"/>
        <v>0</v>
      </c>
      <c r="BU8" s="27">
        <f t="shared" si="2"/>
        <v>0</v>
      </c>
      <c r="BV8" s="27">
        <f t="shared" si="2"/>
        <v>0</v>
      </c>
      <c r="BW8" s="27">
        <f t="shared" si="2"/>
        <v>0</v>
      </c>
      <c r="BX8" s="27">
        <f t="shared" si="2"/>
        <v>0</v>
      </c>
      <c r="BY8" s="27">
        <f t="shared" si="2"/>
        <v>0</v>
      </c>
      <c r="BZ8" s="27">
        <f t="shared" si="2"/>
        <v>0</v>
      </c>
    </row>
    <row r="9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</row>
    <row r="11">
      <c r="A11" s="30" t="s">
        <v>566</v>
      </c>
      <c r="B11" s="31"/>
      <c r="C11" s="32"/>
      <c r="D11" s="33" t="s">
        <v>570</v>
      </c>
      <c r="E11" s="32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34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</row>
    <row r="12">
      <c r="A12" s="35" t="str">
        <f>IFERROR(__xludf.DUMMYFUNCTION("Unique('Réponses au formulaire 1'!B:B)"),"Prénom NOM ")</f>
        <v>Prénom NOM </v>
      </c>
      <c r="B12" s="36" t="str">
        <f>IFERROR(__xludf.DUMMYFUNCTION("Filter('Réponses au formulaire 1'!S:S,'Réponses au formulaire 1'!B:B=A12)"),"Quel est le nom de ta famille de parrains ?")</f>
        <v>Quel est le nom de ta famille de parrains ?</v>
      </c>
      <c r="C12" s="37" t="s">
        <v>602</v>
      </c>
      <c r="D12" s="38" t="str">
        <f>IFERROR(__xludf.DUMMYFUNCTION("Filter(A12:B400,C12:C400 &lt;&gt; ""X"")"),"Prénom NOM ")</f>
        <v>Prénom NOM </v>
      </c>
      <c r="E12" s="12" t="str">
        <f>IFERROR(__xludf.DUMMYFUNCTION("""COMPUTED_VALUE"""),"Quel est le nom de ta famille de parrains ?")</f>
        <v>Quel est le nom de ta famille de parrains ?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>
      <c r="A13" s="39" t="str">
        <f>IFERROR(__xludf.DUMMYFUNCTION("""COMPUTED_VALUE"""),"")</f>
        <v/>
      </c>
      <c r="B13" s="36"/>
      <c r="C13" s="19"/>
      <c r="D13" s="13" t="str">
        <f>IFERROR(__xludf.DUMMYFUNCTION("""COMPUTED_VALUE"""),"")</f>
        <v/>
      </c>
      <c r="E13" s="19" t="str">
        <f>IFERROR(__xludf.DUMMYFUNCTION("""COMPUTED_VALUE"""),"")</f>
        <v/>
      </c>
      <c r="G13" s="40" t="s">
        <v>604</v>
      </c>
      <c r="H13" s="8">
        <f>IFERROR(__xludf.DUMMYFUNCTION("COUNTA(Filter( C:C,C:C=""x""))"),291.0)</f>
        <v>291</v>
      </c>
      <c r="I13" s="29"/>
      <c r="J13" s="41" t="s">
        <v>613</v>
      </c>
      <c r="K13" s="42" t="s">
        <v>613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</row>
    <row r="14">
      <c r="A14" s="39" t="str">
        <f>IFERROR(__xludf.DUMMYFUNCTION("""COMPUTED_VALUE"""),"Michel Qu")</f>
        <v>Michel Qu</v>
      </c>
      <c r="B14" s="36" t="str">
        <f>IFERROR(__xludf.DUMMYFUNCTION("Filter('Réponses au formulaire 1'!S:S,'Réponses au formulaire 1'!B:B=A14)"),"DPSU")</f>
        <v>DPSU</v>
      </c>
      <c r="C14" s="43" t="s">
        <v>631</v>
      </c>
      <c r="D14" s="13" t="str">
        <f>IFERROR(__xludf.DUMMYFUNCTION("""COMPUTED_VALUE"""),"")</f>
        <v/>
      </c>
      <c r="E14" s="19" t="str">
        <f>IFERROR(__xludf.DUMMYFUNCTION("""COMPUTED_VALUE"""),"#REF!")</f>
        <v>#REF!</v>
      </c>
      <c r="F14" s="29"/>
      <c r="G14" s="40" t="s">
        <v>636</v>
      </c>
      <c r="H14" s="44">
        <f>COUNTA(1:1)-1</f>
        <v>60</v>
      </c>
      <c r="I14" s="29"/>
      <c r="J14" s="45" t="str">
        <f>IFERROR(__xludf.DUMMYFUNCTION("FILTER(1:7,8:8&lt;3)"),"Familles :")</f>
        <v>Familles :</v>
      </c>
      <c r="K14" s="6" t="str">
        <f>IFERROR(__xludf.DUMMYFUNCTION("""COMPUTED_VALUE"""),"")</f>
        <v/>
      </c>
      <c r="L14" s="6" t="str">
        <f>IFERROR(__xludf.DUMMYFUNCTION("""COMPUTED_VALUE"""),"")</f>
        <v/>
      </c>
      <c r="M14" s="6" t="str">
        <f>IFERROR(__xludf.DUMMYFUNCTION("""COMPUTED_VALUE"""),"")</f>
        <v/>
      </c>
      <c r="N14" s="6" t="str">
        <f>IFERROR(__xludf.DUMMYFUNCTION("""COMPUTED_VALUE"""),"")</f>
        <v/>
      </c>
      <c r="O14" s="5" t="str">
        <f>IFERROR(__xludf.DUMMYFUNCTION("""COMPUTED_VALUE"""),"")</f>
        <v/>
      </c>
      <c r="P14" s="6" t="str">
        <f>IFERROR(__xludf.DUMMYFUNCTION("""COMPUTED_VALUE"""),"")</f>
        <v/>
      </c>
      <c r="Q14" s="6" t="str">
        <f>IFERROR(__xludf.DUMMYFUNCTION("""COMPUTED_VALUE"""),"")</f>
        <v/>
      </c>
      <c r="R14" s="5" t="str">
        <f>IFERROR(__xludf.DUMMYFUNCTION("""COMPUTED_VALUE"""),"")</f>
        <v/>
      </c>
      <c r="S14" s="5" t="str">
        <f>IFERROR(__xludf.DUMMYFUNCTION("""COMPUTED_VALUE"""),"")</f>
        <v/>
      </c>
      <c r="T14" s="6" t="str">
        <f>IFERROR(__xludf.DUMMYFUNCTION("""COMPUTED_VALUE"""),"")</f>
        <v/>
      </c>
      <c r="U14" s="6" t="str">
        <f>IFERROR(__xludf.DUMMYFUNCTION("""COMPUTED_VALUE"""),"")</f>
        <v/>
      </c>
      <c r="V14" s="5" t="str">
        <f>IFERROR(__xludf.DUMMYFUNCTION("""COMPUTED_VALUE"""),"")</f>
        <v/>
      </c>
      <c r="W14" s="44" t="str">
        <f>IFERROR(__xludf.DUMMYFUNCTION("""COMPUTED_VALUE"""),"")</f>
        <v/>
      </c>
      <c r="X14" s="29" t="str">
        <f>IFERROR(__xludf.DUMMYFUNCTION("""COMPUTED_VALUE"""),"")</f>
        <v/>
      </c>
      <c r="Y14" s="29" t="str">
        <f>IFERROR(__xludf.DUMMYFUNCTION("""COMPUTED_VALUE"""),"")</f>
        <v/>
      </c>
      <c r="Z14" s="29" t="str">
        <f>IFERROR(__xludf.DUMMYFUNCTION("""COMPUTED_VALUE"""),"")</f>
        <v/>
      </c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</row>
    <row r="15">
      <c r="A15" s="39" t="str">
        <f>IFERROR(__xludf.DUMMYFUNCTION("""COMPUTED_VALUE"""),"Marie BOUTROUX")</f>
        <v>Marie BOUTROUX</v>
      </c>
      <c r="B15" s="36" t="str">
        <f>IFERROR(__xludf.DUMMYFUNCTION("Filter('Réponses au formulaire 1'!S:S,'Réponses au formulaire 1'!B:B=A15)"),"DPSU")</f>
        <v>DPSU</v>
      </c>
      <c r="C15" s="43" t="s">
        <v>631</v>
      </c>
      <c r="D15" s="13" t="str">
        <f>IFERROR(__xludf.DUMMYFUNCTION("""COMPUTED_VALUE"""),"")</f>
        <v/>
      </c>
      <c r="E15" s="19" t="str">
        <f>IFERROR(__xludf.DUMMYFUNCTION("""COMPUTED_VALUE"""),"#REF!")</f>
        <v>#REF!</v>
      </c>
      <c r="F15" s="29"/>
      <c r="G15" s="40" t="s">
        <v>653</v>
      </c>
      <c r="H15" s="8">
        <f>COUNTA(2:7)-1</f>
        <v>291</v>
      </c>
      <c r="I15" s="29"/>
      <c r="J15" s="46" t="str">
        <f>IFERROR(__xludf.DUMMYFUNCTION("""COMPUTED_VALUE"""),"Personnes :")</f>
        <v>Personnes :</v>
      </c>
      <c r="K15" s="12" t="str">
        <f>IFERROR(__xludf.DUMMYFUNCTION("""COMPUTED_VALUE"""),"")</f>
        <v/>
      </c>
      <c r="L15" s="12" t="str">
        <f>IFERROR(__xludf.DUMMYFUNCTION("""COMPUTED_VALUE"""),"")</f>
        <v/>
      </c>
      <c r="M15" s="12" t="str">
        <f>IFERROR(__xludf.DUMMYFUNCTION("""COMPUTED_VALUE"""),"")</f>
        <v/>
      </c>
      <c r="N15" s="12" t="str">
        <f>IFERROR(__xludf.DUMMYFUNCTION("""COMPUTED_VALUE"""),"")</f>
        <v/>
      </c>
      <c r="O15" s="12" t="str">
        <f>IFERROR(__xludf.DUMMYFUNCTION("""COMPUTED_VALUE"""),"")</f>
        <v/>
      </c>
      <c r="P15" s="12" t="str">
        <f>IFERROR(__xludf.DUMMYFUNCTION("""COMPUTED_VALUE"""),"")</f>
        <v/>
      </c>
      <c r="Q15" s="12" t="str">
        <f>IFERROR(__xludf.DUMMYFUNCTION("""COMPUTED_VALUE"""),"")</f>
        <v/>
      </c>
      <c r="R15" s="12" t="str">
        <f>IFERROR(__xludf.DUMMYFUNCTION("""COMPUTED_VALUE"""),"")</f>
        <v/>
      </c>
      <c r="S15" s="12" t="str">
        <f>IFERROR(__xludf.DUMMYFUNCTION("""COMPUTED_VALUE"""),"")</f>
        <v/>
      </c>
      <c r="T15" s="12" t="str">
        <f>IFERROR(__xludf.DUMMYFUNCTION("""COMPUTED_VALUE"""),"")</f>
        <v/>
      </c>
      <c r="U15" s="12" t="str">
        <f>IFERROR(__xludf.DUMMYFUNCTION("""COMPUTED_VALUE"""),"")</f>
        <v/>
      </c>
      <c r="V15" s="12" t="str">
        <f>IFERROR(__xludf.DUMMYFUNCTION("""COMPUTED_VALUE"""),"")</f>
        <v/>
      </c>
      <c r="W15" s="15" t="str">
        <f>IFERROR(__xludf.DUMMYFUNCTION("""COMPUTED_VALUE"""),"")</f>
        <v/>
      </c>
      <c r="X15" s="29" t="str">
        <f>IFERROR(__xludf.DUMMYFUNCTION("""COMPUTED_VALUE"""),"")</f>
        <v/>
      </c>
      <c r="Y15" s="29" t="str">
        <f>IFERROR(__xludf.DUMMYFUNCTION("""COMPUTED_VALUE"""),"")</f>
        <v/>
      </c>
      <c r="Z15" s="29" t="str">
        <f>IFERROR(__xludf.DUMMYFUNCTION("""COMPUTED_VALUE"""),"")</f>
        <v/>
      </c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</row>
    <row r="16">
      <c r="A16" s="39" t="str">
        <f>IFERROR(__xludf.DUMMYFUNCTION("""COMPUTED_VALUE"""),"Kheira POUVREAU")</f>
        <v>Kheira POUVREAU</v>
      </c>
      <c r="B16" s="36" t="str">
        <f>IFERROR(__xludf.DUMMYFUNCTION("Filter('Réponses au formulaire 1'!S:S,'Réponses au formulaire 1'!B:B=A16)"),"DPSU")</f>
        <v>DPSU</v>
      </c>
      <c r="C16" s="43" t="s">
        <v>631</v>
      </c>
      <c r="D16" s="13" t="str">
        <f>IFERROR(__xludf.DUMMYFUNCTION("""COMPUTED_VALUE"""),"")</f>
        <v/>
      </c>
      <c r="E16" s="19" t="str">
        <f>IFERROR(__xludf.DUMMYFUNCTION("""COMPUTED_VALUE"""),"#REF!")</f>
        <v>#REF!</v>
      </c>
      <c r="F16" s="29"/>
      <c r="G16" s="47"/>
      <c r="H16" s="48"/>
      <c r="I16" s="29"/>
      <c r="J16" s="49" t="str">
        <f>IFERROR(__xludf.DUMMYFUNCTION("""COMPUTED_VALUE"""),"")</f>
        <v/>
      </c>
      <c r="K16" s="14" t="str">
        <f>IFERROR(__xludf.DUMMYFUNCTION("""COMPUTED_VALUE"""),"")</f>
        <v/>
      </c>
      <c r="L16" s="14" t="str">
        <f>IFERROR(__xludf.DUMMYFUNCTION("""COMPUTED_VALUE"""),"")</f>
        <v/>
      </c>
      <c r="M16" s="14" t="str">
        <f>IFERROR(__xludf.DUMMYFUNCTION("""COMPUTED_VALUE"""),"")</f>
        <v/>
      </c>
      <c r="N16" s="14" t="str">
        <f>IFERROR(__xludf.DUMMYFUNCTION("""COMPUTED_VALUE"""),"")</f>
        <v/>
      </c>
      <c r="O16" s="14" t="str">
        <f>IFERROR(__xludf.DUMMYFUNCTION("""COMPUTED_VALUE"""),"")</f>
        <v/>
      </c>
      <c r="P16" s="14" t="str">
        <f>IFERROR(__xludf.DUMMYFUNCTION("""COMPUTED_VALUE"""),"")</f>
        <v/>
      </c>
      <c r="Q16" s="14" t="str">
        <f>IFERROR(__xludf.DUMMYFUNCTION("""COMPUTED_VALUE"""),"")</f>
        <v/>
      </c>
      <c r="R16" s="14" t="str">
        <f>IFERROR(__xludf.DUMMYFUNCTION("""COMPUTED_VALUE"""),"")</f>
        <v/>
      </c>
      <c r="S16" s="14" t="str">
        <f>IFERROR(__xludf.DUMMYFUNCTION("""COMPUTED_VALUE"""),"")</f>
        <v/>
      </c>
      <c r="T16" s="14" t="str">
        <f>IFERROR(__xludf.DUMMYFUNCTION("""COMPUTED_VALUE"""),"")</f>
        <v/>
      </c>
      <c r="U16" s="14" t="str">
        <f>IFERROR(__xludf.DUMMYFUNCTION("""COMPUTED_VALUE"""),"")</f>
        <v/>
      </c>
      <c r="V16" s="14" t="str">
        <f>IFERROR(__xludf.DUMMYFUNCTION("""COMPUTED_VALUE"""),"")</f>
        <v/>
      </c>
      <c r="W16" s="19" t="str">
        <f>IFERROR(__xludf.DUMMYFUNCTION("""COMPUTED_VALUE"""),"")</f>
        <v/>
      </c>
      <c r="X16" s="29" t="str">
        <f>IFERROR(__xludf.DUMMYFUNCTION("""COMPUTED_VALUE"""),"")</f>
        <v/>
      </c>
      <c r="Y16" s="29" t="str">
        <f>IFERROR(__xludf.DUMMYFUNCTION("""COMPUTED_VALUE"""),"")</f>
        <v/>
      </c>
      <c r="Z16" s="29" t="str">
        <f>IFERROR(__xludf.DUMMYFUNCTION("""COMPUTED_VALUE"""),"")</f>
        <v/>
      </c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</row>
    <row r="17">
      <c r="A17" s="39" t="str">
        <f>IFERROR(__xludf.DUMMYFUNCTION("""COMPUTED_VALUE"""),"Jean ROMAN")</f>
        <v>Jean ROMAN</v>
      </c>
      <c r="B17" s="36" t="str">
        <f>IFERROR(__xludf.DUMMYFUNCTION("Filter('Réponses au formulaire 1'!S:S,'Réponses au formulaire 1'!B:B=A17)"),"DPSU")</f>
        <v>DPSU</v>
      </c>
      <c r="C17" s="43" t="s">
        <v>631</v>
      </c>
      <c r="D17" s="13" t="str">
        <f>IFERROR(__xludf.DUMMYFUNCTION("""COMPUTED_VALUE"""),"")</f>
        <v/>
      </c>
      <c r="E17" s="19" t="str">
        <f>IFERROR(__xludf.DUMMYFUNCTION("""COMPUTED_VALUE"""),"#REF!")</f>
        <v>#REF!</v>
      </c>
      <c r="F17" s="29"/>
      <c r="G17" s="40" t="s">
        <v>684</v>
      </c>
      <c r="H17" s="8">
        <f>IFERROR(__xludf.DUMMYFUNCTION("COUNTA(FILTER(1:1,8:8&lt;3))-1"),0.0)</f>
        <v>0</v>
      </c>
      <c r="I17" s="29"/>
      <c r="J17" s="49" t="str">
        <f>IFERROR(__xludf.DUMMYFUNCTION("""COMPUTED_VALUE"""),"")</f>
        <v/>
      </c>
      <c r="K17" s="14" t="str">
        <f>IFERROR(__xludf.DUMMYFUNCTION("""COMPUTED_VALUE"""),"")</f>
        <v/>
      </c>
      <c r="L17" s="14" t="str">
        <f>IFERROR(__xludf.DUMMYFUNCTION("""COMPUTED_VALUE"""),"")</f>
        <v/>
      </c>
      <c r="M17" s="14" t="str">
        <f>IFERROR(__xludf.DUMMYFUNCTION("""COMPUTED_VALUE"""),"")</f>
        <v/>
      </c>
      <c r="N17" s="14" t="str">
        <f>IFERROR(__xludf.DUMMYFUNCTION("""COMPUTED_VALUE"""),"")</f>
        <v/>
      </c>
      <c r="O17" s="14" t="str">
        <f>IFERROR(__xludf.DUMMYFUNCTION("""COMPUTED_VALUE"""),"")</f>
        <v/>
      </c>
      <c r="P17" s="14" t="str">
        <f>IFERROR(__xludf.DUMMYFUNCTION("""COMPUTED_VALUE"""),"")</f>
        <v/>
      </c>
      <c r="Q17" s="14" t="str">
        <f>IFERROR(__xludf.DUMMYFUNCTION("""COMPUTED_VALUE"""),"")</f>
        <v/>
      </c>
      <c r="R17" s="14" t="str">
        <f>IFERROR(__xludf.DUMMYFUNCTION("""COMPUTED_VALUE"""),"")</f>
        <v/>
      </c>
      <c r="S17" s="14" t="str">
        <f>IFERROR(__xludf.DUMMYFUNCTION("""COMPUTED_VALUE"""),"")</f>
        <v/>
      </c>
      <c r="T17" s="14" t="str">
        <f>IFERROR(__xludf.DUMMYFUNCTION("""COMPUTED_VALUE"""),"")</f>
        <v/>
      </c>
      <c r="U17" s="14" t="str">
        <f>IFERROR(__xludf.DUMMYFUNCTION("""COMPUTED_VALUE"""),"")</f>
        <v/>
      </c>
      <c r="V17" s="14" t="str">
        <f>IFERROR(__xludf.DUMMYFUNCTION("""COMPUTED_VALUE"""),"")</f>
        <v/>
      </c>
      <c r="W17" s="19" t="str">
        <f>IFERROR(__xludf.DUMMYFUNCTION("""COMPUTED_VALUE"""),"")</f>
        <v/>
      </c>
      <c r="X17" s="29" t="str">
        <f>IFERROR(__xludf.DUMMYFUNCTION("""COMPUTED_VALUE"""),"")</f>
        <v/>
      </c>
      <c r="Y17" s="29" t="str">
        <f>IFERROR(__xludf.DUMMYFUNCTION("""COMPUTED_VALUE"""),"")</f>
        <v/>
      </c>
      <c r="Z17" s="29" t="str">
        <f>IFERROR(__xludf.DUMMYFUNCTION("""COMPUTED_VALUE"""),"")</f>
        <v/>
      </c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</row>
    <row r="18">
      <c r="A18" s="39" t="str">
        <f>IFERROR(__xludf.DUMMYFUNCTION("""COMPUTED_VALUE"""),"Alexis Birée")</f>
        <v>Alexis Birée</v>
      </c>
      <c r="B18" s="36" t="str">
        <f>IFERROR(__xludf.DUMMYFUNCTION("Filter('Réponses au formulaire 1'!S:S,'Réponses au formulaire 1'!B:B=A18)"),"Le Bordel")</f>
        <v>Le Bordel</v>
      </c>
      <c r="C18" s="43" t="s">
        <v>631</v>
      </c>
      <c r="D18" s="13" t="str">
        <f>IFERROR(__xludf.DUMMYFUNCTION("""COMPUTED_VALUE"""),"")</f>
        <v/>
      </c>
      <c r="E18" s="19" t="str">
        <f>IFERROR(__xludf.DUMMYFUNCTION("""COMPUTED_VALUE"""),"#REF!")</f>
        <v>#REF!</v>
      </c>
      <c r="F18" s="29"/>
      <c r="G18" s="40" t="s">
        <v>699</v>
      </c>
      <c r="H18" s="8">
        <f>IFERROR(__xludf.DUMMYFUNCTION("AVERAGE(FILTER(8:8,8:8&gt;0))"),4.852459016393443)</f>
        <v>4.852459016</v>
      </c>
      <c r="I18" s="29"/>
      <c r="J18" s="49" t="str">
        <f>IFERROR(__xludf.DUMMYFUNCTION("""COMPUTED_VALUE"""),"")</f>
        <v/>
      </c>
      <c r="K18" s="14" t="str">
        <f>IFERROR(__xludf.DUMMYFUNCTION("""COMPUTED_VALUE"""),"")</f>
        <v/>
      </c>
      <c r="L18" s="14" t="str">
        <f>IFERROR(__xludf.DUMMYFUNCTION("""COMPUTED_VALUE"""),"")</f>
        <v/>
      </c>
      <c r="M18" s="14" t="str">
        <f>IFERROR(__xludf.DUMMYFUNCTION("""COMPUTED_VALUE"""),"")</f>
        <v/>
      </c>
      <c r="N18" s="14" t="str">
        <f>IFERROR(__xludf.DUMMYFUNCTION("""COMPUTED_VALUE"""),"")</f>
        <v/>
      </c>
      <c r="O18" s="14" t="str">
        <f>IFERROR(__xludf.DUMMYFUNCTION("""COMPUTED_VALUE"""),"")</f>
        <v/>
      </c>
      <c r="P18" s="14" t="str">
        <f>IFERROR(__xludf.DUMMYFUNCTION("""COMPUTED_VALUE"""),"")</f>
        <v/>
      </c>
      <c r="Q18" s="14" t="str">
        <f>IFERROR(__xludf.DUMMYFUNCTION("""COMPUTED_VALUE"""),"")</f>
        <v/>
      </c>
      <c r="R18" s="14" t="str">
        <f>IFERROR(__xludf.DUMMYFUNCTION("""COMPUTED_VALUE"""),"")</f>
        <v/>
      </c>
      <c r="S18" s="14" t="str">
        <f>IFERROR(__xludf.DUMMYFUNCTION("""COMPUTED_VALUE"""),"")</f>
        <v/>
      </c>
      <c r="T18" s="14" t="str">
        <f>IFERROR(__xludf.DUMMYFUNCTION("""COMPUTED_VALUE"""),"")</f>
        <v/>
      </c>
      <c r="U18" s="14" t="str">
        <f>IFERROR(__xludf.DUMMYFUNCTION("""COMPUTED_VALUE"""),"")</f>
        <v/>
      </c>
      <c r="V18" s="14" t="str">
        <f>IFERROR(__xludf.DUMMYFUNCTION("""COMPUTED_VALUE"""),"")</f>
        <v/>
      </c>
      <c r="W18" s="19" t="str">
        <f>IFERROR(__xludf.DUMMYFUNCTION("""COMPUTED_VALUE"""),"")</f>
        <v/>
      </c>
      <c r="X18" s="29" t="str">
        <f>IFERROR(__xludf.DUMMYFUNCTION("""COMPUTED_VALUE"""),"")</f>
        <v/>
      </c>
      <c r="Y18" s="29" t="str">
        <f>IFERROR(__xludf.DUMMYFUNCTION("""COMPUTED_VALUE"""),"")</f>
        <v/>
      </c>
      <c r="Z18" s="29" t="str">
        <f>IFERROR(__xludf.DUMMYFUNCTION("""COMPUTED_VALUE"""),"")</f>
        <v/>
      </c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>
      <c r="A19" s="39" t="str">
        <f>IFERROR(__xludf.DUMMYFUNCTION("""COMPUTED_VALUE"""),"Jeanne SUDOUR")</f>
        <v>Jeanne SUDOUR</v>
      </c>
      <c r="B19" s="36" t="str">
        <f>IFERROR(__xludf.DUMMYFUNCTION("Filter('Réponses au formulaire 1'!S:S,'Réponses au formulaire 1'!B:B=A19)"),"DPSU")</f>
        <v>DPSU</v>
      </c>
      <c r="C19" s="43" t="s">
        <v>631</v>
      </c>
      <c r="D19" s="13" t="str">
        <f>IFERROR(__xludf.DUMMYFUNCTION("""COMPUTED_VALUE"""),"")</f>
        <v/>
      </c>
      <c r="E19" s="19" t="str">
        <f>IFERROR(__xludf.DUMMYFUNCTION("""COMPUTED_VALUE"""),"#REF!")</f>
        <v>#REF!</v>
      </c>
      <c r="F19" s="29"/>
      <c r="G19" s="29"/>
      <c r="H19" s="29"/>
      <c r="I19" s="29"/>
      <c r="J19" s="49" t="str">
        <f>IFERROR(__xludf.DUMMYFUNCTION("""COMPUTED_VALUE"""),"")</f>
        <v/>
      </c>
      <c r="K19" s="14" t="str">
        <f>IFERROR(__xludf.DUMMYFUNCTION("""COMPUTED_VALUE"""),"")</f>
        <v/>
      </c>
      <c r="L19" s="14" t="str">
        <f>IFERROR(__xludf.DUMMYFUNCTION("""COMPUTED_VALUE"""),"")</f>
        <v/>
      </c>
      <c r="M19" s="14" t="str">
        <f>IFERROR(__xludf.DUMMYFUNCTION("""COMPUTED_VALUE"""),"")</f>
        <v/>
      </c>
      <c r="N19" s="14" t="str">
        <f>IFERROR(__xludf.DUMMYFUNCTION("""COMPUTED_VALUE"""),"")</f>
        <v/>
      </c>
      <c r="O19" s="14" t="str">
        <f>IFERROR(__xludf.DUMMYFUNCTION("""COMPUTED_VALUE"""),"")</f>
        <v/>
      </c>
      <c r="P19" s="14" t="str">
        <f>IFERROR(__xludf.DUMMYFUNCTION("""COMPUTED_VALUE"""),"")</f>
        <v/>
      </c>
      <c r="Q19" s="14" t="str">
        <f>IFERROR(__xludf.DUMMYFUNCTION("""COMPUTED_VALUE"""),"")</f>
        <v/>
      </c>
      <c r="R19" s="14" t="str">
        <f>IFERROR(__xludf.DUMMYFUNCTION("""COMPUTED_VALUE"""),"")</f>
        <v/>
      </c>
      <c r="S19" s="14" t="str">
        <f>IFERROR(__xludf.DUMMYFUNCTION("""COMPUTED_VALUE"""),"")</f>
        <v/>
      </c>
      <c r="T19" s="14" t="str">
        <f>IFERROR(__xludf.DUMMYFUNCTION("""COMPUTED_VALUE"""),"")</f>
        <v/>
      </c>
      <c r="U19" s="14" t="str">
        <f>IFERROR(__xludf.DUMMYFUNCTION("""COMPUTED_VALUE"""),"")</f>
        <v/>
      </c>
      <c r="V19" s="14" t="str">
        <f>IFERROR(__xludf.DUMMYFUNCTION("""COMPUTED_VALUE"""),"")</f>
        <v/>
      </c>
      <c r="W19" s="19" t="str">
        <f>IFERROR(__xludf.DUMMYFUNCTION("""COMPUTED_VALUE"""),"")</f>
        <v/>
      </c>
      <c r="X19" s="29" t="str">
        <f>IFERROR(__xludf.DUMMYFUNCTION("""COMPUTED_VALUE"""),"")</f>
        <v/>
      </c>
      <c r="Y19" s="29" t="str">
        <f>IFERROR(__xludf.DUMMYFUNCTION("""COMPUTED_VALUE"""),"")</f>
        <v/>
      </c>
      <c r="Z19" s="29" t="str">
        <f>IFERROR(__xludf.DUMMYFUNCTION("""COMPUTED_VALUE"""),"")</f>
        <v/>
      </c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</row>
    <row r="20">
      <c r="A20" s="39" t="str">
        <f>IFERROR(__xludf.DUMMYFUNCTION("""COMPUTED_VALUE"""),"Laura DRAUX")</f>
        <v>Laura DRAUX</v>
      </c>
      <c r="B20" s="36" t="str">
        <f>IFERROR(__xludf.DUMMYFUNCTION("Filter('Réponses au formulaire 1'!S:S,'Réponses au formulaire 1'!B:B=A20)"),"Le Bordel")</f>
        <v>Le Bordel</v>
      </c>
      <c r="C20" s="43" t="s">
        <v>631</v>
      </c>
      <c r="D20" s="13" t="str">
        <f>IFERROR(__xludf.DUMMYFUNCTION("""COMPUTED_VALUE"""),"")</f>
        <v/>
      </c>
      <c r="E20" s="19" t="str">
        <f>IFERROR(__xludf.DUMMYFUNCTION("""COMPUTED_VALUE"""),"#REF!")</f>
        <v>#REF!</v>
      </c>
      <c r="F20" s="29"/>
      <c r="G20" s="29"/>
      <c r="H20" s="29"/>
      <c r="I20" s="29"/>
      <c r="J20" s="50" t="str">
        <f>IFERROR(__xludf.DUMMYFUNCTION("""COMPUTED_VALUE"""),"")</f>
        <v/>
      </c>
      <c r="K20" s="24" t="str">
        <f>IFERROR(__xludf.DUMMYFUNCTION("""COMPUTED_VALUE"""),"")</f>
        <v/>
      </c>
      <c r="L20" s="24" t="str">
        <f>IFERROR(__xludf.DUMMYFUNCTION("""COMPUTED_VALUE"""),"")</f>
        <v/>
      </c>
      <c r="M20" s="24" t="str">
        <f>IFERROR(__xludf.DUMMYFUNCTION("""COMPUTED_VALUE"""),"")</f>
        <v/>
      </c>
      <c r="N20" s="24" t="str">
        <f>IFERROR(__xludf.DUMMYFUNCTION("""COMPUTED_VALUE"""),"")</f>
        <v/>
      </c>
      <c r="O20" s="24" t="str">
        <f>IFERROR(__xludf.DUMMYFUNCTION("""COMPUTED_VALUE"""),"")</f>
        <v/>
      </c>
      <c r="P20" s="24" t="str">
        <f>IFERROR(__xludf.DUMMYFUNCTION("""COMPUTED_VALUE"""),"")</f>
        <v/>
      </c>
      <c r="Q20" s="24" t="str">
        <f>IFERROR(__xludf.DUMMYFUNCTION("""COMPUTED_VALUE"""),"")</f>
        <v/>
      </c>
      <c r="R20" s="24" t="str">
        <f>IFERROR(__xludf.DUMMYFUNCTION("""COMPUTED_VALUE"""),"")</f>
        <v/>
      </c>
      <c r="S20" s="24" t="str">
        <f>IFERROR(__xludf.DUMMYFUNCTION("""COMPUTED_VALUE"""),"")</f>
        <v/>
      </c>
      <c r="T20" s="24" t="str">
        <f>IFERROR(__xludf.DUMMYFUNCTION("""COMPUTED_VALUE"""),"")</f>
        <v/>
      </c>
      <c r="U20" s="24" t="str">
        <f>IFERROR(__xludf.DUMMYFUNCTION("""COMPUTED_VALUE"""),"")</f>
        <v/>
      </c>
      <c r="V20" s="24" t="str">
        <f>IFERROR(__xludf.DUMMYFUNCTION("""COMPUTED_VALUE"""),"")</f>
        <v/>
      </c>
      <c r="W20" s="26" t="str">
        <f>IFERROR(__xludf.DUMMYFUNCTION("""COMPUTED_VALUE"""),"")</f>
        <v/>
      </c>
      <c r="X20" s="29" t="str">
        <f>IFERROR(__xludf.DUMMYFUNCTION("""COMPUTED_VALUE"""),"")</f>
        <v/>
      </c>
      <c r="Y20" s="29" t="str">
        <f>IFERROR(__xludf.DUMMYFUNCTION("""COMPUTED_VALUE"""),"")</f>
        <v/>
      </c>
      <c r="Z20" s="29" t="str">
        <f>IFERROR(__xludf.DUMMYFUNCTION("""COMPUTED_VALUE"""),"")</f>
        <v/>
      </c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</row>
    <row r="21">
      <c r="A21" s="39" t="str">
        <f>IFERROR(__xludf.DUMMYFUNCTION("""COMPUTED_VALUE"""),"Célia CHABRANT")</f>
        <v>Célia CHABRANT</v>
      </c>
      <c r="B21" s="36" t="str">
        <f>IFERROR(__xludf.DUMMYFUNCTION("Filter('Réponses au formulaire 1'!S:S,'Réponses au formulaire 1'!B:B=A21)"),"Le Bordel")</f>
        <v>Le Bordel</v>
      </c>
      <c r="C21" s="43" t="s">
        <v>631</v>
      </c>
      <c r="D21" s="13" t="str">
        <f>IFERROR(__xludf.DUMMYFUNCTION("""COMPUTED_VALUE"""),"")</f>
        <v/>
      </c>
      <c r="E21" s="19" t="str">
        <f>IFERROR(__xludf.DUMMYFUNCTION("""COMPUTED_VALUE"""),"#REF!")</f>
        <v>#REF!</v>
      </c>
      <c r="F21" s="29"/>
      <c r="G21" s="29"/>
      <c r="H21" s="29"/>
      <c r="I21" s="29"/>
      <c r="J21" s="51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</row>
    <row r="22">
      <c r="A22" s="39" t="str">
        <f>IFERROR(__xludf.DUMMYFUNCTION("""COMPUTED_VALUE"""),"Pablo CARDONA ALVAREZ")</f>
        <v>Pablo CARDONA ALVAREZ</v>
      </c>
      <c r="B22" s="36" t="str">
        <f>IFERROR(__xludf.DUMMYFUNCTION("Filter('Réponses au formulaire 1'!S:S,'Réponses au formulaire 1'!B:B=A22)"),"La Glotte")</f>
        <v>La Glotte</v>
      </c>
      <c r="C22" s="43" t="s">
        <v>631</v>
      </c>
      <c r="D22" s="13" t="str">
        <f>IFERROR(__xludf.DUMMYFUNCTION("""COMPUTED_VALUE"""),"")</f>
        <v/>
      </c>
      <c r="E22" s="19" t="str">
        <f>IFERROR(__xludf.DUMMYFUNCTION("""COMPUTED_VALUE"""),"#REF!")</f>
        <v>#REF!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</row>
    <row r="23">
      <c r="A23" s="39" t="str">
        <f>IFERROR(__xludf.DUMMYFUNCTION("""COMPUTED_VALUE"""),"Enzo MORI")</f>
        <v>Enzo MORI</v>
      </c>
      <c r="B23" s="36" t="str">
        <f>IFERROR(__xludf.DUMMYFUNCTION("Filter('Réponses au formulaire 1'!S:S,'Réponses au formulaire 1'!B:B=A23)"),"Consulm3ow")</f>
        <v>Consulm3ow</v>
      </c>
      <c r="C23" s="43" t="s">
        <v>631</v>
      </c>
      <c r="D23" s="13" t="str">
        <f>IFERROR(__xludf.DUMMYFUNCTION("""COMPUTED_VALUE"""),"")</f>
        <v/>
      </c>
      <c r="E23" s="19" t="str">
        <f>IFERROR(__xludf.DUMMYFUNCTION("""COMPUTED_VALUE"""),"#REF!")</f>
        <v>#REF!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</row>
    <row r="24">
      <c r="A24" s="39" t="str">
        <f>IFERROR(__xludf.DUMMYFUNCTION("""COMPUTED_VALUE"""),"Apolline Gorry")</f>
        <v>Apolline Gorry</v>
      </c>
      <c r="B24" s="36" t="str">
        <f>IFERROR(__xludf.DUMMYFUNCTION("Filter('Réponses au formulaire 1'!S:S,'Réponses au formulaire 1'!B:B=A24)"),"DPSU")</f>
        <v>DPSU</v>
      </c>
      <c r="C24" s="43" t="s">
        <v>631</v>
      </c>
      <c r="D24" s="13" t="str">
        <f>IFERROR(__xludf.DUMMYFUNCTION("""COMPUTED_VALUE"""),"")</f>
        <v/>
      </c>
      <c r="E24" s="19" t="str">
        <f>IFERROR(__xludf.DUMMYFUNCTION("""COMPUTED_VALUE"""),"#REF!")</f>
        <v>#REF!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</row>
    <row r="25">
      <c r="A25" s="39" t="str">
        <f>IFERROR(__xludf.DUMMYFUNCTION("""COMPUTED_VALUE"""),"Victor VINCENT DE LESTRADE")</f>
        <v>Victor VINCENT DE LESTRADE</v>
      </c>
      <c r="B25" s="36" t="str">
        <f>IFERROR(__xludf.DUMMYFUNCTION("Filter('Réponses au formulaire 1'!S:S,'Réponses au formulaire 1'!B:B=A25)"),"Consulm3ow")</f>
        <v>Consulm3ow</v>
      </c>
      <c r="C25" s="43" t="s">
        <v>631</v>
      </c>
      <c r="D25" s="13" t="str">
        <f>IFERROR(__xludf.DUMMYFUNCTION("""COMPUTED_VALUE"""),"")</f>
        <v/>
      </c>
      <c r="E25" s="19" t="str">
        <f>IFERROR(__xludf.DUMMYFUNCTION("""COMPUTED_VALUE"""),"#REF!")</f>
        <v>#REF!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</row>
    <row r="26">
      <c r="A26" s="39" t="str">
        <f>IFERROR(__xludf.DUMMYFUNCTION("""COMPUTED_VALUE"""),"Mathis BARTHERE")</f>
        <v>Mathis BARTHERE</v>
      </c>
      <c r="B26" s="36" t="str">
        <f>IFERROR(__xludf.DUMMYFUNCTION("Filter('Réponses au formulaire 1'!S:S,'Réponses au formulaire 1'!B:B=A26)"),"Consulm3ow")</f>
        <v>Consulm3ow</v>
      </c>
      <c r="C26" s="43" t="s">
        <v>631</v>
      </c>
      <c r="D26" s="13" t="str">
        <f>IFERROR(__xludf.DUMMYFUNCTION("""COMPUTED_VALUE"""),"")</f>
        <v/>
      </c>
      <c r="E26" s="19" t="str">
        <f>IFERROR(__xludf.DUMMYFUNCTION("""COMPUTED_VALUE"""),"#REF!")</f>
        <v>#REF!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</row>
    <row r="27">
      <c r="A27" s="39" t="str">
        <f>IFERROR(__xludf.DUMMYFUNCTION("""COMPUTED_VALUE"""),"Andrew FONDJO")</f>
        <v>Andrew FONDJO</v>
      </c>
      <c r="B27" s="36" t="str">
        <f>IFERROR(__xludf.DUMMYFUNCTION("Filter('Réponses au formulaire 1'!S:S,'Réponses au formulaire 1'!B:B=A27)"),"Le CONSULM3OW")</f>
        <v>Le CONSULM3OW</v>
      </c>
      <c r="C27" s="43" t="s">
        <v>631</v>
      </c>
      <c r="D27" s="13" t="str">
        <f>IFERROR(__xludf.DUMMYFUNCTION("""COMPUTED_VALUE"""),"")</f>
        <v/>
      </c>
      <c r="E27" s="19" t="str">
        <f>IFERROR(__xludf.DUMMYFUNCTION("""COMPUTED_VALUE"""),"#REF!")</f>
        <v>#REF!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</row>
    <row r="28">
      <c r="A28" s="39" t="str">
        <f>IFERROR(__xludf.DUMMYFUNCTION("""COMPUTED_VALUE"""),"Laura BOIS")</f>
        <v>Laura BOIS</v>
      </c>
      <c r="B28" s="36" t="str">
        <f>IFERROR(__xludf.DUMMYFUNCTION("Filter('Réponses au formulaire 1'!S:S,'Réponses au formulaire 1'!B:B=A28)"),"Le Zoo ")</f>
        <v>Le Zoo </v>
      </c>
      <c r="C28" s="43" t="s">
        <v>631</v>
      </c>
      <c r="D28" s="13" t="str">
        <f>IFERROR(__xludf.DUMMYFUNCTION("""COMPUTED_VALUE"""),"")</f>
        <v/>
      </c>
      <c r="E28" s="19" t="str">
        <f>IFERROR(__xludf.DUMMYFUNCTION("""COMPUTED_VALUE"""),"#REF!")</f>
        <v>#REF!</v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</row>
    <row r="29">
      <c r="A29" s="39" t="str">
        <f>IFERROR(__xludf.DUMMYFUNCTION("""COMPUTED_VALUE"""),"Guillaume SALUDEN")</f>
        <v>Guillaume SALUDEN</v>
      </c>
      <c r="B29" s="36" t="str">
        <f>IFERROR(__xludf.DUMMYFUNCTION("Filter('Réponses au formulaire 1'!S:S,'Réponses au formulaire 1'!B:B=A29)"),"Beurre salé &amp; chocolatine")</f>
        <v>Beurre salé &amp; chocolatine</v>
      </c>
      <c r="C29" s="43" t="s">
        <v>631</v>
      </c>
      <c r="D29" s="13" t="str">
        <f>IFERROR(__xludf.DUMMYFUNCTION("""COMPUTED_VALUE"""),"")</f>
        <v/>
      </c>
      <c r="E29" s="19" t="str">
        <f>IFERROR(__xludf.DUMMYFUNCTION("""COMPUTED_VALUE"""),"#REF!")</f>
        <v>#REF!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</row>
    <row r="30">
      <c r="A30" s="39" t="str">
        <f>IFERROR(__xludf.DUMMYFUNCTION("""COMPUTED_VALUE"""),"Dimitri DEGONHIER")</f>
        <v>Dimitri DEGONHIER</v>
      </c>
      <c r="B30" s="36" t="str">
        <f>IFERROR(__xludf.DUMMYFUNCTION("Filter('Réponses au formulaire 1'!S:S,'Réponses au formulaire 1'!B:B=A30)"),"Le Zoo")</f>
        <v>Le Zoo</v>
      </c>
      <c r="C30" s="43" t="s">
        <v>631</v>
      </c>
      <c r="D30" s="13" t="str">
        <f>IFERROR(__xludf.DUMMYFUNCTION("""COMPUTED_VALUE"""),"")</f>
        <v/>
      </c>
      <c r="E30" s="19" t="str">
        <f>IFERROR(__xludf.DUMMYFUNCTION("""COMPUTED_VALUE"""),"#REF!")</f>
        <v>#REF!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</row>
    <row r="31">
      <c r="A31" s="39" t="str">
        <f>IFERROR(__xludf.DUMMYFUNCTION("""COMPUTED_VALUE"""),"André D'ELBREIL")</f>
        <v>André D'ELBREIL</v>
      </c>
      <c r="B31" s="36" t="str">
        <f>IFERROR(__xludf.DUMMYFUNCTION("Filter('Réponses au formulaire 1'!S:S,'Réponses au formulaire 1'!B:B=A31)"),"Le Zoo")</f>
        <v>Le Zoo</v>
      </c>
      <c r="C31" s="43" t="s">
        <v>631</v>
      </c>
      <c r="D31" s="13" t="str">
        <f>IFERROR(__xludf.DUMMYFUNCTION("""COMPUTED_VALUE"""),"")</f>
        <v/>
      </c>
      <c r="E31" s="19" t="str">
        <f>IFERROR(__xludf.DUMMYFUNCTION("""COMPUTED_VALUE"""),"#REF!")</f>
        <v>#REF!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</row>
    <row r="32">
      <c r="A32" s="39" t="str">
        <f>IFERROR(__xludf.DUMMYFUNCTION("""COMPUTED_VALUE"""),"Louis Duhem")</f>
        <v>Louis Duhem</v>
      </c>
      <c r="B32" s="36" t="str">
        <f>IFERROR(__xludf.DUMMYFUNCTION("Filter('Réponses au formulaire 1'!S:S,'Réponses au formulaire 1'!B:B=A32)"),"Les domineurs")</f>
        <v>Les domineurs</v>
      </c>
      <c r="C32" s="43" t="s">
        <v>631</v>
      </c>
      <c r="D32" s="13" t="str">
        <f>IFERROR(__xludf.DUMMYFUNCTION("""COMPUTED_VALUE"""),"")</f>
        <v/>
      </c>
      <c r="E32" s="19" t="str">
        <f>IFERROR(__xludf.DUMMYFUNCTION("""COMPUTED_VALUE"""),"#REF!")</f>
        <v>#REF!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</row>
    <row r="33">
      <c r="A33" s="39" t="str">
        <f>IFERROR(__xludf.DUMMYFUNCTION("""COMPUTED_VALUE"""),"Maximin TOURAILLE")</f>
        <v>Maximin TOURAILLE</v>
      </c>
      <c r="B33" s="36" t="str">
        <f>IFERROR(__xludf.DUMMYFUNCTION("Filter('Réponses au formulaire 1'!S:S,'Réponses au formulaire 1'!B:B=A33)"),"Le Zoo")</f>
        <v>Le Zoo</v>
      </c>
      <c r="C33" s="43" t="s">
        <v>631</v>
      </c>
      <c r="D33" s="13" t="str">
        <f>IFERROR(__xludf.DUMMYFUNCTION("""COMPUTED_VALUE"""),"")</f>
        <v/>
      </c>
      <c r="E33" s="19" t="str">
        <f>IFERROR(__xludf.DUMMYFUNCTION("""COMPUTED_VALUE"""),"#REF!")</f>
        <v>#REF!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</row>
    <row r="34">
      <c r="A34" s="39" t="str">
        <f>IFERROR(__xludf.DUMMYFUNCTION("""COMPUTED_VALUE"""),"Gonzalez JoseRi 😇")</f>
        <v>Gonzalez JoseRi 😇</v>
      </c>
      <c r="B34" s="36" t="str">
        <f>IFERROR(__xludf.DUMMYFUNCTION("Filter('Réponses au formulaire 1'!S:S,'Réponses au formulaire 1'!B:B=A34)"),"Beurre salé &amp; chocolatine")</f>
        <v>Beurre salé &amp; chocolatine</v>
      </c>
      <c r="C34" s="43" t="s">
        <v>631</v>
      </c>
      <c r="D34" s="13" t="str">
        <f>IFERROR(__xludf.DUMMYFUNCTION("""COMPUTED_VALUE"""),"")</f>
        <v/>
      </c>
      <c r="E34" s="19" t="str">
        <f>IFERROR(__xludf.DUMMYFUNCTION("""COMPUTED_VALUE"""),"#REF!")</f>
        <v>#REF!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</row>
    <row r="35">
      <c r="A35" s="39" t="str">
        <f>IFERROR(__xludf.DUMMYFUNCTION("""COMPUTED_VALUE"""),"Jeremy Garcia")</f>
        <v>Jeremy Garcia</v>
      </c>
      <c r="B35" s="36" t="str">
        <f>IFERROR(__xludf.DUMMYFUNCTION("Filter('Réponses au formulaire 1'!S:S,'Réponses au formulaire 1'!B:B=A35)"),"Beurre Salé &amp; Chocolatine  ")</f>
        <v>Beurre Salé &amp; Chocolatine  </v>
      </c>
      <c r="C35" s="43" t="s">
        <v>631</v>
      </c>
      <c r="D35" s="13" t="str">
        <f>IFERROR(__xludf.DUMMYFUNCTION("""COMPUTED_VALUE"""),"")</f>
        <v/>
      </c>
      <c r="E35" s="19" t="str">
        <f>IFERROR(__xludf.DUMMYFUNCTION("""COMPUTED_VALUE"""),"#REF!")</f>
        <v>#REF!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>
      <c r="A36" s="39" t="str">
        <f>IFERROR(__xludf.DUMMYFUNCTION("""COMPUTED_VALUE"""),"Maxence FORT")</f>
        <v>Maxence FORT</v>
      </c>
      <c r="B36" s="36" t="str">
        <f>IFERROR(__xludf.DUMMYFUNCTION("Filter('Réponses au formulaire 1'!S:S,'Réponses au formulaire 1'!B:B=A36)"),"Beurre salé &amp; chocolatine")</f>
        <v>Beurre salé &amp; chocolatine</v>
      </c>
      <c r="C36" s="43" t="s">
        <v>631</v>
      </c>
      <c r="D36" s="13" t="str">
        <f>IFERROR(__xludf.DUMMYFUNCTION("""COMPUTED_VALUE"""),"")</f>
        <v/>
      </c>
      <c r="E36" s="19" t="str">
        <f>IFERROR(__xludf.DUMMYFUNCTION("""COMPUTED_VALUE"""),"#REF!")</f>
        <v>#REF!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</row>
    <row r="37">
      <c r="A37" s="39" t="str">
        <f>IFERROR(__xludf.DUMMYFUNCTION("""COMPUTED_VALUE"""),"Adrien COCHARD")</f>
        <v>Adrien COCHARD</v>
      </c>
      <c r="B37" s="36" t="str">
        <f>IFERROR(__xludf.DUMMYFUNCTION("Filter('Réponses au formulaire 1'!S:S,'Réponses au formulaire 1'!B:B=A37)"),"La Comté")</f>
        <v>La Comté</v>
      </c>
      <c r="C37" s="43" t="s">
        <v>631</v>
      </c>
      <c r="D37" s="13" t="str">
        <f>IFERROR(__xludf.DUMMYFUNCTION("""COMPUTED_VALUE"""),"")</f>
        <v/>
      </c>
      <c r="E37" s="19" t="str">
        <f>IFERROR(__xludf.DUMMYFUNCTION("""COMPUTED_VALUE"""),"#REF!")</f>
        <v>#REF!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</row>
    <row r="38">
      <c r="A38" s="39" t="str">
        <f>IFERROR(__xludf.DUMMYFUNCTION("""COMPUTED_VALUE"""),"Tom Aubelle")</f>
        <v>Tom Aubelle</v>
      </c>
      <c r="B38" s="36" t="str">
        <f>IFERROR(__xludf.DUMMYFUNCTION("Filter('Réponses au formulaire 1'!S:S,'Réponses au formulaire 1'!B:B=A38)"),"La chevroll's ")</f>
        <v>La chevroll's </v>
      </c>
      <c r="C38" s="43" t="s">
        <v>631</v>
      </c>
      <c r="D38" s="13" t="str">
        <f>IFERROR(__xludf.DUMMYFUNCTION("""COMPUTED_VALUE"""),"")</f>
        <v/>
      </c>
      <c r="E38" s="19" t="str">
        <f>IFERROR(__xludf.DUMMYFUNCTION("""COMPUTED_VALUE"""),"#REF!")</f>
        <v>#REF!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</row>
    <row r="39">
      <c r="A39" s="39" t="str">
        <f>IFERROR(__xludf.DUMMYFUNCTION("""COMPUTED_VALUE"""),"Joanna MARTIN")</f>
        <v>Joanna MARTIN</v>
      </c>
      <c r="B39" s="36" t="str">
        <f>IFERROR(__xludf.DUMMYFUNCTION("Filter('Réponses au formulaire 1'!S:S,'Réponses au formulaire 1'!B:B=A39)"),"La Chevroll’s")</f>
        <v>La Chevroll’s</v>
      </c>
      <c r="C39" s="43" t="s">
        <v>631</v>
      </c>
      <c r="D39" s="13" t="str">
        <f>IFERROR(__xludf.DUMMYFUNCTION("""COMPUTED_VALUE"""),"")</f>
        <v/>
      </c>
      <c r="E39" s="19" t="str">
        <f>IFERROR(__xludf.DUMMYFUNCTION("""COMPUTED_VALUE"""),"#REF!")</f>
        <v>#REF!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</row>
    <row r="40">
      <c r="A40" s="39" t="str">
        <f>IFERROR(__xludf.DUMMYFUNCTION("""COMPUTED_VALUE"""),"Pauline Viault")</f>
        <v>Pauline Viault</v>
      </c>
      <c r="B40" s="36" t="str">
        <f>IFERROR(__xludf.DUMMYFUNCTION("Filter('Réponses au formulaire 1'!S:S,'Réponses au formulaire 1'!B:B=A40)"),"La Comté ")</f>
        <v>La Comté </v>
      </c>
      <c r="C40" s="43" t="s">
        <v>631</v>
      </c>
      <c r="D40" s="13" t="str">
        <f>IFERROR(__xludf.DUMMYFUNCTION("""COMPUTED_VALUE"""),"")</f>
        <v/>
      </c>
      <c r="E40" s="19" t="str">
        <f>IFERROR(__xludf.DUMMYFUNCTION("""COMPUTED_VALUE"""),"#REF!")</f>
        <v>#REF!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</row>
    <row r="41">
      <c r="A41" s="39" t="str">
        <f>IFERROR(__xludf.DUMMYFUNCTION("""COMPUTED_VALUE"""),"Laurine DECROS")</f>
        <v>Laurine DECROS</v>
      </c>
      <c r="B41" s="36" t="str">
        <f>IFERROR(__xludf.DUMMYFUNCTION("Filter('Réponses au formulaire 1'!S:S,'Réponses au formulaire 1'!B:B=A41)"),"La Comté")</f>
        <v>La Comté</v>
      </c>
      <c r="C41" s="43" t="s">
        <v>631</v>
      </c>
      <c r="D41" s="13" t="str">
        <f>IFERROR(__xludf.DUMMYFUNCTION("""COMPUTED_VALUE"""),"")</f>
        <v/>
      </c>
      <c r="E41" s="19" t="str">
        <f>IFERROR(__xludf.DUMMYFUNCTION("""COMPUTED_VALUE"""),"#REF!")</f>
        <v>#REF!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</row>
    <row r="42">
      <c r="A42" s="39" t="str">
        <f>IFERROR(__xludf.DUMMYFUNCTION("""COMPUTED_VALUE"""),"Suzanne COUTELOU")</f>
        <v>Suzanne COUTELOU</v>
      </c>
      <c r="B42" s="36" t="str">
        <f>IFERROR(__xludf.DUMMYFUNCTION("Filter('Réponses au formulaire 1'!S:S,'Réponses au formulaire 1'!B:B=A42)"),"La Comté")</f>
        <v>La Comté</v>
      </c>
      <c r="C42" s="43" t="s">
        <v>631</v>
      </c>
      <c r="D42" s="13" t="str">
        <f>IFERROR(__xludf.DUMMYFUNCTION("""COMPUTED_VALUE"""),"")</f>
        <v/>
      </c>
      <c r="E42" s="19" t="str">
        <f>IFERROR(__xludf.DUMMYFUNCTION("""COMPUTED_VALUE"""),"#REF!")</f>
        <v>#REF!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</row>
    <row r="43">
      <c r="A43" s="39" t="str">
        <f>IFERROR(__xludf.DUMMYFUNCTION("""COMPUTED_VALUE"""),"Hugo DOUX")</f>
        <v>Hugo DOUX</v>
      </c>
      <c r="B43" s="36" t="str">
        <f>IFERROR(__xludf.DUMMYFUNCTION("Filter('Réponses au formulaire 1'!S:S,'Réponses au formulaire 1'!B:B=A43)"),"La Comté ")</f>
        <v>La Comté </v>
      </c>
      <c r="C43" s="43" t="s">
        <v>631</v>
      </c>
      <c r="D43" s="13" t="str">
        <f>IFERROR(__xludf.DUMMYFUNCTION("""COMPUTED_VALUE"""),"")</f>
        <v/>
      </c>
      <c r="E43" s="19" t="str">
        <f>IFERROR(__xludf.DUMMYFUNCTION("""COMPUTED_VALUE"""),"#REF!")</f>
        <v>#REF!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</row>
    <row r="44">
      <c r="A44" s="39" t="str">
        <f>IFERROR(__xludf.DUMMYFUNCTION("""COMPUTED_VALUE"""),"Alexandre VURLOD")</f>
        <v>Alexandre VURLOD</v>
      </c>
      <c r="B44" s="36" t="str">
        <f>IFERROR(__xludf.DUMMYFUNCTION("Filter('Réponses au formulaire 1'!S:S,'Réponses au formulaire 1'!B:B=A44)"),"La Chevroll's")</f>
        <v>La Chevroll's</v>
      </c>
      <c r="C44" s="43" t="s">
        <v>631</v>
      </c>
      <c r="D44" s="13" t="str">
        <f>IFERROR(__xludf.DUMMYFUNCTION("""COMPUTED_VALUE"""),"")</f>
        <v/>
      </c>
      <c r="E44" s="19" t="str">
        <f>IFERROR(__xludf.DUMMYFUNCTION("""COMPUTED_VALUE"""),"#REF!")</f>
        <v>#REF!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</row>
    <row r="45">
      <c r="A45" s="39" t="str">
        <f>IFERROR(__xludf.DUMMYFUNCTION("""COMPUTED_VALUE"""),"Julie Ugolini")</f>
        <v>Julie Ugolini</v>
      </c>
      <c r="B45" s="36" t="str">
        <f>IFERROR(__xludf.DUMMYFUNCTION("Filter('Réponses au formulaire 1'!S:S,'Réponses au formulaire 1'!B:B=A45)"),"La tracharnasse ")</f>
        <v>La tracharnasse </v>
      </c>
      <c r="C45" s="43" t="s">
        <v>631</v>
      </c>
      <c r="D45" s="13" t="str">
        <f>IFERROR(__xludf.DUMMYFUNCTION("""COMPUTED_VALUE"""),"")</f>
        <v/>
      </c>
      <c r="E45" s="19" t="str">
        <f>IFERROR(__xludf.DUMMYFUNCTION("""COMPUTED_VALUE"""),"#REF!")</f>
        <v>#REF!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</row>
    <row r="46">
      <c r="A46" s="39" t="str">
        <f>IFERROR(__xludf.DUMMYFUNCTION("""COMPUTED_VALUE"""),"Marie POIRIER")</f>
        <v>Marie POIRIER</v>
      </c>
      <c r="B46" s="36" t="str">
        <f>IFERROR(__xludf.DUMMYFUNCTION("Filter('Réponses au formulaire 1'!S:S,'Réponses au formulaire 1'!B:B=A46)"),"La Tracharnasse")</f>
        <v>La Tracharnasse</v>
      </c>
      <c r="C46" s="43" t="s">
        <v>631</v>
      </c>
      <c r="D46" s="13" t="str">
        <f>IFERROR(__xludf.DUMMYFUNCTION("""COMPUTED_VALUE"""),"")</f>
        <v/>
      </c>
      <c r="E46" s="19" t="str">
        <f>IFERROR(__xludf.DUMMYFUNCTION("""COMPUTED_VALUE"""),"#REF!")</f>
        <v>#REF!</v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</row>
    <row r="47">
      <c r="A47" s="39" t="str">
        <f>IFERROR(__xludf.DUMMYFUNCTION("""COMPUTED_VALUE"""),"Tony MARTINEAU")</f>
        <v>Tony MARTINEAU</v>
      </c>
      <c r="B47" s="36" t="str">
        <f>IFERROR(__xludf.DUMMYFUNCTION("Filter('Réponses au formulaire 1'!S:S,'Réponses au formulaire 1'!B:B=A47)"),"La Chevroll's")</f>
        <v>La Chevroll's</v>
      </c>
      <c r="C47" s="43" t="s">
        <v>631</v>
      </c>
      <c r="D47" s="13" t="str">
        <f>IFERROR(__xludf.DUMMYFUNCTION("""COMPUTED_VALUE"""),"")</f>
        <v/>
      </c>
      <c r="E47" s="19" t="str">
        <f>IFERROR(__xludf.DUMMYFUNCTION("""COMPUTED_VALUE"""),"#REF!")</f>
        <v>#REF!</v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</row>
    <row r="48">
      <c r="A48" s="39" t="str">
        <f>IFERROR(__xludf.DUMMYFUNCTION("""COMPUTED_VALUE"""),"Maelig GABORIEAU")</f>
        <v>Maelig GABORIEAU</v>
      </c>
      <c r="B48" s="36" t="str">
        <f>IFERROR(__xludf.DUMMYFUNCTION("Filter('Réponses au formulaire 1'!S:S,'Réponses au formulaire 1'!B:B=A48)"),"La Glotte ")</f>
        <v>La Glotte </v>
      </c>
      <c r="C48" s="43" t="s">
        <v>631</v>
      </c>
      <c r="D48" s="13" t="str">
        <f>IFERROR(__xludf.DUMMYFUNCTION("""COMPUTED_VALUE"""),"")</f>
        <v/>
      </c>
      <c r="E48" s="19" t="str">
        <f>IFERROR(__xludf.DUMMYFUNCTION("""COMPUTED_VALUE"""),"#REF!")</f>
        <v>#REF!</v>
      </c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</row>
    <row r="49">
      <c r="A49" s="39" t="str">
        <f>IFERROR(__xludf.DUMMYFUNCTION("""COMPUTED_VALUE"""),"Marc de Ponnat")</f>
        <v>Marc de Ponnat</v>
      </c>
      <c r="B49" s="36" t="str">
        <f>IFERROR(__xludf.DUMMYFUNCTION("Filter('Réponses au formulaire 1'!S:S,'Réponses au formulaire 1'!B:B=A49)"),"La Tracharnasse")</f>
        <v>La Tracharnasse</v>
      </c>
      <c r="C49" s="43" t="s">
        <v>631</v>
      </c>
      <c r="D49" s="13" t="str">
        <f>IFERROR(__xludf.DUMMYFUNCTION("""COMPUTED_VALUE"""),"")</f>
        <v/>
      </c>
      <c r="E49" s="19" t="str">
        <f>IFERROR(__xludf.DUMMYFUNCTION("""COMPUTED_VALUE"""),"#REF!")</f>
        <v>#REF!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</row>
    <row r="50">
      <c r="A50" s="39" t="str">
        <f>IFERROR(__xludf.DUMMYFUNCTION("""COMPUTED_VALUE"""),"Vincent PASCAT")</f>
        <v>Vincent PASCAT</v>
      </c>
      <c r="B50" s="36" t="str">
        <f>IFERROR(__xludf.DUMMYFUNCTION("Filter('Réponses au formulaire 1'!S:S,'Réponses au formulaire 1'!B:B=A50)"),"Les domineurs ")</f>
        <v>Les domineurs </v>
      </c>
      <c r="C50" s="43" t="s">
        <v>631</v>
      </c>
      <c r="D50" s="13" t="str">
        <f>IFERROR(__xludf.DUMMYFUNCTION("""COMPUTED_VALUE"""),"")</f>
        <v/>
      </c>
      <c r="E50" s="19" t="str">
        <f>IFERROR(__xludf.DUMMYFUNCTION("""COMPUTED_VALUE"""),"#REF!")</f>
        <v>#REF!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</row>
    <row r="51">
      <c r="A51" s="39" t="str">
        <f>IFERROR(__xludf.DUMMYFUNCTION("""COMPUTED_VALUE"""),"Matthieu Brunot")</f>
        <v>Matthieu Brunot</v>
      </c>
      <c r="B51" s="36" t="str">
        <f>IFERROR(__xludf.DUMMYFUNCTION("Filter('Réponses au formulaire 1'!S:S,'Réponses au formulaire 1'!B:B=A51)"),"La Tracharnasse")</f>
        <v>La Tracharnasse</v>
      </c>
      <c r="C51" s="43" t="s">
        <v>631</v>
      </c>
      <c r="D51" s="13" t="str">
        <f>IFERROR(__xludf.DUMMYFUNCTION("""COMPUTED_VALUE"""),"")</f>
        <v/>
      </c>
      <c r="E51" s="19" t="str">
        <f>IFERROR(__xludf.DUMMYFUNCTION("""COMPUTED_VALUE"""),"#REF!")</f>
        <v>#REF!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</row>
    <row r="52">
      <c r="A52" s="39" t="str">
        <f>IFERROR(__xludf.DUMMYFUNCTION("""COMPUTED_VALUE"""),"Julien Bomberault")</f>
        <v>Julien Bomberault</v>
      </c>
      <c r="B52" s="36" t="str">
        <f>IFERROR(__xludf.DUMMYFUNCTION("Filter('Réponses au formulaire 1'!S:S,'Réponses au formulaire 1'!B:B=A52)"),"La Tracharnasse")</f>
        <v>La Tracharnasse</v>
      </c>
      <c r="C52" s="43" t="s">
        <v>631</v>
      </c>
      <c r="D52" s="13" t="str">
        <f>IFERROR(__xludf.DUMMYFUNCTION("""COMPUTED_VALUE"""),"")</f>
        <v/>
      </c>
      <c r="E52" s="19" t="str">
        <f>IFERROR(__xludf.DUMMYFUNCTION("""COMPUTED_VALUE"""),"#REF!")</f>
        <v>#REF!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</row>
    <row r="53">
      <c r="A53" s="39" t="str">
        <f>IFERROR(__xludf.DUMMYFUNCTION("""COMPUTED_VALUE"""),"Carmen SORIA")</f>
        <v>Carmen SORIA</v>
      </c>
      <c r="B53" s="36" t="str">
        <f>IFERROR(__xludf.DUMMYFUNCTION("Filter('Réponses au formulaire 1'!S:S,'Réponses au formulaire 1'!B:B=A53)"),"La Glotte")</f>
        <v>La Glotte</v>
      </c>
      <c r="C53" s="43" t="s">
        <v>631</v>
      </c>
      <c r="D53" s="13" t="str">
        <f>IFERROR(__xludf.DUMMYFUNCTION("""COMPUTED_VALUE"""),"")</f>
        <v/>
      </c>
      <c r="E53" s="19" t="str">
        <f>IFERROR(__xludf.DUMMYFUNCTION("""COMPUTED_VALUE"""),"#REF!")</f>
        <v>#REF!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</row>
    <row r="54">
      <c r="A54" s="39" t="str">
        <f>IFERROR(__xludf.DUMMYFUNCTION("""COMPUTED_VALUE"""),"Constance Kooyman")</f>
        <v>Constance Kooyman</v>
      </c>
      <c r="B54" s="36" t="str">
        <f>IFERROR(__xludf.DUMMYFUNCTION("Filter('Réponses au formulaire 1'!S:S,'Réponses au formulaire 1'!B:B=A54)"),"Waltherock")</f>
        <v>Waltherock</v>
      </c>
      <c r="C54" s="43" t="s">
        <v>631</v>
      </c>
      <c r="D54" s="13" t="str">
        <f>IFERROR(__xludf.DUMMYFUNCTION("""COMPUTED_VALUE"""),"")</f>
        <v/>
      </c>
      <c r="E54" s="19" t="str">
        <f>IFERROR(__xludf.DUMMYFUNCTION("""COMPUTED_VALUE"""),"#REF!")</f>
        <v>#REF!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</row>
    <row r="55">
      <c r="A55" s="39" t="str">
        <f>IFERROR(__xludf.DUMMYFUNCTION("""COMPUTED_VALUE"""),"Damien GUYONVARCH")</f>
        <v>Damien GUYONVARCH</v>
      </c>
      <c r="B55" s="36" t="str">
        <f>IFERROR(__xludf.DUMMYFUNCTION("Filter('Réponses au formulaire 1'!S:S,'Réponses au formulaire 1'!B:B=A55)"),"Waltherock")</f>
        <v>Waltherock</v>
      </c>
      <c r="C55" s="43" t="s">
        <v>631</v>
      </c>
      <c r="D55" s="13" t="str">
        <f>IFERROR(__xludf.DUMMYFUNCTION("""COMPUTED_VALUE"""),"")</f>
        <v/>
      </c>
      <c r="E55" s="19" t="str">
        <f>IFERROR(__xludf.DUMMYFUNCTION("""COMPUTED_VALUE"""),"#REF!")</f>
        <v>#REF!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</row>
    <row r="56">
      <c r="A56" s="39" t="str">
        <f>IFERROR(__xludf.DUMMYFUNCTION("""COMPUTED_VALUE"""),"Florent COLLOCH")</f>
        <v>Florent COLLOCH</v>
      </c>
      <c r="B56" s="36" t="str">
        <f>IFERROR(__xludf.DUMMYFUNCTION("Filter('Réponses au formulaire 1'!S:S,'Réponses au formulaire 1'!B:B=A56)"),"Waltherock")</f>
        <v>Waltherock</v>
      </c>
      <c r="C56" s="43" t="s">
        <v>631</v>
      </c>
      <c r="D56" s="13" t="str">
        <f>IFERROR(__xludf.DUMMYFUNCTION("""COMPUTED_VALUE"""),"")</f>
        <v/>
      </c>
      <c r="E56" s="19" t="str">
        <f>IFERROR(__xludf.DUMMYFUNCTION("""COMPUTED_VALUE"""),"#REF!")</f>
        <v>#REF!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</row>
    <row r="57">
      <c r="A57" s="39" t="str">
        <f>IFERROR(__xludf.DUMMYFUNCTION("""COMPUTED_VALUE"""),"Adrien RIDOUARD")</f>
        <v>Adrien RIDOUARD</v>
      </c>
      <c r="B57" s="36" t="str">
        <f>IFERROR(__xludf.DUMMYFUNCTION("Filter('Réponses au formulaire 1'!S:S,'Réponses au formulaire 1'!B:B=A57)"),"Waltherock")</f>
        <v>Waltherock</v>
      </c>
      <c r="C57" s="43" t="s">
        <v>631</v>
      </c>
      <c r="D57" s="13" t="str">
        <f>IFERROR(__xludf.DUMMYFUNCTION("""COMPUTED_VALUE"""),"")</f>
        <v/>
      </c>
      <c r="E57" s="19" t="str">
        <f>IFERROR(__xludf.DUMMYFUNCTION("""COMPUTED_VALUE"""),"#REF!")</f>
        <v>#REF!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</row>
    <row r="58">
      <c r="A58" s="39" t="str">
        <f>IFERROR(__xludf.DUMMYFUNCTION("""COMPUTED_VALUE"""),"Lucas MIRANDE")</f>
        <v>Lucas MIRANDE</v>
      </c>
      <c r="B58" s="36" t="str">
        <f>IFERROR(__xludf.DUMMYFUNCTION("Filter('Réponses au formulaire 1'!S:S,'Réponses au formulaire 1'!B:B=A58)"),"Les domineurs")</f>
        <v>Les domineurs</v>
      </c>
      <c r="C58" s="43" t="s">
        <v>631</v>
      </c>
      <c r="D58" s="13" t="str">
        <f>IFERROR(__xludf.DUMMYFUNCTION("""COMPUTED_VALUE"""),"")</f>
        <v/>
      </c>
      <c r="E58" s="19" t="str">
        <f>IFERROR(__xludf.DUMMYFUNCTION("""COMPUTED_VALUE"""),"#REF!")</f>
        <v>#REF!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</row>
    <row r="59">
      <c r="A59" s="39" t="str">
        <f>IFERROR(__xludf.DUMMYFUNCTION("""COMPUTED_VALUE"""),"Simon PUECH")</f>
        <v>Simon PUECH</v>
      </c>
      <c r="B59" s="36" t="str">
        <f>IFERROR(__xludf.DUMMYFUNCTION("Filter('Réponses au formulaire 1'!S:S,'Réponses au formulaire 1'!B:B=A59)"),"La Chevroll’s")</f>
        <v>La Chevroll’s</v>
      </c>
      <c r="C59" s="43" t="s">
        <v>631</v>
      </c>
      <c r="D59" s="13" t="str">
        <f>IFERROR(__xludf.DUMMYFUNCTION("""COMPUTED_VALUE"""),"")</f>
        <v/>
      </c>
      <c r="E59" s="19" t="str">
        <f>IFERROR(__xludf.DUMMYFUNCTION("""COMPUTED_VALUE"""),"#REF!")</f>
        <v>#REF!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</row>
    <row r="60">
      <c r="A60" s="39" t="str">
        <f>IFERROR(__xludf.DUMMYFUNCTION("""COMPUTED_VALUE"""),"Thomas Serratrice")</f>
        <v>Thomas Serratrice</v>
      </c>
      <c r="B60" s="36" t="str">
        <f>IFERROR(__xludf.DUMMYFUNCTION("Filter('Réponses au formulaire 1'!S:S,'Réponses au formulaire 1'!B:B=A60)"),"COMA")</f>
        <v>COMA</v>
      </c>
      <c r="C60" s="43" t="s">
        <v>631</v>
      </c>
      <c r="D60" s="13" t="str">
        <f>IFERROR(__xludf.DUMMYFUNCTION("""COMPUTED_VALUE"""),"")</f>
        <v/>
      </c>
      <c r="E60" s="19" t="str">
        <f>IFERROR(__xludf.DUMMYFUNCTION("""COMPUTED_VALUE"""),"#REF!")</f>
        <v>#REF!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</row>
    <row r="61">
      <c r="A61" s="39" t="str">
        <f>IFERROR(__xludf.DUMMYFUNCTION("""COMPUTED_VALUE"""),"Clément DENIS")</f>
        <v>Clément DENIS</v>
      </c>
      <c r="B61" s="36" t="str">
        <f>IFERROR(__xludf.DUMMYFUNCTION("Filter('Réponses au formulaire 1'!S:S,'Réponses au formulaire 1'!B:B=A61)"),"Consulm3ow")</f>
        <v>Consulm3ow</v>
      </c>
      <c r="C61" s="43" t="s">
        <v>631</v>
      </c>
      <c r="D61" s="13" t="str">
        <f>IFERROR(__xludf.DUMMYFUNCTION("""COMPUTED_VALUE"""),"")</f>
        <v/>
      </c>
      <c r="E61" s="19" t="str">
        <f>IFERROR(__xludf.DUMMYFUNCTION("""COMPUTED_VALUE"""),"#REF!")</f>
        <v>#REF!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</row>
    <row r="62">
      <c r="A62" s="39" t="str">
        <f>IFERROR(__xludf.DUMMYFUNCTION("""COMPUTED_VALUE"""),"Mathieu KERMAREC")</f>
        <v>Mathieu KERMAREC</v>
      </c>
      <c r="B62" s="36" t="str">
        <f>IFERROR(__xludf.DUMMYFUNCTION("Filter('Réponses au formulaire 1'!S:S,'Réponses au formulaire 1'!B:B=A62)"),"L'Influence")</f>
        <v>L'Influence</v>
      </c>
      <c r="C62" s="43" t="s">
        <v>631</v>
      </c>
      <c r="D62" s="13" t="str">
        <f>IFERROR(__xludf.DUMMYFUNCTION("""COMPUTED_VALUE"""),"")</f>
        <v/>
      </c>
      <c r="E62" s="19" t="str">
        <f>IFERROR(__xludf.DUMMYFUNCTION("""COMPUTED_VALUE"""),"#REF!")</f>
        <v>#REF!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</row>
    <row r="63">
      <c r="A63" s="39" t="str">
        <f>IFERROR(__xludf.DUMMYFUNCTION("""COMPUTED_VALUE"""),"Thomas LE JAN")</f>
        <v>Thomas LE JAN</v>
      </c>
      <c r="B63" s="36" t="str">
        <f>IFERROR(__xludf.DUMMYFUNCTION("Filter('Réponses au formulaire 1'!S:S,'Réponses au formulaire 1'!B:B=A63)"),"L’Influence")</f>
        <v>L’Influence</v>
      </c>
      <c r="C63" s="43" t="s">
        <v>631</v>
      </c>
      <c r="D63" s="13" t="str">
        <f>IFERROR(__xludf.DUMMYFUNCTION("""COMPUTED_VALUE"""),"")</f>
        <v/>
      </c>
      <c r="E63" s="19" t="str">
        <f>IFERROR(__xludf.DUMMYFUNCTION("""COMPUTED_VALUE"""),"#REF!")</f>
        <v>#REF!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</row>
    <row r="64">
      <c r="A64" s="39" t="str">
        <f>IFERROR(__xludf.DUMMYFUNCTION("""COMPUTED_VALUE"""),"Paul LENOIR")</f>
        <v>Paul LENOIR</v>
      </c>
      <c r="B64" s="36" t="str">
        <f>IFERROR(__xludf.DUMMYFUNCTION("Filter('Réponses au formulaire 1'!S:S,'Réponses au formulaire 1'!B:B=A64)"),"L’Influence")</f>
        <v>L’Influence</v>
      </c>
      <c r="C64" s="43" t="s">
        <v>631</v>
      </c>
      <c r="D64" s="13" t="str">
        <f>IFERROR(__xludf.DUMMYFUNCTION("""COMPUTED_VALUE"""),"")</f>
        <v/>
      </c>
      <c r="E64" s="19" t="str">
        <f>IFERROR(__xludf.DUMMYFUNCTION("""COMPUTED_VALUE"""),"#REF!")</f>
        <v>#REF!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</row>
    <row r="65">
      <c r="A65" s="39" t="str">
        <f>IFERROR(__xludf.DUMMYFUNCTION("""COMPUTED_VALUE"""),"Alexandre MERVILLE")</f>
        <v>Alexandre MERVILLE</v>
      </c>
      <c r="B65" s="36" t="str">
        <f>IFERROR(__xludf.DUMMYFUNCTION("Filter('Réponses au formulaire 1'!S:S,'Réponses au formulaire 1'!B:B=A65)"),"L'Influence")</f>
        <v>L'Influence</v>
      </c>
      <c r="C65" s="43" t="s">
        <v>631</v>
      </c>
      <c r="D65" s="13" t="str">
        <f>IFERROR(__xludf.DUMMYFUNCTION("""COMPUTED_VALUE"""),"")</f>
        <v/>
      </c>
      <c r="E65" s="19" t="str">
        <f>IFERROR(__xludf.DUMMYFUNCTION("""COMPUTED_VALUE"""),"#REF!")</f>
        <v>#REF!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</row>
    <row r="66">
      <c r="A66" s="39" t="str">
        <f>IFERROR(__xludf.DUMMYFUNCTION("""COMPUTED_VALUE"""),"Gabriel Lucas")</f>
        <v>Gabriel Lucas</v>
      </c>
      <c r="B66" s="36" t="str">
        <f>IFERROR(__xludf.DUMMYFUNCTION("Filter('Réponses au formulaire 1'!S:S,'Réponses au formulaire 1'!B:B=A66)"),"L'Influence")</f>
        <v>L'Influence</v>
      </c>
      <c r="C66" s="43" t="s">
        <v>631</v>
      </c>
      <c r="D66" s="13" t="str">
        <f>IFERROR(__xludf.DUMMYFUNCTION("""COMPUTED_VALUE"""),"")</f>
        <v/>
      </c>
      <c r="E66" s="19" t="str">
        <f>IFERROR(__xludf.DUMMYFUNCTION("""COMPUTED_VALUE"""),"#REF!")</f>
        <v>#REF!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</row>
    <row r="67">
      <c r="A67" s="39" t="str">
        <f>IFERROR(__xludf.DUMMYFUNCTION("""COMPUTED_VALUE"""),"Grégory Perret")</f>
        <v>Grégory Perret</v>
      </c>
      <c r="B67" s="36" t="str">
        <f>IFERROR(__xludf.DUMMYFUNCTION("Filter('Réponses au formulaire 1'!S:S,'Réponses au formulaire 1'!B:B=A67)"),"COMA")</f>
        <v>COMA</v>
      </c>
      <c r="C67" s="43" t="s">
        <v>631</v>
      </c>
      <c r="D67" s="13" t="str">
        <f>IFERROR(__xludf.DUMMYFUNCTION("""COMPUTED_VALUE"""),"")</f>
        <v/>
      </c>
      <c r="E67" s="19" t="str">
        <f>IFERROR(__xludf.DUMMYFUNCTION("""COMPUTED_VALUE"""),"#REF!")</f>
        <v>#REF!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</row>
    <row r="68">
      <c r="A68" s="39" t="str">
        <f>IFERROR(__xludf.DUMMYFUNCTION("""COMPUTED_VALUE"""),"Agathe MADAULE")</f>
        <v>Agathe MADAULE</v>
      </c>
      <c r="B68" s="36" t="str">
        <f>IFERROR(__xludf.DUMMYFUNCTION("Filter('Réponses au formulaire 1'!S:S,'Réponses au formulaire 1'!B:B=A68)"),"Summerfaigle")</f>
        <v>Summerfaigle</v>
      </c>
      <c r="C68" s="43" t="s">
        <v>631</v>
      </c>
      <c r="D68" s="13" t="str">
        <f>IFERROR(__xludf.DUMMYFUNCTION("""COMPUTED_VALUE"""),"")</f>
        <v/>
      </c>
      <c r="E68" s="19" t="str">
        <f>IFERROR(__xludf.DUMMYFUNCTION("""COMPUTED_VALUE"""),"#REF!")</f>
        <v>#REF!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</row>
    <row r="69">
      <c r="A69" s="39" t="str">
        <f>IFERROR(__xludf.DUMMYFUNCTION("""COMPUTED_VALUE"""),"Mathilde Querné")</f>
        <v>Mathilde Querné</v>
      </c>
      <c r="B69" s="36" t="str">
        <f>IFERROR(__xludf.DUMMYFUNCTION("Filter('Réponses au formulaire 1'!S:S,'Réponses au formulaire 1'!B:B=A69)"),"Les domineurs")</f>
        <v>Les domineurs</v>
      </c>
      <c r="C69" s="43" t="s">
        <v>631</v>
      </c>
      <c r="D69" s="13" t="str">
        <f>IFERROR(__xludf.DUMMYFUNCTION("""COMPUTED_VALUE"""),"")</f>
        <v/>
      </c>
      <c r="E69" s="19" t="str">
        <f>IFERROR(__xludf.DUMMYFUNCTION("""COMPUTED_VALUE"""),"#REF!")</f>
        <v>#REF!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</row>
    <row r="70">
      <c r="A70" s="39" t="str">
        <f>IFERROR(__xludf.DUMMYFUNCTION("""COMPUTED_VALUE"""),"Marie Cozzi")</f>
        <v>Marie Cozzi</v>
      </c>
      <c r="B70" s="36" t="str">
        <f>IFERROR(__xludf.DUMMYFUNCTION("Filter('Réponses au formulaire 1'!S:S,'Réponses au formulaire 1'!B:B=A70)"),"PB-nuage")</f>
        <v>PB-nuage</v>
      </c>
      <c r="C70" s="43" t="s">
        <v>631</v>
      </c>
      <c r="D70" s="13" t="str">
        <f>IFERROR(__xludf.DUMMYFUNCTION("""COMPUTED_VALUE"""),"")</f>
        <v/>
      </c>
      <c r="E70" s="19" t="str">
        <f>IFERROR(__xludf.DUMMYFUNCTION("""COMPUTED_VALUE"""),"#REF!")</f>
        <v>#REF!</v>
      </c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</row>
    <row r="71">
      <c r="A71" s="39" t="str">
        <f>IFERROR(__xludf.DUMMYFUNCTION("""COMPUTED_VALUE"""),"Cédric DUSSERRE")</f>
        <v>Cédric DUSSERRE</v>
      </c>
      <c r="B71" s="36" t="str">
        <f>IFERROR(__xludf.DUMMYFUNCTION("Filter('Réponses au formulaire 1'!S:S,'Réponses au formulaire 1'!B:B=A71)"),"Mafia")</f>
        <v>Mafia</v>
      </c>
      <c r="C71" s="43" t="s">
        <v>631</v>
      </c>
      <c r="D71" s="13" t="str">
        <f>IFERROR(__xludf.DUMMYFUNCTION("""COMPUTED_VALUE"""),"")</f>
        <v/>
      </c>
      <c r="E71" s="19" t="str">
        <f>IFERROR(__xludf.DUMMYFUNCTION("""COMPUTED_VALUE"""),"#REF!")</f>
        <v>#REF!</v>
      </c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</row>
    <row r="72">
      <c r="A72" s="39" t="str">
        <f>IFERROR(__xludf.DUMMYFUNCTION("""COMPUTED_VALUE"""),"Julien Douxami")</f>
        <v>Julien Douxami</v>
      </c>
      <c r="B72" s="36" t="str">
        <f>IFERROR(__xludf.DUMMYFUNCTION("Filter('Réponses au formulaire 1'!S:S,'Réponses au formulaire 1'!B:B=A72)"),"Mafia")</f>
        <v>Mafia</v>
      </c>
      <c r="C72" s="43" t="s">
        <v>631</v>
      </c>
      <c r="D72" s="13" t="str">
        <f>IFERROR(__xludf.DUMMYFUNCTION("""COMPUTED_VALUE"""),"")</f>
        <v/>
      </c>
      <c r="E72" s="19" t="str">
        <f>IFERROR(__xludf.DUMMYFUNCTION("""COMPUTED_VALUE"""),"#REF!")</f>
        <v>#REF!</v>
      </c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</row>
    <row r="73">
      <c r="A73" s="39" t="str">
        <f>IFERROR(__xludf.DUMMYFUNCTION("""COMPUTED_VALUE"""),"Louis DA COSTA")</f>
        <v>Louis DA COSTA</v>
      </c>
      <c r="B73" s="36" t="str">
        <f>IFERROR(__xludf.DUMMYFUNCTION("Filter('Réponses au formulaire 1'!S:S,'Réponses au formulaire 1'!B:B=A73)"),"COMA ")</f>
        <v>COMA </v>
      </c>
      <c r="C73" s="43" t="s">
        <v>631</v>
      </c>
      <c r="D73" s="13" t="str">
        <f>IFERROR(__xludf.DUMMYFUNCTION("""COMPUTED_VALUE"""),"")</f>
        <v/>
      </c>
      <c r="E73" s="19" t="str">
        <f>IFERROR(__xludf.DUMMYFUNCTION("""COMPUTED_VALUE"""),"#REF!")</f>
        <v>#REF!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</row>
    <row r="74">
      <c r="A74" s="39" t="str">
        <f>IFERROR(__xludf.DUMMYFUNCTION("""COMPUTED_VALUE"""),"Antoine Dupuis")</f>
        <v>Antoine Dupuis</v>
      </c>
      <c r="B74" s="36" t="str">
        <f>IFERROR(__xludf.DUMMYFUNCTION("Filter('Réponses au formulaire 1'!S:S,'Réponses au formulaire 1'!B:B=A74)"),"Coma")</f>
        <v>Coma</v>
      </c>
      <c r="C74" s="43" t="s">
        <v>631</v>
      </c>
      <c r="D74" s="13" t="str">
        <f>IFERROR(__xludf.DUMMYFUNCTION("""COMPUTED_VALUE"""),"")</f>
        <v/>
      </c>
      <c r="E74" s="19" t="str">
        <f>IFERROR(__xludf.DUMMYFUNCTION("""COMPUTED_VALUE"""),"#REF!")</f>
        <v>#REF!</v>
      </c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</row>
    <row r="75">
      <c r="A75" s="39" t="str">
        <f>IFERROR(__xludf.DUMMYFUNCTION("""COMPUTED_VALUE"""),"Lilian Dedecker")</f>
        <v>Lilian Dedecker</v>
      </c>
      <c r="B75" s="36" t="str">
        <f>IFERROR(__xludf.DUMMYFUNCTION("Filter('Réponses au formulaire 1'!S:S,'Réponses au formulaire 1'!B:B=A75)"),"Consulm3ow")</f>
        <v>Consulm3ow</v>
      </c>
      <c r="C75" s="43" t="s">
        <v>631</v>
      </c>
      <c r="D75" s="13" t="str">
        <f>IFERROR(__xludf.DUMMYFUNCTION("""COMPUTED_VALUE"""),"")</f>
        <v/>
      </c>
      <c r="E75" s="19" t="str">
        <f>IFERROR(__xludf.DUMMYFUNCTION("""COMPUTED_VALUE"""),"#REF!")</f>
        <v>#REF!</v>
      </c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</row>
    <row r="76">
      <c r="A76" s="39" t="str">
        <f>IFERROR(__xludf.DUMMYFUNCTION("""COMPUTED_VALUE"""),"J'ui une grosse pute")</f>
        <v>J'ui une grosse pute</v>
      </c>
      <c r="B76" s="36" t="str">
        <f>IFERROR(__xludf.DUMMYFUNCTION("Filter('Réponses au formulaire 1'!S:S,'Réponses au formulaire 1'!B:B=A76)"),"PB-nuage")</f>
        <v>PB-nuage</v>
      </c>
      <c r="C76" s="43" t="s">
        <v>631</v>
      </c>
      <c r="D76" s="13" t="str">
        <f>IFERROR(__xludf.DUMMYFUNCTION("""COMPUTED_VALUE"""),"")</f>
        <v/>
      </c>
      <c r="E76" s="19" t="str">
        <f>IFERROR(__xludf.DUMMYFUNCTION("""COMPUTED_VALUE"""),"#REF!")</f>
        <v>#REF!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</row>
    <row r="77">
      <c r="A77" s="39" t="str">
        <f>IFERROR(__xludf.DUMMYFUNCTION("""COMPUTED_VALUE"""),"Valentine KEMPF")</f>
        <v>Valentine KEMPF</v>
      </c>
      <c r="B77" s="36" t="str">
        <f>IFERROR(__xludf.DUMMYFUNCTION("Filter('Réponses au formulaire 1'!S:S,'Réponses au formulaire 1'!B:B=A77)"),"Summerfaigle")</f>
        <v>Summerfaigle</v>
      </c>
      <c r="C77" s="43" t="s">
        <v>631</v>
      </c>
      <c r="D77" s="13" t="str">
        <f>IFERROR(__xludf.DUMMYFUNCTION("""COMPUTED_VALUE"""),"")</f>
        <v/>
      </c>
      <c r="E77" s="19" t="str">
        <f>IFERROR(__xludf.DUMMYFUNCTION("""COMPUTED_VALUE"""),"#REF!")</f>
        <v>#REF!</v>
      </c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</row>
    <row r="78">
      <c r="A78" s="39" t="str">
        <f>IFERROR(__xludf.DUMMYFUNCTION("""COMPUTED_VALUE"""),"Charlotte Fosse")</f>
        <v>Charlotte Fosse</v>
      </c>
      <c r="B78" s="36" t="str">
        <f>IFERROR(__xludf.DUMMYFUNCTION("Filter('Réponses au formulaire 1'!S:S,'Réponses au formulaire 1'!B:B=A78)"),"Trident X ChaPau")</f>
        <v>Trident X ChaPau</v>
      </c>
      <c r="C78" s="43" t="s">
        <v>631</v>
      </c>
      <c r="D78" s="13" t="str">
        <f>IFERROR(__xludf.DUMMYFUNCTION("""COMPUTED_VALUE"""),"")</f>
        <v/>
      </c>
      <c r="E78" s="19" t="str">
        <f>IFERROR(__xludf.DUMMYFUNCTION("""COMPUTED_VALUE"""),"#REF!")</f>
        <v>#REF!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</row>
    <row r="79">
      <c r="A79" s="39" t="str">
        <f>IFERROR(__xludf.DUMMYFUNCTION("""COMPUTED_VALUE"""),"Julien LACOUR")</f>
        <v>Julien LACOUR</v>
      </c>
      <c r="B79" s="36" t="str">
        <f>IFERROR(__xludf.DUMMYFUNCTION("Filter('Réponses au formulaire 1'!S:S,'Réponses au formulaire 1'!B:B=A79)"),"La comté")</f>
        <v>La comté</v>
      </c>
      <c r="C79" s="43" t="s">
        <v>631</v>
      </c>
      <c r="D79" s="13" t="str">
        <f>IFERROR(__xludf.DUMMYFUNCTION("""COMPUTED_VALUE"""),"")</f>
        <v/>
      </c>
      <c r="E79" s="19" t="str">
        <f>IFERROR(__xludf.DUMMYFUNCTION("""COMPUTED_VALUE"""),"#REF!")</f>
        <v>#REF!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</row>
    <row r="80">
      <c r="A80" s="39" t="str">
        <f>IFERROR(__xludf.DUMMYFUNCTION("""COMPUTED_VALUE"""),"Irène Le Borgne")</f>
        <v>Irène Le Borgne</v>
      </c>
      <c r="B80" s="36" t="str">
        <f>IFERROR(__xludf.DUMMYFUNCTION("Filter('Réponses au formulaire 1'!S:S,'Réponses au formulaire 1'!B:B=A80)"),"Les domineurs")</f>
        <v>Les domineurs</v>
      </c>
      <c r="C80" s="43" t="s">
        <v>631</v>
      </c>
      <c r="D80" s="13" t="str">
        <f>IFERROR(__xludf.DUMMYFUNCTION("""COMPUTED_VALUE"""),"")</f>
        <v/>
      </c>
      <c r="E80" s="19" t="str">
        <f>IFERROR(__xludf.DUMMYFUNCTION("""COMPUTED_VALUE"""),"#REF!")</f>
        <v>#REF!</v>
      </c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</row>
    <row r="81">
      <c r="A81" s="39" t="str">
        <f>IFERROR(__xludf.DUMMYFUNCTION("""COMPUTED_VALUE"""),"Aurélien DE LA HOUGUE")</f>
        <v>Aurélien DE LA HOUGUE</v>
      </c>
      <c r="B81" s="36" t="str">
        <f>IFERROR(__xludf.DUMMYFUNCTION("Filter('Réponses au formulaire 1'!S:S,'Réponses au formulaire 1'!B:B=A81)"),"Trident x ChaPau ")</f>
        <v>Trident x ChaPau </v>
      </c>
      <c r="C81" s="43" t="s">
        <v>631</v>
      </c>
      <c r="D81" s="13" t="str">
        <f>IFERROR(__xludf.DUMMYFUNCTION("""COMPUTED_VALUE"""),"")</f>
        <v/>
      </c>
      <c r="E81" s="19" t="str">
        <f>IFERROR(__xludf.DUMMYFUNCTION("""COMPUTED_VALUE"""),"#REF!")</f>
        <v>#REF!</v>
      </c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</row>
    <row r="82">
      <c r="A82" s="39" t="str">
        <f>IFERROR(__xludf.DUMMYFUNCTION("""COMPUTED_VALUE"""),"Matthieu BARCET")</f>
        <v>Matthieu BARCET</v>
      </c>
      <c r="B82" s="36" t="str">
        <f>IFERROR(__xludf.DUMMYFUNCTION("Filter('Réponses au formulaire 1'!S:S,'Réponses au formulaire 1'!B:B=A82)"),"Trident x ChaPau")</f>
        <v>Trident x ChaPau</v>
      </c>
      <c r="C82" s="43" t="s">
        <v>631</v>
      </c>
      <c r="D82" s="13" t="str">
        <f>IFERROR(__xludf.DUMMYFUNCTION("""COMPUTED_VALUE"""),"")</f>
        <v/>
      </c>
      <c r="E82" s="19" t="str">
        <f>IFERROR(__xludf.DUMMYFUNCTION("""COMPUTED_VALUE"""),"#REF!")</f>
        <v>#REF!</v>
      </c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</row>
    <row r="83">
      <c r="A83" s="39" t="str">
        <f>IFERROR(__xludf.DUMMYFUNCTION("""COMPUTED_VALUE"""),"Marie VIOLLEAU")</f>
        <v>Marie VIOLLEAU</v>
      </c>
      <c r="B83" s="36" t="str">
        <f>IFERROR(__xludf.DUMMYFUNCTION("Filter('Réponses au formulaire 1'!S:S,'Réponses au formulaire 1'!B:B=A83)"),"gallerie++")</f>
        <v>gallerie++</v>
      </c>
      <c r="C83" s="43" t="s">
        <v>631</v>
      </c>
      <c r="D83" s="13" t="str">
        <f>IFERROR(__xludf.DUMMYFUNCTION("""COMPUTED_VALUE"""),"")</f>
        <v/>
      </c>
      <c r="E83" s="19" t="str">
        <f>IFERROR(__xludf.DUMMYFUNCTION("""COMPUTED_VALUE"""),"#REF!")</f>
        <v>#REF!</v>
      </c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</row>
    <row r="84">
      <c r="A84" s="39" t="str">
        <f>IFERROR(__xludf.DUMMYFUNCTION("""COMPUTED_VALUE"""),"Mathieu ZACH")</f>
        <v>Mathieu ZACH</v>
      </c>
      <c r="B84" s="36" t="str">
        <f>IFERROR(__xludf.DUMMYFUNCTION("Filter('Réponses au formulaire 1'!S:S,'Réponses au formulaire 1'!B:B=A84)"),"galerie ++")</f>
        <v>galerie ++</v>
      </c>
      <c r="C84" s="43" t="s">
        <v>631</v>
      </c>
      <c r="D84" s="13" t="str">
        <f>IFERROR(__xludf.DUMMYFUNCTION("""COMPUTED_VALUE"""),"")</f>
        <v/>
      </c>
      <c r="E84" s="19" t="str">
        <f>IFERROR(__xludf.DUMMYFUNCTION("""COMPUTED_VALUE"""),"#REF!")</f>
        <v>#REF!</v>
      </c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</row>
    <row r="85">
      <c r="A85" s="39" t="str">
        <f>IFERROR(__xludf.DUMMYFUNCTION("""COMPUTED_VALUE"""),"Iris PROUST")</f>
        <v>Iris PROUST</v>
      </c>
      <c r="B85" s="36" t="str">
        <f>IFERROR(__xludf.DUMMYFUNCTION("Filter('Réponses au formulaire 1'!S:S,'Réponses au formulaire 1'!B:B=A85)"),"galerie ++")</f>
        <v>galerie ++</v>
      </c>
      <c r="C85" s="43" t="s">
        <v>631</v>
      </c>
      <c r="D85" s="13" t="str">
        <f>IFERROR(__xludf.DUMMYFUNCTION("""COMPUTED_VALUE"""),"")</f>
        <v/>
      </c>
      <c r="E85" s="19" t="str">
        <f>IFERROR(__xludf.DUMMYFUNCTION("""COMPUTED_VALUE"""),"#REF!")</f>
        <v>#REF!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</row>
    <row r="86">
      <c r="A86" s="39" t="str">
        <f>IFERROR(__xludf.DUMMYFUNCTION("""COMPUTED_VALUE"""),"Louis AUGEREAU")</f>
        <v>Louis AUGEREAU</v>
      </c>
      <c r="B86" s="36" t="str">
        <f>IFERROR(__xludf.DUMMYFUNCTION("Filter('Réponses au formulaire 1'!S:S,'Réponses au formulaire 1'!B:B=A86)"),"Trident x ChaPo")</f>
        <v>Trident x ChaPo</v>
      </c>
      <c r="C86" s="43" t="s">
        <v>631</v>
      </c>
      <c r="D86" s="13" t="str">
        <f>IFERROR(__xludf.DUMMYFUNCTION("""COMPUTED_VALUE"""),"")</f>
        <v/>
      </c>
      <c r="E86" s="19" t="str">
        <f>IFERROR(__xludf.DUMMYFUNCTION("""COMPUTED_VALUE"""),"#REF!")</f>
        <v>#REF!</v>
      </c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</row>
    <row r="87">
      <c r="A87" s="39" t="str">
        <f>IFERROR(__xludf.DUMMYFUNCTION("""COMPUTED_VALUE"""),"Céline Balmes")</f>
        <v>Céline Balmes</v>
      </c>
      <c r="B87" s="36" t="str">
        <f>IFERROR(__xludf.DUMMYFUNCTION("Filter('Réponses au formulaire 1'!S:S,'Réponses au formulaire 1'!B:B=A87)"),"Trident x ChaPau")</f>
        <v>Trident x ChaPau</v>
      </c>
      <c r="C87" s="43" t="s">
        <v>631</v>
      </c>
      <c r="D87" s="13" t="str">
        <f>IFERROR(__xludf.DUMMYFUNCTION("""COMPUTED_VALUE"""),"")</f>
        <v/>
      </c>
      <c r="E87" s="19" t="str">
        <f>IFERROR(__xludf.DUMMYFUNCTION("""COMPUTED_VALUE"""),"#REF!")</f>
        <v>#REF!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</row>
    <row r="88">
      <c r="A88" s="39" t="str">
        <f>IFERROR(__xludf.DUMMYFUNCTION("""COMPUTED_VALUE"""),"Paul SIMON")</f>
        <v>Paul SIMON</v>
      </c>
      <c r="B88" s="36" t="str">
        <f>IFERROR(__xludf.DUMMYFUNCTION("Filter('Réponses au formulaire 1'!S:S,'Réponses au formulaire 1'!B:B=A88)"),"Trident x ChaPau")</f>
        <v>Trident x ChaPau</v>
      </c>
      <c r="C88" s="43" t="s">
        <v>631</v>
      </c>
      <c r="D88" s="13" t="str">
        <f>IFERROR(__xludf.DUMMYFUNCTION("""COMPUTED_VALUE"""),"")</f>
        <v/>
      </c>
      <c r="E88" s="19" t="str">
        <f>IFERROR(__xludf.DUMMYFUNCTION("""COMPUTED_VALUE"""),"#REF!")</f>
        <v>#REF!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</row>
    <row r="89">
      <c r="A89" s="39" t="str">
        <f>IFERROR(__xludf.DUMMYFUNCTION("""COMPUTED_VALUE"""),"Paul CHAUVIN")</f>
        <v>Paul CHAUVIN</v>
      </c>
      <c r="B89" s="36" t="str">
        <f>IFERROR(__xludf.DUMMYFUNCTION("Filter('Réponses au formulaire 1'!S:S,'Réponses au formulaire 1'!B:B=A89)"),"Mafia ")</f>
        <v>Mafia </v>
      </c>
      <c r="C89" s="43" t="s">
        <v>631</v>
      </c>
      <c r="D89" s="13" t="str">
        <f>IFERROR(__xludf.DUMMYFUNCTION("""COMPUTED_VALUE"""),"")</f>
        <v/>
      </c>
      <c r="E89" s="19" t="str">
        <f>IFERROR(__xludf.DUMMYFUNCTION("""COMPUTED_VALUE"""),"#REF!")</f>
        <v>#REF!</v>
      </c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</row>
    <row r="90">
      <c r="A90" s="39" t="str">
        <f>IFERROR(__xludf.DUMMYFUNCTION("""COMPUTED_VALUE"""),"Paul MARTEL")</f>
        <v>Paul MARTEL</v>
      </c>
      <c r="B90" s="36" t="str">
        <f>IFERROR(__xludf.DUMMYFUNCTION("Filter('Réponses au formulaire 1'!S:S,'Réponses au formulaire 1'!B:B=A90)"),"Le Corridor")</f>
        <v>Le Corridor</v>
      </c>
      <c r="C90" s="43" t="s">
        <v>631</v>
      </c>
      <c r="D90" s="13" t="str">
        <f>IFERROR(__xludf.DUMMYFUNCTION("""COMPUTED_VALUE"""),"")</f>
        <v/>
      </c>
      <c r="E90" s="19" t="str">
        <f>IFERROR(__xludf.DUMMYFUNCTION("""COMPUTED_VALUE"""),"#REF!")</f>
        <v>#REF!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</row>
    <row r="91">
      <c r="A91" s="39" t="str">
        <f>IFERROR(__xludf.DUMMYFUNCTION("""COMPUTED_VALUE"""),"Pierre-Louis lombard")</f>
        <v>Pierre-Louis lombard</v>
      </c>
      <c r="B91" s="36" t="str">
        <f>IFERROR(__xludf.DUMMYFUNCTION("Filter('Réponses au formulaire 1'!S:S,'Réponses au formulaire 1'!B:B=A91)"),"Le Corridor")</f>
        <v>Le Corridor</v>
      </c>
      <c r="C91" s="43" t="s">
        <v>631</v>
      </c>
      <c r="D91" s="13" t="str">
        <f>IFERROR(__xludf.DUMMYFUNCTION("""COMPUTED_VALUE"""),"")</f>
        <v/>
      </c>
      <c r="E91" s="19" t="str">
        <f>IFERROR(__xludf.DUMMYFUNCTION("""COMPUTED_VALUE"""),"#REF!")</f>
        <v>#REF!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</row>
    <row r="92">
      <c r="A92" s="39" t="str">
        <f>IFERROR(__xludf.DUMMYFUNCTION("""COMPUTED_VALUE"""),"Lucas Chaubier")</f>
        <v>Lucas Chaubier</v>
      </c>
      <c r="B92" s="36" t="str">
        <f>IFERROR(__xludf.DUMMYFUNCTION("Filter('Réponses au formulaire 1'!S:S,'Réponses au formulaire 1'!B:B=A92)"),"Le Corridor")</f>
        <v>Le Corridor</v>
      </c>
      <c r="C92" s="43" t="s">
        <v>631</v>
      </c>
      <c r="D92" s="13" t="str">
        <f>IFERROR(__xludf.DUMMYFUNCTION("""COMPUTED_VALUE"""),"")</f>
        <v/>
      </c>
      <c r="E92" s="19" t="str">
        <f>IFERROR(__xludf.DUMMYFUNCTION("""COMPUTED_VALUE"""),"#REF!")</f>
        <v>#REF!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</row>
    <row r="93">
      <c r="A93" s="39" t="str">
        <f>IFERROR(__xludf.DUMMYFUNCTION("""COMPUTED_VALUE"""),"Matthieu RETIERE")</f>
        <v>Matthieu RETIERE</v>
      </c>
      <c r="B93" s="36" t="str">
        <f>IFERROR(__xludf.DUMMYFUNCTION("Filter('Réponses au formulaire 1'!S:S,'Réponses au formulaire 1'!B:B=A93)"),"Le Corridor")</f>
        <v>Le Corridor</v>
      </c>
      <c r="C93" s="43" t="s">
        <v>631</v>
      </c>
      <c r="D93" s="13" t="str">
        <f>IFERROR(__xludf.DUMMYFUNCTION("""COMPUTED_VALUE"""),"")</f>
        <v/>
      </c>
      <c r="E93" s="19" t="str">
        <f>IFERROR(__xludf.DUMMYFUNCTION("""COMPUTED_VALUE"""),"#REF!")</f>
        <v>#REF!</v>
      </c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</row>
    <row r="94">
      <c r="A94" s="39" t="str">
        <f>IFERROR(__xludf.DUMMYFUNCTION("""COMPUTED_VALUE"""),"Jules SINTES")</f>
        <v>Jules SINTES</v>
      </c>
      <c r="B94" s="36" t="str">
        <f>IFERROR(__xludf.DUMMYFUNCTION("Filter('Réponses au formulaire 1'!S:S,'Réponses au formulaire 1'!B:B=A94)"),"Dusex")</f>
        <v>Dusex</v>
      </c>
      <c r="C94" s="43" t="s">
        <v>631</v>
      </c>
      <c r="D94" s="13" t="str">
        <f>IFERROR(__xludf.DUMMYFUNCTION("""COMPUTED_VALUE"""),"")</f>
        <v/>
      </c>
      <c r="E94" s="19" t="str">
        <f>IFERROR(__xludf.DUMMYFUNCTION("""COMPUTED_VALUE"""),"#REF!")</f>
        <v>#REF!</v>
      </c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</row>
    <row r="95">
      <c r="A95" s="39" t="str">
        <f>IFERROR(__xludf.DUMMYFUNCTION("""COMPUTED_VALUE"""),"Emeric Claudel")</f>
        <v>Emeric Claudel</v>
      </c>
      <c r="B95" s="36" t="str">
        <f>IFERROR(__xludf.DUMMYFUNCTION("Filter('Réponses au formulaire 1'!S:S,'Réponses au formulaire 1'!B:B=A95)"),"Dusex")</f>
        <v>Dusex</v>
      </c>
      <c r="C95" s="43" t="s">
        <v>631</v>
      </c>
      <c r="D95" s="13" t="str">
        <f>IFERROR(__xludf.DUMMYFUNCTION("""COMPUTED_VALUE"""),"")</f>
        <v/>
      </c>
      <c r="E95" s="19" t="str">
        <f>IFERROR(__xludf.DUMMYFUNCTION("""COMPUTED_VALUE"""),"#REF!")</f>
        <v>#REF!</v>
      </c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</row>
    <row r="96">
      <c r="A96" s="39" t="str">
        <f>IFERROR(__xludf.DUMMYFUNCTION("""COMPUTED_VALUE"""),"Thomas AUZARD")</f>
        <v>Thomas AUZARD</v>
      </c>
      <c r="B96" s="36" t="str">
        <f>IFERROR(__xludf.DUMMYFUNCTION("Filter('Réponses au formulaire 1'!S:S,'Réponses au formulaire 1'!B:B=A96)"),"Dusex")</f>
        <v>Dusex</v>
      </c>
      <c r="C96" s="43" t="s">
        <v>631</v>
      </c>
      <c r="D96" s="13" t="str">
        <f>IFERROR(__xludf.DUMMYFUNCTION("""COMPUTED_VALUE"""),"")</f>
        <v/>
      </c>
      <c r="E96" s="19" t="str">
        <f>IFERROR(__xludf.DUMMYFUNCTION("""COMPUTED_VALUE"""),"#REF!")</f>
        <v>#REF!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</row>
    <row r="97">
      <c r="A97" s="39" t="str">
        <f>IFERROR(__xludf.DUMMYFUNCTION("""COMPUTED_VALUE"""),"Orson JAY")</f>
        <v>Orson JAY</v>
      </c>
      <c r="B97" s="36" t="str">
        <f>IFERROR(__xludf.DUMMYFUNCTION("Filter('Réponses au formulaire 1'!S:S,'Réponses au formulaire 1'!B:B=A97)"),"Dusex")</f>
        <v>Dusex</v>
      </c>
      <c r="C97" s="43" t="s">
        <v>631</v>
      </c>
      <c r="D97" s="13" t="str">
        <f>IFERROR(__xludf.DUMMYFUNCTION("""COMPUTED_VALUE"""),"")</f>
        <v/>
      </c>
      <c r="E97" s="19" t="str">
        <f>IFERROR(__xludf.DUMMYFUNCTION("""COMPUTED_VALUE"""),"#REF!")</f>
        <v>#REF!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</row>
    <row r="98">
      <c r="A98" s="39" t="str">
        <f>IFERROR(__xludf.DUMMYFUNCTION("""COMPUTED_VALUE"""),"Sébastien MARAIS")</f>
        <v>Sébastien MARAIS</v>
      </c>
      <c r="B98" s="36" t="str">
        <f>IFERROR(__xludf.DUMMYFUNCTION("Filter('Réponses au formulaire 1'!S:S,'Réponses au formulaire 1'!B:B=A98)"),"galerie ++")</f>
        <v>galerie ++</v>
      </c>
      <c r="C98" s="43" t="s">
        <v>631</v>
      </c>
      <c r="D98" s="13" t="str">
        <f>IFERROR(__xludf.DUMMYFUNCTION("""COMPUTED_VALUE"""),"")</f>
        <v/>
      </c>
      <c r="E98" s="19" t="str">
        <f>IFERROR(__xludf.DUMMYFUNCTION("""COMPUTED_VALUE"""),"#REF!")</f>
        <v>#REF!</v>
      </c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</row>
    <row r="99">
      <c r="A99" s="39" t="str">
        <f>IFERROR(__xludf.DUMMYFUNCTION("""COMPUTED_VALUE"""),"Baptiste Miossec")</f>
        <v>Baptiste Miossec</v>
      </c>
      <c r="B99" s="36" t="str">
        <f>IFERROR(__xludf.DUMMYFUNCTION("Filter('Réponses au formulaire 1'!S:S,'Réponses au formulaire 1'!B:B=A99)"),"Summerf’aigle ")</f>
        <v>Summerf’aigle </v>
      </c>
      <c r="C99" s="43" t="s">
        <v>631</v>
      </c>
      <c r="D99" s="13" t="str">
        <f>IFERROR(__xludf.DUMMYFUNCTION("""COMPUTED_VALUE"""),"")</f>
        <v/>
      </c>
      <c r="E99" s="19" t="str">
        <f>IFERROR(__xludf.DUMMYFUNCTION("""COMPUTED_VALUE"""),"#REF!")</f>
        <v>#REF!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</row>
    <row r="100">
      <c r="A100" s="39" t="str">
        <f>IFERROR(__xludf.DUMMYFUNCTION("""COMPUTED_VALUE"""),"Ferreol GORIOUX")</f>
        <v>Ferreol GORIOUX</v>
      </c>
      <c r="B100" s="36" t="str">
        <f>IFERROR(__xludf.DUMMYFUNCTION("Filter('Réponses au formulaire 1'!S:S,'Réponses au formulaire 1'!B:B=A100)"),"La Roulotte")</f>
        <v>La Roulotte</v>
      </c>
      <c r="C100" s="43" t="s">
        <v>631</v>
      </c>
      <c r="D100" s="13" t="str">
        <f>IFERROR(__xludf.DUMMYFUNCTION("""COMPUTED_VALUE"""),"")</f>
        <v/>
      </c>
      <c r="E100" s="19" t="str">
        <f>IFERROR(__xludf.DUMMYFUNCTION("""COMPUTED_VALUE"""),"#REF!")</f>
        <v>#REF!</v>
      </c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</row>
    <row r="101">
      <c r="A101" s="39" t="str">
        <f>IFERROR(__xludf.DUMMYFUNCTION("""COMPUTED_VALUE"""),"Gauthier Maillard")</f>
        <v>Gauthier Maillard</v>
      </c>
      <c r="B101" s="36" t="str">
        <f>IFERROR(__xludf.DUMMYFUNCTION("Filter('Réponses au formulaire 1'!S:S,'Réponses au formulaire 1'!B:B=A101)"),"Galerie ++")</f>
        <v>Galerie ++</v>
      </c>
      <c r="C101" s="43" t="s">
        <v>631</v>
      </c>
      <c r="D101" s="13" t="str">
        <f>IFERROR(__xludf.DUMMYFUNCTION("""COMPUTED_VALUE"""),"")</f>
        <v/>
      </c>
      <c r="E101" s="19" t="str">
        <f>IFERROR(__xludf.DUMMYFUNCTION("""COMPUTED_VALUE"""),"#REF!")</f>
        <v>#REF!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</row>
    <row r="102">
      <c r="A102" s="39" t="str">
        <f>IFERROR(__xludf.DUMMYFUNCTION("""COMPUTED_VALUE"""),"Thomas SAEZ")</f>
        <v>Thomas SAEZ</v>
      </c>
      <c r="B102" s="36" t="str">
        <f>IFERROR(__xludf.DUMMYFUNCTION("Filter('Réponses au formulaire 1'!S:S,'Réponses au formulaire 1'!B:B=A102)"),"La dézingue ")</f>
        <v>La dézingue </v>
      </c>
      <c r="C102" s="43" t="s">
        <v>631</v>
      </c>
      <c r="D102" s="13" t="str">
        <f>IFERROR(__xludf.DUMMYFUNCTION("""COMPUTED_VALUE"""),"")</f>
        <v/>
      </c>
      <c r="E102" s="19" t="str">
        <f>IFERROR(__xludf.DUMMYFUNCTION("""COMPUTED_VALUE"""),"#REF!")</f>
        <v>#REF!</v>
      </c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</row>
    <row r="103">
      <c r="A103" s="39" t="str">
        <f>IFERROR(__xludf.DUMMYFUNCTION("""COMPUTED_VALUE"""),"Maixent TIGNON")</f>
        <v>Maixent TIGNON</v>
      </c>
      <c r="B103" s="36" t="str">
        <f>IFERROR(__xludf.DUMMYFUNCTION("Filter('Réponses au formulaire 1'!S:S,'Réponses au formulaire 1'!B:B=A103)"),"Galerie ++")</f>
        <v>Galerie ++</v>
      </c>
      <c r="C103" s="43" t="s">
        <v>631</v>
      </c>
      <c r="D103" s="13" t="str">
        <f>IFERROR(__xludf.DUMMYFUNCTION("""COMPUTED_VALUE"""),"")</f>
        <v/>
      </c>
      <c r="E103" s="19" t="str">
        <f>IFERROR(__xludf.DUMMYFUNCTION("""COMPUTED_VALUE"""),"#REF!")</f>
        <v>#REF!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</row>
    <row r="104">
      <c r="A104" s="39" t="str">
        <f>IFERROR(__xludf.DUMMYFUNCTION("""COMPUTED_VALUE"""),"Quentin Peyle")</f>
        <v>Quentin Peyle</v>
      </c>
      <c r="B104" s="36" t="str">
        <f>IFERROR(__xludf.DUMMYFUNCTION("Filter('Réponses au formulaire 1'!S:S,'Réponses au formulaire 1'!B:B=A104)"),"La glotte")</f>
        <v>La glotte</v>
      </c>
      <c r="C104" s="43" t="s">
        <v>631</v>
      </c>
      <c r="D104" s="13" t="str">
        <f>IFERROR(__xludf.DUMMYFUNCTION("""COMPUTED_VALUE"""),"")</f>
        <v/>
      </c>
      <c r="E104" s="19" t="str">
        <f>IFERROR(__xludf.DUMMYFUNCTION("""COMPUTED_VALUE"""),"#REF!")</f>
        <v>#REF!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</row>
    <row r="105">
      <c r="A105" s="39" t="str">
        <f>IFERROR(__xludf.DUMMYFUNCTION("""COMPUTED_VALUE"""),"Lucas Baraton")</f>
        <v>Lucas Baraton</v>
      </c>
      <c r="B105" s="36" t="str">
        <f>IFERROR(__xludf.DUMMYFUNCTION("Filter('Réponses au formulaire 1'!S:S,'Réponses au formulaire 1'!B:B=A105)"),"COMA")</f>
        <v>COMA</v>
      </c>
      <c r="C105" s="43" t="s">
        <v>631</v>
      </c>
      <c r="D105" s="13" t="str">
        <f>IFERROR(__xludf.DUMMYFUNCTION("""COMPUTED_VALUE"""),"")</f>
        <v/>
      </c>
      <c r="E105" s="19" t="str">
        <f>IFERROR(__xludf.DUMMYFUNCTION("""COMPUTED_VALUE"""),"#REF!")</f>
        <v>#REF!</v>
      </c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</row>
    <row r="106">
      <c r="A106" s="39" t="str">
        <f>IFERROR(__xludf.DUMMYFUNCTION("""COMPUTED_VALUE"""),"Samuel RATOUIT")</f>
        <v>Samuel RATOUIT</v>
      </c>
      <c r="B106" s="36" t="str">
        <f>IFERROR(__xludf.DUMMYFUNCTION("Filter('Réponses au formulaire 1'!S:S,'Réponses au formulaire 1'!B:B=A106)"),"La Roulotte")</f>
        <v>La Roulotte</v>
      </c>
      <c r="C106" s="43" t="s">
        <v>631</v>
      </c>
      <c r="D106" s="13" t="str">
        <f>IFERROR(__xludf.DUMMYFUNCTION("""COMPUTED_VALUE"""),"")</f>
        <v/>
      </c>
      <c r="E106" s="19" t="str">
        <f>IFERROR(__xludf.DUMMYFUNCTION("""COMPUTED_VALUE"""),"#REF!")</f>
        <v>#REF!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</row>
    <row r="107">
      <c r="A107" s="39" t="str">
        <f>IFERROR(__xludf.DUMMYFUNCTION("""COMPUTED_VALUE"""),"Martin Fauchille-Martin")</f>
        <v>Martin Fauchille-Martin</v>
      </c>
      <c r="B107" s="36" t="str">
        <f>IFERROR(__xludf.DUMMYFUNCTION("Filter('Réponses au formulaire 1'!S:S,'Réponses au formulaire 1'!B:B=A107)"),"La Roulotte")</f>
        <v>La Roulotte</v>
      </c>
      <c r="C107" s="43" t="s">
        <v>631</v>
      </c>
      <c r="D107" s="13" t="str">
        <f>IFERROR(__xludf.DUMMYFUNCTION("""COMPUTED_VALUE"""),"")</f>
        <v/>
      </c>
      <c r="E107" s="19" t="str">
        <f>IFERROR(__xludf.DUMMYFUNCTION("""COMPUTED_VALUE"""),"#REF!")</f>
        <v>#REF!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</row>
    <row r="108">
      <c r="A108" s="39" t="str">
        <f>IFERROR(__xludf.DUMMYFUNCTION("""COMPUTED_VALUE"""),"Nils Hornet")</f>
        <v>Nils Hornet</v>
      </c>
      <c r="B108" s="36" t="str">
        <f>IFERROR(__xludf.DUMMYFUNCTION("Filter('Réponses au formulaire 1'!S:S,'Réponses au formulaire 1'!B:B=A108)"),"La Roulotte")</f>
        <v>La Roulotte</v>
      </c>
      <c r="C108" s="43" t="s">
        <v>631</v>
      </c>
      <c r="D108" s="13" t="str">
        <f>IFERROR(__xludf.DUMMYFUNCTION("""COMPUTED_VALUE"""),"")</f>
        <v/>
      </c>
      <c r="E108" s="19" t="str">
        <f>IFERROR(__xludf.DUMMYFUNCTION("""COMPUTED_VALUE"""),"#REF!")</f>
        <v>#REF!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</row>
    <row r="109">
      <c r="A109" s="39" t="str">
        <f>IFERROR(__xludf.DUMMYFUNCTION("""COMPUTED_VALUE"""),"Thomas MEDORI")</f>
        <v>Thomas MEDORI</v>
      </c>
      <c r="B109" s="36" t="str">
        <f>IFERROR(__xludf.DUMMYFUNCTION("Filter('Réponses au formulaire 1'!S:S,'Réponses au formulaire 1'!B:B=A109)"),"Aquamiff")</f>
        <v>Aquamiff</v>
      </c>
      <c r="C109" s="43" t="s">
        <v>631</v>
      </c>
      <c r="D109" s="13" t="str">
        <f>IFERROR(__xludf.DUMMYFUNCTION("""COMPUTED_VALUE"""),"")</f>
        <v/>
      </c>
      <c r="E109" s="19" t="str">
        <f>IFERROR(__xludf.DUMMYFUNCTION("""COMPUTED_VALUE"""),"#REF!")</f>
        <v>#REF!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</row>
    <row r="110">
      <c r="A110" s="39" t="str">
        <f>IFERROR(__xludf.DUMMYFUNCTION("""COMPUTED_VALUE"""),"Aurèle HAINAUT")</f>
        <v>Aurèle HAINAUT</v>
      </c>
      <c r="B110" s="36" t="str">
        <f>IFERROR(__xludf.DUMMYFUNCTION("Filter('Réponses au formulaire 1'!S:S,'Réponses au formulaire 1'!B:B=A110)"),"Aquamif ")</f>
        <v>Aquamif </v>
      </c>
      <c r="C110" s="43" t="s">
        <v>631</v>
      </c>
      <c r="D110" s="13"/>
      <c r="E110" s="1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</row>
    <row r="111">
      <c r="A111" s="39" t="str">
        <f>IFERROR(__xludf.DUMMYFUNCTION("""COMPUTED_VALUE"""),"Aurèle DALIBOT")</f>
        <v>Aurèle DALIBOT</v>
      </c>
      <c r="B111" s="36" t="str">
        <f>IFERROR(__xludf.DUMMYFUNCTION("Filter('Réponses au formulaire 1'!S:S,'Réponses au formulaire 1'!B:B=A111)"),"Aquamif")</f>
        <v>Aquamif</v>
      </c>
      <c r="C111" s="43" t="s">
        <v>631</v>
      </c>
      <c r="D111" s="13"/>
      <c r="E111" s="1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</row>
    <row r="112">
      <c r="A112" s="39" t="str">
        <f>IFERROR(__xludf.DUMMYFUNCTION("""COMPUTED_VALUE"""),"Quentin NIGRON")</f>
        <v>Quentin NIGRON</v>
      </c>
      <c r="B112" s="36" t="str">
        <f>IFERROR(__xludf.DUMMYFUNCTION("Filter('Réponses au formulaire 1'!S:S,'Réponses au formulaire 1'!B:B=A112)"),"COMA")</f>
        <v>COMA</v>
      </c>
      <c r="C112" s="43" t="s">
        <v>631</v>
      </c>
      <c r="D112" s="13"/>
      <c r="E112" s="1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</row>
    <row r="113">
      <c r="A113" s="39" t="str">
        <f>IFERROR(__xludf.DUMMYFUNCTION("""COMPUTED_VALUE"""),"Alessandro MASI")</f>
        <v>Alessandro MASI</v>
      </c>
      <c r="B113" s="36" t="str">
        <f>IFERROR(__xludf.DUMMYFUNCTION("Filter('Réponses au formulaire 1'!S:S,'Réponses au formulaire 1'!B:B=A113)"),"PB/Nuage")</f>
        <v>PB/Nuage</v>
      </c>
      <c r="C113" s="43" t="s">
        <v>631</v>
      </c>
      <c r="D113" s="13"/>
      <c r="E113" s="1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</row>
    <row r="114">
      <c r="A114" s="39" t="str">
        <f>IFERROR(__xludf.DUMMYFUNCTION("""COMPUTED_VALUE"""),"Robin Tanquerel")</f>
        <v>Robin Tanquerel</v>
      </c>
      <c r="B114" s="36" t="str">
        <f>IFERROR(__xludf.DUMMYFUNCTION("Filter('Réponses au formulaire 1'!S:S,'Réponses au formulaire 1'!B:B=A114)"),"PB-Nuage")</f>
        <v>PB-Nuage</v>
      </c>
      <c r="C114" s="43" t="s">
        <v>631</v>
      </c>
      <c r="D114" s="13"/>
      <c r="E114" s="1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</row>
    <row r="115">
      <c r="A115" s="39" t="str">
        <f>IFERROR(__xludf.DUMMYFUNCTION("""COMPUTED_VALUE"""),"Pauline AUBRY")</f>
        <v>Pauline AUBRY</v>
      </c>
      <c r="B115" s="36" t="str">
        <f>IFERROR(__xludf.DUMMYFUNCTION("Filter('Réponses au formulaire 1'!S:S,'Réponses au formulaire 1'!B:B=A115)"),"Auberge-Monastère")</f>
        <v>Auberge-Monastère</v>
      </c>
      <c r="C115" s="43" t="s">
        <v>631</v>
      </c>
      <c r="D115" s="13"/>
      <c r="E115" s="1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</row>
    <row r="116">
      <c r="A116" s="39" t="str">
        <f>IFERROR(__xludf.DUMMYFUNCTION("""COMPUTED_VALUE"""),"Nicolas GUYONNEAU")</f>
        <v>Nicolas GUYONNEAU</v>
      </c>
      <c r="B116" s="36" t="str">
        <f>IFERROR(__xludf.DUMMYFUNCTION("Filter('Réponses au formulaire 1'!S:S,'Réponses au formulaire 1'!B:B=A116)"),"Le Donjon")</f>
        <v>Le Donjon</v>
      </c>
      <c r="C116" s="43" t="s">
        <v>631</v>
      </c>
      <c r="D116" s="13"/>
      <c r="E116" s="1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</row>
    <row r="117">
      <c r="A117" s="39" t="str">
        <f>IFERROR(__xludf.DUMMYFUNCTION("""COMPUTED_VALUE"""),"Nathan Gérard")</f>
        <v>Nathan Gérard</v>
      </c>
      <c r="B117" s="36" t="str">
        <f>IFERROR(__xludf.DUMMYFUNCTION("Filter('Réponses au formulaire 1'!S:S,'Réponses au formulaire 1'!B:B=A117)"),"Les domineurs")</f>
        <v>Les domineurs</v>
      </c>
      <c r="C117" s="43" t="s">
        <v>631</v>
      </c>
      <c r="D117" s="13"/>
      <c r="E117" s="1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</row>
    <row r="118">
      <c r="A118" s="39" t="str">
        <f>IFERROR(__xludf.DUMMYFUNCTION("""COMPUTED_VALUE"""),"Flora SOUSSAND")</f>
        <v>Flora SOUSSAND</v>
      </c>
      <c r="B118" s="36" t="str">
        <f>IFERROR(__xludf.DUMMYFUNCTION("Filter('Réponses au formulaire 1'!S:S,'Réponses au formulaire 1'!B:B=A118)"),"Auberge-Monastère")</f>
        <v>Auberge-Monastère</v>
      </c>
      <c r="C118" s="43" t="s">
        <v>631</v>
      </c>
      <c r="D118" s="13"/>
      <c r="E118" s="1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</row>
    <row r="119">
      <c r="A119" s="39" t="str">
        <f>IFERROR(__xludf.DUMMYFUNCTION("""COMPUTED_VALUE"""),"Maxime Guldner")</f>
        <v>Maxime Guldner</v>
      </c>
      <c r="B119" s="36" t="str">
        <f>IFERROR(__xludf.DUMMYFUNCTION("Filter('Réponses au formulaire 1'!S:S,'Réponses au formulaire 1'!B:B=A119)"),"Summerf'aigle")</f>
        <v>Summerf'aigle</v>
      </c>
      <c r="C119" s="43" t="s">
        <v>631</v>
      </c>
      <c r="D119" s="13"/>
      <c r="E119" s="1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</row>
    <row r="120">
      <c r="A120" s="39" t="str">
        <f>IFERROR(__xludf.DUMMYFUNCTION("""COMPUTED_VALUE"""),"Alizée DIATCHENKO")</f>
        <v>Alizée DIATCHENKO</v>
      </c>
      <c r="B120" s="36" t="str">
        <f>IFERROR(__xludf.DUMMYFUNCTION("Filter('Réponses au formulaire 1'!S:S,'Réponses au formulaire 1'!B:B=A120)"),"La 4 étoiles")</f>
        <v>La 4 étoiles</v>
      </c>
      <c r="C120" s="43" t="s">
        <v>631</v>
      </c>
      <c r="D120" s="13"/>
      <c r="E120" s="1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</row>
    <row r="121">
      <c r="A121" s="39" t="str">
        <f>IFERROR(__xludf.DUMMYFUNCTION("""COMPUTED_VALUE"""),"Thibaut BERTHOMÉ")</f>
        <v>Thibaut BERTHOMÉ</v>
      </c>
      <c r="B121" s="36" t="str">
        <f>IFERROR(__xludf.DUMMYFUNCTION("Filter('Réponses au formulaire 1'!S:S,'Réponses au formulaire 1'!B:B=A121)"),"Summerf'aigle")</f>
        <v>Summerf'aigle</v>
      </c>
      <c r="C121" s="43" t="s">
        <v>631</v>
      </c>
      <c r="D121" s="13"/>
      <c r="E121" s="1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</row>
    <row r="122">
      <c r="A122" s="39" t="str">
        <f>IFERROR(__xludf.DUMMYFUNCTION("""COMPUTED_VALUE"""),"Claire TRINQUET")</f>
        <v>Claire TRINQUET</v>
      </c>
      <c r="B122" s="36" t="str">
        <f>IFERROR(__xludf.DUMMYFUNCTION("Filter('Réponses au formulaire 1'!S:S,'Réponses au formulaire 1'!B:B=A122)"),"Auberge-Monastère")</f>
        <v>Auberge-Monastère</v>
      </c>
      <c r="C122" s="43" t="s">
        <v>631</v>
      </c>
      <c r="D122" s="13"/>
      <c r="E122" s="1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</row>
    <row r="123">
      <c r="A123" s="39" t="str">
        <f>IFERROR(__xludf.DUMMYFUNCTION("""COMPUTED_VALUE"""),"Sol VILLEGAS")</f>
        <v>Sol VILLEGAS</v>
      </c>
      <c r="B123" s="36" t="str">
        <f>IFERROR(__xludf.DUMMYFUNCTION("Filter('Réponses au formulaire 1'!S:S,'Réponses au formulaire 1'!B:B=A123)"),"Pimp my ride")</f>
        <v>Pimp my ride</v>
      </c>
      <c r="C123" s="43" t="s">
        <v>631</v>
      </c>
      <c r="D123" s="13"/>
      <c r="E123" s="1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</row>
    <row r="124">
      <c r="A124" s="39" t="str">
        <f>IFERROR(__xludf.DUMMYFUNCTION("""COMPUTED_VALUE"""),"Mario ALVAREZ-CASTRILLON")</f>
        <v>Mario ALVAREZ-CASTRILLON</v>
      </c>
      <c r="B124" s="36" t="str">
        <f>IFERROR(__xludf.DUMMYFUNCTION("Filter('Réponses au formulaire 1'!S:S,'Réponses au formulaire 1'!B:B=A124)"),"Pimp my Ride")</f>
        <v>Pimp my Ride</v>
      </c>
      <c r="C124" s="43" t="s">
        <v>631</v>
      </c>
      <c r="D124" s="13"/>
      <c r="E124" s="1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</row>
    <row r="125">
      <c r="A125" s="39" t="str">
        <f>IFERROR(__xludf.DUMMYFUNCTION("""COMPUTED_VALUE"""),"Marie-Jeanne PAUL")</f>
        <v>Marie-Jeanne PAUL</v>
      </c>
      <c r="B125" s="36" t="str">
        <f>IFERROR(__xludf.DUMMYFUNCTION("Filter('Réponses au formulaire 1'!S:S,'Réponses au formulaire 1'!B:B=A125)"),"Auberge/Monastere")</f>
        <v>Auberge/Monastere</v>
      </c>
      <c r="C125" s="43" t="s">
        <v>631</v>
      </c>
      <c r="D125" s="13"/>
      <c r="E125" s="1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</row>
    <row r="126">
      <c r="A126" s="39" t="str">
        <f>IFERROR(__xludf.DUMMYFUNCTION("""COMPUTED_VALUE"""),"Vincent Maillou")</f>
        <v>Vincent Maillou</v>
      </c>
      <c r="B126" s="36" t="str">
        <f>IFERROR(__xludf.DUMMYFUNCTION("Filter('Réponses au formulaire 1'!S:S,'Réponses au formulaire 1'!B:B=A126)"),"Pimp my ride")</f>
        <v>Pimp my ride</v>
      </c>
      <c r="C126" s="43" t="s">
        <v>631</v>
      </c>
      <c r="D126" s="13"/>
      <c r="E126" s="1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</row>
    <row r="127">
      <c r="A127" s="39" t="str">
        <f>IFERROR(__xludf.DUMMYFUNCTION("""COMPUTED_VALUE"""),"Benjamin Martin")</f>
        <v>Benjamin Martin</v>
      </c>
      <c r="B127" s="36" t="str">
        <f>IFERROR(__xludf.DUMMYFUNCTION("Filter('Réponses au formulaire 1'!S:S,'Réponses au formulaire 1'!B:B=A127)"),"Les Mages")</f>
        <v>Les Mages</v>
      </c>
      <c r="C127" s="43" t="s">
        <v>631</v>
      </c>
      <c r="D127" s="13"/>
      <c r="E127" s="1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</row>
    <row r="128">
      <c r="A128" s="39" t="str">
        <f>IFERROR(__xludf.DUMMYFUNCTION("""COMPUTED_VALUE"""),"Alix BOSSU")</f>
        <v>Alix BOSSU</v>
      </c>
      <c r="B128" s="36" t="str">
        <f>IFERROR(__xludf.DUMMYFUNCTION("Filter('Réponses au formulaire 1'!S:S,'Réponses au formulaire 1'!B:B=A128)"),"Les Mages")</f>
        <v>Les Mages</v>
      </c>
      <c r="C128" s="43" t="s">
        <v>631</v>
      </c>
      <c r="D128" s="13"/>
      <c r="E128" s="1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</row>
    <row r="129">
      <c r="A129" s="39" t="str">
        <f>IFERROR(__xludf.DUMMYFUNCTION("""COMPUTED_VALUE"""),"Oscar JACINTHO")</f>
        <v>Oscar JACINTHO</v>
      </c>
      <c r="B129" s="36" t="str">
        <f>IFERROR(__xludf.DUMMYFUNCTION("Filter('Réponses au formulaire 1'!S:S,'Réponses au formulaire 1'!B:B=A129)"),"Les Mages")</f>
        <v>Les Mages</v>
      </c>
      <c r="C129" s="43" t="s">
        <v>631</v>
      </c>
      <c r="D129" s="13"/>
      <c r="E129" s="1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</row>
    <row r="130">
      <c r="A130" s="39" t="str">
        <f>IFERROR(__xludf.DUMMYFUNCTION("""COMPUTED_VALUE"""),"Henri CHHOA")</f>
        <v>Henri CHHOA</v>
      </c>
      <c r="B130" s="36" t="str">
        <f>IFERROR(__xludf.DUMMYFUNCTION("Filter('Réponses au formulaire 1'!S:S,'Réponses au formulaire 1'!B:B=A130)"),"Dusex")</f>
        <v>Dusex</v>
      </c>
      <c r="C130" s="43" t="s">
        <v>631</v>
      </c>
      <c r="D130" s="13"/>
      <c r="E130" s="1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</row>
    <row r="131">
      <c r="A131" s="39" t="str">
        <f>IFERROR(__xludf.DUMMYFUNCTION("""COMPUTED_VALUE"""),"Juan Felipe GÓMEZ ALFARO")</f>
        <v>Juan Felipe GÓMEZ ALFARO</v>
      </c>
      <c r="B131" s="36" t="str">
        <f>IFERROR(__xludf.DUMMYFUNCTION("Filter('Réponses au formulaire 1'!S:S,'Réponses au formulaire 1'!B:B=A131)"),"Malandros Team")</f>
        <v>Malandros Team</v>
      </c>
      <c r="C131" s="43" t="s">
        <v>631</v>
      </c>
      <c r="D131" s="13"/>
      <c r="E131" s="1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</row>
    <row r="132">
      <c r="A132" s="39" t="str">
        <f>IFERROR(__xludf.DUMMYFUNCTION("""COMPUTED_VALUE"""),"Alfonso COLON DE CARVAJAL")</f>
        <v>Alfonso COLON DE CARVAJAL</v>
      </c>
      <c r="B132" s="36" t="str">
        <f>IFERROR(__xludf.DUMMYFUNCTION("Filter('Réponses au formulaire 1'!S:S,'Réponses au formulaire 1'!B:B=A132)"),"Malandros Team")</f>
        <v>Malandros Team</v>
      </c>
      <c r="C132" s="43" t="s">
        <v>631</v>
      </c>
      <c r="D132" s="13"/>
      <c r="E132" s="1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</row>
    <row r="133">
      <c r="A133" s="39" t="str">
        <f>IFERROR(__xludf.DUMMYFUNCTION("""COMPUTED_VALUE"""),"Sarah PETROCCHI")</f>
        <v>Sarah PETROCCHI</v>
      </c>
      <c r="B133" s="36" t="str">
        <f>IFERROR(__xludf.DUMMYFUNCTION("Filter('Réponses au formulaire 1'!S:S,'Réponses au formulaire 1'!B:B=A133)"),"Le Donjon")</f>
        <v>Le Donjon</v>
      </c>
      <c r="C133" s="43" t="s">
        <v>631</v>
      </c>
      <c r="D133" s="13"/>
      <c r="E133" s="1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</row>
    <row r="134">
      <c r="A134" s="39" t="str">
        <f>IFERROR(__xludf.DUMMYFUNCTION("""COMPUTED_VALUE"""),"Constance PHILIPPE")</f>
        <v>Constance PHILIPPE</v>
      </c>
      <c r="B134" s="36" t="str">
        <f>IFERROR(__xludf.DUMMYFUNCTION("Filter('Réponses au formulaire 1'!S:S,'Réponses au formulaire 1'!B:B=A134)"),"Le Donjon")</f>
        <v>Le Donjon</v>
      </c>
      <c r="C134" s="43" t="s">
        <v>631</v>
      </c>
      <c r="D134" s="13"/>
      <c r="E134" s="1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</row>
    <row r="135">
      <c r="A135" s="39" t="str">
        <f>IFERROR(__xludf.DUMMYFUNCTION("""COMPUTED_VALUE"""),"Alban VILLEDIEU")</f>
        <v>Alban VILLEDIEU</v>
      </c>
      <c r="B135" s="36" t="str">
        <f>IFERROR(__xludf.DUMMYFUNCTION("Filter('Réponses au formulaire 1'!S:S,'Réponses au formulaire 1'!B:B=A135)"),"Barton")</f>
        <v>Barton</v>
      </c>
      <c r="C135" s="43" t="s">
        <v>631</v>
      </c>
      <c r="D135" s="13"/>
      <c r="E135" s="1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</row>
    <row r="136">
      <c r="A136" s="39" t="str">
        <f>IFERROR(__xludf.DUMMYFUNCTION("""COMPUTED_VALUE"""),"Marius DUVILLARD")</f>
        <v>Marius DUVILLARD</v>
      </c>
      <c r="B136" s="36" t="str">
        <f>IFERROR(__xludf.DUMMYFUNCTION("Filter('Réponses au formulaire 1'!S:S,'Réponses au formulaire 1'!B:B=A136)"),"La Crypte")</f>
        <v>La Crypte</v>
      </c>
      <c r="C136" s="43" t="s">
        <v>631</v>
      </c>
      <c r="D136" s="13"/>
      <c r="E136" s="1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</row>
    <row r="137">
      <c r="A137" s="39" t="str">
        <f>IFERROR(__xludf.DUMMYFUNCTION("""COMPUTED_VALUE"""),"Pierre Go")</f>
        <v>Pierre Go</v>
      </c>
      <c r="B137" s="36" t="str">
        <f>IFERROR(__xludf.DUMMYFUNCTION("Filter('Réponses au formulaire 1'!S:S,'Réponses au formulaire 1'!B:B=A137)"),"Barton")</f>
        <v>Barton</v>
      </c>
      <c r="C137" s="43" t="s">
        <v>631</v>
      </c>
      <c r="D137" s="13"/>
      <c r="E137" s="1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</row>
    <row r="138">
      <c r="A138" s="39" t="str">
        <f>IFERROR(__xludf.DUMMYFUNCTION("""COMPUTED_VALUE"""),"Mitsi R.")</f>
        <v>Mitsi R.</v>
      </c>
      <c r="B138" s="36" t="str">
        <f>IFERROR(__xludf.DUMMYFUNCTION("Filter('Réponses au formulaire 1'!S:S,'Réponses au formulaire 1'!B:B=A138)"),"Barton")</f>
        <v>Barton</v>
      </c>
      <c r="C138" s="43" t="s">
        <v>631</v>
      </c>
      <c r="D138" s="13"/>
      <c r="E138" s="1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</row>
    <row r="139">
      <c r="A139" s="39" t="str">
        <f>IFERROR(__xludf.DUMMYFUNCTION("""COMPUTED_VALUE"""),"Valentin Antonio")</f>
        <v>Valentin Antonio</v>
      </c>
      <c r="B139" s="36" t="str">
        <f>IFERROR(__xludf.DUMMYFUNCTION("Filter('Réponses au formulaire 1'!S:S,'Réponses au formulaire 1'!B:B=A139)"),"Dusex")</f>
        <v>Dusex</v>
      </c>
      <c r="C139" s="43" t="s">
        <v>631</v>
      </c>
      <c r="D139" s="13"/>
      <c r="E139" s="1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</row>
    <row r="140">
      <c r="A140" s="39" t="str">
        <f>IFERROR(__xludf.DUMMYFUNCTION("""COMPUTED_VALUE"""),"Juline CORNET-GOY")</f>
        <v>Juline CORNET-GOY</v>
      </c>
      <c r="B140" s="36" t="str">
        <f>IFERROR(__xludf.DUMMYFUNCTION("Filter('Réponses au formulaire 1'!S:S,'Réponses au formulaire 1'!B:B=A140)"),"Jodyssée")</f>
        <v>Jodyssée</v>
      </c>
      <c r="C140" s="43" t="s">
        <v>631</v>
      </c>
      <c r="D140" s="13"/>
      <c r="E140" s="1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</row>
    <row r="141">
      <c r="A141" s="39" t="str">
        <f>IFERROR(__xludf.DUMMYFUNCTION("""COMPUTED_VALUE"""),"Lise GERMON")</f>
        <v>Lise GERMON</v>
      </c>
      <c r="B141" s="36" t="str">
        <f>IFERROR(__xludf.DUMMYFUNCTION("Filter('Réponses au formulaire 1'!S:S,'Réponses au formulaire 1'!B:B=A141)"),"Jodyssée")</f>
        <v>Jodyssée</v>
      </c>
      <c r="C141" s="43" t="s">
        <v>631</v>
      </c>
      <c r="D141" s="13"/>
      <c r="E141" s="1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</row>
    <row r="142">
      <c r="A142" s="39" t="str">
        <f>IFERROR(__xludf.DUMMYFUNCTION("""COMPUTED_VALUE"""),"Alizée AMSLER")</f>
        <v>Alizée AMSLER</v>
      </c>
      <c r="B142" s="36" t="str">
        <f>IFERROR(__xludf.DUMMYFUNCTION("Filter('Réponses au formulaire 1'!S:S,'Réponses au formulaire 1'!B:B=A142)"),"Jodyssée")</f>
        <v>Jodyssée</v>
      </c>
      <c r="C142" s="43" t="s">
        <v>631</v>
      </c>
      <c r="D142" s="13"/>
      <c r="E142" s="1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</row>
    <row r="143">
      <c r="A143" s="39" t="str">
        <f>IFERROR(__xludf.DUMMYFUNCTION("""COMPUTED_VALUE"""),"Mai-Vi VU")</f>
        <v>Mai-Vi VU</v>
      </c>
      <c r="B143" s="36" t="str">
        <f>IFERROR(__xludf.DUMMYFUNCTION("Filter('Réponses au formulaire 1'!S:S,'Réponses au formulaire 1'!B:B=A143)"),"Jodyssée")</f>
        <v>Jodyssée</v>
      </c>
      <c r="C143" s="43" t="s">
        <v>631</v>
      </c>
      <c r="D143" s="13"/>
      <c r="E143" s="1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</row>
    <row r="144">
      <c r="A144" s="39" t="str">
        <f>IFERROR(__xludf.DUMMYFUNCTION("""COMPUTED_VALUE"""),"Perrine JUILLET")</f>
        <v>Perrine JUILLET</v>
      </c>
      <c r="B144" s="36" t="str">
        <f>IFERROR(__xludf.DUMMYFUNCTION("Filter('Réponses au formulaire 1'!S:S,'Réponses au formulaire 1'!B:B=A144)"),"Jodyssee")</f>
        <v>Jodyssee</v>
      </c>
      <c r="C144" s="43" t="s">
        <v>631</v>
      </c>
      <c r="D144" s="13"/>
      <c r="E144" s="1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</row>
    <row r="145">
      <c r="A145" s="39" t="str">
        <f>IFERROR(__xludf.DUMMYFUNCTION("""COMPUTED_VALUE"""),"Maxence PASCAL")</f>
        <v>Maxence PASCAL</v>
      </c>
      <c r="B145" s="36" t="str">
        <f>IFERROR(__xludf.DUMMYFUNCTION("Filter('Réponses au formulaire 1'!S:S,'Réponses au formulaire 1'!B:B=A145)"),"Les trutitas")</f>
        <v>Les trutitas</v>
      </c>
      <c r="C145" s="43" t="s">
        <v>631</v>
      </c>
      <c r="D145" s="13"/>
      <c r="E145" s="1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</row>
    <row r="146">
      <c r="A146" s="39" t="str">
        <f>IFERROR(__xludf.DUMMYFUNCTION("""COMPUTED_VALUE"""),"Lisa SAVARIEAU")</f>
        <v>Lisa SAVARIEAU</v>
      </c>
      <c r="B146" s="36" t="str">
        <f>IFERROR(__xludf.DUMMYFUNCTION("Filter('Réponses au formulaire 1'!S:S,'Réponses au formulaire 1'!B:B=A146)"),"DarkLudi et ses copines")</f>
        <v>DarkLudi et ses copines</v>
      </c>
      <c r="C146" s="43" t="s">
        <v>631</v>
      </c>
      <c r="D146" s="13"/>
      <c r="E146" s="1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</row>
    <row r="147">
      <c r="A147" s="39" t="str">
        <f>IFERROR(__xludf.DUMMYFUNCTION("""COMPUTED_VALUE"""),"Ludivine LUXEY")</f>
        <v>Ludivine LUXEY</v>
      </c>
      <c r="B147" s="36" t="str">
        <f>IFERROR(__xludf.DUMMYFUNCTION("Filter('Réponses au formulaire 1'!S:S,'Réponses au formulaire 1'!B:B=A147)"),"DarkLudi et ses copines ")</f>
        <v>DarkLudi et ses copines </v>
      </c>
      <c r="C147" s="43" t="s">
        <v>631</v>
      </c>
      <c r="D147" s="13"/>
      <c r="E147" s="1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</row>
    <row r="148">
      <c r="A148" s="39" t="str">
        <f>IFERROR(__xludf.DUMMYFUNCTION("""COMPUTED_VALUE"""),"Henrique MARTINEZ DE AZEVEDO")</f>
        <v>Henrique MARTINEZ DE AZEVEDO</v>
      </c>
      <c r="B148" s="36" t="str">
        <f>IFERROR(__xludf.DUMMYFUNCTION("Filter('Réponses au formulaire 1'!S:S,'Réponses au formulaire 1'!B:B=A148)"),"Les trutitas")</f>
        <v>Les trutitas</v>
      </c>
      <c r="C148" s="43" t="s">
        <v>631</v>
      </c>
      <c r="D148" s="13"/>
      <c r="E148" s="1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</row>
    <row r="149">
      <c r="A149" s="39" t="str">
        <f>IFERROR(__xludf.DUMMYFUNCTION("""COMPUTED_VALUE"""),"Ariane BERGER")</f>
        <v>Ariane BERGER</v>
      </c>
      <c r="B149" s="36" t="str">
        <f>IFERROR(__xludf.DUMMYFUNCTION("Filter('Réponses au formulaire 1'!S:S,'Réponses au formulaire 1'!B:B=A149)"),"DarkLudi et ses copines")</f>
        <v>DarkLudi et ses copines</v>
      </c>
      <c r="C149" s="43" t="s">
        <v>631</v>
      </c>
      <c r="D149" s="13"/>
      <c r="E149" s="1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</row>
    <row r="150">
      <c r="A150" s="39" t="str">
        <f>IFERROR(__xludf.DUMMYFUNCTION("""COMPUTED_VALUE"""),"Alice Mennesson")</f>
        <v>Alice Mennesson</v>
      </c>
      <c r="B150" s="36" t="str">
        <f>IFERROR(__xludf.DUMMYFUNCTION("Filter('Réponses au formulaire 1'!S:S,'Réponses au formulaire 1'!B:B=A150)"),"Dark Ludi et ses copines ")</f>
        <v>Dark Ludi et ses copines </v>
      </c>
      <c r="C150" s="43" t="s">
        <v>631</v>
      </c>
      <c r="D150" s="13"/>
      <c r="E150" s="1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</row>
    <row r="151">
      <c r="A151" s="39" t="str">
        <f>IFERROR(__xludf.DUMMYFUNCTION("""COMPUTED_VALUE"""),"José Ronzel")</f>
        <v>José Ronzel</v>
      </c>
      <c r="B151" s="36" t="str">
        <f>IFERROR(__xludf.DUMMYFUNCTION("Filter('Réponses au formulaire 1'!S:S,'Réponses au formulaire 1'!B:B=A151)"),"les trutitas")</f>
        <v>les trutitas</v>
      </c>
      <c r="C151" s="43" t="s">
        <v>631</v>
      </c>
      <c r="D151" s="13"/>
      <c r="E151" s="1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</row>
    <row r="152">
      <c r="A152" s="39" t="str">
        <f>IFERROR(__xludf.DUMMYFUNCTION("""COMPUTED_VALUE"""),"Exequiel")</f>
        <v>Exequiel</v>
      </c>
      <c r="B152" s="36" t="str">
        <f>IFERROR(__xludf.DUMMYFUNCTION("Filter('Réponses au formulaire 1'!S:S,'Réponses au formulaire 1'!B:B=A152)"),"Les trutitas")</f>
        <v>Les trutitas</v>
      </c>
      <c r="C152" s="43" t="s">
        <v>631</v>
      </c>
      <c r="D152" s="13"/>
      <c r="E152" s="1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</row>
    <row r="153">
      <c r="A153" s="39" t="str">
        <f>IFERROR(__xludf.DUMMYFUNCTION("""COMPUTED_VALUE"""),"Léa SCETBUN")</f>
        <v>Léa SCETBUN</v>
      </c>
      <c r="B153" s="36" t="str">
        <f>IFERROR(__xludf.DUMMYFUNCTION("Filter('Réponses au formulaire 1'!S:S,'Réponses au formulaire 1'!B:B=A153)"),"Les grosses cochonnes")</f>
        <v>Les grosses cochonnes</v>
      </c>
      <c r="C153" s="43" t="s">
        <v>631</v>
      </c>
      <c r="D153" s="13"/>
      <c r="E153" s="1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</row>
    <row r="154">
      <c r="A154" s="39" t="str">
        <f>IFERROR(__xludf.DUMMYFUNCTION("""COMPUTED_VALUE"""),"Théo DELOBEL")</f>
        <v>Théo DELOBEL</v>
      </c>
      <c r="B154" s="36" t="str">
        <f>IFERROR(__xludf.DUMMYFUNCTION("Filter('Réponses au formulaire 1'!S:S,'Réponses au formulaire 1'!B:B=A154)"),"Les Grosses Cochonnes")</f>
        <v>Les Grosses Cochonnes</v>
      </c>
      <c r="C154" s="43" t="s">
        <v>631</v>
      </c>
      <c r="D154" s="13"/>
      <c r="E154" s="1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</row>
    <row r="155">
      <c r="A155" s="39" t="str">
        <f>IFERROR(__xludf.DUMMYFUNCTION("""COMPUTED_VALUE"""),"Jérôme KAYSER")</f>
        <v>Jérôme KAYSER</v>
      </c>
      <c r="B155" s="36" t="str">
        <f>IFERROR(__xludf.DUMMYFUNCTION("Filter('Réponses au formulaire 1'!S:S,'Réponses au formulaire 1'!B:B=A155)"),"Les Grosses Cochonnes")</f>
        <v>Les Grosses Cochonnes</v>
      </c>
      <c r="C155" s="43" t="s">
        <v>631</v>
      </c>
      <c r="D155" s="13"/>
      <c r="E155" s="1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</row>
    <row r="156">
      <c r="A156" s="39" t="str">
        <f>IFERROR(__xludf.DUMMYFUNCTION("""COMPUTED_VALUE"""),"Esteban LECOURT")</f>
        <v>Esteban LECOURT</v>
      </c>
      <c r="B156" s="36" t="str">
        <f>IFERROR(__xludf.DUMMYFUNCTION("Filter('Réponses au formulaire 1'!S:S,'Réponses au formulaire 1'!B:B=A156)"),"Les Grosses Cochonnes")</f>
        <v>Les Grosses Cochonnes</v>
      </c>
      <c r="C156" s="43" t="s">
        <v>631</v>
      </c>
      <c r="D156" s="13"/>
      <c r="E156" s="1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</row>
    <row r="157">
      <c r="A157" s="39" t="str">
        <f>IFERROR(__xludf.DUMMYFUNCTION("""COMPUTED_VALUE"""),"Luis FERNANDEZ")</f>
        <v>Luis FERNANDEZ</v>
      </c>
      <c r="B157" s="36" t="str">
        <f>IFERROR(__xludf.DUMMYFUNCTION("Filter('Réponses au formulaire 1'!S:S,'Réponses au formulaire 1'!B:B=A157)"),"Malandros ")</f>
        <v>Malandros </v>
      </c>
      <c r="C157" s="43" t="s">
        <v>631</v>
      </c>
      <c r="D157" s="13"/>
      <c r="E157" s="1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</row>
    <row r="158">
      <c r="A158" s="39" t="str">
        <f>IFERROR(__xludf.DUMMYFUNCTION("""COMPUTED_VALUE"""),"Solene LE FUR")</f>
        <v>Solene LE FUR</v>
      </c>
      <c r="B158" s="36" t="str">
        <f>IFERROR(__xludf.DUMMYFUNCTION("Filter('Réponses au formulaire 1'!S:S,'Réponses au formulaire 1'!B:B=A158)"),"Sans-abri ")</f>
        <v>Sans-abri </v>
      </c>
      <c r="C158" s="43" t="s">
        <v>631</v>
      </c>
      <c r="D158" s="13"/>
      <c r="E158" s="1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</row>
    <row r="159">
      <c r="A159" s="39" t="str">
        <f>IFERROR(__xludf.DUMMYFUNCTION("""COMPUTED_VALUE"""),"Eugénie cotte")</f>
        <v>Eugénie cotte</v>
      </c>
      <c r="B159" s="36" t="str">
        <f>IFERROR(__xludf.DUMMYFUNCTION("Filter('Réponses au formulaire 1'!S:S,'Réponses au formulaire 1'!B:B=A159)"),"sans-abri")</f>
        <v>sans-abri</v>
      </c>
      <c r="C159" s="43" t="s">
        <v>631</v>
      </c>
      <c r="D159" s="13"/>
      <c r="E159" s="1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</row>
    <row r="160">
      <c r="A160" s="39" t="str">
        <f>IFERROR(__xludf.DUMMYFUNCTION("""COMPUTED_VALUE"""),"Samuel BISMUT")</f>
        <v>Samuel BISMUT</v>
      </c>
      <c r="B160" s="36" t="str">
        <f>IFERROR(__xludf.DUMMYFUNCTION("Filter('Réponses au formulaire 1'!S:S,'Réponses au formulaire 1'!B:B=A160)"),"Sans abris")</f>
        <v>Sans abris</v>
      </c>
      <c r="C160" s="43" t="s">
        <v>631</v>
      </c>
      <c r="D160" s="13"/>
      <c r="E160" s="1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</row>
    <row r="161">
      <c r="A161" s="39" t="str">
        <f>IFERROR(__xludf.DUMMYFUNCTION("""COMPUTED_VALUE"""),"Victor BLANCART")</f>
        <v>Victor BLANCART</v>
      </c>
      <c r="B161" s="36" t="str">
        <f>IFERROR(__xludf.DUMMYFUNCTION("Filter('Réponses au formulaire 1'!S:S,'Réponses au formulaire 1'!B:B=A161)"),"Les mages")</f>
        <v>Les mages</v>
      </c>
      <c r="C161" s="43" t="s">
        <v>631</v>
      </c>
      <c r="D161" s="13"/>
      <c r="E161" s="1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</row>
    <row r="162">
      <c r="A162" s="39" t="str">
        <f>IFERROR(__xludf.DUMMYFUNCTION("""COMPUTED_VALUE"""),"Tommy GEHENIAU")</f>
        <v>Tommy GEHENIAU</v>
      </c>
      <c r="B162" s="36" t="str">
        <f>IFERROR(__xludf.DUMMYFUNCTION("Filter('Réponses au formulaire 1'!S:S,'Réponses au formulaire 1'!B:B=A162)"),"L'aquamif")</f>
        <v>L'aquamif</v>
      </c>
      <c r="C162" s="43" t="s">
        <v>631</v>
      </c>
      <c r="D162" s="13"/>
      <c r="E162" s="1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</row>
    <row r="163">
      <c r="A163" s="39" t="str">
        <f>IFERROR(__xludf.DUMMYFUNCTION("""COMPUTED_VALUE"""),"Léo HUREAU")</f>
        <v>Léo HUREAU</v>
      </c>
      <c r="B163" s="36" t="str">
        <f>IFERROR(__xludf.DUMMYFUNCTION("Filter('Réponses au formulaire 1'!S:S,'Réponses au formulaire 1'!B:B=A163)"),"Le Panthéon")</f>
        <v>Le Panthéon</v>
      </c>
      <c r="C163" s="43" t="s">
        <v>631</v>
      </c>
      <c r="D163" s="13"/>
      <c r="E163" s="1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</row>
    <row r="164">
      <c r="A164" s="39" t="str">
        <f>IFERROR(__xludf.DUMMYFUNCTION("""COMPUTED_VALUE"""),"Awen BRUNEAU")</f>
        <v>Awen BRUNEAU</v>
      </c>
      <c r="B164" s="36" t="str">
        <f>IFERROR(__xludf.DUMMYFUNCTION("Filter('Réponses au formulaire 1'!S:S,'Réponses au formulaire 1'!B:B=A164)"),"Le Panthéon")</f>
        <v>Le Panthéon</v>
      </c>
      <c r="C164" s="68" t="s">
        <v>631</v>
      </c>
      <c r="D164" s="13"/>
      <c r="E164" s="1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</row>
    <row r="165">
      <c r="A165" s="39" t="str">
        <f>IFERROR(__xludf.DUMMYFUNCTION("""COMPUTED_VALUE"""),"simeo Potiron")</f>
        <v>simeo Potiron</v>
      </c>
      <c r="B165" s="36" t="str">
        <f>IFERROR(__xludf.DUMMYFUNCTION("Filter('Réponses au formulaire 1'!S:S,'Réponses au formulaire 1'!B:B=A165)"),"la team corlay")</f>
        <v>la team corlay</v>
      </c>
      <c r="C165" s="68" t="s">
        <v>631</v>
      </c>
      <c r="D165" s="13"/>
      <c r="E165" s="1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</row>
    <row r="166">
      <c r="A166" s="39" t="str">
        <f>IFERROR(__xludf.DUMMYFUNCTION("""COMPUTED_VALUE"""),"Pierre MAQUET")</f>
        <v>Pierre MAQUET</v>
      </c>
      <c r="B166" s="36" t="str">
        <f>IFERROR(__xludf.DUMMYFUNCTION("Filter('Réponses au formulaire 1'!S:S,'Réponses au formulaire 1'!B:B=A166)"),"Le Panthéon")</f>
        <v>Le Panthéon</v>
      </c>
      <c r="C166" s="68" t="s">
        <v>631</v>
      </c>
      <c r="D166" s="13"/>
      <c r="E166" s="1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</row>
    <row r="167">
      <c r="A167" s="39" t="str">
        <f>IFERROR(__xludf.DUMMYFUNCTION("""COMPUTED_VALUE"""),"Céline FEREC")</f>
        <v>Céline FEREC</v>
      </c>
      <c r="B167" s="36" t="str">
        <f>IFERROR(__xludf.DUMMYFUNCTION("Filter('Réponses au formulaire 1'!S:S,'Réponses au formulaire 1'!B:B=A167)"),"Le Panthéon")</f>
        <v>Le Panthéon</v>
      </c>
      <c r="C167" s="68" t="s">
        <v>631</v>
      </c>
      <c r="D167" s="13"/>
      <c r="E167" s="1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</row>
    <row r="168">
      <c r="A168" s="39" t="str">
        <f>IFERROR(__xludf.DUMMYFUNCTION("""COMPUTED_VALUE"""),"Maxime GRAS")</f>
        <v>Maxime GRAS</v>
      </c>
      <c r="B168" s="36" t="str">
        <f>IFERROR(__xludf.DUMMYFUNCTION("Filter('Réponses au formulaire 1'!S:S,'Réponses au formulaire 1'!B:B=A168)"),"La Crypte")</f>
        <v>La Crypte</v>
      </c>
      <c r="C168" s="68" t="s">
        <v>631</v>
      </c>
      <c r="D168" s="13"/>
      <c r="E168" s="1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</row>
    <row r="169">
      <c r="A169" s="39" t="str">
        <f>IFERROR(__xludf.DUMMYFUNCTION("""COMPUTED_VALUE"""),"Audrey BOYENVAL")</f>
        <v>Audrey BOYENVAL</v>
      </c>
      <c r="B169" s="36" t="str">
        <f>IFERROR(__xludf.DUMMYFUNCTION("Filter('Réponses au formulaire 1'!S:S,'Réponses au formulaire 1'!B:B=A169)"),"La Crypte")</f>
        <v>La Crypte</v>
      </c>
      <c r="C169" s="68" t="s">
        <v>631</v>
      </c>
      <c r="D169" s="13"/>
      <c r="E169" s="1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</row>
    <row r="170">
      <c r="A170" s="39" t="str">
        <f>IFERROR(__xludf.DUMMYFUNCTION("""COMPUTED_VALUE"""),"Chloé CANAVATE")</f>
        <v>Chloé CANAVATE</v>
      </c>
      <c r="B170" s="36" t="str">
        <f>IFERROR(__xludf.DUMMYFUNCTION("Filter('Réponses au formulaire 1'!S:S,'Réponses au formulaire 1'!B:B=A170)"),"Le 4 étoiles ")</f>
        <v>Le 4 étoiles </v>
      </c>
      <c r="C170" s="68" t="s">
        <v>631</v>
      </c>
      <c r="D170" s="13"/>
      <c r="E170" s="1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</row>
    <row r="171">
      <c r="A171" s="39" t="str">
        <f>IFERROR(__xludf.DUMMYFUNCTION("""COMPUTED_VALUE"""),"Antoine TARDIVON")</f>
        <v>Antoine TARDIVON</v>
      </c>
      <c r="B171" s="36" t="str">
        <f>IFERROR(__xludf.DUMMYFUNCTION("Filter('Réponses au formulaire 1'!S:S,'Réponses au formulaire 1'!B:B=A171)"),"La team Corlay")</f>
        <v>La team Corlay</v>
      </c>
      <c r="C171" s="68" t="s">
        <v>631</v>
      </c>
      <c r="D171" s="13"/>
      <c r="E171" s="1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</row>
    <row r="172">
      <c r="A172" s="39" t="str">
        <f>IFERROR(__xludf.DUMMYFUNCTION("""COMPUTED_VALUE"""),"Adrien Simonet")</f>
        <v>Adrien Simonet</v>
      </c>
      <c r="B172" s="36" t="str">
        <f>IFERROR(__xludf.DUMMYFUNCTION("Filter('Réponses au formulaire 1'!S:S,'Réponses au formulaire 1'!B:B=A172)"),"La team corlay ")</f>
        <v>La team corlay </v>
      </c>
      <c r="C172" s="68" t="s">
        <v>631</v>
      </c>
      <c r="D172" s="13"/>
      <c r="E172" s="1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</row>
    <row r="173">
      <c r="A173" s="39" t="str">
        <f>IFERROR(__xludf.DUMMYFUNCTION("""COMPUTED_VALUE"""),"Maena GALERON")</f>
        <v>Maena GALERON</v>
      </c>
      <c r="B173" s="36" t="str">
        <f>IFERROR(__xludf.DUMMYFUNCTION("Filter('Réponses au formulaire 1'!S:S,'Réponses au formulaire 1'!B:B=A173)"),"La 4 étoiles ")</f>
        <v>La 4 étoiles </v>
      </c>
      <c r="C173" s="68" t="s">
        <v>631</v>
      </c>
      <c r="D173" s="13"/>
      <c r="E173" s="1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</row>
    <row r="174">
      <c r="A174" s="39" t="str">
        <f>IFERROR(__xludf.DUMMYFUNCTION("""COMPUTED_VALUE"""),"Antoine LETOFFET")</f>
        <v>Antoine LETOFFET</v>
      </c>
      <c r="B174" s="36" t="str">
        <f>IFERROR(__xludf.DUMMYFUNCTION("Filter('Réponses au formulaire 1'!S:S,'Réponses au formulaire 1'!B:B=A174)"),"sans abri")</f>
        <v>sans abri</v>
      </c>
      <c r="C174" s="68" t="s">
        <v>631</v>
      </c>
      <c r="D174" s="13"/>
      <c r="E174" s="1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</row>
    <row r="175">
      <c r="A175" s="39" t="str">
        <f>IFERROR(__xludf.DUMMYFUNCTION("""COMPUTED_VALUE"""),"Grégoire Turzo")</f>
        <v>Grégoire Turzo</v>
      </c>
      <c r="B175" s="36" t="str">
        <f>IFERROR(__xludf.DUMMYFUNCTION("Filter('Réponses au formulaire 1'!S:S,'Réponses au formulaire 1'!B:B=A175)"),"Les fortiches")</f>
        <v>Les fortiches</v>
      </c>
      <c r="C175" s="68" t="s">
        <v>631</v>
      </c>
      <c r="D175" s="13"/>
      <c r="E175" s="1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</row>
    <row r="176">
      <c r="A176" s="39" t="str">
        <f>IFERROR(__xludf.DUMMYFUNCTION("""COMPUTED_VALUE"""),"Henri de Chanterac")</f>
        <v>Henri de Chanterac</v>
      </c>
      <c r="B176" s="36" t="str">
        <f>IFERROR(__xludf.DUMMYFUNCTION("Filter('Réponses au formulaire 1'!S:S,'Réponses au formulaire 1'!B:B=A176)"),"les fortiches")</f>
        <v>les fortiches</v>
      </c>
      <c r="C176" s="68" t="s">
        <v>631</v>
      </c>
      <c r="D176" s="13"/>
      <c r="E176" s="1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</row>
    <row r="177">
      <c r="A177" s="39" t="str">
        <f>IFERROR(__xludf.DUMMYFUNCTION("""COMPUTED_VALUE"""),"Elouan BARBEREAU")</f>
        <v>Elouan BARBEREAU</v>
      </c>
      <c r="B177" s="36" t="str">
        <f>IFERROR(__xludf.DUMMYFUNCTION("Filter('Réponses au formulaire 1'!S:S,'Réponses au formulaire 1'!B:B=A177)"),"les fortiches")</f>
        <v>les fortiches</v>
      </c>
      <c r="C177" s="68" t="s">
        <v>631</v>
      </c>
      <c r="D177" s="13"/>
      <c r="E177" s="1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</row>
    <row r="178">
      <c r="A178" s="39" t="str">
        <f>IFERROR(__xludf.DUMMYFUNCTION("""COMPUTED_VALUE"""),"Moens Diego")</f>
        <v>Moens Diego</v>
      </c>
      <c r="B178" s="36" t="str">
        <f>IFERROR(__xludf.DUMMYFUNCTION("Filter('Réponses au formulaire 1'!S:S,'Réponses au formulaire 1'!B:B=A178)"),"LePatio")</f>
        <v>LePatio</v>
      </c>
      <c r="C178" s="68" t="s">
        <v>631</v>
      </c>
      <c r="D178" s="13"/>
      <c r="E178" s="1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</row>
    <row r="179">
      <c r="A179" s="39" t="str">
        <f>IFERROR(__xludf.DUMMYFUNCTION("""COMPUTED_VALUE"""),"Felipe Altamirano")</f>
        <v>Felipe Altamirano</v>
      </c>
      <c r="B179" s="36" t="str">
        <f>IFERROR(__xludf.DUMMYFUNCTION("Filter('Réponses au formulaire 1'!S:S,'Réponses au formulaire 1'!B:B=A179)"),"LePatio")</f>
        <v>LePatio</v>
      </c>
      <c r="C179" s="68" t="s">
        <v>631</v>
      </c>
      <c r="D179" s="13"/>
      <c r="E179" s="1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</row>
    <row r="180">
      <c r="A180" s="39" t="str">
        <f>IFERROR(__xludf.DUMMYFUNCTION("""COMPUTED_VALUE"""),"Alison ALIAGA")</f>
        <v>Alison ALIAGA</v>
      </c>
      <c r="B180" s="36" t="str">
        <f>IFERROR(__xludf.DUMMYFUNCTION("Filter('Réponses au formulaire 1'!S:S,'Réponses au formulaire 1'!B:B=A180)"),"LePatio ")</f>
        <v>LePatio </v>
      </c>
      <c r="C180" s="68" t="s">
        <v>631</v>
      </c>
      <c r="D180" s="13"/>
      <c r="E180" s="1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</row>
    <row r="181">
      <c r="A181" s="39" t="str">
        <f>IFERROR(__xludf.DUMMYFUNCTION("""COMPUTED_VALUE"""),"Argueta Tamayo Emanuel")</f>
        <v>Argueta Tamayo Emanuel</v>
      </c>
      <c r="B181" s="36" t="str">
        <f>IFERROR(__xludf.DUMMYFUNCTION("Filter('Réponses au formulaire 1'!S:S,'Réponses au formulaire 1'!B:B=A181)"),"LePatio ")</f>
        <v>LePatio </v>
      </c>
      <c r="C181" s="68" t="s">
        <v>631</v>
      </c>
      <c r="D181" s="13"/>
      <c r="E181" s="1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</row>
    <row r="182">
      <c r="A182" s="39" t="str">
        <f>IFERROR(__xludf.DUMMYFUNCTION("""COMPUTED_VALUE"""),"Marina THIEME PETERSEN")</f>
        <v>Marina THIEME PETERSEN</v>
      </c>
      <c r="B182" s="36" t="str">
        <f>IFERROR(__xludf.DUMMYFUNCTION("Filter('Réponses au formulaire 1'!S:S,'Réponses au formulaire 1'!B:B=A182)"),"Les trutitas")</f>
        <v>Les trutitas</v>
      </c>
      <c r="C182" s="68" t="s">
        <v>631</v>
      </c>
      <c r="D182" s="13"/>
      <c r="E182" s="1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</row>
    <row r="183">
      <c r="A183" s="39" t="str">
        <f>IFERROR(__xludf.DUMMYFUNCTION("""COMPUTED_VALUE"""),"Erwan Sauvage")</f>
        <v>Erwan Sauvage</v>
      </c>
      <c r="B183" s="36" t="str">
        <f>IFERROR(__xludf.DUMMYFUNCTION("Filter('Réponses au formulaire 1'!S:S,'Réponses au formulaire 1'!B:B=A183)"),"La Famille du Baisodrome")</f>
        <v>La Famille du Baisodrome</v>
      </c>
      <c r="C183" s="68" t="s">
        <v>631</v>
      </c>
      <c r="D183" s="13"/>
      <c r="E183" s="1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</row>
    <row r="184">
      <c r="A184" s="39" t="str">
        <f>IFERROR(__xludf.DUMMYFUNCTION("""COMPUTED_VALUE"""),"Mathieu Rey-Herme")</f>
        <v>Mathieu Rey-Herme</v>
      </c>
      <c r="B184" s="36" t="str">
        <f>IFERROR(__xludf.DUMMYFUNCTION("Filter('Réponses au formulaire 1'!S:S,'Réponses au formulaire 1'!B:B=A184)"),"La Crypte ")</f>
        <v>La Crypte </v>
      </c>
      <c r="C184" s="43" t="s">
        <v>631</v>
      </c>
      <c r="D184" s="13"/>
      <c r="E184" s="1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</row>
    <row r="185">
      <c r="A185" s="39" t="str">
        <f>IFERROR(__xludf.DUMMYFUNCTION("""COMPUTED_VALUE"""),"Tapias")</f>
        <v>Tapias</v>
      </c>
      <c r="B185" s="36" t="str">
        <f>IFERROR(__xludf.DUMMYFUNCTION("Filter('Réponses au formulaire 1'!S:S,'Réponses au formulaire 1'!B:B=A185)"),"LePatio")</f>
        <v>LePatio</v>
      </c>
      <c r="C185" s="43" t="s">
        <v>631</v>
      </c>
      <c r="D185" s="13"/>
      <c r="E185" s="1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</row>
    <row r="186">
      <c r="A186" s="39" t="str">
        <f>IFERROR(__xludf.DUMMYFUNCTION("""COMPUTED_VALUE"""),"Manon VLIEGHE")</f>
        <v>Manon VLIEGHE</v>
      </c>
      <c r="B186" s="36" t="str">
        <f>IFERROR(__xludf.DUMMYFUNCTION("Filter('Réponses au formulaire 1'!S:S,'Réponses au formulaire 1'!B:B=A186)"),"Auberge-Monastère")</f>
        <v>Auberge-Monastère</v>
      </c>
      <c r="C186" s="43" t="s">
        <v>631</v>
      </c>
      <c r="D186" s="13"/>
      <c r="E186" s="1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</row>
    <row r="187">
      <c r="A187" s="39" t="str">
        <f>IFERROR(__xludf.DUMMYFUNCTION("""COMPUTED_VALUE"""),"Miguel MORENO")</f>
        <v>Miguel MORENO</v>
      </c>
      <c r="B187" s="36" t="str">
        <f>IFERROR(__xludf.DUMMYFUNCTION("Filter('Réponses au formulaire 1'!S:S,'Réponses au formulaire 1'!B:B=A187)"),"LePatio")</f>
        <v>LePatio</v>
      </c>
      <c r="C187" s="68" t="s">
        <v>631</v>
      </c>
      <c r="D187" s="13"/>
      <c r="E187" s="1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</row>
    <row r="188">
      <c r="A188" s="39" t="str">
        <f>IFERROR(__xludf.DUMMYFUNCTION("""COMPUTED_VALUE"""),"Baptiste Marlet")</f>
        <v>Baptiste Marlet</v>
      </c>
      <c r="B188" s="36" t="str">
        <f>IFERROR(__xludf.DUMMYFUNCTION("Filter('Réponses au formulaire 1'!S:S,'Réponses au formulaire 1'!B:B=A188)"),"Les coulisses")</f>
        <v>Les coulisses</v>
      </c>
      <c r="C188" s="68" t="s">
        <v>631</v>
      </c>
      <c r="D188" s="13"/>
      <c r="E188" s="1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</row>
    <row r="189">
      <c r="A189" s="39" t="str">
        <f>IFERROR(__xludf.DUMMYFUNCTION("""COMPUTED_VALUE"""),"Hugo SEMPÉ")</f>
        <v>Hugo SEMPÉ</v>
      </c>
      <c r="B189" s="36" t="str">
        <f>IFERROR(__xludf.DUMMYFUNCTION("Filter('Réponses au formulaire 1'!S:S,'Réponses au formulaire 1'!B:B=A189)"),"Pimp my ride ")</f>
        <v>Pimp my ride </v>
      </c>
      <c r="C189" s="68" t="s">
        <v>631</v>
      </c>
      <c r="D189" s="13"/>
      <c r="E189" s="1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</row>
    <row r="190">
      <c r="A190" s="39" t="str">
        <f>IFERROR(__xludf.DUMMYFUNCTION("""COMPUTED_VALUE"""),"Nicolas Meniconi")</f>
        <v>Nicolas Meniconi</v>
      </c>
      <c r="B190" s="36" t="str">
        <f>IFERROR(__xludf.DUMMYFUNCTION("Filter('Réponses au formulaire 1'!S:S,'Réponses au formulaire 1'!B:B=A190)"),"Les coulisses ")</f>
        <v>Les coulisses </v>
      </c>
      <c r="C190" s="68" t="s">
        <v>631</v>
      </c>
      <c r="D190" s="13"/>
      <c r="E190" s="1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</row>
    <row r="191">
      <c r="A191" s="39" t="str">
        <f>IFERROR(__xludf.DUMMYFUNCTION("""COMPUTED_VALUE"""),"Romain THIMON")</f>
        <v>Romain THIMON</v>
      </c>
      <c r="B191" s="36" t="str">
        <f>IFERROR(__xludf.DUMMYFUNCTION("Filter('Réponses au formulaire 1'!S:S,'Réponses au formulaire 1'!B:B=A191)"),"Le Panthéon")</f>
        <v>Le Panthéon</v>
      </c>
      <c r="C191" s="68" t="s">
        <v>631</v>
      </c>
      <c r="D191" s="13"/>
      <c r="E191" s="1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</row>
    <row r="192">
      <c r="A192" s="39" t="str">
        <f>IFERROR(__xludf.DUMMYFUNCTION("""COMPUTED_VALUE"""),"Maximilien LESSAULT")</f>
        <v>Maximilien LESSAULT</v>
      </c>
      <c r="B192" s="36" t="str">
        <f>IFERROR(__xludf.DUMMYFUNCTION("Filter('Réponses au formulaire 1'!S:S,'Réponses au formulaire 1'!B:B=A192)"),"RACLETENTOUTAN")</f>
        <v>RACLETENTOUTAN</v>
      </c>
      <c r="C192" s="68" t="s">
        <v>631</v>
      </c>
      <c r="D192" s="13"/>
      <c r="E192" s="1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</row>
    <row r="193">
      <c r="A193" s="39" t="str">
        <f>IFERROR(__xludf.DUMMYFUNCTION("""COMPUTED_VALUE"""),"Thomas oppmann")</f>
        <v>Thomas oppmann</v>
      </c>
      <c r="B193" s="36" t="str">
        <f>IFERROR(__xludf.DUMMYFUNCTION("Filter('Réponses au formulaire 1'!S:S,'Réponses au formulaire 1'!B:B=A193)"),"RACLETENTOUTAN")</f>
        <v>RACLETENTOUTAN</v>
      </c>
      <c r="C193" s="68" t="s">
        <v>631</v>
      </c>
      <c r="D193" s="13"/>
      <c r="E193" s="1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</row>
    <row r="194">
      <c r="A194" s="39" t="str">
        <f>IFERROR(__xludf.DUMMYFUNCTION("""COMPUTED_VALUE"""),"Alexandre Ghannad")</f>
        <v>Alexandre Ghannad</v>
      </c>
      <c r="B194" s="36" t="str">
        <f>IFERROR(__xludf.DUMMYFUNCTION("Filter('Réponses au formulaire 1'!S:S,'Réponses au formulaire 1'!B:B=A194)"),"RACLETENTOUTAN")</f>
        <v>RACLETENTOUTAN</v>
      </c>
      <c r="C194" s="68" t="s">
        <v>631</v>
      </c>
      <c r="D194" s="13"/>
      <c r="E194" s="1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</row>
    <row r="195">
      <c r="A195" s="39" t="str">
        <f>IFERROR(__xludf.DUMMYFUNCTION("""COMPUTED_VALUE"""),"Christopher LESDALONS")</f>
        <v>Christopher LESDALONS</v>
      </c>
      <c r="B195" s="36" t="str">
        <f>IFERROR(__xludf.DUMMYFUNCTION("Filter('Réponses au formulaire 1'!S:S,'Réponses au formulaire 1'!B:B=A195)"),"RACLETENTOUTAN")</f>
        <v>RACLETENTOUTAN</v>
      </c>
      <c r="C195" s="68" t="s">
        <v>631</v>
      </c>
      <c r="D195" s="13"/>
      <c r="E195" s="1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</row>
    <row r="196">
      <c r="A196" s="39" t="str">
        <f>IFERROR(__xludf.DUMMYFUNCTION("""COMPUTED_VALUE"""),"Amine BEDRANE")</f>
        <v>Amine BEDRANE</v>
      </c>
      <c r="B196" s="36" t="str">
        <f>IFERROR(__xludf.DUMMYFUNCTION("Filter('Réponses au formulaire 1'!S:S,'Réponses au formulaire 1'!B:B=A196)"),"RACLETENTOUTAN")</f>
        <v>RACLETENTOUTAN</v>
      </c>
      <c r="C196" s="68" t="s">
        <v>631</v>
      </c>
      <c r="D196" s="13"/>
      <c r="E196" s="1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</row>
    <row r="197">
      <c r="A197" s="39" t="str">
        <f>IFERROR(__xludf.DUMMYFUNCTION("""COMPUTED_VALUE"""),"Charles-Eole MARICHAL")</f>
        <v>Charles-Eole MARICHAL</v>
      </c>
      <c r="B197" s="36" t="str">
        <f>IFERROR(__xludf.DUMMYFUNCTION("Filter('Réponses au formulaire 1'!S:S,'Réponses au formulaire 1'!B:B=A197)"),"PB-Nuage")</f>
        <v>PB-Nuage</v>
      </c>
      <c r="C197" s="68" t="s">
        <v>631</v>
      </c>
      <c r="D197" s="13"/>
      <c r="E197" s="1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</row>
    <row r="198">
      <c r="A198" s="39" t="str">
        <f>IFERROR(__xludf.DUMMYFUNCTION("""COMPUTED_VALUE"""),"Justin Becker")</f>
        <v>Justin Becker</v>
      </c>
      <c r="B198" s="36" t="str">
        <f>IFERROR(__xludf.DUMMYFUNCTION("Filter('Réponses au formulaire 1'!S:S,'Réponses au formulaire 1'!B:B=A198)"),"PB - Nuage")</f>
        <v>PB - Nuage</v>
      </c>
      <c r="C198" s="43" t="s">
        <v>631</v>
      </c>
      <c r="D198" s="13"/>
      <c r="E198" s="1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</row>
    <row r="199">
      <c r="A199" s="39" t="str">
        <f>IFERROR(__xludf.DUMMYFUNCTION("""COMPUTED_VALUE"""),"Pierre-Jean POLLOT")</f>
        <v>Pierre-Jean POLLOT</v>
      </c>
      <c r="B199" s="36" t="str">
        <f>IFERROR(__xludf.DUMMYFUNCTION("Filter('Réponses au formulaire 1'!S:S,'Réponses au formulaire 1'!B:B=A199)"),"Les coulisses")</f>
        <v>Les coulisses</v>
      </c>
      <c r="C199" s="43" t="s">
        <v>631</v>
      </c>
      <c r="D199" s="13"/>
      <c r="E199" s="1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</row>
    <row r="200">
      <c r="A200" s="39" t="str">
        <f>IFERROR(__xludf.DUMMYFUNCTION("""COMPUTED_VALUE"""),"Judith LOUIS-ALEXANDRE")</f>
        <v>Judith LOUIS-ALEXANDRE</v>
      </c>
      <c r="B200" s="36" t="str">
        <f>IFERROR(__xludf.DUMMYFUNCTION("Filter('Réponses au formulaire 1'!S:S,'Réponses au formulaire 1'!B:B=A200)"),"Summerf'aigle")</f>
        <v>Summerf'aigle</v>
      </c>
      <c r="C200" s="43" t="s">
        <v>631</v>
      </c>
      <c r="D200" s="13"/>
      <c r="E200" s="1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</row>
    <row r="201">
      <c r="A201" s="39" t="str">
        <f>IFERROR(__xludf.DUMMYFUNCTION("""COMPUTED_VALUE"""),"Alexandre MERASLI")</f>
        <v>Alexandre MERASLI</v>
      </c>
      <c r="B201" s="36" t="str">
        <f>IFERROR(__xludf.DUMMYFUNCTION("Filter('Réponses au formulaire 1'!S:S,'Réponses au formulaire 1'!B:B=A201)"),"Bastion")</f>
        <v>Bastion</v>
      </c>
      <c r="C201" s="43" t="s">
        <v>631</v>
      </c>
      <c r="D201" s="13"/>
      <c r="E201" s="1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</row>
    <row r="202">
      <c r="A202" s="39" t="str">
        <f>IFERROR(__xludf.DUMMYFUNCTION("""COMPUTED_VALUE"""),"Charlotte BEAUNE")</f>
        <v>Charlotte BEAUNE</v>
      </c>
      <c r="B202" s="36" t="str">
        <f>IFERROR(__xludf.DUMMYFUNCTION("Filter('Réponses au formulaire 1'!S:S,'Réponses au formulaire 1'!B:B=A202)"),"Le Squat")</f>
        <v>Le Squat</v>
      </c>
      <c r="C202" s="43" t="s">
        <v>631</v>
      </c>
      <c r="D202" s="13"/>
      <c r="E202" s="1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</row>
    <row r="203">
      <c r="A203" s="39" t="str">
        <f>IFERROR(__xludf.DUMMYFUNCTION("""COMPUTED_VALUE"""),"Helena Delmotte")</f>
        <v>Helena Delmotte</v>
      </c>
      <c r="B203" s="36" t="str">
        <f>IFERROR(__xludf.DUMMYFUNCTION("Filter('Réponses au formulaire 1'!S:S,'Réponses au formulaire 1'!B:B=A203)"),"Le Squat")</f>
        <v>Le Squat</v>
      </c>
      <c r="C203" s="43" t="s">
        <v>631</v>
      </c>
      <c r="D203" s="13"/>
      <c r="E203" s="1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</row>
    <row r="204">
      <c r="A204" s="39" t="str">
        <f>IFERROR(__xludf.DUMMYFUNCTION("""COMPUTED_VALUE"""),"Anis KHEZNADJI")</f>
        <v>Anis KHEZNADJI</v>
      </c>
      <c r="B204" s="36" t="str">
        <f>IFERROR(__xludf.DUMMYFUNCTION("Filter('Réponses au formulaire 1'!S:S,'Réponses au formulaire 1'!B:B=A204)"),"Le squat")</f>
        <v>Le squat</v>
      </c>
      <c r="C204" s="43" t="s">
        <v>631</v>
      </c>
      <c r="D204" s="13"/>
      <c r="E204" s="1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</row>
    <row r="205">
      <c r="A205" s="39" t="str">
        <f>IFERROR(__xludf.DUMMYFUNCTION("""COMPUTED_VALUE"""),"Marie COUPÉ")</f>
        <v>Marie COUPÉ</v>
      </c>
      <c r="B205" s="36" t="str">
        <f>IFERROR(__xludf.DUMMYFUNCTION("Filter('Réponses au formulaire 1'!S:S,'Réponses au formulaire 1'!B:B=A205)"),"Barton")</f>
        <v>Barton</v>
      </c>
      <c r="C205" s="43" t="s">
        <v>631</v>
      </c>
      <c r="D205" s="13"/>
      <c r="E205" s="1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</row>
    <row r="206">
      <c r="A206" s="39" t="str">
        <f>IFERROR(__xludf.DUMMYFUNCTION("""COMPUTED_VALUE"""),"Geoffroy LECONTE")</f>
        <v>Geoffroy LECONTE</v>
      </c>
      <c r="B206" s="36" t="str">
        <f>IFERROR(__xludf.DUMMYFUNCTION("Filter('Réponses au formulaire 1'!S:S,'Réponses au formulaire 1'!B:B=A206)"),"Bart'on")</f>
        <v>Bart'on</v>
      </c>
      <c r="C206" s="43" t="s">
        <v>1151</v>
      </c>
      <c r="D206" s="13"/>
      <c r="E206" s="1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</row>
    <row r="207">
      <c r="A207" s="39" t="str">
        <f>IFERROR(__xludf.DUMMYFUNCTION("""COMPUTED_VALUE"""),"Pierre BOURREAU")</f>
        <v>Pierre BOURREAU</v>
      </c>
      <c r="B207" s="36" t="str">
        <f>IFERROR(__xludf.DUMMYFUNCTION("Filter('Réponses au formulaire 1'!S:S,'Réponses au formulaire 1'!B:B=A207)"),"La Boisson")</f>
        <v>La Boisson</v>
      </c>
      <c r="C207" s="43" t="s">
        <v>631</v>
      </c>
      <c r="D207" s="13"/>
      <c r="E207" s="1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</row>
    <row r="208">
      <c r="A208" s="39" t="str">
        <f>IFERROR(__xludf.DUMMYFUNCTION("""COMPUTED_VALUE"""),"Antoine SENELLART")</f>
        <v>Antoine SENELLART</v>
      </c>
      <c r="B208" s="36" t="str">
        <f>IFERROR(__xludf.DUMMYFUNCTION("Filter('Réponses au formulaire 1'!S:S,'Réponses au formulaire 1'!B:B=A208)"),"La Boisson")</f>
        <v>La Boisson</v>
      </c>
      <c r="C208" s="43" t="s">
        <v>631</v>
      </c>
      <c r="D208" s="13"/>
      <c r="E208" s="1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</row>
    <row r="209">
      <c r="A209" s="39" t="str">
        <f>IFERROR(__xludf.DUMMYFUNCTION("""COMPUTED_VALUE"""),"Louis LEQUES")</f>
        <v>Louis LEQUES</v>
      </c>
      <c r="B209" s="36" t="str">
        <f>IFERROR(__xludf.DUMMYFUNCTION("Filter('Réponses au formulaire 1'!S:S,'Réponses au formulaire 1'!B:B=A209)"),"Les Topeurs")</f>
        <v>Les Topeurs</v>
      </c>
      <c r="C209" s="43" t="s">
        <v>631</v>
      </c>
      <c r="D209" s="13"/>
      <c r="E209" s="1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</row>
    <row r="210">
      <c r="A210" s="39" t="str">
        <f>IFERROR(__xludf.DUMMYFUNCTION("""COMPUTED_VALUE"""),"Louis CLAUCE")</f>
        <v>Louis CLAUCE</v>
      </c>
      <c r="B210" s="36" t="str">
        <f>IFERROR(__xludf.DUMMYFUNCTION("Filter('Réponses au formulaire 1'!S:S,'Réponses au formulaire 1'!B:B=A210)"),"La Boisson ")</f>
        <v>La Boisson </v>
      </c>
      <c r="C210" s="43" t="s">
        <v>631</v>
      </c>
      <c r="D210" s="13"/>
      <c r="E210" s="1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</row>
    <row r="211">
      <c r="A211" s="39" t="str">
        <f>IFERROR(__xludf.DUMMYFUNCTION("""COMPUTED_VALUE"""),"Samir ZINA-RAGGOUA")</f>
        <v>Samir ZINA-RAGGOUA</v>
      </c>
      <c r="B211" s="36" t="str">
        <f>IFERROR(__xludf.DUMMYFUNCTION("Filter('Réponses au formulaire 1'!S:S,'Réponses au formulaire 1'!B:B=A211)"),"Topeurs")</f>
        <v>Topeurs</v>
      </c>
      <c r="C211" s="43" t="s">
        <v>631</v>
      </c>
      <c r="D211" s="13"/>
      <c r="E211" s="1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</row>
    <row r="212">
      <c r="A212" s="39" t="str">
        <f>IFERROR(__xludf.DUMMYFUNCTION("""COMPUTED_VALUE"""),"Mikaël Farje")</f>
        <v>Mikaël Farje</v>
      </c>
      <c r="B212" s="36" t="str">
        <f>IFERROR(__xludf.DUMMYFUNCTION("Filter('Réponses au formulaire 1'!S:S,'Réponses au formulaire 1'!B:B=A212)"),"Les Topeurs")</f>
        <v>Les Topeurs</v>
      </c>
      <c r="C212" s="43" t="s">
        <v>631</v>
      </c>
      <c r="D212" s="13"/>
      <c r="E212" s="1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</row>
    <row r="213">
      <c r="A213" s="39" t="str">
        <f>IFERROR(__xludf.DUMMYFUNCTION("""COMPUTED_VALUE"""),"Allouache")</f>
        <v>Allouache</v>
      </c>
      <c r="B213" s="36" t="str">
        <f>IFERROR(__xludf.DUMMYFUNCTION("Filter('Réponses au formulaire 1'!S:S,'Réponses au formulaire 1'!B:B=A213)"),"La Boisson")</f>
        <v>La Boisson</v>
      </c>
      <c r="C213" s="43" t="s">
        <v>631</v>
      </c>
      <c r="D213" s="13"/>
      <c r="E213" s="1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</row>
    <row r="214">
      <c r="A214" s="39" t="str">
        <f>IFERROR(__xludf.DUMMYFUNCTION("""COMPUTED_VALUE"""),"Noémie RABILLOUD")</f>
        <v>Noémie RABILLOUD</v>
      </c>
      <c r="B214" s="36" t="str">
        <f>IFERROR(__xludf.DUMMYFUNCTION("Filter('Réponses au formulaire 1'!S:S,'Réponses au formulaire 1'!B:B=A214)"),"Le Squat")</f>
        <v>Le Squat</v>
      </c>
      <c r="C214" s="43" t="s">
        <v>631</v>
      </c>
      <c r="D214" s="13"/>
      <c r="E214" s="1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</row>
    <row r="215">
      <c r="A215" s="39" t="str">
        <f>IFERROR(__xludf.DUMMYFUNCTION("""COMPUTED_VALUE"""),"Jean Pichard")</f>
        <v>Jean Pichard</v>
      </c>
      <c r="B215" s="36" t="str">
        <f>IFERROR(__xludf.DUMMYFUNCTION("Filter('Réponses au formulaire 1'!S:S,'Réponses au formulaire 1'!B:B=A215)"),"Les fortiches")</f>
        <v>Les fortiches</v>
      </c>
      <c r="C215" s="43" t="s">
        <v>631</v>
      </c>
      <c r="D215" s="13"/>
      <c r="E215" s="1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</row>
    <row r="216">
      <c r="A216" s="39" t="str">
        <f>IFERROR(__xludf.DUMMYFUNCTION("""COMPUTED_VALUE"""),"Mathis CELCE")</f>
        <v>Mathis CELCE</v>
      </c>
      <c r="B216" s="36" t="str">
        <f>IFERROR(__xludf.DUMMYFUNCTION("Filter('Réponses au formulaire 1'!S:S,'Réponses au formulaire 1'!B:B=A216)"),"azerty44")</f>
        <v>azerty44</v>
      </c>
      <c r="C216" s="43" t="s">
        <v>631</v>
      </c>
      <c r="D216" s="13"/>
      <c r="E216" s="1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</row>
    <row r="217">
      <c r="A217" s="39" t="str">
        <f>IFERROR(__xludf.DUMMYFUNCTION("""COMPUTED_VALUE"""),"Maxime Roy")</f>
        <v>Maxime Roy</v>
      </c>
      <c r="B217" s="36" t="str">
        <f>IFERROR(__xludf.DUMMYFUNCTION("Filter('Réponses au formulaire 1'!S:S,'Réponses au formulaire 1'!B:B=A217)"),"azerty44")</f>
        <v>azerty44</v>
      </c>
      <c r="C217" s="43" t="s">
        <v>631</v>
      </c>
      <c r="D217" s="13"/>
      <c r="E217" s="1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</row>
    <row r="218">
      <c r="A218" s="39" t="str">
        <f>IFERROR(__xludf.DUMMYFUNCTION("""COMPUTED_VALUE"""),"Gauthier PEZZOLI")</f>
        <v>Gauthier PEZZOLI</v>
      </c>
      <c r="B218" s="36" t="str">
        <f>IFERROR(__xludf.DUMMYFUNCTION("Filter('Réponses au formulaire 1'!S:S,'Réponses au formulaire 1'!B:B=A218)"),"azerty44")</f>
        <v>azerty44</v>
      </c>
      <c r="C218" s="43" t="s">
        <v>631</v>
      </c>
      <c r="D218" s="13"/>
      <c r="E218" s="1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</row>
    <row r="219">
      <c r="A219" s="39" t="str">
        <f>IFERROR(__xludf.DUMMYFUNCTION("""COMPUTED_VALUE"""),"Théo Hennion")</f>
        <v>Théo Hennion</v>
      </c>
      <c r="B219" s="36" t="str">
        <f>IFERROR(__xludf.DUMMYFUNCTION("Filter('Réponses au formulaire 1'!S:S,'Réponses au formulaire 1'!B:B=A219)"),"Parainplégiques")</f>
        <v>Parainplégiques</v>
      </c>
      <c r="C219" s="43" t="s">
        <v>631</v>
      </c>
      <c r="D219" s="13"/>
      <c r="E219" s="1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</row>
    <row r="220">
      <c r="A220" s="39" t="str">
        <f>IFERROR(__xludf.DUMMYFUNCTION("""COMPUTED_VALUE"""),"Clément Wozniak")</f>
        <v>Clément Wozniak</v>
      </c>
      <c r="B220" s="36" t="str">
        <f>IFERROR(__xludf.DUMMYFUNCTION("Filter('Réponses au formulaire 1'!S:S,'Réponses au formulaire 1'!B:B=A220)"),"Les parainplegiques")</f>
        <v>Les parainplegiques</v>
      </c>
      <c r="C220" s="43" t="s">
        <v>631</v>
      </c>
      <c r="D220" s="13"/>
      <c r="E220" s="1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</row>
    <row r="221">
      <c r="A221" s="39" t="str">
        <f>IFERROR(__xludf.DUMMYFUNCTION("""COMPUTED_VALUE"""),"Cyriane BIENVENUE")</f>
        <v>Cyriane BIENVENUE</v>
      </c>
      <c r="B221" s="36" t="str">
        <f>IFERROR(__xludf.DUMMYFUNCTION("Filter('Réponses au formulaire 1'!S:S,'Réponses au formulaire 1'!B:B=A221)"),"Le Kraal")</f>
        <v>Le Kraal</v>
      </c>
      <c r="C221" s="43" t="s">
        <v>631</v>
      </c>
      <c r="D221" s="13"/>
      <c r="E221" s="1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</row>
    <row r="222">
      <c r="A222" s="39" t="str">
        <f>IFERROR(__xludf.DUMMYFUNCTION("""COMPUTED_VALUE"""),"Marius MENAULT")</f>
        <v>Marius MENAULT</v>
      </c>
      <c r="B222" s="36" t="str">
        <f>IFERROR(__xludf.DUMMYFUNCTION("Filter('Réponses au formulaire 1'!S:S,'Réponses au formulaire 1'!B:B=A222)"),"La dezing")</f>
        <v>La dezing</v>
      </c>
      <c r="C222" s="43" t="s">
        <v>631</v>
      </c>
      <c r="D222" s="13"/>
      <c r="E222" s="1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</row>
    <row r="223">
      <c r="A223" s="39" t="str">
        <f>IFERROR(__xludf.DUMMYFUNCTION("""COMPUTED_VALUE"""),"Amine CHEKROUD")</f>
        <v>Amine CHEKROUD</v>
      </c>
      <c r="B223" s="36" t="str">
        <f>IFERROR(__xludf.DUMMYFUNCTION("Filter('Réponses au formulaire 1'!S:S,'Réponses au formulaire 1'!B:B=A223)"),"Discorde")</f>
        <v>Discorde</v>
      </c>
      <c r="C223" s="43" t="s">
        <v>631</v>
      </c>
      <c r="D223" s="13"/>
      <c r="E223" s="1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</row>
    <row r="224">
      <c r="A224" s="39" t="str">
        <f>IFERROR(__xludf.DUMMYFUNCTION("""COMPUTED_VALUE"""),"Cyprien MARION")</f>
        <v>Cyprien MARION</v>
      </c>
      <c r="B224" s="36" t="str">
        <f>IFERROR(__xludf.DUMMYFUNCTION("Filter('Réponses au formulaire 1'!S:S,'Réponses au formulaire 1'!B:B=A224)"),"Kraal")</f>
        <v>Kraal</v>
      </c>
      <c r="C224" s="43" t="s">
        <v>631</v>
      </c>
      <c r="D224" s="13"/>
      <c r="E224" s="1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</row>
    <row r="225">
      <c r="A225" s="39" t="str">
        <f>IFERROR(__xludf.DUMMYFUNCTION("""COMPUTED_VALUE"""),"Arthur LEMASSON")</f>
        <v>Arthur LEMASSON</v>
      </c>
      <c r="B225" s="36" t="str">
        <f>IFERROR(__xludf.DUMMYFUNCTION("Filter('Réponses au formulaire 1'!S:S,'Réponses au formulaire 1'!B:B=A225)"),"BBC")</f>
        <v>BBC</v>
      </c>
      <c r="C225" s="43" t="s">
        <v>631</v>
      </c>
      <c r="D225" s="13"/>
      <c r="E225" s="1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</row>
    <row r="226">
      <c r="A226" s="39" t="str">
        <f>IFERROR(__xludf.DUMMYFUNCTION("""COMPUTED_VALUE"""),"Vincent MESLIER")</f>
        <v>Vincent MESLIER</v>
      </c>
      <c r="B226" s="36" t="str">
        <f>IFERROR(__xludf.DUMMYFUNCTION("Filter('Réponses au formulaire 1'!S:S,'Réponses au formulaire 1'!B:B=A226)"),"BBC")</f>
        <v>BBC</v>
      </c>
      <c r="C226" s="43" t="s">
        <v>631</v>
      </c>
      <c r="D226" s="13"/>
      <c r="E226" s="1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</row>
    <row r="227">
      <c r="A227" s="39" t="str">
        <f>IFERROR(__xludf.DUMMYFUNCTION("""COMPUTED_VALUE"""),"Tom OVISTE")</f>
        <v>Tom OVISTE</v>
      </c>
      <c r="B227" s="36" t="str">
        <f>IFERROR(__xludf.DUMMYFUNCTION("Filter('Réponses au formulaire 1'!S:S,'Réponses au formulaire 1'!B:B=A227)"),"BBC")</f>
        <v>BBC</v>
      </c>
      <c r="C227" s="43" t="s">
        <v>631</v>
      </c>
      <c r="D227" s="13"/>
      <c r="E227" s="1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</row>
    <row r="228">
      <c r="A228" s="39" t="str">
        <f>IFERROR(__xludf.DUMMYFUNCTION("""COMPUTED_VALUE"""),"Léonce AUDIBERT")</f>
        <v>Léonce AUDIBERT</v>
      </c>
      <c r="B228" s="36" t="str">
        <f>IFERROR(__xludf.DUMMYFUNCTION("Filter('Réponses au formulaire 1'!S:S,'Réponses au formulaire 1'!B:B=A228)"),"La Dezing ")</f>
        <v>La Dezing </v>
      </c>
      <c r="C228" s="68" t="s">
        <v>631</v>
      </c>
      <c r="D228" s="13"/>
      <c r="E228" s="1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</row>
    <row r="229">
      <c r="A229" s="39" t="str">
        <f>IFERROR(__xludf.DUMMYFUNCTION("""COMPUTED_VALUE"""),"Pm Guyot")</f>
        <v>Pm Guyot</v>
      </c>
      <c r="B229" s="36" t="str">
        <f>IFERROR(__xludf.DUMMYFUNCTION("Filter('Réponses au formulaire 1'!S:S,'Réponses au formulaire 1'!B:B=A229)"),"Discorde")</f>
        <v>Discorde</v>
      </c>
      <c r="C229" s="68" t="s">
        <v>631</v>
      </c>
      <c r="D229" s="13"/>
      <c r="E229" s="1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</row>
    <row r="230">
      <c r="A230" s="39" t="str">
        <f>IFERROR(__xludf.DUMMYFUNCTION("""COMPUTED_VALUE"""),"Antoine Chillet")</f>
        <v>Antoine Chillet</v>
      </c>
      <c r="B230" s="36" t="str">
        <f>IFERROR(__xludf.DUMMYFUNCTION("Filter('Réponses au formulaire 1'!S:S,'Réponses au formulaire 1'!B:B=A230)"),"La dezing")</f>
        <v>La dezing</v>
      </c>
      <c r="C230" s="68" t="s">
        <v>631</v>
      </c>
      <c r="D230" s="13"/>
      <c r="E230" s="1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</row>
    <row r="231">
      <c r="A231" s="39" t="str">
        <f>IFERROR(__xludf.DUMMYFUNCTION("""COMPUTED_VALUE"""),"Louis COGAN")</f>
        <v>Louis COGAN</v>
      </c>
      <c r="B231" s="36" t="str">
        <f>IFERROR(__xludf.DUMMYFUNCTION("Filter('Réponses au formulaire 1'!S:S,'Réponses au formulaire 1'!B:B=A231)"),"Kraal")</f>
        <v>Kraal</v>
      </c>
      <c r="C231" s="68" t="s">
        <v>631</v>
      </c>
      <c r="D231" s="13"/>
      <c r="E231" s="1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</row>
    <row r="232">
      <c r="A232" s="39" t="str">
        <f>IFERROR(__xludf.DUMMYFUNCTION("""COMPUTED_VALUE"""),"Richard ARNAUD")</f>
        <v>Richard ARNAUD</v>
      </c>
      <c r="B232" s="36" t="str">
        <f>IFERROR(__xludf.DUMMYFUNCTION("Filter('Réponses au formulaire 1'!S:S,'Réponses au formulaire 1'!B:B=A232)"),"Famille Discorde")</f>
        <v>Famille Discorde</v>
      </c>
      <c r="C232" s="68" t="s">
        <v>631</v>
      </c>
      <c r="D232" s="13"/>
      <c r="E232" s="1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</row>
    <row r="233">
      <c r="A233" s="39" t="str">
        <f>IFERROR(__xludf.DUMMYFUNCTION("""COMPUTED_VALUE"""),"Le Mintier Emmanuel")</f>
        <v>Le Mintier Emmanuel</v>
      </c>
      <c r="B233" s="36" t="str">
        <f>IFERROR(__xludf.DUMMYFUNCTION("Filter('Réponses au formulaire 1'!S:S,'Réponses au formulaire 1'!B:B=A233)"),"Le Kraal")</f>
        <v>Le Kraal</v>
      </c>
      <c r="C233" s="68" t="s">
        <v>631</v>
      </c>
      <c r="D233" s="13"/>
      <c r="E233" s="1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</row>
    <row r="234">
      <c r="A234" s="39" t="str">
        <f>IFERROR(__xludf.DUMMYFUNCTION("""COMPUTED_VALUE"""),"Lilie BOIZUMAULT")</f>
        <v>Lilie BOIZUMAULT</v>
      </c>
      <c r="B234" s="36" t="str">
        <f>IFERROR(__xludf.DUMMYFUNCTION("Filter('Réponses au formulaire 1'!S:S,'Réponses au formulaire 1'!B:B=A234)"),"La dézing")</f>
        <v>La dézing</v>
      </c>
      <c r="C234" s="68" t="s">
        <v>631</v>
      </c>
      <c r="D234" s="13"/>
      <c r="E234" s="1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</row>
    <row r="235">
      <c r="A235" s="39" t="str">
        <f>IFERROR(__xludf.DUMMYFUNCTION("""COMPUTED_VALUE"""),"Amine MEHMOUDEN")</f>
        <v>Amine MEHMOUDEN</v>
      </c>
      <c r="B235" s="36" t="str">
        <f>IFERROR(__xludf.DUMMYFUNCTION("Filter('Réponses au formulaire 1'!S:S,'Réponses au formulaire 1'!B:B=A235)"),"le squat")</f>
        <v>le squat</v>
      </c>
      <c r="C235" s="68" t="s">
        <v>631</v>
      </c>
      <c r="D235" s="13"/>
      <c r="E235" s="1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</row>
    <row r="236">
      <c r="A236" s="39" t="str">
        <f>IFERROR(__xludf.DUMMYFUNCTION("""COMPUTED_VALUE"""),"Adrien Jamelot")</f>
        <v>Adrien Jamelot</v>
      </c>
      <c r="B236" s="36" t="str">
        <f>IFERROR(__xludf.DUMMYFUNCTION("Filter('Réponses au formulaire 1'!S:S,'Réponses au formulaire 1'!B:B=A236)"),"azerty44")</f>
        <v>azerty44</v>
      </c>
      <c r="C236" s="68" t="s">
        <v>631</v>
      </c>
      <c r="D236" s="13"/>
      <c r="E236" s="1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</row>
    <row r="237">
      <c r="A237" s="39" t="str">
        <f>IFERROR(__xludf.DUMMYFUNCTION("""COMPUTED_VALUE"""),"Eric Ali Mehenni")</f>
        <v>Eric Ali Mehenni</v>
      </c>
      <c r="B237" s="36" t="str">
        <f>IFERROR(__xludf.DUMMYFUNCTION("Filter('Réponses au formulaire 1'!S:S,'Réponses au formulaire 1'!B:B=A237)"),"Badge")</f>
        <v>Badge</v>
      </c>
      <c r="C237" s="68" t="s">
        <v>631</v>
      </c>
      <c r="D237" s="13"/>
      <c r="E237" s="1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</row>
    <row r="238">
      <c r="A238" s="39" t="str">
        <f>IFERROR(__xludf.DUMMYFUNCTION("""COMPUTED_VALUE"""),"Anaïs BOUCHET")</f>
        <v>Anaïs BOUCHET</v>
      </c>
      <c r="B238" s="36" t="str">
        <f>IFERROR(__xludf.DUMMYFUNCTION("Filter('Réponses au formulaire 1'!S:S,'Réponses au formulaire 1'!B:B=A238)"),"Famille Discorde ")</f>
        <v>Famille Discorde </v>
      </c>
      <c r="C238" s="68" t="s">
        <v>631</v>
      </c>
      <c r="D238" s="13"/>
      <c r="E238" s="1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</row>
    <row r="239">
      <c r="A239" s="39" t="str">
        <f>IFERROR(__xludf.DUMMYFUNCTION("""COMPUTED_VALUE"""),"Antoine DAROUX")</f>
        <v>Antoine DAROUX</v>
      </c>
      <c r="B239" s="36" t="str">
        <f>IFERROR(__xludf.DUMMYFUNCTION("Filter('Réponses au formulaire 1'!S:S,'Réponses au formulaire 1'!B:B=A239)"),"EI3 Mous'cancers")</f>
        <v>EI3 Mous'cancers</v>
      </c>
      <c r="C239" s="68" t="s">
        <v>631</v>
      </c>
      <c r="D239" s="13"/>
      <c r="E239" s="1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</row>
    <row r="240">
      <c r="A240" s="39" t="str">
        <f>IFERROR(__xludf.DUMMYFUNCTION("""COMPUTED_VALUE"""),"Lucas SANCIET--MUNIER")</f>
        <v>Lucas SANCIET--MUNIER</v>
      </c>
      <c r="B240" s="36" t="str">
        <f>IFERROR(__xludf.DUMMYFUNCTION("Filter('Réponses au formulaire 1'!S:S,'Réponses au formulaire 1'!B:B=A240)"),"Les ei3-Mous'cancers")</f>
        <v>Les ei3-Mous'cancers</v>
      </c>
      <c r="C240" s="68" t="s">
        <v>631</v>
      </c>
      <c r="D240" s="13"/>
      <c r="E240" s="1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</row>
    <row r="241">
      <c r="A241" s="39" t="str">
        <f>IFERROR(__xludf.DUMMYFUNCTION("""COMPUTED_VALUE"""),"Thomas LE BOURHIS")</f>
        <v>Thomas LE BOURHIS</v>
      </c>
      <c r="B241" s="36" t="str">
        <f>IFERROR(__xludf.DUMMYFUNCTION("Filter('Réponses au formulaire 1'!S:S,'Réponses au formulaire 1'!B:B=A241)"),"Badge")</f>
        <v>Badge</v>
      </c>
      <c r="C241" s="68" t="s">
        <v>631</v>
      </c>
      <c r="D241" s="13"/>
      <c r="E241" s="1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</row>
    <row r="242">
      <c r="A242" s="39" t="str">
        <f>IFERROR(__xludf.DUMMYFUNCTION("""COMPUTED_VALUE"""),"Hugo GAYRARD")</f>
        <v>Hugo GAYRARD</v>
      </c>
      <c r="B242" s="36" t="str">
        <f>IFERROR(__xludf.DUMMYFUNCTION("Filter('Réponses au formulaire 1'!S:S,'Réponses au formulaire 1'!B:B=A242)"),"Ei3 mous cancer ")</f>
        <v>Ei3 mous cancer </v>
      </c>
      <c r="C242" s="68" t="s">
        <v>631</v>
      </c>
      <c r="D242" s="13"/>
      <c r="E242" s="1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</row>
    <row r="243">
      <c r="A243" s="39" t="str">
        <f>IFERROR(__xludf.DUMMYFUNCTION("""COMPUTED_VALUE"""),"Loïc")</f>
        <v>Loïc</v>
      </c>
      <c r="B243" s="36" t="str">
        <f>IFERROR(__xludf.DUMMYFUNCTION("Filter('Réponses au formulaire 1'!S:S,'Réponses au formulaire 1'!B:B=A243)"),"EI3 mous cancer")</f>
        <v>EI3 mous cancer</v>
      </c>
      <c r="C243" s="68" t="s">
        <v>631</v>
      </c>
      <c r="D243" s="13"/>
      <c r="E243" s="1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</row>
    <row r="244">
      <c r="A244" s="39" t="str">
        <f>IFERROR(__xludf.DUMMYFUNCTION("""COMPUTED_VALUE"""),"Pierre Veillard")</f>
        <v>Pierre Veillard</v>
      </c>
      <c r="B244" s="36" t="str">
        <f>IFERROR(__xludf.DUMMYFUNCTION("Filter('Réponses au formulaire 1'!S:S,'Réponses au formulaire 1'!B:B=A244)"),"EI3 Mous'cancers")</f>
        <v>EI3 Mous'cancers</v>
      </c>
      <c r="C244" s="68" t="s">
        <v>631</v>
      </c>
      <c r="D244" s="13"/>
      <c r="E244" s="1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</row>
    <row r="245">
      <c r="A245" s="39" t="str">
        <f>IFERROR(__xludf.DUMMYFUNCTION("""COMPUTED_VALUE"""),"Ruben MATONDZI")</f>
        <v>Ruben MATONDZI</v>
      </c>
      <c r="B245" s="36" t="str">
        <f>IFERROR(__xludf.DUMMYFUNCTION("Filter('Réponses au formulaire 1'!S:S,'Réponses au formulaire 1'!B:B=A245)"),"L'alliance ")</f>
        <v>L'alliance </v>
      </c>
      <c r="C245" s="68" t="s">
        <v>631</v>
      </c>
      <c r="D245" s="13"/>
      <c r="E245" s="1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</row>
    <row r="246">
      <c r="A246" s="39" t="str">
        <f>IFERROR(__xludf.DUMMYFUNCTION("""COMPUTED_VALUE"""),"Manon DUBREIL")</f>
        <v>Manon DUBREIL</v>
      </c>
      <c r="B246" s="36" t="str">
        <f>IFERROR(__xludf.DUMMYFUNCTION("Filter('Réponses au formulaire 1'!S:S,'Réponses au formulaire 1'!B:B=A246)"),"l'Alliance")</f>
        <v>l'Alliance</v>
      </c>
      <c r="C246" s="68" t="s">
        <v>631</v>
      </c>
      <c r="D246" s="13"/>
      <c r="E246" s="1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</row>
    <row r="247">
      <c r="A247" s="39" t="str">
        <f>IFERROR(__xludf.DUMMYFUNCTION("""COMPUTED_VALUE"""),"Maëlenn COLSON")</f>
        <v>Maëlenn COLSON</v>
      </c>
      <c r="B247" s="36" t="str">
        <f>IFERROR(__xludf.DUMMYFUNCTION("Filter('Réponses au formulaire 1'!S:S,'Réponses au formulaire 1'!B:B=A247)"),"l'Alliance")</f>
        <v>l'Alliance</v>
      </c>
      <c r="C247" s="68" t="s">
        <v>631</v>
      </c>
      <c r="D247" s="13"/>
      <c r="E247" s="1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</row>
    <row r="248">
      <c r="A248" s="39" t="str">
        <f>IFERROR(__xludf.DUMMYFUNCTION("""COMPUTED_VALUE"""),"Rémy MAIGE")</f>
        <v>Rémy MAIGE</v>
      </c>
      <c r="B248" s="36" t="str">
        <f>IFERROR(__xludf.DUMMYFUNCTION("Filter('Réponses au formulaire 1'!S:S,'Réponses au formulaire 1'!B:B=A248)"),"pb-nauge")</f>
        <v>pb-nauge</v>
      </c>
      <c r="C248" s="43" t="s">
        <v>631</v>
      </c>
      <c r="D248" s="13"/>
      <c r="E248" s="1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</row>
    <row r="249">
      <c r="A249" s="39" t="str">
        <f>IFERROR(__xludf.DUMMYFUNCTION("""COMPUTED_VALUE"""),"Ramy SLIM")</f>
        <v>Ramy SLIM</v>
      </c>
      <c r="B249" s="36" t="str">
        <f>IFERROR(__xludf.DUMMYFUNCTION("Filter('Réponses au formulaire 1'!S:S,'Réponses au formulaire 1'!B:B=A249)"),"Badge")</f>
        <v>Badge</v>
      </c>
      <c r="C249" s="43" t="s">
        <v>631</v>
      </c>
      <c r="D249" s="13"/>
      <c r="E249" s="1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</row>
    <row r="250">
      <c r="A250" s="39" t="str">
        <f>IFERROR(__xludf.DUMMYFUNCTION("""COMPUTED_VALUE"""),"TOMAZ AMORIM")</f>
        <v>TOMAZ AMORIM</v>
      </c>
      <c r="B250" s="36" t="str">
        <f>IFERROR(__xludf.DUMMYFUNCTION("Filter('Réponses au formulaire 1'!S:S,'Réponses au formulaire 1'!B:B=A250)"),"Grande Famille")</f>
        <v>Grande Famille</v>
      </c>
      <c r="C250" s="43" t="s">
        <v>631</v>
      </c>
      <c r="D250" s="13"/>
      <c r="E250" s="1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</row>
    <row r="251">
      <c r="A251" s="39" t="str">
        <f>IFERROR(__xludf.DUMMYFUNCTION("""COMPUTED_VALUE"""),"Maxime Canard")</f>
        <v>Maxime Canard</v>
      </c>
      <c r="B251" s="36" t="str">
        <f>IFERROR(__xludf.DUMMYFUNCTION("Filter('Réponses au formulaire 1'!S:S,'Réponses au formulaire 1'!B:B=A251)"),"Les Ei3 Mous'cancer")</f>
        <v>Les Ei3 Mous'cancer</v>
      </c>
      <c r="C251" s="68" t="s">
        <v>631</v>
      </c>
      <c r="D251" s="13"/>
      <c r="E251" s="1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</row>
    <row r="252">
      <c r="A252" s="39" t="str">
        <f>IFERROR(__xludf.DUMMYFUNCTION("""COMPUTED_VALUE"""),"Corentin GILBERT")</f>
        <v>Corentin GILBERT</v>
      </c>
      <c r="B252" s="36" t="str">
        <f>IFERROR(__xludf.DUMMYFUNCTION("Filter('Réponses au formulaire 1'!S:S,'Réponses au formulaire 1'!B:B=A252)"),"La vigie")</f>
        <v>La vigie</v>
      </c>
      <c r="C252" s="68" t="s">
        <v>631</v>
      </c>
      <c r="D252" s="13"/>
      <c r="E252" s="1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</row>
    <row r="253">
      <c r="A253" s="39" t="str">
        <f>IFERROR(__xludf.DUMMYFUNCTION("""COMPUTED_VALUE"""),"Sergio MORENO LÓPEZ")</f>
        <v>Sergio MORENO LÓPEZ</v>
      </c>
      <c r="B253" s="36" t="str">
        <f>IFERROR(__xludf.DUMMYFUNCTION("Filter('Réponses au formulaire 1'!S:S,'Réponses au formulaire 1'!B:B=A253)"),"Los Insoportables ")</f>
        <v>Los Insoportables </v>
      </c>
      <c r="C253" s="68" t="s">
        <v>631</v>
      </c>
      <c r="D253" s="13"/>
      <c r="E253" s="1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</row>
    <row r="254">
      <c r="A254" s="39" t="str">
        <f>IFERROR(__xludf.DUMMYFUNCTION("""COMPUTED_VALUE"""),"Adán REYES REYES")</f>
        <v>Adán REYES REYES</v>
      </c>
      <c r="B254" s="36" t="str">
        <f>IFERROR(__xludf.DUMMYFUNCTION("Filter('Réponses au formulaire 1'!S:S,'Réponses au formulaire 1'!B:B=A254)"),"Los Insoportables ")</f>
        <v>Los Insoportables </v>
      </c>
      <c r="C254" s="68" t="s">
        <v>631</v>
      </c>
      <c r="D254" s="13"/>
      <c r="E254" s="1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</row>
    <row r="255">
      <c r="A255" s="39" t="str">
        <f>IFERROR(__xludf.DUMMYFUNCTION("""COMPUTED_VALUE"""),"Jose Luís RIVERA BLANCO")</f>
        <v>Jose Luís RIVERA BLANCO</v>
      </c>
      <c r="B255" s="36" t="str">
        <f>IFERROR(__xludf.DUMMYFUNCTION("Filter('Réponses au formulaire 1'!S:S,'Réponses au formulaire 1'!B:B=A255)"),"Los Insoportables ")</f>
        <v>Los Insoportables </v>
      </c>
      <c r="C255" s="68" t="s">
        <v>631</v>
      </c>
      <c r="D255" s="13"/>
      <c r="E255" s="1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</row>
    <row r="256">
      <c r="A256" s="39" t="str">
        <f>IFERROR(__xludf.DUMMYFUNCTION("""COMPUTED_VALUE"""),"Yinzheng ZHOU")</f>
        <v>Yinzheng ZHOU</v>
      </c>
      <c r="B256" s="36" t="str">
        <f>IFERROR(__xludf.DUMMYFUNCTION("Filter('Réponses au formulaire 1'!S:S,'Réponses au formulaire 1'!B:B=A256)"),"Los Insoportables")</f>
        <v>Los Insoportables</v>
      </c>
      <c r="C256" s="68" t="s">
        <v>631</v>
      </c>
      <c r="D256" s="13"/>
      <c r="E256" s="1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</row>
    <row r="257">
      <c r="A257" s="39" t="str">
        <f>IFERROR(__xludf.DUMMYFUNCTION("""COMPUTED_VALUE"""),"Alexandre Bryk")</f>
        <v>Alexandre Bryk</v>
      </c>
      <c r="B257" s="36" t="str">
        <f>IFERROR(__xludf.DUMMYFUNCTION("Filter('Réponses au formulaire 1'!S:S,'Réponses au formulaire 1'!B:B=A257)"),"La Vigie ")</f>
        <v>La Vigie </v>
      </c>
      <c r="C257" s="68" t="s">
        <v>631</v>
      </c>
      <c r="D257" s="13"/>
      <c r="E257" s="1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</row>
    <row r="258">
      <c r="A258" s="39" t="str">
        <f>IFERROR(__xludf.DUMMYFUNCTION("""COMPUTED_VALUE"""),"Sebastian CEPEDA")</f>
        <v>Sebastian CEPEDA</v>
      </c>
      <c r="B258" s="36" t="str">
        <f>IFERROR(__xludf.DUMMYFUNCTION("Filter('Réponses au formulaire 1'!S:S,'Réponses au formulaire 1'!B:B=A258)"),"los Insoportables")</f>
        <v>los Insoportables</v>
      </c>
      <c r="C258" s="43" t="s">
        <v>631</v>
      </c>
      <c r="D258" s="13"/>
      <c r="E258" s="1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</row>
    <row r="259">
      <c r="A259" s="39" t="str">
        <f>IFERROR(__xludf.DUMMYFUNCTION("""COMPUTED_VALUE"""),"Julián David HERNÁNDEZ TOVAR")</f>
        <v>Julián David HERNÁNDEZ TOVAR</v>
      </c>
      <c r="B259" s="36" t="str">
        <f>IFERROR(__xludf.DUMMYFUNCTION("Filter('Réponses au formulaire 1'!S:S,'Réponses au formulaire 1'!B:B=A259)"),"Los insoportables")</f>
        <v>Los insoportables</v>
      </c>
      <c r="C259" s="43" t="s">
        <v>631</v>
      </c>
      <c r="D259" s="13"/>
      <c r="E259" s="1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</row>
    <row r="260">
      <c r="A260" s="39" t="str">
        <f>IFERROR(__xludf.DUMMYFUNCTION("""COMPUTED_VALUE"""),"Ananda VANDERWEGEN")</f>
        <v>Ananda VANDERWEGEN</v>
      </c>
      <c r="B260" s="36" t="str">
        <f>IFERROR(__xludf.DUMMYFUNCTION("Filter('Réponses au formulaire 1'!S:S,'Réponses au formulaire 1'!B:B=A260)"),"Grande famille ")</f>
        <v>Grande famille </v>
      </c>
      <c r="C260" s="43" t="s">
        <v>631</v>
      </c>
      <c r="D260" s="13"/>
      <c r="E260" s="1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</row>
    <row r="261">
      <c r="A261" s="39" t="str">
        <f>IFERROR(__xludf.DUMMYFUNCTION("""COMPUTED_VALUE"""),"Sébastien VILLA")</f>
        <v>Sébastien VILLA</v>
      </c>
      <c r="B261" s="36" t="str">
        <f>IFERROR(__xludf.DUMMYFUNCTION("Filter('Réponses au formulaire 1'!S:S,'Réponses au formulaire 1'!B:B=A261)"),"La glotte")</f>
        <v>La glotte</v>
      </c>
      <c r="C261" s="68" t="s">
        <v>631</v>
      </c>
      <c r="D261" s="13"/>
      <c r="E261" s="1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</row>
    <row r="262">
      <c r="A262" s="39" t="str">
        <f>IFERROR(__xludf.DUMMYFUNCTION("""COMPUTED_VALUE"""),"Pierre Libault")</f>
        <v>Pierre Libault</v>
      </c>
      <c r="B262" s="36" t="str">
        <f>IFERROR(__xludf.DUMMYFUNCTION("Filter('Réponses au formulaire 1'!S:S,'Réponses au formulaire 1'!B:B=A262)"),"Les 6 salopards")</f>
        <v>Les 6 salopards</v>
      </c>
      <c r="C262" s="68" t="s">
        <v>631</v>
      </c>
      <c r="D262" s="13"/>
      <c r="E262" s="1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</row>
    <row r="263">
      <c r="A263" s="39" t="str">
        <f>IFERROR(__xludf.DUMMYFUNCTION("""COMPUTED_VALUE"""),"Adam EL YOUMI")</f>
        <v>Adam EL YOUMI</v>
      </c>
      <c r="B263" s="36" t="str">
        <f>IFERROR(__xludf.DUMMYFUNCTION("Filter('Réponses au formulaire 1'!S:S,'Réponses au formulaire 1'!B:B=A263)"),"Les parrainplégiques")</f>
        <v>Les parrainplégiques</v>
      </c>
      <c r="C263" s="68" t="s">
        <v>631</v>
      </c>
      <c r="D263" s="13"/>
      <c r="E263" s="1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</row>
    <row r="264">
      <c r="A264" s="39" t="str">
        <f>IFERROR(__xludf.DUMMYFUNCTION("""COMPUTED_VALUE"""),"Vincent ESPINASSE")</f>
        <v>Vincent ESPINASSE</v>
      </c>
      <c r="B264" s="36" t="str">
        <f>IFERROR(__xludf.DUMMYFUNCTION("Filter('Réponses au formulaire 1'!S:S,'Réponses au formulaire 1'!B:B=A264)"),"PB-Nuage")</f>
        <v>PB-Nuage</v>
      </c>
      <c r="C264" s="68" t="s">
        <v>631</v>
      </c>
      <c r="D264" s="13"/>
      <c r="E264" s="1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</row>
    <row r="265">
      <c r="A265" s="39" t="str">
        <f>IFERROR(__xludf.DUMMYFUNCTION("""COMPUTED_VALUE"""),"Félix-Olivier Ngangue Nseke")</f>
        <v>Félix-Olivier Ngangue Nseke</v>
      </c>
      <c r="B265" s="36" t="str">
        <f>IFERROR(__xludf.DUMMYFUNCTION("Filter('Réponses au formulaire 1'!S:S,'Réponses au formulaire 1'!B:B=A265)"),"Les 6 salopards")</f>
        <v>Les 6 salopards</v>
      </c>
      <c r="C265" s="68" t="s">
        <v>631</v>
      </c>
      <c r="D265" s="13"/>
      <c r="E265" s="1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</row>
    <row r="266">
      <c r="A266" s="39" t="str">
        <f>IFERROR(__xludf.DUMMYFUNCTION("""COMPUTED_VALUE"""),"Laurène THILLIER")</f>
        <v>Laurène THILLIER</v>
      </c>
      <c r="B266" s="36" t="str">
        <f>IFERROR(__xludf.DUMMYFUNCTION("Filter('Réponses au formulaire 1'!S:S,'Réponses au formulaire 1'!B:B=A266)"),"Les 6 salopards")</f>
        <v>Les 6 salopards</v>
      </c>
      <c r="C266" s="43" t="s">
        <v>631</v>
      </c>
      <c r="D266" s="13"/>
      <c r="E266" s="1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</row>
    <row r="267">
      <c r="A267" s="39" t="str">
        <f>IFERROR(__xludf.DUMMYFUNCTION("""COMPUTED_VALUE"""),"Tanguy CABARET")</f>
        <v>Tanguy CABARET</v>
      </c>
      <c r="B267" s="36" t="str">
        <f>IFERROR(__xludf.DUMMYFUNCTION("Filter('Réponses au formulaire 1'!S:S,'Réponses au formulaire 1'!B:B=A267)"),"Les 6 salopards")</f>
        <v>Les 6 salopards</v>
      </c>
      <c r="C267" s="43" t="s">
        <v>631</v>
      </c>
      <c r="D267" s="13"/>
      <c r="E267" s="1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</row>
    <row r="268">
      <c r="A268" s="39" t="str">
        <f>IFERROR(__xludf.DUMMYFUNCTION("""COMPUTED_VALUE"""),"Romane CARIOU")</f>
        <v>Romane CARIOU</v>
      </c>
      <c r="B268" s="36" t="str">
        <f>IFERROR(__xludf.DUMMYFUNCTION("Filter('Réponses au formulaire 1'!S:S,'Réponses au formulaire 1'!B:B=A268)"),"La Crypte ")</f>
        <v>La Crypte </v>
      </c>
      <c r="C268" s="43" t="s">
        <v>631</v>
      </c>
      <c r="D268" s="13"/>
      <c r="E268" s="1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</row>
    <row r="269">
      <c r="A269" s="39" t="str">
        <f>IFERROR(__xludf.DUMMYFUNCTION("""COMPUTED_VALUE"""),"Romain SUCCHE")</f>
        <v>Romain SUCCHE</v>
      </c>
      <c r="B269" s="36" t="str">
        <f>IFERROR(__xludf.DUMMYFUNCTION("Filter('Réponses au formulaire 1'!S:S,'Réponses au formulaire 1'!B:B=A269)"),"Les cyclistes ")</f>
        <v>Les cyclistes </v>
      </c>
      <c r="C269" s="43" t="s">
        <v>631</v>
      </c>
      <c r="D269" s="13"/>
      <c r="E269" s="1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</row>
    <row r="270">
      <c r="A270" s="39" t="str">
        <f>IFERROR(__xludf.DUMMYFUNCTION("""COMPUTED_VALUE"""),"Nicolas ROGER")</f>
        <v>Nicolas ROGER</v>
      </c>
      <c r="B270" s="36" t="str">
        <f>IFERROR(__xludf.DUMMYFUNCTION("Filter('Réponses au formulaire 1'!S:S,'Réponses au formulaire 1'!B:B=A270)"),"Les cyclistes ")</f>
        <v>Les cyclistes </v>
      </c>
      <c r="C270" s="43" t="s">
        <v>631</v>
      </c>
      <c r="D270" s="13"/>
      <c r="E270" s="1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</row>
    <row r="271">
      <c r="A271" s="39" t="str">
        <f>IFERROR(__xludf.DUMMYFUNCTION("""COMPUTED_VALUE"""),"Emmanuel COLLIGNAN")</f>
        <v>Emmanuel COLLIGNAN</v>
      </c>
      <c r="B271" s="36" t="str">
        <f>IFERROR(__xludf.DUMMYFUNCTION("Filter('Réponses au formulaire 1'!S:S,'Réponses au formulaire 1'!B:B=A271)"),"les cyclistes")</f>
        <v>les cyclistes</v>
      </c>
      <c r="C271" s="43" t="s">
        <v>631</v>
      </c>
      <c r="D271" s="13"/>
      <c r="E271" s="1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</row>
    <row r="272">
      <c r="A272" s="39" t="str">
        <f>IFERROR(__xludf.DUMMYFUNCTION("""COMPUTED_VALUE"""),"Jérôme VILLEROT")</f>
        <v>Jérôme VILLEROT</v>
      </c>
      <c r="B272" s="36" t="str">
        <f>IFERROR(__xludf.DUMMYFUNCTION("Filter('Réponses au formulaire 1'!S:S,'Réponses au formulaire 1'!B:B=A272)"),"Les cyclistes")</f>
        <v>Les cyclistes</v>
      </c>
      <c r="C272" s="43" t="s">
        <v>631</v>
      </c>
      <c r="D272" s="13"/>
      <c r="E272" s="1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</row>
    <row r="273">
      <c r="A273" s="39" t="str">
        <f>IFERROR(__xludf.DUMMYFUNCTION("""COMPUTED_VALUE"""),"Borget")</f>
        <v>Borget</v>
      </c>
      <c r="B273" s="36" t="str">
        <f>IFERROR(__xludf.DUMMYFUNCTION("Filter('Réponses au formulaire 1'!S:S,'Réponses au formulaire 1'!B:B=A273)"),"Sans abris")</f>
        <v>Sans abris</v>
      </c>
      <c r="C273" s="43" t="s">
        <v>631</v>
      </c>
      <c r="D273" s="13"/>
      <c r="E273" s="1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</row>
    <row r="274">
      <c r="A274" s="39" t="str">
        <f>IFERROR(__xludf.DUMMYFUNCTION("""COMPUTED_VALUE"""),"Raúl VILLAFUERTE")</f>
        <v>Raúl VILLAFUERTE</v>
      </c>
      <c r="B274" s="36" t="str">
        <f>IFERROR(__xludf.DUMMYFUNCTION("Filter('Réponses au formulaire 1'!S:S,'Réponses au formulaire 1'!B:B=A274)"),"Malandros team")</f>
        <v>Malandros team</v>
      </c>
      <c r="C274" s="43" t="s">
        <v>631</v>
      </c>
      <c r="D274" s="13"/>
      <c r="E274" s="1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</row>
    <row r="275">
      <c r="A275" s="39" t="str">
        <f>IFERROR(__xludf.DUMMYFUNCTION("""COMPUTED_VALUE"""),"Paul SAUBION")</f>
        <v>Paul SAUBION</v>
      </c>
      <c r="B275" s="36" t="str">
        <f>IFERROR(__xludf.DUMMYFUNCTION("Filter('Réponses au formulaire 1'!S:S,'Réponses au formulaire 1'!B:B=A275)"),"Juaman’GI Reloaded")</f>
        <v>Juaman’GI Reloaded</v>
      </c>
      <c r="C275" s="43" t="s">
        <v>631</v>
      </c>
      <c r="D275" s="13"/>
      <c r="E275" s="1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</row>
    <row r="276">
      <c r="A276" s="39" t="str">
        <f>IFERROR(__xludf.DUMMYFUNCTION("""COMPUTED_VALUE"""),"Florian BARTOCCI")</f>
        <v>Florian BARTOCCI</v>
      </c>
      <c r="B276" s="36" t="str">
        <f>IFERROR(__xludf.DUMMYFUNCTION("Filter('Réponses au formulaire 1'!S:S,'Réponses au formulaire 1'!B:B=A276)"),"Juman'GI Reloaded")</f>
        <v>Juman'GI Reloaded</v>
      </c>
      <c r="C276" s="43" t="s">
        <v>631</v>
      </c>
      <c r="D276" s="13"/>
      <c r="E276" s="1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</row>
    <row r="277">
      <c r="A277" s="39" t="str">
        <f>IFERROR(__xludf.DUMMYFUNCTION("""COMPUTED_VALUE"""),"Jean-Baptiste de BECO")</f>
        <v>Jean-Baptiste de BECO</v>
      </c>
      <c r="B277" s="36" t="str">
        <f>IFERROR(__xludf.DUMMYFUNCTION("Filter('Réponses au formulaire 1'!S:S,'Réponses au formulaire 1'!B:B=A277)"),"Juman'GI Reloaded")</f>
        <v>Juman'GI Reloaded</v>
      </c>
      <c r="C277" s="43" t="s">
        <v>631</v>
      </c>
      <c r="D277" s="13"/>
      <c r="E277" s="1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</row>
    <row r="278">
      <c r="A278" s="39" t="str">
        <f>IFERROR(__xludf.DUMMYFUNCTION("""COMPUTED_VALUE"""),"Matthieu LAMIELLE")</f>
        <v>Matthieu LAMIELLE</v>
      </c>
      <c r="B278" s="36" t="str">
        <f>IFERROR(__xludf.DUMMYFUNCTION("Filter('Réponses au formulaire 1'!S:S,'Réponses au formulaire 1'!B:B=A278)"),"Juman'GI Reloaded")</f>
        <v>Juman'GI Reloaded</v>
      </c>
      <c r="C278" s="43" t="s">
        <v>631</v>
      </c>
      <c r="D278" s="13"/>
      <c r="E278" s="1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</row>
    <row r="279">
      <c r="A279" s="39" t="str">
        <f>IFERROR(__xludf.DUMMYFUNCTION("""COMPUTED_VALUE"""),"Adrien BERSIER")</f>
        <v>Adrien BERSIER</v>
      </c>
      <c r="B279" s="36" t="str">
        <f>IFERROR(__xludf.DUMMYFUNCTION("Filter('Réponses au formulaire 1'!S:S,'Réponses au formulaire 1'!B:B=A279)"),"Juman'GI reloaded")</f>
        <v>Juman'GI reloaded</v>
      </c>
      <c r="C279" s="43" t="s">
        <v>631</v>
      </c>
      <c r="D279" s="13"/>
      <c r="E279" s="1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</row>
    <row r="280">
      <c r="A280" s="39" t="str">
        <f>IFERROR(__xludf.DUMMYFUNCTION("""COMPUTED_VALUE"""),"Aygalic JARA")</f>
        <v>Aygalic JARA</v>
      </c>
      <c r="B280" s="36" t="str">
        <f>IFERROR(__xludf.DUMMYFUNCTION("Filter('Réponses au formulaire 1'!S:S,'Réponses au formulaire 1'!B:B=A280)"),"Le squat")</f>
        <v>Le squat</v>
      </c>
      <c r="C280" s="43" t="s">
        <v>631</v>
      </c>
      <c r="D280" s="13"/>
      <c r="E280" s="1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</row>
    <row r="281">
      <c r="A281" s="39" t="str">
        <f>IFERROR(__xludf.DUMMYFUNCTION("""COMPUTED_VALUE"""),"Thomas HERRBACH")</f>
        <v>Thomas HERRBACH</v>
      </c>
      <c r="B281" s="36" t="str">
        <f>IFERROR(__xludf.DUMMYFUNCTION("Filter('Réponses au formulaire 1'!S:S,'Réponses au formulaire 1'!B:B=A281)"),"La Vigie")</f>
        <v>La Vigie</v>
      </c>
      <c r="C281" s="43" t="s">
        <v>631</v>
      </c>
      <c r="D281" s="13"/>
      <c r="E281" s="1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</row>
    <row r="282">
      <c r="A282" s="39" t="str">
        <f>IFERROR(__xludf.DUMMYFUNCTION("""COMPUTED_VALUE"""),"Márcio Bruno DOS SANTOS CORREIA")</f>
        <v>Márcio Bruno DOS SANTOS CORREIA</v>
      </c>
      <c r="B282" s="36" t="str">
        <f>IFERROR(__xludf.DUMMYFUNCTION("Filter('Réponses au formulaire 1'!S:S,'Réponses au formulaire 1'!B:B=A282)"),"Grande famille")</f>
        <v>Grande famille</v>
      </c>
      <c r="C282" s="43" t="s">
        <v>631</v>
      </c>
      <c r="D282" s="13"/>
      <c r="E282" s="1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</row>
    <row r="283">
      <c r="A283" s="39" t="str">
        <f>IFERROR(__xludf.DUMMYFUNCTION("""COMPUTED_VALUE"""),"Adrien BOUVIER")</f>
        <v>Adrien BOUVIER</v>
      </c>
      <c r="B283" s="36" t="str">
        <f>IFERROR(__xludf.DUMMYFUNCTION("Filter('Réponses au formulaire 1'!S:S,'Réponses au formulaire 1'!B:B=A283)"),"pimp my ride")</f>
        <v>pimp my ride</v>
      </c>
      <c r="C283" s="43" t="s">
        <v>631</v>
      </c>
      <c r="D283" s="13"/>
      <c r="E283" s="1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</row>
    <row r="284">
      <c r="A284" s="39" t="str">
        <f>IFERROR(__xludf.DUMMYFUNCTION("""COMPUTED_VALUE"""),"Hugo Weiss")</f>
        <v>Hugo Weiss</v>
      </c>
      <c r="B284" s="36" t="str">
        <f>IFERROR(__xludf.DUMMYFUNCTION("Filter('Réponses au formulaire 1'!S:S,'Réponses au formulaire 1'!B:B=A284)"),"Mafia ")</f>
        <v>Mafia </v>
      </c>
      <c r="C284" s="43" t="s">
        <v>631</v>
      </c>
      <c r="D284" s="13"/>
      <c r="E284" s="1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</row>
    <row r="285">
      <c r="A285" s="39" t="str">
        <f>IFERROR(__xludf.DUMMYFUNCTION("""COMPUTED_VALUE"""),"Adele ONDARCUHU")</f>
        <v>Adele ONDARCUHU</v>
      </c>
      <c r="B285" s="36" t="str">
        <f>IFERROR(__xludf.DUMMYFUNCTION("Filter('Réponses au formulaire 1'!S:S,'Réponses au formulaire 1'!B:B=A285)"),"Mafia")</f>
        <v>Mafia</v>
      </c>
      <c r="C285" s="43" t="s">
        <v>631</v>
      </c>
      <c r="D285" s="13"/>
      <c r="E285" s="1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</row>
    <row r="286">
      <c r="A286" s="39" t="str">
        <f>IFERROR(__xludf.DUMMYFUNCTION("""COMPUTED_VALUE"""),"Vire")</f>
        <v>Vire</v>
      </c>
      <c r="B286" s="36" t="str">
        <f>IFERROR(__xludf.DUMMYFUNCTION("Filter('Réponses au formulaire 1'!S:S,'Réponses au formulaire 1'!B:B=A286)"),"Mafia")</f>
        <v>Mafia</v>
      </c>
      <c r="C286" s="43" t="s">
        <v>631</v>
      </c>
      <c r="D286" s="13"/>
      <c r="E286" s="1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</row>
    <row r="287">
      <c r="A287" s="39" t="str">
        <f>IFERROR(__xludf.DUMMYFUNCTION("""COMPUTED_VALUE"""),"Valentin Pibernus")</f>
        <v>Valentin Pibernus</v>
      </c>
      <c r="B287" s="36" t="str">
        <f>IFERROR(__xludf.DUMMYFUNCTION("Filter('Réponses au formulaire 1'!S:S,'Réponses au formulaire 1'!B:B=A287)"),"Parainplegiques ")</f>
        <v>Parainplegiques </v>
      </c>
      <c r="C287" s="43" t="s">
        <v>631</v>
      </c>
      <c r="D287" s="13"/>
      <c r="E287" s="1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</row>
    <row r="288">
      <c r="A288" s="39" t="str">
        <f>IFERROR(__xludf.DUMMYFUNCTION("""COMPUTED_VALUE"""),"Fabien RAVET")</f>
        <v>Fabien RAVET</v>
      </c>
      <c r="B288" s="36" t="str">
        <f>IFERROR(__xludf.DUMMYFUNCTION("Filter('Réponses au formulaire 1'!S:S,'Réponses au formulaire 1'!B:B=A288)"),"La Vigie")</f>
        <v>La Vigie</v>
      </c>
      <c r="C288" s="43" t="s">
        <v>631</v>
      </c>
      <c r="D288" s="13"/>
      <c r="E288" s="1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</row>
    <row r="289">
      <c r="A289" s="79" t="str">
        <f>IFERROR(__xludf.DUMMYFUNCTION("""COMPUTED_VALUE"""),"Bastien")</f>
        <v>Bastien</v>
      </c>
      <c r="B289" s="36" t="str">
        <f>IFERROR(__xludf.DUMMYFUNCTION("Filter('Réponses au formulaire 1'!S:S,'Réponses au formulaire 1'!B:B=A289)"),"La dézingue")</f>
        <v>La dézingue</v>
      </c>
      <c r="C289" s="80" t="s">
        <v>631</v>
      </c>
      <c r="D289" s="81"/>
      <c r="E289" s="26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</row>
    <row r="290">
      <c r="A290" s="29" t="str">
        <f>IFERROR(__xludf.DUMMYFUNCTION("""COMPUTED_VALUE"""),"Audric BALSSA")</f>
        <v>Audric BALSSA</v>
      </c>
      <c r="B290" s="36" t="str">
        <f>IFERROR(__xludf.DUMMYFUNCTION("Filter('Réponses au formulaire 1'!S:S,'Réponses au formulaire 1'!B:B=A290)"),"Waltherock")</f>
        <v>Waltherock</v>
      </c>
      <c r="C290" s="28" t="s">
        <v>631</v>
      </c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</row>
    <row r="291">
      <c r="A291" s="29" t="str">
        <f>IFERROR(__xludf.DUMMYFUNCTION("""COMPUTED_VALUE"""),"Alexandre SEVENO")</f>
        <v>Alexandre SEVENO</v>
      </c>
      <c r="B291" s="36" t="str">
        <f>IFERROR(__xludf.DUMMYFUNCTION("Filter('Réponses au formulaire 1'!S:S,'Réponses au formulaire 1'!B:B=A291)"),"Le donjon ")</f>
        <v>Le donjon </v>
      </c>
      <c r="C291" s="28" t="s">
        <v>631</v>
      </c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</row>
    <row r="292">
      <c r="A292" s="29" t="str">
        <f>IFERROR(__xludf.DUMMYFUNCTION("""COMPUTED_VALUE"""),"Maxime PATRY")</f>
        <v>Maxime PATRY</v>
      </c>
      <c r="B292" s="36" t="str">
        <f>IFERROR(__xludf.DUMMYFUNCTION("Filter('Réponses au formulaire 1'!S:S,'Réponses au formulaire 1'!B:B=A292)"),"Le Donjon")</f>
        <v>Le Donjon</v>
      </c>
      <c r="C292" s="28" t="s">
        <v>631</v>
      </c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</row>
    <row r="293">
      <c r="A293" s="29" t="str">
        <f>IFERROR(__xludf.DUMMYFUNCTION("""COMPUTED_VALUE"""),"Selim Autones")</f>
        <v>Selim Autones</v>
      </c>
      <c r="B293" s="36" t="str">
        <f>IFERROR(__xludf.DUMMYFUNCTION("Filter('Réponses au formulaire 1'!S:S,'Réponses au formulaire 1'!B:B=A293)"),"L'Alliance")</f>
        <v>L'Alliance</v>
      </c>
      <c r="C293" s="28" t="s">
        <v>631</v>
      </c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</row>
    <row r="294">
      <c r="A294" s="29" t="str">
        <f>IFERROR(__xludf.DUMMYFUNCTION("""COMPUTED_VALUE"""),"Arthur")</f>
        <v>Arthur</v>
      </c>
      <c r="B294" s="36" t="str">
        <f>IFERROR(__xludf.DUMMYFUNCTION("Filter('Réponses au formulaire 1'!S:S,'Réponses au formulaire 1'!B:B=A294)"),"Aspero")</f>
        <v>Aspero</v>
      </c>
      <c r="C294" s="28" t="s">
        <v>631</v>
      </c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</row>
    <row r="295">
      <c r="A295" s="29" t="str">
        <f>IFERROR(__xludf.DUMMYFUNCTION("""COMPUTED_VALUE"""),"Mathurin Schneider")</f>
        <v>Mathurin Schneider</v>
      </c>
      <c r="B295" s="36" t="str">
        <f>IFERROR(__xludf.DUMMYFUNCTION("Filter('Réponses au formulaire 1'!S:S,'Réponses au formulaire 1'!B:B=A295)"),"Les fortiches")</f>
        <v>Les fortiches</v>
      </c>
      <c r="C295" s="28" t="s">
        <v>631</v>
      </c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</row>
    <row r="296">
      <c r="A296" s="29" t="str">
        <f>IFERROR(__xludf.DUMMYFUNCTION("""COMPUTED_VALUE"""),"KONATE")</f>
        <v>KONATE</v>
      </c>
      <c r="B296" s="36" t="str">
        <f>IFERROR(__xludf.DUMMYFUNCTION("Filter('Réponses au formulaire 1'!S:S,'Réponses au formulaire 1'!B:B=A296)"),"La 4 étoiles")</f>
        <v>La 4 étoiles</v>
      </c>
      <c r="C296" s="28" t="s">
        <v>631</v>
      </c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</row>
    <row r="297">
      <c r="A297" s="29" t="str">
        <f>IFERROR(__xludf.DUMMYFUNCTION("""COMPUTED_VALUE"""),"Alexandre FOSSORIER")</f>
        <v>Alexandre FOSSORIER</v>
      </c>
      <c r="B297" s="36" t="str">
        <f>IFERROR(__xludf.DUMMYFUNCTION("Filter('Réponses au formulaire 1'!S:S,'Réponses au formulaire 1'!B:B=A297)"),"Les 6 salopards")</f>
        <v>Les 6 salopards</v>
      </c>
      <c r="C297" s="28" t="s">
        <v>631</v>
      </c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</row>
    <row r="298">
      <c r="A298" s="29" t="str">
        <f>IFERROR(__xludf.DUMMYFUNCTION("""COMPUTED_VALUE"""),"Werner")</f>
        <v>Werner</v>
      </c>
      <c r="B298" s="36" t="str">
        <f>IFERROR(__xludf.DUMMYFUNCTION("Filter('Réponses au formulaire 1'!S:S,'Réponses au formulaire 1'!B:B=A298)"),"l'Alliance")</f>
        <v>l'Alliance</v>
      </c>
      <c r="C298" s="28" t="s">
        <v>631</v>
      </c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</row>
    <row r="299">
      <c r="A299" s="29" t="str">
        <f>IFERROR(__xludf.DUMMYFUNCTION("""COMPUTED_VALUE"""),"Paniez")</f>
        <v>Paniez</v>
      </c>
      <c r="B299" s="36" t="str">
        <f>IFERROR(__xludf.DUMMYFUNCTION("Filter('Réponses au formulaire 1'!S:S,'Réponses au formulaire 1'!B:B=A299)"),"Parrainplégique ")</f>
        <v>Parrainplégique </v>
      </c>
      <c r="C299" s="28" t="s">
        <v>631</v>
      </c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</row>
    <row r="300">
      <c r="A300" s="29" t="str">
        <f>IFERROR(__xludf.DUMMYFUNCTION("""COMPUTED_VALUE"""),"Adrien HALLARD")</f>
        <v>Adrien HALLARD</v>
      </c>
      <c r="B300" s="36" t="str">
        <f>IFERROR(__xludf.DUMMYFUNCTION("Filter('Réponses au formulaire 1'!S:S,'Réponses au formulaire 1'!B:B=A300)"),"Le Kraal")</f>
        <v>Le Kraal</v>
      </c>
      <c r="C300" s="28" t="s">
        <v>631</v>
      </c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</row>
    <row r="301">
      <c r="A301" s="29" t="str">
        <f>IFERROR(__xludf.DUMMYFUNCTION("""COMPUTED_VALUE"""),"Timothée Corlay")</f>
        <v>Timothée Corlay</v>
      </c>
      <c r="B301" s="36" t="str">
        <f>IFERROR(__xludf.DUMMYFUNCTION("Filter('Réponses au formulaire 1'!S:S,'Réponses au formulaire 1'!B:B=A301)"),"Team corlay")</f>
        <v>Team corlay</v>
      </c>
      <c r="C301" s="28" t="s">
        <v>631</v>
      </c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</row>
    <row r="302">
      <c r="A302" s="28" t="str">
        <f>IFERROR(__xludf.DUMMYFUNCTION("""COMPUTED_VALUE"""),"Aurélio Catel")</f>
        <v>Aurélio Catel</v>
      </c>
      <c r="B302" s="36" t="str">
        <f>IFERROR(__xludf.DUMMYFUNCTION("Filter('Réponses au formulaire 1'!S:S,'Réponses au formulaire 1'!B:B=A302)"),"Les trutitas")</f>
        <v>Les trutitas</v>
      </c>
      <c r="C302" s="28" t="s">
        <v>631</v>
      </c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</row>
    <row r="303">
      <c r="A303" s="29" t="str">
        <f>IFERROR(__xludf.DUMMYFUNCTION("""COMPUTED_VALUE"""),"Yuna Landais")</f>
        <v>Yuna Landais</v>
      </c>
      <c r="B303" s="36" t="str">
        <f>IFERROR(__xludf.DUMMYFUNCTION("Filter('Réponses au formulaire 1'!S:S,'Réponses au formulaire 1'!B:B=A303)"),"Les 6 salopards")</f>
        <v>Les 6 salopards</v>
      </c>
      <c r="C303" s="28" t="s">
        <v>631</v>
      </c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</row>
    <row r="304">
      <c r="A304" s="28"/>
      <c r="B304" s="36" t="str">
        <f>IFERROR(__xludf.DUMMYFUNCTION("Filter('Réponses au formulaire 1'!S:S,'Réponses au formulaire 1'!B:B=A304)"),"#REF!")</f>
        <v>#REF!</v>
      </c>
      <c r="C304" s="28" t="s">
        <v>631</v>
      </c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</row>
    <row r="305">
      <c r="A305" s="29"/>
      <c r="B305" s="36" t="str">
        <f>IFERROR(__xludf.DUMMYFUNCTION("Filter('Réponses au formulaire 1'!S:S,'Réponses au formulaire 1'!B:B=A305)"),"#REF!")</f>
        <v>#REF!</v>
      </c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</row>
    <row r="306">
      <c r="A306" s="29"/>
      <c r="B306" s="36" t="str">
        <f>IFERROR(__xludf.DUMMYFUNCTION("Filter('Réponses au formulaire 1'!S:S,'Réponses au formulaire 1'!B:B=A306)"),"#REF!")</f>
        <v>#REF!</v>
      </c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</row>
    <row r="307">
      <c r="A307" s="29"/>
      <c r="B307" s="36" t="str">
        <f>IFERROR(__xludf.DUMMYFUNCTION("Filter('Réponses au formulaire 1'!S:S,'Réponses au formulaire 1'!B:B=A307)"),"#REF!")</f>
        <v>#REF!</v>
      </c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</row>
    <row r="308">
      <c r="A308" s="29"/>
      <c r="B308" s="36" t="str">
        <f>IFERROR(__xludf.DUMMYFUNCTION("Filter('Réponses au formulaire 1'!S:S,'Réponses au formulaire 1'!B:B=A308)"),"#REF!")</f>
        <v>#REF!</v>
      </c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</row>
    <row r="309">
      <c r="A309" s="29"/>
      <c r="B309" s="36" t="str">
        <f>IFERROR(__xludf.DUMMYFUNCTION("Filter('Réponses au formulaire 1'!S:S,'Réponses au formulaire 1'!B:B=A309)"),"#REF!")</f>
        <v>#REF!</v>
      </c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</row>
    <row r="310">
      <c r="A310" s="29"/>
      <c r="B310" s="36" t="str">
        <f>IFERROR(__xludf.DUMMYFUNCTION("Filter('Réponses au formulaire 1'!S:S,'Réponses au formulaire 1'!B:B=A310)"),"#REF!")</f>
        <v>#REF!</v>
      </c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</row>
    <row r="311">
      <c r="A311" s="29"/>
      <c r="B311" s="36" t="str">
        <f>IFERROR(__xludf.DUMMYFUNCTION("Filter('Réponses au formulaire 1'!S:S,'Réponses au formulaire 1'!B:B=A311)"),"#REF!")</f>
        <v>#REF!</v>
      </c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</row>
    <row r="312">
      <c r="A312" s="29"/>
      <c r="B312" s="36" t="str">
        <f>IFERROR(__xludf.DUMMYFUNCTION("Filter('Réponses au formulaire 1'!S:S,'Réponses au formulaire 1'!B:B=A312)"),"#REF!")</f>
        <v>#REF!</v>
      </c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</row>
    <row r="313">
      <c r="A313" s="29"/>
      <c r="B313" s="36" t="str">
        <f>IFERROR(__xludf.DUMMYFUNCTION("Filter('Réponses au formulaire 1'!S:S,'Réponses au formulaire 1'!B:B=A313)"),"#REF!")</f>
        <v>#REF!</v>
      </c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</row>
    <row r="314">
      <c r="A314" s="29"/>
      <c r="B314" s="36" t="str">
        <f>IFERROR(__xludf.DUMMYFUNCTION("Filter('Réponses au formulaire 1'!S:S,'Réponses au formulaire 1'!B:B=A314)"),"#REF!")</f>
        <v>#REF!</v>
      </c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</row>
    <row r="315">
      <c r="A315" s="29"/>
      <c r="B315" s="36" t="str">
        <f>IFERROR(__xludf.DUMMYFUNCTION("Filter('Réponses au formulaire 1'!S:S,'Réponses au formulaire 1'!B:B=A315)"),"#REF!")</f>
        <v>#REF!</v>
      </c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</row>
    <row r="316">
      <c r="A316" s="29"/>
      <c r="B316" s="36" t="str">
        <f>IFERROR(__xludf.DUMMYFUNCTION("Filter('Réponses au formulaire 1'!S:S,'Réponses au formulaire 1'!B:B=A316)"),"#REF!")</f>
        <v>#REF!</v>
      </c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</row>
    <row r="317">
      <c r="A317" s="29"/>
      <c r="B317" s="36" t="str">
        <f>IFERROR(__xludf.DUMMYFUNCTION("Filter('Réponses au formulaire 1'!S:S,'Réponses au formulaire 1'!B:B=A317)"),"#REF!")</f>
        <v>#REF!</v>
      </c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</row>
    <row r="318">
      <c r="A318" s="29"/>
      <c r="B318" s="36" t="str">
        <f>IFERROR(__xludf.DUMMYFUNCTION("Filter('Réponses au formulaire 1'!S:S,'Réponses au formulaire 1'!B:B=A318)"),"#REF!")</f>
        <v>#REF!</v>
      </c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</row>
    <row r="319">
      <c r="A319" s="29"/>
      <c r="B319" s="36" t="str">
        <f>IFERROR(__xludf.DUMMYFUNCTION("Filter('Réponses au formulaire 1'!S:S,'Réponses au formulaire 1'!B:B=A319)"),"#REF!")</f>
        <v>#REF!</v>
      </c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</row>
    <row r="320">
      <c r="A320" s="29"/>
      <c r="B320" s="36" t="str">
        <f>IFERROR(__xludf.DUMMYFUNCTION("Filter('Réponses au formulaire 1'!S:S,'Réponses au formulaire 1'!B:B=A320)"),"#REF!")</f>
        <v>#REF!</v>
      </c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</row>
    <row r="321">
      <c r="A321" s="29"/>
      <c r="B321" s="36" t="str">
        <f>IFERROR(__xludf.DUMMYFUNCTION("Filter('Réponses au formulaire 1'!S:S,'Réponses au formulaire 1'!B:B=A321)"),"#REF!")</f>
        <v>#REF!</v>
      </c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</row>
    <row r="322">
      <c r="A322" s="29"/>
      <c r="B322" s="36" t="str">
        <f>IFERROR(__xludf.DUMMYFUNCTION("Filter('Réponses au formulaire 1'!S:S,'Réponses au formulaire 1'!B:B=A322)"),"#REF!")</f>
        <v>#REF!</v>
      </c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</row>
    <row r="323">
      <c r="A323" s="29"/>
      <c r="B323" s="36" t="str">
        <f>IFERROR(__xludf.DUMMYFUNCTION("Filter('Réponses au formulaire 1'!S:S,'Réponses au formulaire 1'!B:B=A323)"),"#REF!")</f>
        <v>#REF!</v>
      </c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</row>
    <row r="324">
      <c r="A324" s="29"/>
      <c r="B324" s="36" t="str">
        <f>IFERROR(__xludf.DUMMYFUNCTION("Filter('Réponses au formulaire 1'!S:S,'Réponses au formulaire 1'!B:B=A324)"),"#REF!")</f>
        <v>#REF!</v>
      </c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</row>
    <row r="325">
      <c r="A325" s="29"/>
      <c r="B325" s="36" t="str">
        <f>IFERROR(__xludf.DUMMYFUNCTION("Filter('Réponses au formulaire 1'!S:S,'Réponses au formulaire 1'!B:B=A325)"),"#REF!")</f>
        <v>#REF!</v>
      </c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</row>
    <row r="326">
      <c r="A326" s="29"/>
      <c r="B326" s="36" t="str">
        <f>IFERROR(__xludf.DUMMYFUNCTION("Filter('Réponses au formulaire 1'!S:S,'Réponses au formulaire 1'!B:B=A326)"),"#REF!")</f>
        <v>#REF!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</row>
    <row r="327">
      <c r="A327" s="29"/>
      <c r="B327" s="36" t="str">
        <f>IFERROR(__xludf.DUMMYFUNCTION("Filter('Réponses au formulaire 1'!S:S,'Réponses au formulaire 1'!B:B=A327)"),"#REF!")</f>
        <v>#REF!</v>
      </c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</row>
    <row r="328">
      <c r="A328" s="29"/>
      <c r="B328" s="36" t="str">
        <f>IFERROR(__xludf.DUMMYFUNCTION("Filter('Réponses au formulaire 1'!S:S,'Réponses au formulaire 1'!B:B=A328)"),"#REF!")</f>
        <v>#REF!</v>
      </c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</row>
    <row r="329">
      <c r="A329" s="29"/>
      <c r="B329" s="36" t="str">
        <f>IFERROR(__xludf.DUMMYFUNCTION("Filter('Réponses au formulaire 1'!S:S,'Réponses au formulaire 1'!B:B=A329)"),"#REF!")</f>
        <v>#REF!</v>
      </c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</row>
    <row r="330">
      <c r="A330" s="29"/>
      <c r="B330" s="36" t="str">
        <f>IFERROR(__xludf.DUMMYFUNCTION("Filter('Réponses au formulaire 1'!S:S,'Réponses au formulaire 1'!B:B=A330)"),"#REF!")</f>
        <v>#REF!</v>
      </c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</row>
    <row r="331">
      <c r="A331" s="29"/>
      <c r="B331" s="36" t="str">
        <f>IFERROR(__xludf.DUMMYFUNCTION("Filter('Réponses au formulaire 1'!S:S,'Réponses au formulaire 1'!B:B=A331)"),"#REF!")</f>
        <v>#REF!</v>
      </c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</row>
    <row r="332">
      <c r="A332" s="29"/>
      <c r="B332" s="36" t="str">
        <f>IFERROR(__xludf.DUMMYFUNCTION("Filter('Réponses au formulaire 1'!S:S,'Réponses au formulaire 1'!B:B=A332)"),"#REF!")</f>
        <v>#REF!</v>
      </c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</row>
    <row r="333">
      <c r="A333" s="29"/>
      <c r="B333" s="36" t="str">
        <f>IFERROR(__xludf.DUMMYFUNCTION("Filter('Réponses au formulaire 1'!S:S,'Réponses au formulaire 1'!B:B=A333)"),"#REF!")</f>
        <v>#REF!</v>
      </c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</row>
    <row r="334">
      <c r="A334" s="29"/>
      <c r="B334" s="36" t="str">
        <f>IFERROR(__xludf.DUMMYFUNCTION("Filter('Réponses au formulaire 1'!S:S,'Réponses au formulaire 1'!B:B=A334)"),"#REF!")</f>
        <v>#REF!</v>
      </c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</row>
    <row r="335">
      <c r="A335" s="29"/>
      <c r="B335" s="36" t="str">
        <f>IFERROR(__xludf.DUMMYFUNCTION("Filter('Réponses au formulaire 1'!S:S,'Réponses au formulaire 1'!B:B=A335)"),"#REF!")</f>
        <v>#REF!</v>
      </c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</row>
    <row r="336">
      <c r="A336" s="29"/>
      <c r="B336" s="36" t="str">
        <f>IFERROR(__xludf.DUMMYFUNCTION("Filter('Réponses au formulaire 1'!S:S,'Réponses au formulaire 1'!B:B=A336)"),"#REF!")</f>
        <v>#REF!</v>
      </c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</row>
    <row r="337">
      <c r="A337" s="29"/>
      <c r="B337" s="36" t="str">
        <f>IFERROR(__xludf.DUMMYFUNCTION("Filter('Réponses au formulaire 1'!S:S,'Réponses au formulaire 1'!B:B=A337)"),"#REF!")</f>
        <v>#REF!</v>
      </c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</row>
    <row r="338">
      <c r="A338" s="29"/>
      <c r="B338" s="36" t="str">
        <f>IFERROR(__xludf.DUMMYFUNCTION("Filter('Réponses au formulaire 1'!S:S,'Réponses au formulaire 1'!B:B=A338)"),"#REF!")</f>
        <v>#REF!</v>
      </c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</row>
    <row r="339">
      <c r="A339" s="29"/>
      <c r="B339" s="36" t="str">
        <f>IFERROR(__xludf.DUMMYFUNCTION("Filter('Réponses au formulaire 1'!S:S,'Réponses au formulaire 1'!B:B=A339)"),"#REF!")</f>
        <v>#REF!</v>
      </c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</row>
    <row r="340">
      <c r="A340" s="29"/>
      <c r="B340" s="36" t="str">
        <f>IFERROR(__xludf.DUMMYFUNCTION("Filter('Réponses au formulaire 1'!S:S,'Réponses au formulaire 1'!B:B=A340)"),"#REF!")</f>
        <v>#REF!</v>
      </c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</row>
    <row r="341">
      <c r="A341" s="29"/>
      <c r="B341" s="36" t="str">
        <f>IFERROR(__xludf.DUMMYFUNCTION("Filter('Réponses au formulaire 1'!S:S,'Réponses au formulaire 1'!B:B=A341)"),"#REF!")</f>
        <v>#REF!</v>
      </c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</row>
    <row r="342">
      <c r="A342" s="29"/>
      <c r="B342" s="36" t="str">
        <f>IFERROR(__xludf.DUMMYFUNCTION("Filter('Réponses au formulaire 1'!S:S,'Réponses au formulaire 1'!B:B=A342)"),"#REF!")</f>
        <v>#REF!</v>
      </c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</row>
    <row r="343">
      <c r="A343" s="29"/>
      <c r="B343" s="36" t="str">
        <f>IFERROR(__xludf.DUMMYFUNCTION("Filter('Réponses au formulaire 1'!S:S,'Réponses au formulaire 1'!B:B=A343)"),"#REF!")</f>
        <v>#REF!</v>
      </c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</row>
    <row r="344">
      <c r="A344" s="29"/>
      <c r="B344" s="36" t="str">
        <f>IFERROR(__xludf.DUMMYFUNCTION("Filter('Réponses au formulaire 1'!S:S,'Réponses au formulaire 1'!B:B=A344)"),"#REF!")</f>
        <v>#REF!</v>
      </c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</row>
    <row r="345">
      <c r="A345" s="29"/>
      <c r="B345" s="36" t="str">
        <f>IFERROR(__xludf.DUMMYFUNCTION("Filter('Réponses au formulaire 1'!S:S,'Réponses au formulaire 1'!B:B=A345)"),"#REF!")</f>
        <v>#REF!</v>
      </c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</row>
    <row r="346">
      <c r="A346" s="29"/>
      <c r="B346" s="36" t="str">
        <f>IFERROR(__xludf.DUMMYFUNCTION("Filter('Réponses au formulaire 1'!S:S,'Réponses au formulaire 1'!B:B=A346)"),"#REF!")</f>
        <v>#REF!</v>
      </c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</row>
    <row r="347">
      <c r="A347" s="29"/>
      <c r="B347" s="36" t="str">
        <f>IFERROR(__xludf.DUMMYFUNCTION("Filter('Réponses au formulaire 1'!S:S,'Réponses au formulaire 1'!B:B=A347)"),"#REF!")</f>
        <v>#REF!</v>
      </c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</row>
    <row r="348">
      <c r="A348" s="29"/>
      <c r="B348" s="36" t="str">
        <f>IFERROR(__xludf.DUMMYFUNCTION("Filter('Réponses au formulaire 1'!S:S,'Réponses au formulaire 1'!B:B=A348)"),"#REF!")</f>
        <v>#REF!</v>
      </c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</row>
    <row r="349">
      <c r="A349" s="29"/>
      <c r="B349" s="36" t="str">
        <f>IFERROR(__xludf.DUMMYFUNCTION("Filter('Réponses au formulaire 1'!S:S,'Réponses au formulaire 1'!B:B=A349)"),"#REF!")</f>
        <v>#REF!</v>
      </c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</row>
    <row r="350">
      <c r="A350" s="29"/>
      <c r="B350" s="36" t="str">
        <f>IFERROR(__xludf.DUMMYFUNCTION("Filter('Réponses au formulaire 1'!S:S,'Réponses au formulaire 1'!B:B=A350)"),"#REF!")</f>
        <v>#REF!</v>
      </c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</row>
    <row r="351">
      <c r="A351" s="29"/>
      <c r="B351" s="36" t="str">
        <f>IFERROR(__xludf.DUMMYFUNCTION("Filter('Réponses au formulaire 1'!S:S,'Réponses au formulaire 1'!B:B=A351)"),"#REF!")</f>
        <v>#REF!</v>
      </c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</row>
    <row r="352">
      <c r="A352" s="29"/>
      <c r="B352" s="36" t="str">
        <f>IFERROR(__xludf.DUMMYFUNCTION("Filter('Réponses au formulaire 1'!S:S,'Réponses au formulaire 1'!B:B=A352)"),"#REF!")</f>
        <v>#REF!</v>
      </c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</row>
    <row r="353">
      <c r="A353" s="29"/>
      <c r="B353" s="36" t="str">
        <f>IFERROR(__xludf.DUMMYFUNCTION("Filter('Réponses au formulaire 1'!S:S,'Réponses au formulaire 1'!B:B=A353)"),"#REF!")</f>
        <v>#REF!</v>
      </c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</row>
    <row r="354">
      <c r="A354" s="29"/>
      <c r="B354" s="36" t="str">
        <f>IFERROR(__xludf.DUMMYFUNCTION("Filter('Réponses au formulaire 1'!S:S,'Réponses au formulaire 1'!B:B=A354)"),"#REF!")</f>
        <v>#REF!</v>
      </c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</row>
    <row r="355">
      <c r="A355" s="29"/>
      <c r="B355" s="36" t="str">
        <f>IFERROR(__xludf.DUMMYFUNCTION("Filter('Réponses au formulaire 1'!S:S,'Réponses au formulaire 1'!B:B=A355)"),"#REF!")</f>
        <v>#REF!</v>
      </c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</row>
    <row r="356">
      <c r="A356" s="29"/>
      <c r="B356" s="36" t="str">
        <f>IFERROR(__xludf.DUMMYFUNCTION("Filter('Réponses au formulaire 1'!S:S,'Réponses au formulaire 1'!B:B=A356)"),"#REF!")</f>
        <v>#REF!</v>
      </c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</row>
    <row r="357">
      <c r="A357" s="29"/>
      <c r="B357" s="36" t="str">
        <f>IFERROR(__xludf.DUMMYFUNCTION("Filter('Réponses au formulaire 1'!S:S,'Réponses au formulaire 1'!B:B=A357)"),"#REF!")</f>
        <v>#REF!</v>
      </c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</row>
    <row r="358">
      <c r="A358" s="29"/>
      <c r="B358" s="36" t="str">
        <f>IFERROR(__xludf.DUMMYFUNCTION("Filter('Réponses au formulaire 1'!S:S,'Réponses au formulaire 1'!B:B=A358)"),"#REF!")</f>
        <v>#REF!</v>
      </c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</row>
    <row r="359">
      <c r="A359" s="29"/>
      <c r="B359" s="36" t="str">
        <f>IFERROR(__xludf.DUMMYFUNCTION("Filter('Réponses au formulaire 1'!S:S,'Réponses au formulaire 1'!B:B=A359)"),"#REF!")</f>
        <v>#REF!</v>
      </c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</row>
    <row r="360">
      <c r="A360" s="29"/>
      <c r="B360" s="36" t="str">
        <f>IFERROR(__xludf.DUMMYFUNCTION("Filter('Réponses au formulaire 1'!S:S,'Réponses au formulaire 1'!B:B=A360)"),"#REF!")</f>
        <v>#REF!</v>
      </c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</row>
    <row r="361">
      <c r="A361" s="29"/>
      <c r="B361" s="36" t="str">
        <f>IFERROR(__xludf.DUMMYFUNCTION("Filter('Réponses au formulaire 1'!S:S,'Réponses au formulaire 1'!B:B=A361)"),"#REF!")</f>
        <v>#REF!</v>
      </c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</row>
    <row r="362">
      <c r="A362" s="29"/>
      <c r="B362" s="36" t="str">
        <f>IFERROR(__xludf.DUMMYFUNCTION("Filter('Réponses au formulaire 1'!S:S,'Réponses au formulaire 1'!B:B=A362)"),"#REF!")</f>
        <v>#REF!</v>
      </c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</row>
    <row r="363">
      <c r="A363" s="29"/>
      <c r="B363" s="36" t="str">
        <f>IFERROR(__xludf.DUMMYFUNCTION("Filter('Réponses au formulaire 1'!S:S,'Réponses au formulaire 1'!B:B=A363)"),"#REF!")</f>
        <v>#REF!</v>
      </c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</row>
    <row r="364">
      <c r="A364" s="29"/>
      <c r="B364" s="36" t="str">
        <f>IFERROR(__xludf.DUMMYFUNCTION("Filter('Réponses au formulaire 1'!S:S,'Réponses au formulaire 1'!B:B=A364)"),"#REF!")</f>
        <v>#REF!</v>
      </c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</row>
    <row r="365">
      <c r="A365" s="29"/>
      <c r="B365" s="36" t="str">
        <f>IFERROR(__xludf.DUMMYFUNCTION("Filter('Réponses au formulaire 1'!S:S,'Réponses au formulaire 1'!B:B=A365)"),"#REF!")</f>
        <v>#REF!</v>
      </c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</row>
    <row r="366">
      <c r="A366" s="29"/>
      <c r="B366" s="36" t="str">
        <f>IFERROR(__xludf.DUMMYFUNCTION("Filter('Réponses au formulaire 1'!S:S,'Réponses au formulaire 1'!B:B=A366)"),"#REF!")</f>
        <v>#REF!</v>
      </c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</row>
    <row r="367">
      <c r="A367" s="29"/>
      <c r="B367" s="36" t="str">
        <f>IFERROR(__xludf.DUMMYFUNCTION("Filter('Réponses au formulaire 1'!S:S,'Réponses au formulaire 1'!B:B=A367)"),"#REF!")</f>
        <v>#REF!</v>
      </c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</row>
    <row r="368">
      <c r="A368" s="29"/>
      <c r="B368" s="36" t="str">
        <f>IFERROR(__xludf.DUMMYFUNCTION("Filter('Réponses au formulaire 1'!S:S,'Réponses au formulaire 1'!B:B=A368)"),"#REF!")</f>
        <v>#REF!</v>
      </c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</row>
    <row r="369">
      <c r="A369" s="29"/>
      <c r="B369" s="36" t="str">
        <f>IFERROR(__xludf.DUMMYFUNCTION("Filter('Réponses au formulaire 1'!S:S,'Réponses au formulaire 1'!B:B=A369)"),"#REF!")</f>
        <v>#REF!</v>
      </c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</row>
    <row r="370">
      <c r="A370" s="29"/>
      <c r="B370" s="36" t="str">
        <f>IFERROR(__xludf.DUMMYFUNCTION("Filter('Réponses au formulaire 1'!S:S,'Réponses au formulaire 1'!B:B=A370)"),"#REF!")</f>
        <v>#REF!</v>
      </c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</row>
    <row r="371">
      <c r="A371" s="29"/>
      <c r="B371" s="36" t="str">
        <f>IFERROR(__xludf.DUMMYFUNCTION("Filter('Réponses au formulaire 1'!S:S,'Réponses au formulaire 1'!B:B=A371)"),"#REF!")</f>
        <v>#REF!</v>
      </c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</row>
    <row r="372">
      <c r="A372" s="29"/>
      <c r="B372" s="36" t="str">
        <f>IFERROR(__xludf.DUMMYFUNCTION("Filter('Réponses au formulaire 1'!S:S,'Réponses au formulaire 1'!B:B=A372)"),"#REF!")</f>
        <v>#REF!</v>
      </c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</row>
    <row r="373">
      <c r="A373" s="29"/>
      <c r="B373" s="36" t="str">
        <f>IFERROR(__xludf.DUMMYFUNCTION("Filter('Réponses au formulaire 1'!S:S,'Réponses au formulaire 1'!B:B=A373)"),"#REF!")</f>
        <v>#REF!</v>
      </c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</row>
    <row r="374">
      <c r="A374" s="29"/>
      <c r="B374" s="36" t="str">
        <f>IFERROR(__xludf.DUMMYFUNCTION("Filter('Réponses au formulaire 1'!S:S,'Réponses au formulaire 1'!B:B=A374)"),"#REF!")</f>
        <v>#REF!</v>
      </c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</row>
    <row r="375">
      <c r="A375" s="29"/>
      <c r="B375" s="36" t="str">
        <f>IFERROR(__xludf.DUMMYFUNCTION("Filter('Réponses au formulaire 1'!S:S,'Réponses au formulaire 1'!B:B=A375)"),"#REF!")</f>
        <v>#REF!</v>
      </c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</row>
    <row r="376">
      <c r="A376" s="29"/>
      <c r="B376" s="36" t="str">
        <f>IFERROR(__xludf.DUMMYFUNCTION("Filter('Réponses au formulaire 1'!S:S,'Réponses au formulaire 1'!B:B=A376)"),"#REF!")</f>
        <v>#REF!</v>
      </c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</row>
    <row r="377">
      <c r="A377" s="29"/>
      <c r="B377" s="36" t="str">
        <f>IFERROR(__xludf.DUMMYFUNCTION("Filter('Réponses au formulaire 1'!S:S,'Réponses au formulaire 1'!B:B=A377)"),"#REF!")</f>
        <v>#REF!</v>
      </c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</row>
    <row r="378">
      <c r="A378" s="29"/>
      <c r="B378" s="36" t="str">
        <f>IFERROR(__xludf.DUMMYFUNCTION("Filter('Réponses au formulaire 1'!S:S,'Réponses au formulaire 1'!B:B=A378)"),"#REF!")</f>
        <v>#REF!</v>
      </c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</row>
    <row r="379">
      <c r="A379" s="29"/>
      <c r="B379" s="36" t="str">
        <f>IFERROR(__xludf.DUMMYFUNCTION("Filter('Réponses au formulaire 1'!S:S,'Réponses au formulaire 1'!B:B=A379)"),"#REF!")</f>
        <v>#REF!</v>
      </c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</row>
    <row r="380">
      <c r="A380" s="29"/>
      <c r="B380" s="36" t="str">
        <f>IFERROR(__xludf.DUMMYFUNCTION("Filter('Réponses au formulaire 1'!S:S,'Réponses au formulaire 1'!B:B=A380)"),"#REF!")</f>
        <v>#REF!</v>
      </c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</row>
    <row r="381">
      <c r="A381" s="29"/>
      <c r="B381" s="36" t="str">
        <f>IFERROR(__xludf.DUMMYFUNCTION("Filter('Réponses au formulaire 1'!S:S,'Réponses au formulaire 1'!B:B=A381)"),"#REF!")</f>
        <v>#REF!</v>
      </c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</row>
    <row r="382">
      <c r="A382" s="29"/>
      <c r="B382" s="36" t="str">
        <f>IFERROR(__xludf.DUMMYFUNCTION("Filter('Réponses au formulaire 1'!S:S,'Réponses au formulaire 1'!B:B=A382)"),"#REF!")</f>
        <v>#REF!</v>
      </c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</row>
    <row r="383">
      <c r="A383" s="29"/>
      <c r="B383" s="36" t="str">
        <f>IFERROR(__xludf.DUMMYFUNCTION("Filter('Réponses au formulaire 1'!S:S,'Réponses au formulaire 1'!B:B=A383)"),"#REF!")</f>
        <v>#REF!</v>
      </c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</row>
    <row r="384">
      <c r="A384" s="29"/>
      <c r="B384" s="36" t="str">
        <f>IFERROR(__xludf.DUMMYFUNCTION("Filter('Réponses au formulaire 1'!S:S,'Réponses au formulaire 1'!B:B=A384)"),"#REF!")</f>
        <v>#REF!</v>
      </c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</row>
    <row r="385">
      <c r="A385" s="29"/>
      <c r="B385" s="36" t="str">
        <f>IFERROR(__xludf.DUMMYFUNCTION("Filter('Réponses au formulaire 1'!S:S,'Réponses au formulaire 1'!B:B=A385)"),"#REF!")</f>
        <v>#REF!</v>
      </c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</row>
    <row r="386">
      <c r="A386" s="29"/>
      <c r="B386" s="36" t="str">
        <f>IFERROR(__xludf.DUMMYFUNCTION("Filter('Réponses au formulaire 1'!S:S,'Réponses au formulaire 1'!B:B=A386)"),"#REF!")</f>
        <v>#REF!</v>
      </c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</row>
    <row r="387">
      <c r="A387" s="29"/>
      <c r="B387" s="36" t="str">
        <f>IFERROR(__xludf.DUMMYFUNCTION("Filter('Réponses au formulaire 1'!S:S,'Réponses au formulaire 1'!B:B=A387)"),"#REF!")</f>
        <v>#REF!</v>
      </c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</row>
    <row r="388">
      <c r="A388" s="29"/>
      <c r="B388" s="36" t="str">
        <f>IFERROR(__xludf.DUMMYFUNCTION("Filter('Réponses au formulaire 1'!S:S,'Réponses au formulaire 1'!B:B=A388)"),"#REF!")</f>
        <v>#REF!</v>
      </c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</row>
    <row r="389">
      <c r="A389" s="29"/>
      <c r="B389" s="36" t="str">
        <f>IFERROR(__xludf.DUMMYFUNCTION("Filter('Réponses au formulaire 1'!S:S,'Réponses au formulaire 1'!B:B=A389)"),"#REF!")</f>
        <v>#REF!</v>
      </c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</row>
    <row r="390">
      <c r="A390" s="29"/>
      <c r="B390" s="36" t="str">
        <f>IFERROR(__xludf.DUMMYFUNCTION("Filter('Réponses au formulaire 1'!S:S,'Réponses au formulaire 1'!B:B=A390)"),"#REF!")</f>
        <v>#REF!</v>
      </c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</row>
    <row r="391">
      <c r="A391" s="29"/>
      <c r="B391" s="36" t="str">
        <f>IFERROR(__xludf.DUMMYFUNCTION("Filter('Réponses au formulaire 1'!S:S,'Réponses au formulaire 1'!B:B=A391)"),"#REF!")</f>
        <v>#REF!</v>
      </c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</row>
    <row r="392">
      <c r="A392" s="29"/>
      <c r="B392" s="36" t="str">
        <f>IFERROR(__xludf.DUMMYFUNCTION("Filter('Réponses au formulaire 1'!S:S,'Réponses au formulaire 1'!B:B=A392)"),"#REF!")</f>
        <v>#REF!</v>
      </c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</row>
    <row r="393">
      <c r="A393" s="29"/>
      <c r="B393" s="36" t="str">
        <f>IFERROR(__xludf.DUMMYFUNCTION("Filter('Réponses au formulaire 1'!S:S,'Réponses au formulaire 1'!B:B=A393)"),"#REF!")</f>
        <v>#REF!</v>
      </c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</row>
    <row r="394">
      <c r="A394" s="29"/>
      <c r="B394" s="36" t="str">
        <f>IFERROR(__xludf.DUMMYFUNCTION("Filter('Réponses au formulaire 1'!S:S,'Réponses au formulaire 1'!B:B=A394)"),"#REF!")</f>
        <v>#REF!</v>
      </c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</row>
    <row r="395">
      <c r="A395" s="29"/>
      <c r="B395" s="36" t="str">
        <f>IFERROR(__xludf.DUMMYFUNCTION("Filter('Réponses au formulaire 1'!S:S,'Réponses au formulaire 1'!B:B=A395)"),"#REF!")</f>
        <v>#REF!</v>
      </c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</row>
    <row r="396">
      <c r="A396" s="29"/>
      <c r="B396" s="36" t="str">
        <f>IFERROR(__xludf.DUMMYFUNCTION("Filter('Réponses au formulaire 1'!S:S,'Réponses au formulaire 1'!B:B=A396)"),"#REF!")</f>
        <v>#REF!</v>
      </c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</row>
    <row r="397">
      <c r="A397" s="29"/>
      <c r="B397" s="36" t="str">
        <f>IFERROR(__xludf.DUMMYFUNCTION("Filter('Réponses au formulaire 1'!S:S,'Réponses au formulaire 1'!B:B=A397)"),"#REF!")</f>
        <v>#REF!</v>
      </c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</row>
    <row r="398">
      <c r="A398" s="29"/>
      <c r="B398" s="36" t="str">
        <f>IFERROR(__xludf.DUMMYFUNCTION("Filter('Réponses au formulaire 1'!S:S,'Réponses au formulaire 1'!B:B=A398)"),"#REF!")</f>
        <v>#REF!</v>
      </c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</row>
    <row r="399">
      <c r="A399" s="29"/>
      <c r="B399" s="36" t="str">
        <f>IFERROR(__xludf.DUMMYFUNCTION("Filter('Réponses au formulaire 1'!S:S,'Réponses au formulaire 1'!B:B=A399)"),"#REF!")</f>
        <v>#REF!</v>
      </c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</row>
    <row r="400">
      <c r="A400" s="29"/>
      <c r="B400" s="36" t="str">
        <f>IFERROR(__xludf.DUMMYFUNCTION("Filter('Réponses au formulaire 1'!S:S,'Réponses au formulaire 1'!B:B=A400)"),"#REF!")</f>
        <v>#REF!</v>
      </c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</row>
    <row r="401">
      <c r="A401" s="29"/>
      <c r="B401" s="36" t="str">
        <f>IFERROR(__xludf.DUMMYFUNCTION("Filter('Réponses au formulaire 1'!S:S,'Réponses au formulaire 1'!B:B=A401)"),"#REF!")</f>
        <v>#REF!</v>
      </c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</row>
    <row r="402">
      <c r="A402" s="29"/>
      <c r="B402" s="36" t="str">
        <f>IFERROR(__xludf.DUMMYFUNCTION("Filter('Réponses au formulaire 1'!S:S,'Réponses au formulaire 1'!B:B=A402)"),"#REF!")</f>
        <v>#REF!</v>
      </c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</row>
    <row r="403">
      <c r="A403" s="29"/>
      <c r="B403" s="36" t="str">
        <f>IFERROR(__xludf.DUMMYFUNCTION("Filter('Réponses au formulaire 1'!S:S,'Réponses au formulaire 1'!B:B=A403)"),"#REF!")</f>
        <v>#REF!</v>
      </c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</row>
    <row r="404">
      <c r="A404" s="29"/>
      <c r="B404" s="36" t="str">
        <f>IFERROR(__xludf.DUMMYFUNCTION("Filter('Réponses au formulaire 1'!S:S,'Réponses au formulaire 1'!B:B=A404)"),"#REF!")</f>
        <v>#REF!</v>
      </c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</row>
    <row r="405">
      <c r="A405" s="29"/>
      <c r="B405" s="36" t="str">
        <f>IFERROR(__xludf.DUMMYFUNCTION("Filter('Réponses au formulaire 1'!S:S,'Réponses au formulaire 1'!B:B=A405)"),"#REF!")</f>
        <v>#REF!</v>
      </c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</row>
    <row r="406">
      <c r="A406" s="29"/>
      <c r="B406" s="36" t="str">
        <f>IFERROR(__xludf.DUMMYFUNCTION("Filter('Réponses au formulaire 1'!S:S,'Réponses au formulaire 1'!B:B=A406)"),"#REF!")</f>
        <v>#REF!</v>
      </c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</row>
    <row r="407">
      <c r="A407" s="29"/>
      <c r="B407" s="36" t="str">
        <f>IFERROR(__xludf.DUMMYFUNCTION("Filter('Réponses au formulaire 1'!S:S,'Réponses au formulaire 1'!B:B=A407)"),"#REF!")</f>
        <v>#REF!</v>
      </c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</row>
    <row r="408">
      <c r="A408" s="29"/>
      <c r="B408" s="36" t="str">
        <f>IFERROR(__xludf.DUMMYFUNCTION("Filter('Réponses au formulaire 1'!S:S,'Réponses au formulaire 1'!B:B=A408)"),"#REF!")</f>
        <v>#REF!</v>
      </c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</row>
    <row r="409">
      <c r="A409" s="29"/>
      <c r="B409" s="36" t="str">
        <f>IFERROR(__xludf.DUMMYFUNCTION("Filter('Réponses au formulaire 1'!S:S,'Réponses au formulaire 1'!B:B=A409)"),"#REF!")</f>
        <v>#REF!</v>
      </c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</row>
    <row r="410">
      <c r="A410" s="29"/>
      <c r="B410" s="36" t="str">
        <f>IFERROR(__xludf.DUMMYFUNCTION("Filter('Réponses au formulaire 1'!S:S,'Réponses au formulaire 1'!B:B=A410)"),"#REF!")</f>
        <v>#REF!</v>
      </c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</row>
    <row r="411">
      <c r="A411" s="29"/>
      <c r="B411" s="36" t="str">
        <f>IFERROR(__xludf.DUMMYFUNCTION("Filter('Réponses au formulaire 1'!S:S,'Réponses au formulaire 1'!B:B=A411)"),"#REF!")</f>
        <v>#REF!</v>
      </c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</row>
    <row r="412">
      <c r="A412" s="29"/>
      <c r="B412" s="36" t="str">
        <f>IFERROR(__xludf.DUMMYFUNCTION("Filter('Réponses au formulaire 1'!S:S,'Réponses au formulaire 1'!B:B=A412)"),"#REF!")</f>
        <v>#REF!</v>
      </c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</row>
    <row r="413">
      <c r="A413" s="29"/>
      <c r="B413" s="36" t="str">
        <f>IFERROR(__xludf.DUMMYFUNCTION("Filter('Réponses au formulaire 1'!S:S,'Réponses au formulaire 1'!B:B=A413)"),"#REF!")</f>
        <v>#REF!</v>
      </c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</row>
    <row r="414">
      <c r="A414" s="29"/>
      <c r="B414" s="36" t="str">
        <f>IFERROR(__xludf.DUMMYFUNCTION("Filter('Réponses au formulaire 1'!S:S,'Réponses au formulaire 1'!B:B=A414)"),"#REF!")</f>
        <v>#REF!</v>
      </c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</row>
    <row r="415">
      <c r="A415" s="29"/>
      <c r="B415" s="36" t="str">
        <f>IFERROR(__xludf.DUMMYFUNCTION("Filter('Réponses au formulaire 1'!S:S,'Réponses au formulaire 1'!B:B=A415)"),"#REF!")</f>
        <v>#REF!</v>
      </c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</row>
    <row r="416">
      <c r="A416" s="29"/>
      <c r="B416" s="36" t="str">
        <f>IFERROR(__xludf.DUMMYFUNCTION("Filter('Réponses au formulaire 1'!S:S,'Réponses au formulaire 1'!B:B=A416)"),"#REF!")</f>
        <v>#REF!</v>
      </c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</row>
    <row r="417">
      <c r="A417" s="29"/>
      <c r="B417" s="36" t="str">
        <f>IFERROR(__xludf.DUMMYFUNCTION("Filter('Réponses au formulaire 1'!S:S,'Réponses au formulaire 1'!B:B=A417)"),"#REF!")</f>
        <v>#REF!</v>
      </c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</row>
    <row r="418">
      <c r="A418" s="29"/>
      <c r="B418" s="36" t="str">
        <f>IFERROR(__xludf.DUMMYFUNCTION("Filter('Réponses au formulaire 1'!S:S,'Réponses au formulaire 1'!B:B=A418)"),"")</f>
        <v/>
      </c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</row>
    <row r="419">
      <c r="A419" s="29"/>
      <c r="B419" s="29" t="str">
        <f>IFERROR(__xludf.DUMMYFUNCTION("""COMPUTED_VALUE"""),"")</f>
        <v/>
      </c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</row>
    <row r="420">
      <c r="A420" s="29"/>
      <c r="B420" s="29" t="str">
        <f>IFERROR(__xludf.DUMMYFUNCTION("""COMPUTED_VALUE"""),"")</f>
        <v/>
      </c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</row>
    <row r="421">
      <c r="A421" s="29"/>
      <c r="B421" s="29" t="str">
        <f>IFERROR(__xludf.DUMMYFUNCTION("""COMPUTED_VALUE"""),"")</f>
        <v/>
      </c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</row>
    <row r="422">
      <c r="A422" s="29"/>
      <c r="B422" s="29" t="str">
        <f>IFERROR(__xludf.DUMMYFUNCTION("""COMPUTED_VALUE"""),"")</f>
        <v/>
      </c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</row>
    <row r="423">
      <c r="A423" s="29"/>
      <c r="B423" s="29" t="str">
        <f>IFERROR(__xludf.DUMMYFUNCTION("""COMPUTED_VALUE"""),"")</f>
        <v/>
      </c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</row>
    <row r="424">
      <c r="A424" s="29"/>
      <c r="B424" s="29" t="str">
        <f>IFERROR(__xludf.DUMMYFUNCTION("""COMPUTED_VALUE"""),"")</f>
        <v/>
      </c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</row>
    <row r="425">
      <c r="A425" s="29"/>
      <c r="B425" s="29" t="str">
        <f>IFERROR(__xludf.DUMMYFUNCTION("""COMPUTED_VALUE"""),"")</f>
        <v/>
      </c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</row>
    <row r="426">
      <c r="A426" s="29"/>
      <c r="B426" s="29" t="str">
        <f>IFERROR(__xludf.DUMMYFUNCTION("""COMPUTED_VALUE"""),"")</f>
        <v/>
      </c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</row>
    <row r="427">
      <c r="A427" s="29"/>
      <c r="B427" s="29" t="str">
        <f>IFERROR(__xludf.DUMMYFUNCTION("""COMPUTED_VALUE"""),"")</f>
        <v/>
      </c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</row>
    <row r="428">
      <c r="A428" s="29"/>
      <c r="B428" s="29" t="str">
        <f>IFERROR(__xludf.DUMMYFUNCTION("""COMPUTED_VALUE"""),"")</f>
        <v/>
      </c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</row>
    <row r="429">
      <c r="A429" s="29"/>
      <c r="B429" s="29" t="str">
        <f>IFERROR(__xludf.DUMMYFUNCTION("""COMPUTED_VALUE"""),"")</f>
        <v/>
      </c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</row>
    <row r="430">
      <c r="A430" s="29"/>
      <c r="B430" s="29" t="str">
        <f>IFERROR(__xludf.DUMMYFUNCTION("""COMPUTED_VALUE"""),"")</f>
        <v/>
      </c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</row>
    <row r="431">
      <c r="A431" s="29"/>
      <c r="B431" s="29" t="str">
        <f>IFERROR(__xludf.DUMMYFUNCTION("""COMPUTED_VALUE"""),"")</f>
        <v/>
      </c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</row>
    <row r="432">
      <c r="A432" s="29"/>
      <c r="B432" s="29" t="str">
        <f>IFERROR(__xludf.DUMMYFUNCTION("""COMPUTED_VALUE"""),"")</f>
        <v/>
      </c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</row>
    <row r="433">
      <c r="A433" s="29"/>
      <c r="B433" s="29" t="str">
        <f>IFERROR(__xludf.DUMMYFUNCTION("""COMPUTED_VALUE"""),"")</f>
        <v/>
      </c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</row>
    <row r="434">
      <c r="A434" s="29"/>
      <c r="B434" s="29" t="str">
        <f>IFERROR(__xludf.DUMMYFUNCTION("""COMPUTED_VALUE"""),"")</f>
        <v/>
      </c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</row>
    <row r="435">
      <c r="A435" s="29"/>
      <c r="B435" s="29" t="str">
        <f>IFERROR(__xludf.DUMMYFUNCTION("""COMPUTED_VALUE"""),"")</f>
        <v/>
      </c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</row>
    <row r="436">
      <c r="A436" s="29"/>
      <c r="B436" s="29" t="str">
        <f>IFERROR(__xludf.DUMMYFUNCTION("""COMPUTED_VALUE"""),"")</f>
        <v/>
      </c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</row>
    <row r="437">
      <c r="A437" s="29"/>
      <c r="B437" s="29" t="str">
        <f>IFERROR(__xludf.DUMMYFUNCTION("""COMPUTED_VALUE"""),"")</f>
        <v/>
      </c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</row>
    <row r="438">
      <c r="A438" s="29"/>
      <c r="B438" s="29" t="str">
        <f>IFERROR(__xludf.DUMMYFUNCTION("""COMPUTED_VALUE"""),"")</f>
        <v/>
      </c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</row>
    <row r="439">
      <c r="A439" s="29"/>
      <c r="B439" s="29" t="str">
        <f>IFERROR(__xludf.DUMMYFUNCTION("""COMPUTED_VALUE"""),"")</f>
        <v/>
      </c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</row>
    <row r="440">
      <c r="A440" s="29"/>
      <c r="B440" s="29" t="str">
        <f>IFERROR(__xludf.DUMMYFUNCTION("""COMPUTED_VALUE"""),"")</f>
        <v/>
      </c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</row>
    <row r="441">
      <c r="A441" s="29"/>
      <c r="B441" s="29" t="str">
        <f>IFERROR(__xludf.DUMMYFUNCTION("""COMPUTED_VALUE"""),"")</f>
        <v/>
      </c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</row>
    <row r="442">
      <c r="A442" s="29"/>
      <c r="B442" s="29" t="str">
        <f>IFERROR(__xludf.DUMMYFUNCTION("""COMPUTED_VALUE"""),"")</f>
        <v/>
      </c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</row>
    <row r="443">
      <c r="A443" s="29"/>
      <c r="B443" s="29" t="str">
        <f>IFERROR(__xludf.DUMMYFUNCTION("""COMPUTED_VALUE"""),"")</f>
        <v/>
      </c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</row>
    <row r="444">
      <c r="A444" s="29"/>
      <c r="B444" s="29" t="str">
        <f>IFERROR(__xludf.DUMMYFUNCTION("""COMPUTED_VALUE"""),"")</f>
        <v/>
      </c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</row>
    <row r="445">
      <c r="A445" s="29"/>
      <c r="B445" s="29" t="str">
        <f>IFERROR(__xludf.DUMMYFUNCTION("""COMPUTED_VALUE"""),"")</f>
        <v/>
      </c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</row>
    <row r="446">
      <c r="A446" s="29"/>
      <c r="B446" s="29" t="str">
        <f>IFERROR(__xludf.DUMMYFUNCTION("""COMPUTED_VALUE"""),"")</f>
        <v/>
      </c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</row>
    <row r="447">
      <c r="A447" s="29"/>
      <c r="B447" s="29" t="str">
        <f>IFERROR(__xludf.DUMMYFUNCTION("""COMPUTED_VALUE"""),"")</f>
        <v/>
      </c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</row>
    <row r="448">
      <c r="A448" s="29"/>
      <c r="B448" s="29" t="str">
        <f>IFERROR(__xludf.DUMMYFUNCTION("""COMPUTED_VALUE"""),"")</f>
        <v/>
      </c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</row>
    <row r="449">
      <c r="A449" s="29"/>
      <c r="B449" s="29" t="str">
        <f>IFERROR(__xludf.DUMMYFUNCTION("""COMPUTED_VALUE"""),"")</f>
        <v/>
      </c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</row>
    <row r="450">
      <c r="A450" s="29"/>
      <c r="B450" s="29" t="str">
        <f>IFERROR(__xludf.DUMMYFUNCTION("""COMPUTED_VALUE"""),"")</f>
        <v/>
      </c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</row>
    <row r="451">
      <c r="A451" s="29"/>
      <c r="B451" s="29" t="str">
        <f>IFERROR(__xludf.DUMMYFUNCTION("""COMPUTED_VALUE"""),"")</f>
        <v/>
      </c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</row>
    <row r="452">
      <c r="A452" s="29"/>
      <c r="B452" s="29" t="str">
        <f>IFERROR(__xludf.DUMMYFUNCTION("""COMPUTED_VALUE"""),"")</f>
        <v/>
      </c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</row>
    <row r="453">
      <c r="A453" s="29"/>
      <c r="B453" s="29" t="str">
        <f>IFERROR(__xludf.DUMMYFUNCTION("""COMPUTED_VALUE"""),"")</f>
        <v/>
      </c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</row>
    <row r="454">
      <c r="A454" s="29"/>
      <c r="B454" s="29" t="str">
        <f>IFERROR(__xludf.DUMMYFUNCTION("""COMPUTED_VALUE"""),"")</f>
        <v/>
      </c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</row>
    <row r="455">
      <c r="A455" s="29"/>
      <c r="B455" s="29" t="str">
        <f>IFERROR(__xludf.DUMMYFUNCTION("""COMPUTED_VALUE"""),"")</f>
        <v/>
      </c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</row>
    <row r="456">
      <c r="A456" s="29"/>
      <c r="B456" s="29" t="str">
        <f>IFERROR(__xludf.DUMMYFUNCTION("""COMPUTED_VALUE"""),"")</f>
        <v/>
      </c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</row>
    <row r="457">
      <c r="A457" s="29"/>
      <c r="B457" s="29" t="str">
        <f>IFERROR(__xludf.DUMMYFUNCTION("""COMPUTED_VALUE"""),"")</f>
        <v/>
      </c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</row>
    <row r="458">
      <c r="A458" s="29"/>
      <c r="B458" s="29" t="str">
        <f>IFERROR(__xludf.DUMMYFUNCTION("""COMPUTED_VALUE"""),"")</f>
        <v/>
      </c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</row>
    <row r="459">
      <c r="A459" s="29"/>
      <c r="B459" s="29" t="str">
        <f>IFERROR(__xludf.DUMMYFUNCTION("""COMPUTED_VALUE"""),"")</f>
        <v/>
      </c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</row>
    <row r="460">
      <c r="A460" s="29"/>
      <c r="B460" s="29" t="str">
        <f>IFERROR(__xludf.DUMMYFUNCTION("""COMPUTED_VALUE"""),"")</f>
        <v/>
      </c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</row>
    <row r="461">
      <c r="A461" s="29"/>
      <c r="B461" s="29" t="str">
        <f>IFERROR(__xludf.DUMMYFUNCTION("""COMPUTED_VALUE"""),"")</f>
        <v/>
      </c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</row>
    <row r="462">
      <c r="A462" s="29"/>
      <c r="B462" s="29" t="str">
        <f>IFERROR(__xludf.DUMMYFUNCTION("""COMPUTED_VALUE"""),"")</f>
        <v/>
      </c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</row>
    <row r="463">
      <c r="A463" s="29"/>
      <c r="B463" s="29" t="str">
        <f>IFERROR(__xludf.DUMMYFUNCTION("""COMPUTED_VALUE"""),"")</f>
        <v/>
      </c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</row>
    <row r="464">
      <c r="A464" s="29"/>
      <c r="B464" s="29" t="str">
        <f>IFERROR(__xludf.DUMMYFUNCTION("""COMPUTED_VALUE"""),"")</f>
        <v/>
      </c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</row>
    <row r="465">
      <c r="A465" s="29"/>
      <c r="B465" s="29" t="str">
        <f>IFERROR(__xludf.DUMMYFUNCTION("""COMPUTED_VALUE"""),"")</f>
        <v/>
      </c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</row>
    <row r="466">
      <c r="A466" s="29"/>
      <c r="B466" s="29" t="str">
        <f>IFERROR(__xludf.DUMMYFUNCTION("""COMPUTED_VALUE"""),"")</f>
        <v/>
      </c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</row>
    <row r="467">
      <c r="A467" s="29"/>
      <c r="B467" s="29" t="str">
        <f>IFERROR(__xludf.DUMMYFUNCTION("""COMPUTED_VALUE"""),"")</f>
        <v/>
      </c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</row>
    <row r="468">
      <c r="A468" s="29"/>
      <c r="B468" s="29" t="str">
        <f>IFERROR(__xludf.DUMMYFUNCTION("""COMPUTED_VALUE"""),"")</f>
        <v/>
      </c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</row>
    <row r="469">
      <c r="A469" s="29"/>
      <c r="B469" s="29" t="str">
        <f>IFERROR(__xludf.DUMMYFUNCTION("""COMPUTED_VALUE"""),"")</f>
        <v/>
      </c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</row>
    <row r="470">
      <c r="A470" s="29"/>
      <c r="B470" s="29" t="str">
        <f>IFERROR(__xludf.DUMMYFUNCTION("""COMPUTED_VALUE"""),"")</f>
        <v/>
      </c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</row>
    <row r="471">
      <c r="A471" s="29"/>
      <c r="B471" s="29" t="str">
        <f>IFERROR(__xludf.DUMMYFUNCTION("""COMPUTED_VALUE"""),"")</f>
        <v/>
      </c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</row>
    <row r="472">
      <c r="A472" s="29"/>
      <c r="B472" s="29" t="str">
        <f>IFERROR(__xludf.DUMMYFUNCTION("""COMPUTED_VALUE"""),"")</f>
        <v/>
      </c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</row>
    <row r="473">
      <c r="A473" s="29"/>
      <c r="B473" s="29" t="str">
        <f>IFERROR(__xludf.DUMMYFUNCTION("""COMPUTED_VALUE"""),"")</f>
        <v/>
      </c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</row>
    <row r="474">
      <c r="A474" s="29"/>
      <c r="B474" s="29" t="str">
        <f>IFERROR(__xludf.DUMMYFUNCTION("""COMPUTED_VALUE"""),"")</f>
        <v/>
      </c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</row>
    <row r="475">
      <c r="A475" s="29"/>
      <c r="B475" s="29" t="str">
        <f>IFERROR(__xludf.DUMMYFUNCTION("""COMPUTED_VALUE"""),"")</f>
        <v/>
      </c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</row>
    <row r="476">
      <c r="A476" s="29"/>
      <c r="B476" s="29" t="str">
        <f>IFERROR(__xludf.DUMMYFUNCTION("""COMPUTED_VALUE"""),"")</f>
        <v/>
      </c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</row>
    <row r="477">
      <c r="A477" s="29"/>
      <c r="B477" s="29" t="str">
        <f>IFERROR(__xludf.DUMMYFUNCTION("""COMPUTED_VALUE"""),"")</f>
        <v/>
      </c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</row>
    <row r="478">
      <c r="A478" s="29"/>
      <c r="B478" s="29" t="str">
        <f>IFERROR(__xludf.DUMMYFUNCTION("""COMPUTED_VALUE"""),"")</f>
        <v/>
      </c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</row>
    <row r="479">
      <c r="A479" s="29"/>
      <c r="B479" s="29" t="str">
        <f>IFERROR(__xludf.DUMMYFUNCTION("""COMPUTED_VALUE"""),"")</f>
        <v/>
      </c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</row>
    <row r="480">
      <c r="A480" s="29"/>
      <c r="B480" s="29" t="str">
        <f>IFERROR(__xludf.DUMMYFUNCTION("""COMPUTED_VALUE"""),"")</f>
        <v/>
      </c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</row>
    <row r="481">
      <c r="A481" s="29"/>
      <c r="B481" s="29" t="str">
        <f>IFERROR(__xludf.DUMMYFUNCTION("""COMPUTED_VALUE"""),"")</f>
        <v/>
      </c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</row>
    <row r="482">
      <c r="A482" s="29"/>
      <c r="B482" s="29" t="str">
        <f>IFERROR(__xludf.DUMMYFUNCTION("""COMPUTED_VALUE"""),"")</f>
        <v/>
      </c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</row>
    <row r="483">
      <c r="A483" s="29"/>
      <c r="B483" s="29" t="str">
        <f>IFERROR(__xludf.DUMMYFUNCTION("""COMPUTED_VALUE"""),"")</f>
        <v/>
      </c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</row>
    <row r="484">
      <c r="A484" s="29"/>
      <c r="B484" s="29" t="str">
        <f>IFERROR(__xludf.DUMMYFUNCTION("""COMPUTED_VALUE"""),"")</f>
        <v/>
      </c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</row>
    <row r="485">
      <c r="A485" s="29"/>
      <c r="B485" s="29" t="str">
        <f>IFERROR(__xludf.DUMMYFUNCTION("""COMPUTED_VALUE"""),"")</f>
        <v/>
      </c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</row>
    <row r="486">
      <c r="A486" s="29"/>
      <c r="B486" s="29" t="str">
        <f>IFERROR(__xludf.DUMMYFUNCTION("""COMPUTED_VALUE"""),"")</f>
        <v/>
      </c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</row>
    <row r="487">
      <c r="A487" s="29"/>
      <c r="B487" s="29" t="str">
        <f>IFERROR(__xludf.DUMMYFUNCTION("""COMPUTED_VALUE"""),"")</f>
        <v/>
      </c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</row>
    <row r="488">
      <c r="A488" s="29"/>
      <c r="B488" s="29" t="str">
        <f>IFERROR(__xludf.DUMMYFUNCTION("""COMPUTED_VALUE"""),"")</f>
        <v/>
      </c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</row>
    <row r="489">
      <c r="A489" s="29"/>
      <c r="B489" s="29" t="str">
        <f>IFERROR(__xludf.DUMMYFUNCTION("""COMPUTED_VALUE"""),"")</f>
        <v/>
      </c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</row>
    <row r="490">
      <c r="A490" s="29"/>
      <c r="B490" s="29" t="str">
        <f>IFERROR(__xludf.DUMMYFUNCTION("""COMPUTED_VALUE"""),"")</f>
        <v/>
      </c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</row>
    <row r="491">
      <c r="A491" s="29"/>
      <c r="B491" s="29" t="str">
        <f>IFERROR(__xludf.DUMMYFUNCTION("""COMPUTED_VALUE"""),"")</f>
        <v/>
      </c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</row>
    <row r="492">
      <c r="A492" s="29"/>
      <c r="B492" s="29" t="str">
        <f>IFERROR(__xludf.DUMMYFUNCTION("""COMPUTED_VALUE"""),"")</f>
        <v/>
      </c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</row>
    <row r="493">
      <c r="A493" s="29"/>
      <c r="B493" s="29" t="str">
        <f>IFERROR(__xludf.DUMMYFUNCTION("""COMPUTED_VALUE"""),"")</f>
        <v/>
      </c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</row>
    <row r="494">
      <c r="A494" s="29"/>
      <c r="B494" s="29" t="str">
        <f>IFERROR(__xludf.DUMMYFUNCTION("""COMPUTED_VALUE"""),"")</f>
        <v/>
      </c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</row>
    <row r="495">
      <c r="A495" s="29"/>
      <c r="B495" s="29" t="str">
        <f>IFERROR(__xludf.DUMMYFUNCTION("""COMPUTED_VALUE"""),"")</f>
        <v/>
      </c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</row>
    <row r="496">
      <c r="A496" s="29"/>
      <c r="B496" s="29" t="str">
        <f>IFERROR(__xludf.DUMMYFUNCTION("""COMPUTED_VALUE"""),"")</f>
        <v/>
      </c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</row>
    <row r="497">
      <c r="A497" s="29"/>
      <c r="B497" s="29" t="str">
        <f>IFERROR(__xludf.DUMMYFUNCTION("""COMPUTED_VALUE"""),"")</f>
        <v/>
      </c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</row>
    <row r="498">
      <c r="A498" s="29"/>
      <c r="B498" s="29" t="str">
        <f>IFERROR(__xludf.DUMMYFUNCTION("""COMPUTED_VALUE"""),"")</f>
        <v/>
      </c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</row>
    <row r="499">
      <c r="A499" s="29"/>
      <c r="B499" s="29" t="str">
        <f>IFERROR(__xludf.DUMMYFUNCTION("""COMPUTED_VALUE"""),"")</f>
        <v/>
      </c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</row>
    <row r="500">
      <c r="A500" s="29"/>
      <c r="B500" s="29" t="str">
        <f>IFERROR(__xludf.DUMMYFUNCTION("""COMPUTED_VALUE"""),"")</f>
        <v/>
      </c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</row>
    <row r="501">
      <c r="A501" s="29"/>
      <c r="B501" s="29" t="str">
        <f>IFERROR(__xludf.DUMMYFUNCTION("""COMPUTED_VALUE"""),"")</f>
        <v/>
      </c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</row>
    <row r="502">
      <c r="A502" s="29"/>
      <c r="B502" s="29" t="str">
        <f>IFERROR(__xludf.DUMMYFUNCTION("""COMPUTED_VALUE"""),"")</f>
        <v/>
      </c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</row>
    <row r="503">
      <c r="A503" s="29"/>
      <c r="B503" s="29" t="str">
        <f>IFERROR(__xludf.DUMMYFUNCTION("""COMPUTED_VALUE"""),"")</f>
        <v/>
      </c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</row>
    <row r="504">
      <c r="A504" s="29"/>
      <c r="B504" s="29" t="str">
        <f>IFERROR(__xludf.DUMMYFUNCTION("""COMPUTED_VALUE"""),"")</f>
        <v/>
      </c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</row>
    <row r="505">
      <c r="A505" s="29"/>
      <c r="B505" s="29" t="str">
        <f>IFERROR(__xludf.DUMMYFUNCTION("""COMPUTED_VALUE"""),"")</f>
        <v/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</row>
    <row r="506">
      <c r="A506" s="29"/>
      <c r="B506" s="29" t="str">
        <f>IFERROR(__xludf.DUMMYFUNCTION("""COMPUTED_VALUE"""),"")</f>
        <v/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</row>
    <row r="507">
      <c r="A507" s="29"/>
      <c r="B507" s="29" t="str">
        <f>IFERROR(__xludf.DUMMYFUNCTION("""COMPUTED_VALUE"""),"")</f>
        <v/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</row>
    <row r="508">
      <c r="A508" s="29"/>
      <c r="B508" s="29" t="str">
        <f>IFERROR(__xludf.DUMMYFUNCTION("""COMPUTED_VALUE"""),"")</f>
        <v/>
      </c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</row>
    <row r="509">
      <c r="A509" s="29"/>
      <c r="B509" s="29" t="str">
        <f>IFERROR(__xludf.DUMMYFUNCTION("""COMPUTED_VALUE"""),"")</f>
        <v/>
      </c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</row>
    <row r="510">
      <c r="A510" s="29"/>
      <c r="B510" s="29" t="str">
        <f>IFERROR(__xludf.DUMMYFUNCTION("""COMPUTED_VALUE"""),"")</f>
        <v/>
      </c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</row>
    <row r="511">
      <c r="A511" s="29"/>
      <c r="B511" s="29" t="str">
        <f>IFERROR(__xludf.DUMMYFUNCTION("""COMPUTED_VALUE"""),"")</f>
        <v/>
      </c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</row>
    <row r="512">
      <c r="A512" s="29"/>
      <c r="B512" s="29" t="str">
        <f>IFERROR(__xludf.DUMMYFUNCTION("""COMPUTED_VALUE"""),"")</f>
        <v/>
      </c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</row>
    <row r="513">
      <c r="A513" s="29"/>
      <c r="B513" s="29" t="str">
        <f>IFERROR(__xludf.DUMMYFUNCTION("""COMPUTED_VALUE"""),"")</f>
        <v/>
      </c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</row>
    <row r="514">
      <c r="A514" s="29"/>
      <c r="B514" s="29" t="str">
        <f>IFERROR(__xludf.DUMMYFUNCTION("""COMPUTED_VALUE"""),"")</f>
        <v/>
      </c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</row>
    <row r="515">
      <c r="A515" s="29"/>
      <c r="B515" s="29" t="str">
        <f>IFERROR(__xludf.DUMMYFUNCTION("""COMPUTED_VALUE"""),"")</f>
        <v/>
      </c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</row>
    <row r="516">
      <c r="A516" s="29"/>
      <c r="B516" s="29" t="str">
        <f>IFERROR(__xludf.DUMMYFUNCTION("""COMPUTED_VALUE"""),"")</f>
        <v/>
      </c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</row>
    <row r="517">
      <c r="A517" s="29"/>
      <c r="B517" s="29" t="str">
        <f>IFERROR(__xludf.DUMMYFUNCTION("""COMPUTED_VALUE"""),"")</f>
        <v/>
      </c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</row>
    <row r="518">
      <c r="A518" s="29"/>
      <c r="B518" s="29" t="str">
        <f>IFERROR(__xludf.DUMMYFUNCTION("""COMPUTED_VALUE"""),"")</f>
        <v/>
      </c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</row>
    <row r="519">
      <c r="A519" s="29"/>
      <c r="B519" s="29" t="str">
        <f>IFERROR(__xludf.DUMMYFUNCTION("""COMPUTED_VALUE"""),"")</f>
        <v/>
      </c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</row>
    <row r="520">
      <c r="A520" s="29"/>
      <c r="B520" s="29" t="str">
        <f>IFERROR(__xludf.DUMMYFUNCTION("""COMPUTED_VALUE"""),"")</f>
        <v/>
      </c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</row>
    <row r="521">
      <c r="A521" s="29"/>
      <c r="B521" s="29" t="str">
        <f>IFERROR(__xludf.DUMMYFUNCTION("""COMPUTED_VALUE"""),"")</f>
        <v/>
      </c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</row>
    <row r="522">
      <c r="A522" s="29"/>
      <c r="B522" s="29" t="str">
        <f>IFERROR(__xludf.DUMMYFUNCTION("""COMPUTED_VALUE"""),"")</f>
        <v/>
      </c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</row>
    <row r="523">
      <c r="A523" s="29"/>
      <c r="B523" s="29" t="str">
        <f>IFERROR(__xludf.DUMMYFUNCTION("""COMPUTED_VALUE"""),"")</f>
        <v/>
      </c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</row>
    <row r="524">
      <c r="A524" s="29"/>
      <c r="B524" s="29" t="str">
        <f>IFERROR(__xludf.DUMMYFUNCTION("""COMPUTED_VALUE"""),"")</f>
        <v/>
      </c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</row>
    <row r="525">
      <c r="A525" s="29"/>
      <c r="B525" s="29" t="str">
        <f>IFERROR(__xludf.DUMMYFUNCTION("""COMPUTED_VALUE"""),"")</f>
        <v/>
      </c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</row>
    <row r="526">
      <c r="A526" s="29"/>
      <c r="B526" s="29" t="str">
        <f>IFERROR(__xludf.DUMMYFUNCTION("""COMPUTED_VALUE"""),"")</f>
        <v/>
      </c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</row>
    <row r="527">
      <c r="A527" s="29"/>
      <c r="B527" s="29" t="str">
        <f>IFERROR(__xludf.DUMMYFUNCTION("""COMPUTED_VALUE"""),"")</f>
        <v/>
      </c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</row>
    <row r="528">
      <c r="A528" s="29"/>
      <c r="B528" s="29" t="str">
        <f>IFERROR(__xludf.DUMMYFUNCTION("""COMPUTED_VALUE"""),"")</f>
        <v/>
      </c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</row>
    <row r="529">
      <c r="A529" s="29"/>
      <c r="B529" s="29" t="str">
        <f>IFERROR(__xludf.DUMMYFUNCTION("""COMPUTED_VALUE"""),"")</f>
        <v/>
      </c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</row>
    <row r="530">
      <c r="A530" s="29"/>
      <c r="B530" s="29" t="str">
        <f>IFERROR(__xludf.DUMMYFUNCTION("""COMPUTED_VALUE"""),"")</f>
        <v/>
      </c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</row>
    <row r="531">
      <c r="A531" s="29"/>
      <c r="B531" s="29" t="str">
        <f>IFERROR(__xludf.DUMMYFUNCTION("""COMPUTED_VALUE"""),"")</f>
        <v/>
      </c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</row>
    <row r="532">
      <c r="A532" s="29"/>
      <c r="B532" s="29" t="str">
        <f>IFERROR(__xludf.DUMMYFUNCTION("""COMPUTED_VALUE"""),"")</f>
        <v/>
      </c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</row>
    <row r="533">
      <c r="A533" s="29"/>
      <c r="B533" s="29" t="str">
        <f>IFERROR(__xludf.DUMMYFUNCTION("""COMPUTED_VALUE"""),"")</f>
        <v/>
      </c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</row>
    <row r="534">
      <c r="A534" s="29"/>
      <c r="B534" s="29" t="str">
        <f>IFERROR(__xludf.DUMMYFUNCTION("""COMPUTED_VALUE"""),"")</f>
        <v/>
      </c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</row>
    <row r="535">
      <c r="A535" s="29"/>
      <c r="B535" s="29" t="str">
        <f>IFERROR(__xludf.DUMMYFUNCTION("""COMPUTED_VALUE"""),"")</f>
        <v/>
      </c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</row>
    <row r="536">
      <c r="A536" s="29"/>
      <c r="B536" s="29" t="str">
        <f>IFERROR(__xludf.DUMMYFUNCTION("""COMPUTED_VALUE"""),"")</f>
        <v/>
      </c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</row>
    <row r="537">
      <c r="A537" s="29"/>
      <c r="B537" s="29" t="str">
        <f>IFERROR(__xludf.DUMMYFUNCTION("""COMPUTED_VALUE"""),"")</f>
        <v/>
      </c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</row>
    <row r="538">
      <c r="A538" s="29"/>
      <c r="B538" s="29" t="str">
        <f>IFERROR(__xludf.DUMMYFUNCTION("""COMPUTED_VALUE"""),"")</f>
        <v/>
      </c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</row>
    <row r="539">
      <c r="A539" s="29"/>
      <c r="B539" s="29" t="str">
        <f>IFERROR(__xludf.DUMMYFUNCTION("""COMPUTED_VALUE"""),"")</f>
        <v/>
      </c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</row>
    <row r="540">
      <c r="A540" s="29"/>
      <c r="B540" s="29" t="str">
        <f>IFERROR(__xludf.DUMMYFUNCTION("""COMPUTED_VALUE"""),"")</f>
        <v/>
      </c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</row>
    <row r="541">
      <c r="A541" s="29"/>
      <c r="B541" s="29" t="str">
        <f>IFERROR(__xludf.DUMMYFUNCTION("""COMPUTED_VALUE"""),"")</f>
        <v/>
      </c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</row>
    <row r="542">
      <c r="A542" s="29"/>
      <c r="B542" s="29" t="str">
        <f>IFERROR(__xludf.DUMMYFUNCTION("""COMPUTED_VALUE"""),"")</f>
        <v/>
      </c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</row>
    <row r="543">
      <c r="A543" s="29"/>
      <c r="B543" s="29" t="str">
        <f>IFERROR(__xludf.DUMMYFUNCTION("""COMPUTED_VALUE"""),"")</f>
        <v/>
      </c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</row>
    <row r="544">
      <c r="A544" s="29"/>
      <c r="B544" s="29" t="str">
        <f>IFERROR(__xludf.DUMMYFUNCTION("""COMPUTED_VALUE"""),"")</f>
        <v/>
      </c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</row>
    <row r="545">
      <c r="A545" s="29"/>
      <c r="B545" s="29" t="str">
        <f>IFERROR(__xludf.DUMMYFUNCTION("""COMPUTED_VALUE"""),"")</f>
        <v/>
      </c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</row>
    <row r="546">
      <c r="A546" s="29"/>
      <c r="B546" s="29" t="str">
        <f>IFERROR(__xludf.DUMMYFUNCTION("""COMPUTED_VALUE"""),"")</f>
        <v/>
      </c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</row>
    <row r="547">
      <c r="A547" s="29"/>
      <c r="B547" s="29" t="str">
        <f>IFERROR(__xludf.DUMMYFUNCTION("""COMPUTED_VALUE"""),"")</f>
        <v/>
      </c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</row>
    <row r="548">
      <c r="A548" s="29"/>
      <c r="B548" s="29" t="str">
        <f>IFERROR(__xludf.DUMMYFUNCTION("""COMPUTED_VALUE"""),"")</f>
        <v/>
      </c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</row>
    <row r="549">
      <c r="A549" s="29"/>
      <c r="B549" s="29" t="str">
        <f>IFERROR(__xludf.DUMMYFUNCTION("""COMPUTED_VALUE"""),"")</f>
        <v/>
      </c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</row>
    <row r="550">
      <c r="A550" s="29"/>
      <c r="B550" s="29" t="str">
        <f>IFERROR(__xludf.DUMMYFUNCTION("""COMPUTED_VALUE"""),"")</f>
        <v/>
      </c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</row>
    <row r="551">
      <c r="A551" s="29"/>
      <c r="B551" s="29" t="str">
        <f>IFERROR(__xludf.DUMMYFUNCTION("""COMPUTED_VALUE"""),"")</f>
        <v/>
      </c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</row>
    <row r="552">
      <c r="A552" s="29"/>
      <c r="B552" s="29" t="str">
        <f>IFERROR(__xludf.DUMMYFUNCTION("""COMPUTED_VALUE"""),"")</f>
        <v/>
      </c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</row>
    <row r="553">
      <c r="A553" s="29"/>
      <c r="B553" s="29" t="str">
        <f>IFERROR(__xludf.DUMMYFUNCTION("""COMPUTED_VALUE"""),"")</f>
        <v/>
      </c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</row>
    <row r="554">
      <c r="A554" s="29"/>
      <c r="B554" s="29" t="str">
        <f>IFERROR(__xludf.DUMMYFUNCTION("""COMPUTED_VALUE"""),"")</f>
        <v/>
      </c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</row>
    <row r="555">
      <c r="A555" s="29"/>
      <c r="B555" s="29" t="str">
        <f>IFERROR(__xludf.DUMMYFUNCTION("""COMPUTED_VALUE"""),"")</f>
        <v/>
      </c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</row>
    <row r="556">
      <c r="A556" s="29"/>
      <c r="B556" s="29" t="str">
        <f>IFERROR(__xludf.DUMMYFUNCTION("""COMPUTED_VALUE"""),"")</f>
        <v/>
      </c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</row>
    <row r="557">
      <c r="A557" s="29"/>
      <c r="B557" s="29" t="str">
        <f>IFERROR(__xludf.DUMMYFUNCTION("""COMPUTED_VALUE"""),"")</f>
        <v/>
      </c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</row>
  </sheetData>
  <mergeCells count="4">
    <mergeCell ref="A2:A7"/>
    <mergeCell ref="D11:E11"/>
    <mergeCell ref="A11:C11"/>
    <mergeCell ref="K13:W13"/>
  </mergeCells>
  <conditionalFormatting sqref="A1:Q1000 R1:R5 S1:BI1000 BK1:BZ1000 R7:R1000 BJ8:BJ1000">
    <cfRule type="endsWith" dxfId="0" priority="1" operator="endsWith" text=" ">
      <formula>RIGHT((A1),LEN(" "))=(" 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8" width="28.71"/>
  </cols>
  <sheetData>
    <row r="1">
      <c r="A1" s="53" t="s">
        <v>1149</v>
      </c>
      <c r="B1" s="54">
        <v>1.0</v>
      </c>
      <c r="C1" s="54">
        <v>2.0</v>
      </c>
      <c r="D1" s="54">
        <v>3.0</v>
      </c>
      <c r="E1" s="54">
        <v>4.0</v>
      </c>
      <c r="F1" s="54">
        <v>5.0</v>
      </c>
      <c r="G1" s="54">
        <v>6.0</v>
      </c>
      <c r="H1" s="54">
        <v>7.0</v>
      </c>
      <c r="I1" s="54">
        <v>8.0</v>
      </c>
      <c r="J1" s="54">
        <v>9.0</v>
      </c>
      <c r="K1" s="54">
        <v>10.0</v>
      </c>
      <c r="L1" s="54">
        <v>11.0</v>
      </c>
      <c r="M1" s="54">
        <v>12.0</v>
      </c>
      <c r="N1" s="54">
        <v>13.0</v>
      </c>
      <c r="O1" s="54">
        <v>14.0</v>
      </c>
      <c r="P1" s="54">
        <v>15.0</v>
      </c>
      <c r="Q1" s="54">
        <v>16.0</v>
      </c>
      <c r="R1" s="54">
        <v>17.0</v>
      </c>
      <c r="S1" s="54">
        <v>18.0</v>
      </c>
      <c r="T1" s="54">
        <v>19.0</v>
      </c>
      <c r="U1" s="54">
        <v>20.0</v>
      </c>
      <c r="V1" s="54">
        <v>21.0</v>
      </c>
      <c r="W1" s="54">
        <v>22.0</v>
      </c>
      <c r="X1" s="54">
        <v>23.0</v>
      </c>
      <c r="Y1" s="54">
        <v>24.0</v>
      </c>
      <c r="Z1" s="54">
        <v>25.0</v>
      </c>
      <c r="AA1" s="54">
        <v>26.0</v>
      </c>
      <c r="AB1" s="54">
        <v>27.0</v>
      </c>
      <c r="AC1" s="54">
        <v>28.0</v>
      </c>
      <c r="AD1" s="54">
        <v>29.0</v>
      </c>
      <c r="AE1" s="54">
        <v>30.0</v>
      </c>
      <c r="AF1" s="54">
        <v>31.0</v>
      </c>
      <c r="AG1" s="54">
        <v>32.0</v>
      </c>
      <c r="AH1" s="54">
        <v>33.0</v>
      </c>
      <c r="AI1" s="54">
        <v>34.0</v>
      </c>
      <c r="AJ1" s="54">
        <v>35.0</v>
      </c>
      <c r="AK1" s="54">
        <v>36.0</v>
      </c>
      <c r="AL1" s="54">
        <v>37.0</v>
      </c>
      <c r="AM1" s="54">
        <v>38.0</v>
      </c>
      <c r="AN1" s="54">
        <v>39.0</v>
      </c>
      <c r="AO1" s="54">
        <v>40.0</v>
      </c>
      <c r="AP1" s="54">
        <v>41.0</v>
      </c>
      <c r="AQ1" s="54">
        <v>42.0</v>
      </c>
      <c r="AR1" s="54">
        <v>43.0</v>
      </c>
      <c r="AS1" s="54">
        <v>44.0</v>
      </c>
      <c r="AT1" s="54">
        <v>45.0</v>
      </c>
      <c r="AU1" s="54">
        <v>46.0</v>
      </c>
      <c r="AV1" s="54">
        <v>47.0</v>
      </c>
      <c r="AW1" s="54">
        <v>48.0</v>
      </c>
      <c r="AX1" s="54">
        <v>49.0</v>
      </c>
      <c r="AY1" s="54">
        <v>50.0</v>
      </c>
      <c r="AZ1" s="54">
        <v>51.0</v>
      </c>
      <c r="BA1" s="54">
        <v>52.0</v>
      </c>
      <c r="BB1" s="54">
        <v>53.0</v>
      </c>
      <c r="BC1" s="54">
        <v>54.0</v>
      </c>
      <c r="BD1" s="54">
        <v>55.0</v>
      </c>
      <c r="BE1" s="54">
        <v>56.0</v>
      </c>
      <c r="BF1" s="54">
        <v>57.0</v>
      </c>
      <c r="BG1" s="54">
        <v>58.0</v>
      </c>
      <c r="BH1" s="54">
        <v>59.0</v>
      </c>
      <c r="BI1" s="54">
        <v>60.0</v>
      </c>
      <c r="BJ1" s="54">
        <v>61.0</v>
      </c>
      <c r="BK1" s="54">
        <v>62.0</v>
      </c>
      <c r="BL1" s="54">
        <v>63.0</v>
      </c>
      <c r="BM1" s="54">
        <v>64.0</v>
      </c>
      <c r="BN1" s="54">
        <v>65.0</v>
      </c>
      <c r="BO1" s="54">
        <v>66.0</v>
      </c>
      <c r="BP1" s="54">
        <v>67.0</v>
      </c>
      <c r="BQ1" s="54">
        <v>68.0</v>
      </c>
      <c r="BR1" s="54">
        <v>69.0</v>
      </c>
      <c r="BS1" s="54">
        <v>70.0</v>
      </c>
      <c r="BT1" s="54">
        <v>71.0</v>
      </c>
      <c r="BU1" s="54">
        <v>72.0</v>
      </c>
      <c r="BV1" s="54">
        <v>73.0</v>
      </c>
      <c r="BW1" s="54">
        <v>74.0</v>
      </c>
      <c r="BX1" s="54">
        <v>75.0</v>
      </c>
      <c r="BY1" s="54">
        <v>76.0</v>
      </c>
      <c r="BZ1" s="54">
        <v>77.0</v>
      </c>
    </row>
    <row r="2">
      <c r="A2" s="55" t="s">
        <v>22</v>
      </c>
      <c r="B2" s="56" t="str">
        <f>FamillePersonnes!B1</f>
        <v>DPSU</v>
      </c>
      <c r="C2" s="56" t="str">
        <f>FamillePersonnes!C1</f>
        <v>Le Bordel</v>
      </c>
      <c r="D2" s="56" t="str">
        <f>FamillePersonnes!D1</f>
        <v>La Glotte</v>
      </c>
      <c r="E2" s="56" t="str">
        <f>FamillePersonnes!E1</f>
        <v>Consulm3ow</v>
      </c>
      <c r="F2" s="56" t="str">
        <f>FamillePersonnes!F1</f>
        <v>Le Zoo </v>
      </c>
      <c r="G2" s="56" t="str">
        <f>FamillePersonnes!G1</f>
        <v>Beurre salé &amp; chocolatine</v>
      </c>
      <c r="H2" s="56" t="str">
        <f>FamillePersonnes!H1</f>
        <v>Les domineurs</v>
      </c>
      <c r="I2" s="56" t="str">
        <f>FamillePersonnes!I1</f>
        <v>La Comté</v>
      </c>
      <c r="J2" s="56" t="str">
        <f>FamillePersonnes!J1</f>
        <v>La chevroll's </v>
      </c>
      <c r="K2" s="56" t="str">
        <f>FamillePersonnes!K1</f>
        <v>La Tracharnasse</v>
      </c>
      <c r="L2" s="56" t="str">
        <f>FamillePersonnes!L1</f>
        <v>Waltherock</v>
      </c>
      <c r="M2" s="56" t="str">
        <f>FamillePersonnes!M1</f>
        <v>L'Influence</v>
      </c>
      <c r="N2" s="56" t="str">
        <f>FamillePersonnes!N1</f>
        <v>COMA</v>
      </c>
      <c r="O2" s="56" t="str">
        <f>FamillePersonnes!O1</f>
        <v>Mafia</v>
      </c>
      <c r="P2" s="56" t="str">
        <f>FamillePersonnes!P1</f>
        <v>Summerfaigle</v>
      </c>
      <c r="Q2" s="56" t="str">
        <f>FamillePersonnes!Q1</f>
        <v>Nuage</v>
      </c>
      <c r="R2" s="56" t="str">
        <f>FamillePersonnes!R1</f>
        <v>PB</v>
      </c>
      <c r="S2" s="56" t="str">
        <f>FamillePersonnes!S1</f>
        <v>Trident X ChaPau</v>
      </c>
      <c r="T2" s="56" t="str">
        <f>FamillePersonnes!T1</f>
        <v>Galerie ++</v>
      </c>
      <c r="U2" s="56" t="str">
        <f>FamillePersonnes!U1</f>
        <v>Le Corridor</v>
      </c>
      <c r="V2" s="56" t="str">
        <f>FamillePersonnes!V1</f>
        <v>Dark Ludi et ses copines </v>
      </c>
      <c r="W2" s="56" t="str">
        <f>FamillePersonnes!W1</f>
        <v>Dusex</v>
      </c>
      <c r="X2" s="56" t="str">
        <f>FamillePersonnes!X1</f>
        <v>La Roulotte</v>
      </c>
      <c r="Y2" s="56" t="str">
        <f>FamillePersonnes!Y1</f>
        <v>La dezingue</v>
      </c>
      <c r="Z2" s="56" t="str">
        <f>FamillePersonnes!Z1</f>
        <v>Aquamif</v>
      </c>
      <c r="AA2" s="56" t="str">
        <f>FamillePersonnes!AA1</f>
        <v>Les Mages</v>
      </c>
      <c r="AB2" s="56" t="str">
        <f>FamillePersonnes!AB1</f>
        <v>Auberge-Monastère</v>
      </c>
      <c r="AC2" s="56" t="str">
        <f>FamillePersonnes!AC1</f>
        <v>Pimp my Ride</v>
      </c>
      <c r="AD2" s="56" t="str">
        <f>FamillePersonnes!AD1</f>
        <v>La 4 étoiles</v>
      </c>
      <c r="AE2" s="56" t="str">
        <f>FamillePersonnes!AE1</f>
        <v>Le Donjon</v>
      </c>
      <c r="AF2" s="56" t="str">
        <f>FamillePersonnes!AF1</f>
        <v>Malandros Team</v>
      </c>
      <c r="AG2" s="56" t="str">
        <f>FamillePersonnes!AG1</f>
        <v>Barton</v>
      </c>
      <c r="AH2" s="56" t="str">
        <f>FamillePersonnes!AH1</f>
        <v>La Crypte</v>
      </c>
      <c r="AI2" s="56" t="str">
        <f>FamillePersonnes!AI1</f>
        <v>Jodyssée</v>
      </c>
      <c r="AJ2" s="56" t="str">
        <f>FamillePersonnes!AJ1</f>
        <v>Les trutitas</v>
      </c>
      <c r="AK2" s="56" t="str">
        <f>FamillePersonnes!AK1</f>
        <v>Les grosses cochonnes</v>
      </c>
      <c r="AL2" s="56" t="str">
        <f>FamillePersonnes!AL1</f>
        <v>Sans-abri </v>
      </c>
      <c r="AM2" s="56" t="str">
        <f>FamillePersonnes!AM1</f>
        <v>Le Panthéon</v>
      </c>
      <c r="AN2" s="56" t="str">
        <f>FamillePersonnes!AN1</f>
        <v>la team corlay</v>
      </c>
      <c r="AO2" s="56" t="str">
        <f>FamillePersonnes!AO1</f>
        <v>Les fortiches</v>
      </c>
      <c r="AP2" s="56" t="str">
        <f>FamillePersonnes!AP1</f>
        <v>LePatio</v>
      </c>
      <c r="AQ2" s="56" t="str">
        <f>FamillePersonnes!AQ1</f>
        <v>Les coulisses</v>
      </c>
      <c r="AR2" s="56" t="str">
        <f>FamillePersonnes!AR1</f>
        <v>RACLETENTOUTAN</v>
      </c>
      <c r="AS2" s="56" t="str">
        <f>FamillePersonnes!AS1</f>
        <v>La boisson</v>
      </c>
      <c r="AT2" s="56" t="str">
        <f>FamillePersonnes!AT1</f>
        <v>Le squat</v>
      </c>
      <c r="AU2" s="56" t="str">
        <f>FamillePersonnes!AU1</f>
        <v>Les topeurs</v>
      </c>
      <c r="AV2" s="56" t="str">
        <f>FamillePersonnes!AV1</f>
        <v>azerty44</v>
      </c>
      <c r="AW2" s="56" t="str">
        <f>FamillePersonnes!AW1</f>
        <v>Parainplégiques</v>
      </c>
      <c r="AX2" s="56" t="str">
        <f>FamillePersonnes!AX1</f>
        <v>Le Kraal</v>
      </c>
      <c r="AY2" s="56" t="str">
        <f>FamillePersonnes!AY1</f>
        <v>Discorde</v>
      </c>
      <c r="AZ2" s="56" t="str">
        <f>FamillePersonnes!AZ1</f>
        <v>BBC</v>
      </c>
      <c r="BA2" s="56" t="str">
        <f>FamillePersonnes!BA1</f>
        <v>EI3 mous cancer</v>
      </c>
      <c r="BB2" s="56" t="str">
        <f>FamillePersonnes!BB1</f>
        <v>Badge</v>
      </c>
      <c r="BC2" s="56" t="str">
        <f>FamillePersonnes!BC1</f>
        <v>l'Alliance</v>
      </c>
      <c r="BD2" s="56" t="str">
        <f>FamillePersonnes!BD1</f>
        <v>Grande Famille</v>
      </c>
      <c r="BE2" s="56" t="str">
        <f>FamillePersonnes!BE1</f>
        <v>La vigie</v>
      </c>
      <c r="BF2" s="56" t="str">
        <f>FamillePersonnes!BF1</f>
        <v>Los Insoportables </v>
      </c>
      <c r="BG2" s="56" t="str">
        <f>FamillePersonnes!BG1</f>
        <v>Les 6 salopards</v>
      </c>
      <c r="BH2" s="56" t="str">
        <f>FamillePersonnes!BH1</f>
        <v>Les cyclistes</v>
      </c>
      <c r="BI2" s="56" t="str">
        <f>FamillePersonnes!BI1</f>
        <v>Juaman’GI Reloaded</v>
      </c>
      <c r="BJ2" s="56"/>
      <c r="BK2" s="56"/>
      <c r="BL2" s="56" t="str">
        <f>FamillePersonnes!BL1</f>
        <v/>
      </c>
      <c r="BM2" s="56" t="str">
        <f>FamillePersonnes!BM1</f>
        <v/>
      </c>
      <c r="BN2" s="56" t="str">
        <f>FamillePersonnes!BN1</f>
        <v/>
      </c>
      <c r="BO2" s="56" t="str">
        <f>FamillePersonnes!BO1</f>
        <v/>
      </c>
      <c r="BP2" s="56" t="str">
        <f>FamillePersonnes!BP1</f>
        <v/>
      </c>
      <c r="BQ2" s="56" t="str">
        <f>FamillePersonnes!BQ1</f>
        <v/>
      </c>
      <c r="BR2" s="56" t="str">
        <f>FamillePersonnes!BR1</f>
        <v/>
      </c>
      <c r="BS2" s="56" t="str">
        <f>FamillePersonnes!BS1</f>
        <v/>
      </c>
      <c r="BT2" s="56" t="str">
        <f>FamillePersonnes!BT1</f>
        <v/>
      </c>
      <c r="BU2" s="56" t="str">
        <f>FamillePersonnes!BU1</f>
        <v/>
      </c>
      <c r="BV2" s="56" t="str">
        <f>FamillePersonnes!BV1</f>
        <v/>
      </c>
      <c r="BW2" s="56" t="str">
        <f>FamillePersonnes!BW1</f>
        <v/>
      </c>
      <c r="BX2" s="56" t="str">
        <f>FamillePersonnes!BX1</f>
        <v/>
      </c>
      <c r="BY2" s="56" t="str">
        <f>FamillePersonnes!BY1</f>
        <v/>
      </c>
      <c r="BZ2" s="56" t="str">
        <f>FamillePersonnes!BZ1</f>
        <v/>
      </c>
    </row>
    <row r="3">
      <c r="A3" s="57" t="s">
        <v>1150</v>
      </c>
      <c r="B3" s="58">
        <f>COUNTA(FamillePersonnes!B2:B7)</f>
        <v>6</v>
      </c>
      <c r="C3" s="58">
        <f>COUNTA(FamillePersonnes!C2:C7)</f>
        <v>3</v>
      </c>
      <c r="D3" s="58">
        <f>COUNTA(FamillePersonnes!D2:D7)</f>
        <v>5</v>
      </c>
      <c r="E3" s="58">
        <f>COUNTA(FamillePersonnes!E2:E7)</f>
        <v>6</v>
      </c>
      <c r="F3" s="58">
        <f>COUNTA(FamillePersonnes!F2:F7)</f>
        <v>4</v>
      </c>
      <c r="G3" s="58">
        <f>COUNTA(FamillePersonnes!G2:G7)</f>
        <v>4</v>
      </c>
      <c r="H3" s="58">
        <f>COUNTA(FamillePersonnes!H2:H7)</f>
        <v>6</v>
      </c>
      <c r="I3" s="58">
        <f>COUNTA(FamillePersonnes!I2:I7)</f>
        <v>6</v>
      </c>
      <c r="J3" s="58">
        <f>COUNTA(FamillePersonnes!J2:J7)</f>
        <v>5</v>
      </c>
      <c r="K3" s="58">
        <f>COUNTA(FamillePersonnes!K2:K7)</f>
        <v>5</v>
      </c>
      <c r="L3" s="58">
        <f>COUNTA(FamillePersonnes!L2:L7)</f>
        <v>5</v>
      </c>
      <c r="M3" s="58">
        <f>COUNTA(FamillePersonnes!M2:M7)</f>
        <v>5</v>
      </c>
      <c r="N3" s="58">
        <f>COUNTA(FamillePersonnes!N2:N7)</f>
        <v>6</v>
      </c>
      <c r="O3" s="58">
        <f>COUNTA(FamillePersonnes!O2:O7)</f>
        <v>6</v>
      </c>
      <c r="P3" s="58">
        <f>COUNTA(FamillePersonnes!P2:P7)</f>
        <v>6</v>
      </c>
      <c r="Q3" s="58">
        <f>COUNTA(FamillePersonnes!Q2:Q7)</f>
        <v>5</v>
      </c>
      <c r="R3" s="58">
        <f>COUNTA(FamillePersonnes!R2:R7)</f>
        <v>4</v>
      </c>
      <c r="S3" s="58">
        <f>COUNTA(FamillePersonnes!S2:S7)</f>
        <v>6</v>
      </c>
      <c r="T3" s="58">
        <f>COUNTA(FamillePersonnes!T2:T7)</f>
        <v>6</v>
      </c>
      <c r="U3" s="58">
        <f>COUNTA(FamillePersonnes!U2:U7)</f>
        <v>4</v>
      </c>
      <c r="V3" s="58">
        <f>COUNTA(FamillePersonnes!V2:V7)</f>
        <v>4</v>
      </c>
      <c r="W3" s="58">
        <f>COUNTA(FamillePersonnes!W2:W7)</f>
        <v>6</v>
      </c>
      <c r="X3" s="58">
        <f>COUNTA(FamillePersonnes!X2:X7)</f>
        <v>4</v>
      </c>
      <c r="Y3" s="58">
        <f>COUNTA(FamillePersonnes!Y2:Y7)</f>
        <v>6</v>
      </c>
      <c r="Z3" s="58">
        <f>COUNTA(FamillePersonnes!Z2:Z7)</f>
        <v>4</v>
      </c>
      <c r="AA3" s="58">
        <f>COUNTA(FamillePersonnes!AA2:AA7)</f>
        <v>4</v>
      </c>
      <c r="AB3" s="58">
        <f>COUNTA(FamillePersonnes!AB2:AB7)</f>
        <v>6</v>
      </c>
      <c r="AC3" s="58">
        <f>COUNTA(FamillePersonnes!AC2:AC7)</f>
        <v>6</v>
      </c>
      <c r="AD3" s="58">
        <f>COUNTA(FamillePersonnes!AD2:AD7)</f>
        <v>4</v>
      </c>
      <c r="AE3" s="58">
        <f>COUNTA(FamillePersonnes!AE2:AE7)</f>
        <v>5</v>
      </c>
      <c r="AF3" s="58">
        <f>COUNTA(FamillePersonnes!AF2:AF7)</f>
        <v>4</v>
      </c>
      <c r="AG3" s="58">
        <f>COUNTA(FamillePersonnes!AG2:AG7)</f>
        <v>6</v>
      </c>
      <c r="AH3" s="58">
        <f>COUNTA(FamillePersonnes!AH2:AH7)</f>
        <v>5</v>
      </c>
      <c r="AI3" s="58">
        <f>COUNTA(FamillePersonnes!AI2:AI7)</f>
        <v>5</v>
      </c>
      <c r="AJ3" s="58">
        <f>COUNTA(FamillePersonnes!AJ2:AJ7)</f>
        <v>6</v>
      </c>
      <c r="AK3" s="58">
        <f>COUNTA(FamillePersonnes!AK2:AK7)</f>
        <v>4</v>
      </c>
      <c r="AL3" s="58">
        <f>COUNTA(FamillePersonnes!AL2:AL7)</f>
        <v>5</v>
      </c>
      <c r="AM3" s="58">
        <f>COUNTA(FamillePersonnes!AM2:AM7)</f>
        <v>5</v>
      </c>
      <c r="AN3" s="58">
        <f>COUNTA(FamillePersonnes!AN2:AN7)</f>
        <v>4</v>
      </c>
      <c r="AO3" s="58">
        <f>COUNTA(FamillePersonnes!AO2:AO7)</f>
        <v>5</v>
      </c>
      <c r="AP3" s="58">
        <f>COUNTA(FamillePersonnes!AP2:AP7)</f>
        <v>6</v>
      </c>
      <c r="AQ3" s="58">
        <f>COUNTA(FamillePersonnes!AQ2:AQ7)</f>
        <v>3</v>
      </c>
      <c r="AR3" s="58">
        <f>COUNTA(FamillePersonnes!AR2:AR7)</f>
        <v>5</v>
      </c>
      <c r="AS3" s="58">
        <f>COUNTA(FamillePersonnes!AS2:AS7)</f>
        <v>4</v>
      </c>
      <c r="AT3" s="58">
        <f>COUNTA(FamillePersonnes!AT2:AT7)</f>
        <v>6</v>
      </c>
      <c r="AU3" s="58">
        <f>COUNTA(FamillePersonnes!AU2:AU7)</f>
        <v>3</v>
      </c>
      <c r="AV3" s="58">
        <f>COUNTA(FamillePersonnes!AV2:AV7)</f>
        <v>4</v>
      </c>
      <c r="AW3" s="58">
        <f>COUNTA(FamillePersonnes!AW2:AW7)</f>
        <v>5</v>
      </c>
      <c r="AX3" s="58">
        <f>COUNTA(FamillePersonnes!AX2:AX7)</f>
        <v>5</v>
      </c>
      <c r="AY3" s="58">
        <f>COUNTA(FamillePersonnes!AY2:AY7)</f>
        <v>4</v>
      </c>
      <c r="AZ3" s="58">
        <f>COUNTA(FamillePersonnes!AZ2:AZ7)</f>
        <v>3</v>
      </c>
      <c r="BA3" s="58">
        <f>COUNTA(FamillePersonnes!BA2:BA7)</f>
        <v>6</v>
      </c>
      <c r="BB3" s="58">
        <f>COUNTA(FamillePersonnes!BB2:BB7)</f>
        <v>3</v>
      </c>
      <c r="BC3" s="58">
        <f>COUNTA(FamillePersonnes!BC2:BC7)</f>
        <v>5</v>
      </c>
      <c r="BD3" s="58">
        <f>COUNTA(FamillePersonnes!BD2:BD7)</f>
        <v>3</v>
      </c>
      <c r="BE3" s="58">
        <f>COUNTA(FamillePersonnes!BE2:BE7)</f>
        <v>4</v>
      </c>
      <c r="BF3" s="58">
        <f>COUNTA(FamillePersonnes!BF2:BF7)</f>
        <v>6</v>
      </c>
      <c r="BG3" s="58">
        <f>COUNTA(FamillePersonnes!BG2:BG7)</f>
        <v>6</v>
      </c>
      <c r="BH3" s="58">
        <f>COUNTA(FamillePersonnes!BH2:BH7)</f>
        <v>4</v>
      </c>
      <c r="BI3" s="58">
        <f>COUNTA(FamillePersonnes!BI2:BI7)</f>
        <v>5</v>
      </c>
      <c r="BJ3" s="58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/>
    </row>
    <row r="6">
      <c r="A6" s="61" t="str">
        <f>FamillePersonnes!A1</f>
        <v>Familles :</v>
      </c>
      <c r="B6" s="61" t="str">
        <f>FamillePersonnes!B1</f>
        <v>DPSU</v>
      </c>
      <c r="C6" s="61" t="str">
        <f>FamillePersonnes!C1</f>
        <v>Le Bordel</v>
      </c>
      <c r="D6" s="61" t="str">
        <f>FamillePersonnes!D1</f>
        <v>La Glotte</v>
      </c>
      <c r="E6" s="61" t="str">
        <f>FamillePersonnes!E1</f>
        <v>Consulm3ow</v>
      </c>
      <c r="F6" s="61" t="str">
        <f>FamillePersonnes!F1</f>
        <v>Le Zoo </v>
      </c>
      <c r="G6" s="61" t="str">
        <f>FamillePersonnes!G1</f>
        <v>Beurre salé &amp; chocolatine</v>
      </c>
      <c r="H6" s="61" t="str">
        <f>FamillePersonnes!H1</f>
        <v>Les domineurs</v>
      </c>
      <c r="I6" s="61" t="str">
        <f>FamillePersonnes!I1</f>
        <v>La Comté</v>
      </c>
      <c r="J6" s="61" t="str">
        <f>FamillePersonnes!J1</f>
        <v>La chevroll's </v>
      </c>
      <c r="K6" s="61" t="str">
        <f>FamillePersonnes!K1</f>
        <v>La Tracharnasse</v>
      </c>
      <c r="L6" s="61" t="str">
        <f>FamillePersonnes!L1</f>
        <v>Waltherock</v>
      </c>
      <c r="M6" s="61" t="str">
        <f>FamillePersonnes!M1</f>
        <v>L'Influence</v>
      </c>
      <c r="N6" s="61" t="str">
        <f>FamillePersonnes!N1</f>
        <v>COMA</v>
      </c>
      <c r="O6" s="61" t="str">
        <f>FamillePersonnes!O1</f>
        <v>Mafia</v>
      </c>
      <c r="P6" s="61" t="str">
        <f>FamillePersonnes!P1</f>
        <v>Summerfaigle</v>
      </c>
      <c r="Q6" s="61" t="str">
        <f>FamillePersonnes!Q1</f>
        <v>Nuage</v>
      </c>
      <c r="R6" s="61" t="str">
        <f>FamillePersonnes!R1</f>
        <v>PB</v>
      </c>
      <c r="S6" s="61" t="str">
        <f>FamillePersonnes!S1</f>
        <v>Trident X ChaPau</v>
      </c>
      <c r="T6" s="61" t="str">
        <f>FamillePersonnes!T1</f>
        <v>Galerie ++</v>
      </c>
      <c r="U6" s="61" t="str">
        <f>FamillePersonnes!U1</f>
        <v>Le Corridor</v>
      </c>
      <c r="V6" s="61" t="str">
        <f>FamillePersonnes!V1</f>
        <v>Dark Ludi et ses copines </v>
      </c>
      <c r="W6" s="61" t="str">
        <f>FamillePersonnes!W1</f>
        <v>Dusex</v>
      </c>
      <c r="X6" s="61" t="str">
        <f>FamillePersonnes!X1</f>
        <v>La Roulotte</v>
      </c>
      <c r="Y6" s="61" t="str">
        <f>FamillePersonnes!Y1</f>
        <v>La dezingue</v>
      </c>
      <c r="Z6" s="61" t="str">
        <f>FamillePersonnes!Z1</f>
        <v>Aquamif</v>
      </c>
      <c r="AA6" s="61" t="str">
        <f>FamillePersonnes!AA1</f>
        <v>Les Mages</v>
      </c>
      <c r="AB6" s="61" t="str">
        <f>FamillePersonnes!AB1</f>
        <v>Auberge-Monastère</v>
      </c>
      <c r="AC6" s="61" t="str">
        <f>FamillePersonnes!AC1</f>
        <v>Pimp my Ride</v>
      </c>
      <c r="AD6" s="61" t="str">
        <f>FamillePersonnes!AD1</f>
        <v>La 4 étoiles</v>
      </c>
      <c r="AE6" s="61" t="str">
        <f>FamillePersonnes!AE1</f>
        <v>Le Donjon</v>
      </c>
      <c r="AF6" s="61" t="str">
        <f>FamillePersonnes!AF1</f>
        <v>Malandros Team</v>
      </c>
      <c r="AG6" s="61" t="str">
        <f>FamillePersonnes!AG1</f>
        <v>Barton</v>
      </c>
      <c r="AH6" s="61" t="str">
        <f>FamillePersonnes!AH1</f>
        <v>La Crypte</v>
      </c>
      <c r="AI6" s="61" t="str">
        <f>FamillePersonnes!AI1</f>
        <v>Jodyssée</v>
      </c>
      <c r="AJ6" s="61" t="str">
        <f>FamillePersonnes!AJ1</f>
        <v>Les trutitas</v>
      </c>
      <c r="AK6" s="61" t="str">
        <f>FamillePersonnes!AK1</f>
        <v>Les grosses cochonnes</v>
      </c>
      <c r="AL6" s="61" t="str">
        <f>FamillePersonnes!AL1</f>
        <v>Sans-abri </v>
      </c>
      <c r="AM6" s="61" t="str">
        <f>FamillePersonnes!AM1</f>
        <v>Le Panthéon</v>
      </c>
      <c r="AN6" s="61" t="str">
        <f>FamillePersonnes!AN1</f>
        <v>la team corlay</v>
      </c>
      <c r="AO6" s="61" t="str">
        <f>FamillePersonnes!AO1</f>
        <v>Les fortiches</v>
      </c>
      <c r="AP6" s="61" t="str">
        <f>FamillePersonnes!AP1</f>
        <v>LePatio</v>
      </c>
      <c r="AQ6" s="61" t="str">
        <f>FamillePersonnes!AQ1</f>
        <v>Les coulisses</v>
      </c>
      <c r="AR6" s="61" t="str">
        <f>FamillePersonnes!AR1</f>
        <v>RACLETENTOUTAN</v>
      </c>
      <c r="AS6" s="61" t="str">
        <f>FamillePersonnes!AS1</f>
        <v>La boisson</v>
      </c>
      <c r="AT6" s="61" t="str">
        <f>FamillePersonnes!AT1</f>
        <v>Le squat</v>
      </c>
      <c r="AU6" s="61" t="str">
        <f>FamillePersonnes!AU1</f>
        <v>Les topeurs</v>
      </c>
      <c r="AV6" s="61" t="str">
        <f>FamillePersonnes!AV1</f>
        <v>azerty44</v>
      </c>
      <c r="AW6" s="61" t="str">
        <f>FamillePersonnes!AW1</f>
        <v>Parainplégiques</v>
      </c>
      <c r="AX6" s="61" t="str">
        <f>FamillePersonnes!AX1</f>
        <v>Le Kraal</v>
      </c>
      <c r="AY6" s="61" t="str">
        <f>FamillePersonnes!AY1</f>
        <v>Discorde</v>
      </c>
      <c r="AZ6" s="61" t="str">
        <f>FamillePersonnes!AZ1</f>
        <v>BBC</v>
      </c>
      <c r="BA6" s="61" t="str">
        <f>FamillePersonnes!BA1</f>
        <v>EI3 mous cancer</v>
      </c>
      <c r="BB6" s="61" t="str">
        <f>FamillePersonnes!BB1</f>
        <v>Badge</v>
      </c>
      <c r="BC6" s="61" t="str">
        <f>FamillePersonnes!BC1</f>
        <v>l'Alliance</v>
      </c>
      <c r="BD6" s="61" t="str">
        <f>FamillePersonnes!BD1</f>
        <v>Grande Famille</v>
      </c>
      <c r="BE6" s="61" t="str">
        <f>FamillePersonnes!BE1</f>
        <v>La vigie</v>
      </c>
      <c r="BF6" s="61" t="str">
        <f>FamillePersonnes!BF1</f>
        <v>Los Insoportables </v>
      </c>
      <c r="BG6" s="61" t="str">
        <f>FamillePersonnes!BG1</f>
        <v>Les 6 salopards</v>
      </c>
      <c r="BH6" s="61" t="str">
        <f>FamillePersonnes!BH1</f>
        <v>Les cyclistes</v>
      </c>
      <c r="BI6" s="61" t="str">
        <f>FamillePersonnes!BI1</f>
        <v>Juaman’GI Reloaded</v>
      </c>
      <c r="BJ6" s="61" t="str">
        <f>FamillePersonnes!BJ1</f>
        <v/>
      </c>
      <c r="BK6" s="61" t="str">
        <f>FamillePersonnes!BK1</f>
        <v/>
      </c>
      <c r="BL6" s="61" t="str">
        <f>FamillePersonnes!BL1</f>
        <v/>
      </c>
      <c r="BM6" s="61" t="str">
        <f>FamillePersonnes!BM1</f>
        <v/>
      </c>
      <c r="BN6" s="61" t="str">
        <f>FamillePersonnes!BN1</f>
        <v/>
      </c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/>
    </row>
    <row r="7">
      <c r="A7" s="61" t="str">
        <f>FamillePersonnes!A2</f>
        <v>Personnes :</v>
      </c>
      <c r="B7" s="61" t="str">
        <f>FamillePersonnes!B2</f>
        <v>Michel Qu</v>
      </c>
      <c r="C7" s="61" t="str">
        <f>FamillePersonnes!C2</f>
        <v>Alexis Birée</v>
      </c>
      <c r="D7" s="61" t="str">
        <f>FamillePersonnes!D2</f>
        <v>Pablo CARDONA ALVAREZ</v>
      </c>
      <c r="E7" s="61" t="str">
        <f>FamillePersonnes!E2</f>
        <v>Enzo MORI</v>
      </c>
      <c r="F7" s="61" t="str">
        <f>FamillePersonnes!F2</f>
        <v>Laura BOIS</v>
      </c>
      <c r="G7" s="61" t="str">
        <f>FamillePersonnes!G2</f>
        <v>Guillaume SALUDEN</v>
      </c>
      <c r="H7" s="61" t="str">
        <f>FamillePersonnes!H2</f>
        <v>Louis Duhem</v>
      </c>
      <c r="I7" s="61" t="str">
        <f>FamillePersonnes!I2</f>
        <v>Adrien COCHARD</v>
      </c>
      <c r="J7" s="61" t="str">
        <f>FamillePersonnes!J2</f>
        <v>Tom Aubelle</v>
      </c>
      <c r="K7" s="61" t="str">
        <f>FamillePersonnes!K2</f>
        <v>Julie Ugolini</v>
      </c>
      <c r="L7" s="61" t="str">
        <f>FamillePersonnes!L2</f>
        <v>Constance Kooyman</v>
      </c>
      <c r="M7" s="61" t="str">
        <f>FamillePersonnes!M2</f>
        <v>Mathieu KERMAREC</v>
      </c>
      <c r="N7" s="61" t="str">
        <f>FamillePersonnes!N2</f>
        <v>Thomas Serratrice</v>
      </c>
      <c r="O7" s="61" t="str">
        <f>FamillePersonnes!O2</f>
        <v>Cédric DUSSERRE</v>
      </c>
      <c r="P7" s="61" t="str">
        <f>FamillePersonnes!P2</f>
        <v>Agathe MADAULE</v>
      </c>
      <c r="Q7" s="61" t="str">
        <f>FamillePersonnes!Q2</f>
        <v>Marie Cozzi</v>
      </c>
      <c r="R7" s="61" t="str">
        <f>FamillePersonnes!R2</f>
        <v>Charles-Eole MARICHAL</v>
      </c>
      <c r="S7" s="61" t="str">
        <f>FamillePersonnes!S2</f>
        <v>Charlotte Fosse</v>
      </c>
      <c r="T7" s="61" t="str">
        <f>FamillePersonnes!T2</f>
        <v>Marie VIOLLEAU</v>
      </c>
      <c r="U7" s="61" t="str">
        <f>FamillePersonnes!U2</f>
        <v>Paul MARTEL</v>
      </c>
      <c r="V7" s="61" t="str">
        <f>FamillePersonnes!V2</f>
        <v>Lisa SAVARIEAU</v>
      </c>
      <c r="W7" s="61" t="str">
        <f>FamillePersonnes!W2</f>
        <v>Jules SINTES</v>
      </c>
      <c r="X7" s="61" t="str">
        <f>FamillePersonnes!X2</f>
        <v>Ferreol GORIOUX</v>
      </c>
      <c r="Y7" s="61" t="str">
        <f>FamillePersonnes!Y2</f>
        <v>Thomas SAEZ</v>
      </c>
      <c r="Z7" s="61" t="str">
        <f>FamillePersonnes!Z2</f>
        <v>Thomas MEDORI</v>
      </c>
      <c r="AA7" s="61" t="str">
        <f>FamillePersonnes!AA2</f>
        <v>Benjamin Martin</v>
      </c>
      <c r="AB7" s="61" t="str">
        <f>FamillePersonnes!AB2</f>
        <v>Pauline AUBRY</v>
      </c>
      <c r="AC7" s="61" t="str">
        <f>FamillePersonnes!AC2</f>
        <v>Sol VILLEGAS</v>
      </c>
      <c r="AD7" s="61" t="str">
        <f>FamillePersonnes!AD2</f>
        <v>Alizée DIATCHENKO</v>
      </c>
      <c r="AE7" s="61" t="str">
        <f>FamillePersonnes!AE2</f>
        <v>Nicolas GUYONNEAU</v>
      </c>
      <c r="AF7" s="61" t="str">
        <f>FamillePersonnes!AF2</f>
        <v>Juan Felipe GÓMEZ ALFARO</v>
      </c>
      <c r="AG7" s="61" t="str">
        <f>FamillePersonnes!AG2</f>
        <v>Alban VILLEDIEU</v>
      </c>
      <c r="AH7" s="61" t="str">
        <f>FamillePersonnes!AH2</f>
        <v>Marius DUVILLARD</v>
      </c>
      <c r="AI7" s="61" t="str">
        <f>FamillePersonnes!AI2</f>
        <v>Juline CORNET-GOY</v>
      </c>
      <c r="AJ7" s="61" t="str">
        <f>FamillePersonnes!AJ2</f>
        <v>Maxence PASCAL</v>
      </c>
      <c r="AK7" s="61" t="str">
        <f>FamillePersonnes!AK2</f>
        <v>Léa SCETBUN</v>
      </c>
      <c r="AL7" s="61" t="str">
        <f>FamillePersonnes!AL2</f>
        <v>Solene LE FUR</v>
      </c>
      <c r="AM7" s="61" t="str">
        <f>FamillePersonnes!AM2</f>
        <v>Pierre MAQUET</v>
      </c>
      <c r="AN7" s="61" t="str">
        <f>FamillePersonnes!AN2</f>
        <v>simeo Potiron</v>
      </c>
      <c r="AO7" s="61" t="str">
        <f>FamillePersonnes!AO2</f>
        <v>Grégoire Turzo</v>
      </c>
      <c r="AP7" s="61" t="str">
        <f>FamillePersonnes!AP2</f>
        <v>Moens Diego</v>
      </c>
      <c r="AQ7" s="61" t="str">
        <f>FamillePersonnes!AQ2</f>
        <v>Baptiste Marlet</v>
      </c>
      <c r="AR7" s="61" t="str">
        <f>FamillePersonnes!AR2</f>
        <v>Maximilien LESSAULT</v>
      </c>
      <c r="AS7" s="61" t="str">
        <f>FamillePersonnes!AS2</f>
        <v>Pierre BOURREAU</v>
      </c>
      <c r="AT7" s="61" t="str">
        <f>FamillePersonnes!AT2</f>
        <v>Charlotte BEAUNE</v>
      </c>
      <c r="AU7" s="61" t="str">
        <f>FamillePersonnes!AU2</f>
        <v>Louis LEQUES</v>
      </c>
      <c r="AV7" s="61" t="str">
        <f>FamillePersonnes!AV2</f>
        <v>Mathis CELCE</v>
      </c>
      <c r="AW7" s="61" t="str">
        <f>FamillePersonnes!AW2</f>
        <v>Théo Hennion</v>
      </c>
      <c r="AX7" s="61" t="str">
        <f>FamillePersonnes!AX2</f>
        <v>Cyriane BIENVENUE</v>
      </c>
      <c r="AY7" s="61" t="str">
        <f>FamillePersonnes!AY2</f>
        <v>Amine CHEKROUD</v>
      </c>
      <c r="AZ7" s="61" t="str">
        <f>FamillePersonnes!AZ2</f>
        <v>Arthur LEMASSON</v>
      </c>
      <c r="BA7" s="61" t="str">
        <f>FamillePersonnes!BA2</f>
        <v>Antoine DAROUX</v>
      </c>
      <c r="BB7" s="61" t="str">
        <f>FamillePersonnes!BB2</f>
        <v>Eric Ali Mehenni</v>
      </c>
      <c r="BC7" s="61" t="str">
        <f>FamillePersonnes!BC2</f>
        <v>Ruben MATONDZI</v>
      </c>
      <c r="BD7" s="61" t="str">
        <f>FamillePersonnes!BD2</f>
        <v>TOMAZ AMORIM</v>
      </c>
      <c r="BE7" s="61" t="str">
        <f>FamillePersonnes!BE2</f>
        <v>Corentin GILBERT</v>
      </c>
      <c r="BF7" s="61" t="str">
        <f>FamillePersonnes!BF2</f>
        <v>Sergio MORENO LÓPEZ</v>
      </c>
      <c r="BG7" s="61" t="str">
        <f>FamillePersonnes!BG2</f>
        <v>Pierre Libault</v>
      </c>
      <c r="BH7" s="61" t="str">
        <f>FamillePersonnes!BH2</f>
        <v>Romain SUCCHE</v>
      </c>
      <c r="BI7" s="61" t="str">
        <f>FamillePersonnes!BI2</f>
        <v>Paul SAUBION</v>
      </c>
      <c r="BJ7" s="61" t="str">
        <f>FamillePersonnes!BJ2</f>
        <v/>
      </c>
      <c r="BK7" s="61" t="str">
        <f>FamillePersonnes!BK2</f>
        <v/>
      </c>
      <c r="BL7" s="61" t="str">
        <f>FamillePersonnes!BL2</f>
        <v/>
      </c>
      <c r="BM7" s="61" t="str">
        <f>FamillePersonnes!BM2</f>
        <v/>
      </c>
      <c r="BN7" s="61" t="str">
        <f>FamillePersonnes!BN2</f>
        <v/>
      </c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/>
    </row>
    <row r="8">
      <c r="A8" s="61" t="str">
        <f>FamillePersonnes!A3</f>
        <v/>
      </c>
      <c r="B8" s="61" t="str">
        <f>FamillePersonnes!B3</f>
        <v>Marie BOUTROUX</v>
      </c>
      <c r="C8" s="61" t="str">
        <f>FamillePersonnes!C3</f>
        <v>Laura DRAUX</v>
      </c>
      <c r="D8" s="61" t="str">
        <f>FamillePersonnes!D3</f>
        <v>Maelig GABORIEAU</v>
      </c>
      <c r="E8" s="61" t="str">
        <f>FamillePersonnes!E3</f>
        <v>Victor VINCENT DE LESTRADE</v>
      </c>
      <c r="F8" s="61" t="str">
        <f>FamillePersonnes!F3</f>
        <v>Dimitri DEGONHIER</v>
      </c>
      <c r="G8" s="61" t="str">
        <f>FamillePersonnes!G3</f>
        <v>Gonzalez JoseRi 😇</v>
      </c>
      <c r="H8" s="61" t="str">
        <f>FamillePersonnes!H3</f>
        <v>Vincent PASCAT</v>
      </c>
      <c r="I8" s="61" t="str">
        <f>FamillePersonnes!I3</f>
        <v>Pauline Viault</v>
      </c>
      <c r="J8" s="61" t="str">
        <f>FamillePersonnes!J3</f>
        <v>Joanna MARTIN</v>
      </c>
      <c r="K8" s="61" t="str">
        <f>FamillePersonnes!K3</f>
        <v>Marie POIRIER</v>
      </c>
      <c r="L8" s="61" t="str">
        <f>FamillePersonnes!L3</f>
        <v>Damien GUYONVARCH</v>
      </c>
      <c r="M8" s="61" t="str">
        <f>FamillePersonnes!M3</f>
        <v>Thomas LE JAN</v>
      </c>
      <c r="N8" s="61" t="str">
        <f>FamillePersonnes!N3</f>
        <v>Grégory Perret</v>
      </c>
      <c r="O8" s="61" t="str">
        <f>FamillePersonnes!O3</f>
        <v>Julien Douxami</v>
      </c>
      <c r="P8" s="61" t="str">
        <f>FamillePersonnes!P3</f>
        <v>Valentine KEMPF</v>
      </c>
      <c r="Q8" s="61" t="str">
        <f>FamillePersonnes!Q3</f>
        <v>Justin Becker</v>
      </c>
      <c r="R8" s="61" t="str">
        <f>FamillePersonnes!R3</f>
        <v>J'ui une grosse pute</v>
      </c>
      <c r="S8" s="61" t="str">
        <f>FamillePersonnes!S3</f>
        <v>Aurélien DE LA HOUGUE</v>
      </c>
      <c r="T8" s="61" t="str">
        <f>FamillePersonnes!T3</f>
        <v>Mathieu ZACH</v>
      </c>
      <c r="U8" s="61" t="str">
        <f>FamillePersonnes!U3</f>
        <v>Pierre-Louis lombard</v>
      </c>
      <c r="V8" s="61" t="str">
        <f>FamillePersonnes!V3</f>
        <v>Ludivine LUXEY</v>
      </c>
      <c r="W8" s="61" t="str">
        <f>FamillePersonnes!W3</f>
        <v>Emeric Claudel</v>
      </c>
      <c r="X8" s="61" t="str">
        <f>FamillePersonnes!X3</f>
        <v>Samuel RATOUIT</v>
      </c>
      <c r="Y8" s="61" t="str">
        <f>FamillePersonnes!Y3</f>
        <v>Marius MENAULT</v>
      </c>
      <c r="Z8" s="61" t="str">
        <f>FamillePersonnes!Z3</f>
        <v>Aurèle HAINAUT</v>
      </c>
      <c r="AA8" s="61" t="str">
        <f>FamillePersonnes!AA3</f>
        <v>Alix BOSSU</v>
      </c>
      <c r="AB8" s="61" t="str">
        <f>FamillePersonnes!AB3</f>
        <v>Flora SOUSSAND</v>
      </c>
      <c r="AC8" s="61" t="str">
        <f>FamillePersonnes!AC3</f>
        <v>Mario ALVAREZ-CASTRILLON</v>
      </c>
      <c r="AD8" s="61" t="str">
        <f>FamillePersonnes!AD3</f>
        <v>Chloé CANAVATE</v>
      </c>
      <c r="AE8" s="61" t="str">
        <f>FamillePersonnes!AE3</f>
        <v>Sarah PETROCCHI</v>
      </c>
      <c r="AF8" s="61" t="str">
        <f>FamillePersonnes!AF3</f>
        <v>Alfonso COLON DE CARVAJAL</v>
      </c>
      <c r="AG8" s="61" t="str">
        <f>FamillePersonnes!AG3</f>
        <v>Pierre Go</v>
      </c>
      <c r="AH8" s="61" t="str">
        <f>FamillePersonnes!AH3</f>
        <v>Maxime GRAS</v>
      </c>
      <c r="AI8" s="61" t="str">
        <f>FamillePersonnes!AI3</f>
        <v>Lise GERMON</v>
      </c>
      <c r="AJ8" s="61" t="str">
        <f>FamillePersonnes!AJ3</f>
        <v>Henrique MARTINEZ DE AZEVEDO</v>
      </c>
      <c r="AK8" s="61" t="str">
        <f>FamillePersonnes!AK3</f>
        <v>Théo DELOBEL</v>
      </c>
      <c r="AL8" s="61" t="str">
        <f>FamillePersonnes!AL3</f>
        <v>Eugénie cotte</v>
      </c>
      <c r="AM8" s="61" t="str">
        <f>FamillePersonnes!AM3</f>
        <v>Céline FEREC</v>
      </c>
      <c r="AN8" s="61" t="str">
        <f>FamillePersonnes!AN3</f>
        <v>Antoine TARDIVON</v>
      </c>
      <c r="AO8" s="61" t="str">
        <f>FamillePersonnes!AO3</f>
        <v>Henri de Chanterac</v>
      </c>
      <c r="AP8" s="61" t="str">
        <f>FamillePersonnes!AP3</f>
        <v>Felipe Altamirano</v>
      </c>
      <c r="AQ8" s="61" t="str">
        <f>FamillePersonnes!AQ3</f>
        <v>Nicolas Meniconi</v>
      </c>
      <c r="AR8" s="61" t="str">
        <f>FamillePersonnes!AR3</f>
        <v>Thomas oppmann</v>
      </c>
      <c r="AS8" s="61" t="str">
        <f>FamillePersonnes!AS3</f>
        <v>Antoine SENELLART</v>
      </c>
      <c r="AT8" s="61" t="str">
        <f>FamillePersonnes!AT3</f>
        <v>Helena Delmotte</v>
      </c>
      <c r="AU8" s="61" t="str">
        <f>FamillePersonnes!AU3</f>
        <v>Samir ZINA-RAGGOUA</v>
      </c>
      <c r="AV8" s="61" t="str">
        <f>FamillePersonnes!AV3</f>
        <v>Maxime Roy</v>
      </c>
      <c r="AW8" s="61" t="str">
        <f>FamillePersonnes!AW3</f>
        <v>Clément Wozniak</v>
      </c>
      <c r="AX8" s="61" t="str">
        <f>FamillePersonnes!AX3</f>
        <v>Cyprien MARION</v>
      </c>
      <c r="AY8" s="61" t="str">
        <f>FamillePersonnes!AY3</f>
        <v>Pm Guyot</v>
      </c>
      <c r="AZ8" s="61" t="str">
        <f>FamillePersonnes!AZ3</f>
        <v>Vincent MESLIER</v>
      </c>
      <c r="BA8" s="61" t="str">
        <f>FamillePersonnes!BA3</f>
        <v>Lucas SANCIET--MUNIER</v>
      </c>
      <c r="BB8" s="61" t="str">
        <f>FamillePersonnes!BB3</f>
        <v>Thomas LE BOURHIS</v>
      </c>
      <c r="BC8" s="61" t="str">
        <f>FamillePersonnes!BC3</f>
        <v>Manon DUBREIL</v>
      </c>
      <c r="BD8" s="61" t="str">
        <f>FamillePersonnes!BD3</f>
        <v>Ananda VANDERWEGEN</v>
      </c>
      <c r="BE8" s="61" t="str">
        <f>FamillePersonnes!BE3</f>
        <v>Alexandre Bryk</v>
      </c>
      <c r="BF8" s="61" t="str">
        <f>FamillePersonnes!BF3</f>
        <v>Adán REYES REYES</v>
      </c>
      <c r="BG8" s="61" t="str">
        <f>FamillePersonnes!BG3</f>
        <v>Félix-Olivier Ngangue Nseke</v>
      </c>
      <c r="BH8" s="61" t="str">
        <f>FamillePersonnes!BH3</f>
        <v>Nicolas ROGER</v>
      </c>
      <c r="BI8" s="61" t="str">
        <f>FamillePersonnes!BI3</f>
        <v>Florian BARTOCCI</v>
      </c>
      <c r="BJ8" s="61" t="str">
        <f>FamillePersonnes!BJ3</f>
        <v/>
      </c>
      <c r="BK8" s="61" t="str">
        <f>FamillePersonnes!BK3</f>
        <v/>
      </c>
      <c r="BL8" s="61" t="str">
        <f>FamillePersonnes!BL3</f>
        <v/>
      </c>
      <c r="BM8" s="61" t="str">
        <f>FamillePersonnes!BM3</f>
        <v/>
      </c>
      <c r="BN8" s="61" t="str">
        <f>FamillePersonnes!BN3</f>
        <v/>
      </c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7"/>
    </row>
    <row r="9">
      <c r="A9" s="61" t="str">
        <f>FamillePersonnes!A4</f>
        <v/>
      </c>
      <c r="B9" s="61" t="str">
        <f>FamillePersonnes!B4</f>
        <v>Kheira POUVREAU</v>
      </c>
      <c r="C9" s="61" t="str">
        <f>FamillePersonnes!C4</f>
        <v>Célia CHABRANT</v>
      </c>
      <c r="D9" s="61" t="str">
        <f>FamillePersonnes!D4</f>
        <v>Carmen SORIA</v>
      </c>
      <c r="E9" s="61" t="str">
        <f>FamillePersonnes!E4</f>
        <v>Mathis BARTHERE</v>
      </c>
      <c r="F9" s="61" t="str">
        <f>FamillePersonnes!F4</f>
        <v>André D'ELBREIL</v>
      </c>
      <c r="G9" s="61" t="str">
        <f>FamillePersonnes!G4</f>
        <v>Jeremy Garcia</v>
      </c>
      <c r="H9" s="61" t="str">
        <f>FamillePersonnes!H4</f>
        <v>Lucas MIRANDE</v>
      </c>
      <c r="I9" s="61" t="str">
        <f>FamillePersonnes!I4</f>
        <v>Laurine DECROS</v>
      </c>
      <c r="J9" s="61" t="str">
        <f>FamillePersonnes!J4</f>
        <v>Alexandre VURLOD</v>
      </c>
      <c r="K9" s="61" t="str">
        <f>FamillePersonnes!K4</f>
        <v>Marc de Ponnat</v>
      </c>
      <c r="L9" s="61" t="str">
        <f>FamillePersonnes!L4</f>
        <v>Florent COLLOCH</v>
      </c>
      <c r="M9" s="61" t="str">
        <f>FamillePersonnes!M4</f>
        <v>Paul LENOIR</v>
      </c>
      <c r="N9" s="61" t="str">
        <f>FamillePersonnes!N4</f>
        <v>Louis DA COSTA</v>
      </c>
      <c r="O9" s="61" t="str">
        <f>FamillePersonnes!O4</f>
        <v>Paul CHAUVIN</v>
      </c>
      <c r="P9" s="61" t="str">
        <f>FamillePersonnes!P4</f>
        <v>Baptiste Miossec</v>
      </c>
      <c r="Q9" s="61" t="str">
        <f>FamillePersonnes!Q4</f>
        <v>Alessandro MASI</v>
      </c>
      <c r="R9" s="61" t="str">
        <f>FamillePersonnes!R4</f>
        <v>Erwan Sauvage</v>
      </c>
      <c r="S9" s="61" t="str">
        <f>FamillePersonnes!S4</f>
        <v>Matthieu BARCET</v>
      </c>
      <c r="T9" s="61" t="str">
        <f>FamillePersonnes!T4</f>
        <v>Iris PROUST</v>
      </c>
      <c r="U9" s="61" t="str">
        <f>FamillePersonnes!U4</f>
        <v>Lucas Chaubier</v>
      </c>
      <c r="V9" s="61" t="str">
        <f>FamillePersonnes!V4</f>
        <v>Ariane BERGER</v>
      </c>
      <c r="W9" s="61" t="str">
        <f>FamillePersonnes!W4</f>
        <v>Thomas AUZARD</v>
      </c>
      <c r="X9" s="61" t="str">
        <f>FamillePersonnes!X4</f>
        <v>Martin Fauchille-Martin</v>
      </c>
      <c r="Y9" s="61" t="str">
        <f>FamillePersonnes!Y4</f>
        <v>Léonce AUDIBERT</v>
      </c>
      <c r="Z9" s="61" t="str">
        <f>FamillePersonnes!Z4</f>
        <v>Aurèle DALIBOT</v>
      </c>
      <c r="AA9" s="61" t="str">
        <f>FamillePersonnes!AA4</f>
        <v>Oscar JACINTHO</v>
      </c>
      <c r="AB9" s="61" t="str">
        <f>FamillePersonnes!AB4</f>
        <v>Claire TRINQUET</v>
      </c>
      <c r="AC9" s="61" t="str">
        <f>FamillePersonnes!AC4</f>
        <v>Vincent Maillou</v>
      </c>
      <c r="AD9" s="61" t="str">
        <f>FamillePersonnes!AD4</f>
        <v>Maena GALERON</v>
      </c>
      <c r="AE9" s="61" t="str">
        <f>FamillePersonnes!AE4</f>
        <v>Constance PHILIPPE</v>
      </c>
      <c r="AF9" s="61" t="str">
        <f>FamillePersonnes!AF4</f>
        <v>Luis FERNANDEZ</v>
      </c>
      <c r="AG9" s="61" t="str">
        <f>FamillePersonnes!AG4</f>
        <v>Mitsi R.</v>
      </c>
      <c r="AH9" s="61" t="str">
        <f>FamillePersonnes!AH4</f>
        <v>Audrey BOYENVAL</v>
      </c>
      <c r="AI9" s="61" t="str">
        <f>FamillePersonnes!AI4</f>
        <v>Alizée AMSLER</v>
      </c>
      <c r="AJ9" s="61" t="str">
        <f>FamillePersonnes!AJ4</f>
        <v>José Ronzel</v>
      </c>
      <c r="AK9" s="61" t="str">
        <f>FamillePersonnes!AK4</f>
        <v>Jérôme KAYSER</v>
      </c>
      <c r="AL9" s="61" t="str">
        <f>FamillePersonnes!AL4</f>
        <v>Samuel BISMUT</v>
      </c>
      <c r="AM9" s="61" t="str">
        <f>FamillePersonnes!AM4</f>
        <v>Léo HUREAU</v>
      </c>
      <c r="AN9" s="61" t="str">
        <f>FamillePersonnes!AN4</f>
        <v>Adrien Simonet</v>
      </c>
      <c r="AO9" s="61" t="str">
        <f>FamillePersonnes!AO4</f>
        <v>Elouan BARBEREAU</v>
      </c>
      <c r="AP9" s="61" t="str">
        <f>FamillePersonnes!AP4</f>
        <v>Alison ALIAGA</v>
      </c>
      <c r="AQ9" s="61" t="str">
        <f>FamillePersonnes!AQ4</f>
        <v>Pierre-Jean POLLOT</v>
      </c>
      <c r="AR9" s="61" t="str">
        <f>FamillePersonnes!AR4</f>
        <v>Alexandre Ghannad</v>
      </c>
      <c r="AS9" s="61" t="str">
        <f>FamillePersonnes!AS4</f>
        <v>Louis CLAUCE</v>
      </c>
      <c r="AT9" s="61" t="str">
        <f>FamillePersonnes!AT4</f>
        <v>Anis KHEZNADJI</v>
      </c>
      <c r="AU9" s="61" t="str">
        <f>FamillePersonnes!AU4</f>
        <v>Mikaël Farje</v>
      </c>
      <c r="AV9" s="61" t="str">
        <f>FamillePersonnes!AV4</f>
        <v>Gauthier PEZZOLI</v>
      </c>
      <c r="AW9" s="61" t="str">
        <f>FamillePersonnes!AW4</f>
        <v>Adam EL YOUMI</v>
      </c>
      <c r="AX9" s="61" t="str">
        <f>FamillePersonnes!AX4</f>
        <v>Louis COGAN</v>
      </c>
      <c r="AY9" s="61" t="str">
        <f>FamillePersonnes!AY4</f>
        <v>Richard ARNAUD</v>
      </c>
      <c r="AZ9" s="61" t="str">
        <f>FamillePersonnes!AZ4</f>
        <v>Tom OVISTE</v>
      </c>
      <c r="BA9" s="61" t="str">
        <f>FamillePersonnes!BA4</f>
        <v>Hugo GAYRARD</v>
      </c>
      <c r="BB9" s="61" t="str">
        <f>FamillePersonnes!BB4</f>
        <v>Ramy SLIM</v>
      </c>
      <c r="BC9" s="61" t="str">
        <f>FamillePersonnes!BC4</f>
        <v>Maëlenn COLSON</v>
      </c>
      <c r="BD9" s="61" t="str">
        <f>FamillePersonnes!BD4</f>
        <v>Márcio Bruno DOS SANTOS CORREIA</v>
      </c>
      <c r="BE9" s="61" t="str">
        <f>FamillePersonnes!BE4</f>
        <v>Thomas HERRBACH</v>
      </c>
      <c r="BF9" s="61" t="str">
        <f>FamillePersonnes!BF4</f>
        <v>Jose Luís RIVERA BLANCO</v>
      </c>
      <c r="BG9" s="61" t="str">
        <f>FamillePersonnes!BG4</f>
        <v>Laurène THILLIER</v>
      </c>
      <c r="BH9" s="61" t="str">
        <f>FamillePersonnes!BH4</f>
        <v>Emmanuel COLLIGNAN</v>
      </c>
      <c r="BI9" s="61" t="str">
        <f>FamillePersonnes!BI4</f>
        <v>Jean-Baptiste de BECO</v>
      </c>
      <c r="BJ9" s="61" t="str">
        <f>FamillePersonnes!BJ4</f>
        <v/>
      </c>
      <c r="BK9" s="61" t="str">
        <f>FamillePersonnes!BK4</f>
        <v/>
      </c>
      <c r="BL9" s="61" t="str">
        <f>FamillePersonnes!BL4</f>
        <v/>
      </c>
      <c r="BM9" s="61" t="str">
        <f>FamillePersonnes!BM4</f>
        <v/>
      </c>
      <c r="BN9" s="61" t="str">
        <f>FamillePersonnes!BN4</f>
        <v/>
      </c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7"/>
    </row>
    <row r="10">
      <c r="A10" s="61" t="str">
        <f>FamillePersonnes!A5</f>
        <v/>
      </c>
      <c r="B10" s="61" t="str">
        <f>FamillePersonnes!B5</f>
        <v>Jean ROMAN</v>
      </c>
      <c r="C10" s="61" t="str">
        <f>FamillePersonnes!C5</f>
        <v/>
      </c>
      <c r="D10" s="61" t="str">
        <f>FamillePersonnes!D5</f>
        <v>Quentin Peyle</v>
      </c>
      <c r="E10" s="61" t="str">
        <f>FamillePersonnes!E5</f>
        <v>Andrew FONDJO</v>
      </c>
      <c r="F10" s="61" t="str">
        <f>FamillePersonnes!F5</f>
        <v>Maximin TOURAILLE</v>
      </c>
      <c r="G10" s="61" t="str">
        <f>FamillePersonnes!G5</f>
        <v>Maxence FORT</v>
      </c>
      <c r="H10" s="61" t="str">
        <f>FamillePersonnes!H5</f>
        <v>Mathilde Querné</v>
      </c>
      <c r="I10" s="61" t="str">
        <f>FamillePersonnes!I5</f>
        <v>Suzanne COUTELOU</v>
      </c>
      <c r="J10" s="61" t="str">
        <f>FamillePersonnes!J5</f>
        <v>Tony MARTINEAU</v>
      </c>
      <c r="K10" s="61" t="str">
        <f>FamillePersonnes!K5</f>
        <v>Matthieu Brunot</v>
      </c>
      <c r="L10" s="61" t="str">
        <f>FamillePersonnes!L5</f>
        <v>Adrien RIDOUARD</v>
      </c>
      <c r="M10" s="61" t="str">
        <f>FamillePersonnes!M5</f>
        <v>Alexandre MERVILLE</v>
      </c>
      <c r="N10" s="61" t="str">
        <f>FamillePersonnes!N5</f>
        <v>Antoine Dupuis</v>
      </c>
      <c r="O10" s="61" t="str">
        <f>FamillePersonnes!O5</f>
        <v>Hugo Weiss</v>
      </c>
      <c r="P10" s="61" t="str">
        <f>FamillePersonnes!P5</f>
        <v>Maxime Guldner</v>
      </c>
      <c r="Q10" s="61" t="str">
        <f>FamillePersonnes!Q5</f>
        <v>Robin Tanquerel</v>
      </c>
      <c r="R10" s="61" t="str">
        <f>FamillePersonnes!R5</f>
        <v>Rémy MAIGE</v>
      </c>
      <c r="S10" s="61" t="str">
        <f>FamillePersonnes!S5</f>
        <v>Louis AUGEREAU</v>
      </c>
      <c r="T10" s="61" t="str">
        <f>FamillePersonnes!T5</f>
        <v>Sébastien MARAIS</v>
      </c>
      <c r="U10" s="61" t="str">
        <f>FamillePersonnes!U5</f>
        <v>Matthieu RETIERE</v>
      </c>
      <c r="V10" s="61" t="str">
        <f>FamillePersonnes!V5</f>
        <v>Alice Mennesson</v>
      </c>
      <c r="W10" s="61" t="str">
        <f>FamillePersonnes!W5</f>
        <v>Orson JAY</v>
      </c>
      <c r="X10" s="61" t="str">
        <f>FamillePersonnes!X5</f>
        <v>Nils Hornet</v>
      </c>
      <c r="Y10" s="61" t="str">
        <f>FamillePersonnes!Y5</f>
        <v>Antoine Chillet</v>
      </c>
      <c r="Z10" s="61" t="str">
        <f>FamillePersonnes!Z5</f>
        <v>Tommy GEHENIAU</v>
      </c>
      <c r="AA10" s="61" t="str">
        <f>FamillePersonnes!AA5</f>
        <v>Victor BLANCART</v>
      </c>
      <c r="AB10" s="61" t="str">
        <f>FamillePersonnes!AB5</f>
        <v>Marie-Jeanne PAUL</v>
      </c>
      <c r="AC10" s="61" t="str">
        <f>FamillePersonnes!AC5</f>
        <v>Hugo SEMPÉ</v>
      </c>
      <c r="AD10" s="61" t="str">
        <f>FamillePersonnes!AD5</f>
        <v>KONATE</v>
      </c>
      <c r="AE10" s="61" t="str">
        <f>FamillePersonnes!AE5</f>
        <v>Alexandre SEVENO</v>
      </c>
      <c r="AF10" s="61" t="str">
        <f>FamillePersonnes!AF5</f>
        <v>Raúl VILLAFUERTE</v>
      </c>
      <c r="AG10" s="61" t="str">
        <f>FamillePersonnes!AG5</f>
        <v>Marie COUPÉ</v>
      </c>
      <c r="AH10" s="61" t="str">
        <f>FamillePersonnes!AH5</f>
        <v>Mathieu Rey-Herme</v>
      </c>
      <c r="AI10" s="61" t="str">
        <f>FamillePersonnes!AI5</f>
        <v>Mai-Vi VU</v>
      </c>
      <c r="AJ10" s="61" t="str">
        <f>FamillePersonnes!AJ5</f>
        <v>Exequiel</v>
      </c>
      <c r="AK10" s="61" t="str">
        <f>FamillePersonnes!AK5</f>
        <v>Esteban LECOURT</v>
      </c>
      <c r="AL10" s="61" t="str">
        <f>FamillePersonnes!AL5</f>
        <v>Antoine LETOFFET</v>
      </c>
      <c r="AM10" s="61" t="str">
        <f>FamillePersonnes!AM5</f>
        <v>Awen BRUNEAU</v>
      </c>
      <c r="AN10" s="61" t="str">
        <f>FamillePersonnes!AN5</f>
        <v>Timothée Corlay</v>
      </c>
      <c r="AO10" s="61" t="str">
        <f>FamillePersonnes!AO5</f>
        <v>Jean Pichard</v>
      </c>
      <c r="AP10" s="61" t="str">
        <f>FamillePersonnes!AP5</f>
        <v>Argueta Tamayo Emanuel</v>
      </c>
      <c r="AQ10" s="61" t="str">
        <f>FamillePersonnes!AQ5</f>
        <v/>
      </c>
      <c r="AR10" s="61" t="str">
        <f>FamillePersonnes!AR5</f>
        <v>Christopher LESDALONS</v>
      </c>
      <c r="AS10" s="61" t="str">
        <f>FamillePersonnes!AS5</f>
        <v>Allouache</v>
      </c>
      <c r="AT10" s="61" t="str">
        <f>FamillePersonnes!AT5</f>
        <v>Noémie RABILLOUD</v>
      </c>
      <c r="AU10" s="61" t="str">
        <f>FamillePersonnes!AU5</f>
        <v/>
      </c>
      <c r="AV10" s="61" t="str">
        <f>FamillePersonnes!AV5</f>
        <v>Adrien Jamelot</v>
      </c>
      <c r="AW10" s="61" t="str">
        <f>FamillePersonnes!AW5</f>
        <v>Valentin Pibernus</v>
      </c>
      <c r="AX10" s="61" t="str">
        <f>FamillePersonnes!AX5</f>
        <v>Le Mintier Emmanuel</v>
      </c>
      <c r="AY10" s="61" t="str">
        <f>FamillePersonnes!AY5</f>
        <v>Anaïs BOUCHET</v>
      </c>
      <c r="AZ10" s="61" t="str">
        <f>FamillePersonnes!AZ5</f>
        <v/>
      </c>
      <c r="BA10" s="61" t="str">
        <f>FamillePersonnes!BA5</f>
        <v>Loïc</v>
      </c>
      <c r="BB10" s="61" t="str">
        <f>FamillePersonnes!BB5</f>
        <v/>
      </c>
      <c r="BC10" s="61" t="str">
        <f>FamillePersonnes!BC5</f>
        <v>Werner</v>
      </c>
      <c r="BD10" s="61" t="str">
        <f>FamillePersonnes!BD5</f>
        <v/>
      </c>
      <c r="BE10" s="61" t="str">
        <f>FamillePersonnes!BE5</f>
        <v>Fabien RAVET</v>
      </c>
      <c r="BF10" s="61" t="str">
        <f>FamillePersonnes!BF5</f>
        <v>Yinzheng ZHOU</v>
      </c>
      <c r="BG10" s="61" t="str">
        <f>FamillePersonnes!BG5</f>
        <v>Tanguy CABARET</v>
      </c>
      <c r="BH10" s="61" t="str">
        <f>FamillePersonnes!BH5</f>
        <v>Jérôme VILLEROT</v>
      </c>
      <c r="BI10" s="61" t="str">
        <f>FamillePersonnes!BI5</f>
        <v>Matthieu LAMIELLE</v>
      </c>
      <c r="BJ10" s="61" t="str">
        <f>FamillePersonnes!BJ5</f>
        <v/>
      </c>
      <c r="BK10" s="61" t="str">
        <f>FamillePersonnes!BK5</f>
        <v/>
      </c>
      <c r="BL10" s="61" t="str">
        <f>FamillePersonnes!BL5</f>
        <v/>
      </c>
      <c r="BM10" s="61" t="str">
        <f>FamillePersonnes!BM5</f>
        <v/>
      </c>
      <c r="BN10" s="61" t="str">
        <f>FamillePersonnes!BN5</f>
        <v/>
      </c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7"/>
    </row>
    <row r="11">
      <c r="A11" s="61" t="str">
        <f>FamillePersonnes!A6</f>
        <v/>
      </c>
      <c r="B11" s="61" t="str">
        <f>FamillePersonnes!B6</f>
        <v>Jeanne SUDOUR</v>
      </c>
      <c r="C11" s="61" t="str">
        <f>FamillePersonnes!C6</f>
        <v/>
      </c>
      <c r="D11" s="61" t="str">
        <f>FamillePersonnes!D6</f>
        <v>Sébastien VILLA</v>
      </c>
      <c r="E11" s="61" t="str">
        <f>FamillePersonnes!E6</f>
        <v>Clément DENIS</v>
      </c>
      <c r="F11" s="61" t="str">
        <f>FamillePersonnes!F6</f>
        <v/>
      </c>
      <c r="G11" s="61" t="str">
        <f>FamillePersonnes!G6</f>
        <v/>
      </c>
      <c r="H11" s="61" t="str">
        <f>FamillePersonnes!H6</f>
        <v>Irène Le Borgne</v>
      </c>
      <c r="I11" s="61" t="str">
        <f>FamillePersonnes!I6</f>
        <v>Hugo DOUX</v>
      </c>
      <c r="J11" s="61" t="str">
        <f>FamillePersonnes!J6</f>
        <v>Simon PUECH</v>
      </c>
      <c r="K11" s="61" t="str">
        <f>FamillePersonnes!K6</f>
        <v>Julien Bomberault</v>
      </c>
      <c r="L11" s="61" t="str">
        <f>FamillePersonnes!L6</f>
        <v>Audric BALSSA</v>
      </c>
      <c r="M11" s="61" t="str">
        <f>FamillePersonnes!M6</f>
        <v>Gabriel Lucas</v>
      </c>
      <c r="N11" s="61" t="str">
        <f>FamillePersonnes!N6</f>
        <v>Lucas Baraton</v>
      </c>
      <c r="O11" s="61" t="str">
        <f>FamillePersonnes!O6</f>
        <v>Adele ONDARCUHU</v>
      </c>
      <c r="P11" s="61" t="str">
        <f>FamillePersonnes!P6</f>
        <v>Thibaut BERTHOMÉ</v>
      </c>
      <c r="Q11" s="61" t="str">
        <f>FamillePersonnes!Q6</f>
        <v>Vincent ESPINASSE</v>
      </c>
      <c r="R11" s="61" t="str">
        <f>FamillePersonnes!R6</f>
        <v/>
      </c>
      <c r="S11" s="61" t="str">
        <f>FamillePersonnes!S6</f>
        <v>Céline Balmes</v>
      </c>
      <c r="T11" s="61" t="str">
        <f>FamillePersonnes!T6</f>
        <v>Gauthier Maillard</v>
      </c>
      <c r="U11" s="61" t="str">
        <f>FamillePersonnes!U6</f>
        <v/>
      </c>
      <c r="V11" s="61" t="str">
        <f>FamillePersonnes!V6</f>
        <v/>
      </c>
      <c r="W11" s="61" t="str">
        <f>FamillePersonnes!W6</f>
        <v>Henri CHHOA</v>
      </c>
      <c r="X11" s="61" t="str">
        <f>FamillePersonnes!X6</f>
        <v/>
      </c>
      <c r="Y11" s="61" t="str">
        <f>FamillePersonnes!Y6</f>
        <v>Lilie BOIZUMAULT</v>
      </c>
      <c r="Z11" s="61" t="str">
        <f>FamillePersonnes!Z6</f>
        <v/>
      </c>
      <c r="AA11" s="61" t="str">
        <f>FamillePersonnes!AA6</f>
        <v/>
      </c>
      <c r="AB11" s="61" t="str">
        <f>FamillePersonnes!AB6</f>
        <v>Marion JOUVIGNE</v>
      </c>
      <c r="AC11" s="61" t="str">
        <f>FamillePersonnes!AC6</f>
        <v>Adrien BOUVIER</v>
      </c>
      <c r="AD11" s="61" t="str">
        <f>FamillePersonnes!AD6</f>
        <v/>
      </c>
      <c r="AE11" s="61" t="str">
        <f>FamillePersonnes!AE6</f>
        <v>Maxime PATRY</v>
      </c>
      <c r="AF11" s="61" t="str">
        <f>FamillePersonnes!AF6</f>
        <v/>
      </c>
      <c r="AG11" s="61" t="str">
        <f>FamillePersonnes!AG6</f>
        <v>Geoffroy LECONTE</v>
      </c>
      <c r="AH11" s="61" t="str">
        <f>FamillePersonnes!AH6</f>
        <v>Romane CARIOU</v>
      </c>
      <c r="AI11" s="61" t="str">
        <f>FamillePersonnes!AI6</f>
        <v>Perrine JUILLET</v>
      </c>
      <c r="AJ11" s="61" t="str">
        <f>FamillePersonnes!AJ6</f>
        <v>Marina THIEME PETERSEN</v>
      </c>
      <c r="AK11" s="61" t="str">
        <f>FamillePersonnes!AK6</f>
        <v/>
      </c>
      <c r="AL11" s="61" t="str">
        <f>FamillePersonnes!AL6</f>
        <v>Borget</v>
      </c>
      <c r="AM11" s="61" t="str">
        <f>FamillePersonnes!AM6</f>
        <v>Romain THIMON</v>
      </c>
      <c r="AN11" s="61" t="str">
        <f>FamillePersonnes!AN6</f>
        <v/>
      </c>
      <c r="AO11" s="61" t="str">
        <f>FamillePersonnes!AO6</f>
        <v>Mathurin Schneider</v>
      </c>
      <c r="AP11" s="61" t="str">
        <f>FamillePersonnes!AP6</f>
        <v>Tapias</v>
      </c>
      <c r="AQ11" s="61" t="str">
        <f>FamillePersonnes!AQ6</f>
        <v/>
      </c>
      <c r="AR11" s="61" t="str">
        <f>FamillePersonnes!AR6</f>
        <v>Amine BEDRANE</v>
      </c>
      <c r="AS11" s="61" t="str">
        <f>FamillePersonnes!AS6</f>
        <v/>
      </c>
      <c r="AT11" s="61" t="str">
        <f>FamillePersonnes!AT6</f>
        <v>Amine MEHMOUDEN</v>
      </c>
      <c r="AU11" s="61" t="str">
        <f>FamillePersonnes!AU6</f>
        <v/>
      </c>
      <c r="AV11" s="61" t="str">
        <f>FamillePersonnes!AV6</f>
        <v/>
      </c>
      <c r="AW11" s="61" t="str">
        <f>FamillePersonnes!AW6</f>
        <v>Paniez</v>
      </c>
      <c r="AX11" s="61" t="str">
        <f>FamillePersonnes!AX6</f>
        <v>Adrien HALLARD</v>
      </c>
      <c r="AY11" s="61" t="str">
        <f>FamillePersonnes!AY6</f>
        <v/>
      </c>
      <c r="AZ11" s="61" t="str">
        <f>FamillePersonnes!AZ6</f>
        <v/>
      </c>
      <c r="BA11" s="61" t="str">
        <f>FamillePersonnes!BA6</f>
        <v>Pierre Veillard</v>
      </c>
      <c r="BB11" s="61" t="str">
        <f>FamillePersonnes!BB6</f>
        <v/>
      </c>
      <c r="BC11" s="61" t="str">
        <f>FamillePersonnes!BC6</f>
        <v>Selim Autones</v>
      </c>
      <c r="BD11" s="61" t="str">
        <f>FamillePersonnes!BD6</f>
        <v/>
      </c>
      <c r="BE11" s="61" t="str">
        <f>FamillePersonnes!BE6</f>
        <v/>
      </c>
      <c r="BF11" s="61" t="str">
        <f>FamillePersonnes!BF6</f>
        <v>Sebastian CEPEDA</v>
      </c>
      <c r="BG11" s="61" t="str">
        <f>FamillePersonnes!BG6</f>
        <v>Alexandre FOSSORIER</v>
      </c>
      <c r="BH11" s="61" t="str">
        <f>FamillePersonnes!BH6</f>
        <v/>
      </c>
      <c r="BI11" s="61" t="str">
        <f>FamillePersonnes!BI6</f>
        <v>Adrien BERSIER</v>
      </c>
      <c r="BJ11" s="61" t="str">
        <f>FamillePersonnes!BJ6</f>
        <v/>
      </c>
      <c r="BK11" s="61" t="str">
        <f>FamillePersonnes!BK6</f>
        <v/>
      </c>
      <c r="BL11" s="61" t="str">
        <f>FamillePersonnes!BL6</f>
        <v/>
      </c>
      <c r="BM11" s="61" t="str">
        <f>FamillePersonnes!BM6</f>
        <v/>
      </c>
      <c r="BN11" s="61" t="str">
        <f>FamillePersonnes!BN6</f>
        <v/>
      </c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7"/>
    </row>
    <row r="12">
      <c r="A12" s="61" t="str">
        <f>FamillePersonnes!A7</f>
        <v/>
      </c>
      <c r="B12" s="61" t="str">
        <f>FamillePersonnes!B7</f>
        <v>Apolline Gorry</v>
      </c>
      <c r="C12" s="61" t="str">
        <f>FamillePersonnes!C7</f>
        <v/>
      </c>
      <c r="D12" s="61" t="str">
        <f>FamillePersonnes!D7</f>
        <v/>
      </c>
      <c r="E12" s="61" t="str">
        <f>FamillePersonnes!E7</f>
        <v>Lilian Dedecker</v>
      </c>
      <c r="F12" s="61" t="str">
        <f>FamillePersonnes!F7</f>
        <v/>
      </c>
      <c r="G12" s="61" t="str">
        <f>FamillePersonnes!G7</f>
        <v/>
      </c>
      <c r="H12" s="61" t="str">
        <f>FamillePersonnes!H7</f>
        <v>Nathan Gérard</v>
      </c>
      <c r="I12" s="61" t="str">
        <f>FamillePersonnes!I7</f>
        <v>Julien LACOUR</v>
      </c>
      <c r="J12" s="61" t="str">
        <f>FamillePersonnes!J7</f>
        <v/>
      </c>
      <c r="K12" s="61" t="str">
        <f>FamillePersonnes!K7</f>
        <v/>
      </c>
      <c r="L12" s="61" t="str">
        <f>FamillePersonnes!L7</f>
        <v/>
      </c>
      <c r="M12" s="61" t="str">
        <f>FamillePersonnes!M7</f>
        <v/>
      </c>
      <c r="N12" s="61" t="str">
        <f>FamillePersonnes!N7</f>
        <v>Quentin NIGRON</v>
      </c>
      <c r="O12" s="61" t="str">
        <f>FamillePersonnes!O7</f>
        <v>Vire</v>
      </c>
      <c r="P12" s="61" t="str">
        <f>FamillePersonnes!P7</f>
        <v>Judith LOUIS-ALEXANDRE</v>
      </c>
      <c r="Q12" s="61" t="str">
        <f>FamillePersonnes!Q7</f>
        <v/>
      </c>
      <c r="R12" s="61" t="str">
        <f>FamillePersonnes!R7</f>
        <v/>
      </c>
      <c r="S12" s="61" t="str">
        <f>FamillePersonnes!S7</f>
        <v>Paul SIMON</v>
      </c>
      <c r="T12" s="61" t="str">
        <f>FamillePersonnes!T7</f>
        <v>Maixent TIGNON</v>
      </c>
      <c r="U12" s="61" t="str">
        <f>FamillePersonnes!U7</f>
        <v/>
      </c>
      <c r="V12" s="61" t="str">
        <f>FamillePersonnes!V7</f>
        <v/>
      </c>
      <c r="W12" s="61" t="str">
        <f>FamillePersonnes!W7</f>
        <v>Valentin Antonio</v>
      </c>
      <c r="X12" s="61" t="str">
        <f>FamillePersonnes!X7</f>
        <v/>
      </c>
      <c r="Y12" s="61" t="str">
        <f>FamillePersonnes!Y7</f>
        <v>Bastien</v>
      </c>
      <c r="Z12" s="61" t="str">
        <f>FamillePersonnes!Z7</f>
        <v/>
      </c>
      <c r="AA12" s="61" t="str">
        <f>FamillePersonnes!AA7</f>
        <v/>
      </c>
      <c r="AB12" s="61" t="str">
        <f>FamillePersonnes!AB7</f>
        <v>Manon VLIEGHE</v>
      </c>
      <c r="AC12" s="61" t="str">
        <f>FamillePersonnes!AC7</f>
        <v>Arthur</v>
      </c>
      <c r="AD12" s="61" t="str">
        <f>FamillePersonnes!AD7</f>
        <v/>
      </c>
      <c r="AE12" s="61" t="str">
        <f>FamillePersonnes!AE7</f>
        <v/>
      </c>
      <c r="AF12" s="61" t="str">
        <f>FamillePersonnes!AF7</f>
        <v/>
      </c>
      <c r="AG12" s="61" t="str">
        <f>FamillePersonnes!AG7</f>
        <v>Alexandre MERASLI</v>
      </c>
      <c r="AH12" s="61" t="str">
        <f>FamillePersonnes!AH7</f>
        <v/>
      </c>
      <c r="AI12" s="61" t="str">
        <f>FamillePersonnes!AI7</f>
        <v/>
      </c>
      <c r="AJ12" s="61" t="str">
        <f>FamillePersonnes!AJ7</f>
        <v>Aurélio Catel</v>
      </c>
      <c r="AK12" s="61" t="str">
        <f>FamillePersonnes!AK7</f>
        <v/>
      </c>
      <c r="AL12" s="61" t="str">
        <f>FamillePersonnes!AL7</f>
        <v/>
      </c>
      <c r="AM12" s="61" t="str">
        <f>FamillePersonnes!AM7</f>
        <v/>
      </c>
      <c r="AN12" s="61" t="str">
        <f>FamillePersonnes!AN7</f>
        <v/>
      </c>
      <c r="AO12" s="61" t="str">
        <f>FamillePersonnes!AO7</f>
        <v/>
      </c>
      <c r="AP12" s="61" t="str">
        <f>FamillePersonnes!AP7</f>
        <v>Miguel MORENO</v>
      </c>
      <c r="AQ12" s="61" t="str">
        <f>FamillePersonnes!AQ7</f>
        <v/>
      </c>
      <c r="AR12" s="61" t="str">
        <f>FamillePersonnes!AR7</f>
        <v/>
      </c>
      <c r="AS12" s="61" t="str">
        <f>FamillePersonnes!AS7</f>
        <v/>
      </c>
      <c r="AT12" s="61" t="str">
        <f>FamillePersonnes!AT7</f>
        <v>Aygalic JARA</v>
      </c>
      <c r="AU12" s="61" t="str">
        <f>FamillePersonnes!AU7</f>
        <v/>
      </c>
      <c r="AV12" s="61" t="str">
        <f>FamillePersonnes!AV7</f>
        <v/>
      </c>
      <c r="AW12" s="61" t="str">
        <f>FamillePersonnes!AW7</f>
        <v/>
      </c>
      <c r="AX12" s="61" t="str">
        <f>FamillePersonnes!AX7</f>
        <v/>
      </c>
      <c r="AY12" s="61" t="str">
        <f>FamillePersonnes!AY7</f>
        <v/>
      </c>
      <c r="AZ12" s="61" t="str">
        <f>FamillePersonnes!AZ7</f>
        <v/>
      </c>
      <c r="BA12" s="61" t="str">
        <f>FamillePersonnes!BA7</f>
        <v>Maxime Canard</v>
      </c>
      <c r="BB12" s="61" t="str">
        <f>FamillePersonnes!BB7</f>
        <v/>
      </c>
      <c r="BC12" s="61" t="str">
        <f>FamillePersonnes!BC7</f>
        <v/>
      </c>
      <c r="BD12" s="61" t="str">
        <f>FamillePersonnes!BD7</f>
        <v/>
      </c>
      <c r="BE12" s="61" t="str">
        <f>FamillePersonnes!BE7</f>
        <v/>
      </c>
      <c r="BF12" s="61" t="str">
        <f>FamillePersonnes!BF7</f>
        <v>Julián David HERNÁNDEZ TOVAR</v>
      </c>
      <c r="BG12" s="61" t="str">
        <f>FamillePersonnes!BG7</f>
        <v>Yuna Landais</v>
      </c>
      <c r="BH12" s="61" t="str">
        <f>FamillePersonnes!BH7</f>
        <v/>
      </c>
      <c r="BI12" s="61" t="str">
        <f>FamillePersonnes!BI7</f>
        <v/>
      </c>
      <c r="BJ12" s="61" t="str">
        <f>FamillePersonnes!BJ7</f>
        <v/>
      </c>
      <c r="BK12" s="61" t="str">
        <f>FamillePersonnes!BK7</f>
        <v/>
      </c>
      <c r="BL12" s="61" t="str">
        <f>FamillePersonnes!BL7</f>
        <v/>
      </c>
      <c r="BM12" s="61" t="str">
        <f>FamillePersonnes!BM7</f>
        <v/>
      </c>
      <c r="BN12" s="61" t="str">
        <f>FamillePersonnes!BN7</f>
        <v/>
      </c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70"/>
    </row>
    <row r="15">
      <c r="A15" s="61" t="s">
        <v>22</v>
      </c>
      <c r="B15" s="71" t="str">
        <f t="shared" ref="B15:BL15" si="1">B6</f>
        <v>DPSU</v>
      </c>
      <c r="C15" s="71" t="str">
        <f t="shared" si="1"/>
        <v>Le Bordel</v>
      </c>
      <c r="D15" s="71" t="str">
        <f t="shared" si="1"/>
        <v>La Glotte</v>
      </c>
      <c r="E15" s="71" t="str">
        <f t="shared" si="1"/>
        <v>Consulm3ow</v>
      </c>
      <c r="F15" s="71" t="str">
        <f t="shared" si="1"/>
        <v>Le Zoo </v>
      </c>
      <c r="G15" s="71" t="str">
        <f t="shared" si="1"/>
        <v>Beurre salé &amp; chocolatine</v>
      </c>
      <c r="H15" s="71" t="str">
        <f t="shared" si="1"/>
        <v>Les domineurs</v>
      </c>
      <c r="I15" s="71" t="str">
        <f t="shared" si="1"/>
        <v>La Comté</v>
      </c>
      <c r="J15" s="71" t="str">
        <f t="shared" si="1"/>
        <v>La chevroll's </v>
      </c>
      <c r="K15" s="71" t="str">
        <f t="shared" si="1"/>
        <v>La Tracharnasse</v>
      </c>
      <c r="L15" s="71" t="str">
        <f t="shared" si="1"/>
        <v>Waltherock</v>
      </c>
      <c r="M15" s="71" t="str">
        <f t="shared" si="1"/>
        <v>L'Influence</v>
      </c>
      <c r="N15" s="71" t="str">
        <f t="shared" si="1"/>
        <v>COMA</v>
      </c>
      <c r="O15" s="71" t="str">
        <f t="shared" si="1"/>
        <v>Mafia</v>
      </c>
      <c r="P15" s="71" t="str">
        <f t="shared" si="1"/>
        <v>Summerfaigle</v>
      </c>
      <c r="Q15" s="71" t="str">
        <f t="shared" si="1"/>
        <v>Nuage</v>
      </c>
      <c r="R15" s="71" t="str">
        <f t="shared" si="1"/>
        <v>PB</v>
      </c>
      <c r="S15" s="71" t="str">
        <f t="shared" si="1"/>
        <v>Trident X ChaPau</v>
      </c>
      <c r="T15" s="71" t="str">
        <f t="shared" si="1"/>
        <v>Galerie ++</v>
      </c>
      <c r="U15" s="71" t="str">
        <f t="shared" si="1"/>
        <v>Le Corridor</v>
      </c>
      <c r="V15" s="71" t="str">
        <f t="shared" si="1"/>
        <v>Dark Ludi et ses copines </v>
      </c>
      <c r="W15" s="71" t="str">
        <f t="shared" si="1"/>
        <v>Dusex</v>
      </c>
      <c r="X15" s="71" t="str">
        <f t="shared" si="1"/>
        <v>La Roulotte</v>
      </c>
      <c r="Y15" s="71" t="str">
        <f t="shared" si="1"/>
        <v>La dezingue</v>
      </c>
      <c r="Z15" s="71" t="str">
        <f t="shared" si="1"/>
        <v>Aquamif</v>
      </c>
      <c r="AA15" s="71" t="str">
        <f t="shared" si="1"/>
        <v>Les Mages</v>
      </c>
      <c r="AB15" s="71" t="str">
        <f t="shared" si="1"/>
        <v>Auberge-Monastère</v>
      </c>
      <c r="AC15" s="71" t="str">
        <f t="shared" si="1"/>
        <v>Pimp my Ride</v>
      </c>
      <c r="AD15" s="71" t="str">
        <f t="shared" si="1"/>
        <v>La 4 étoiles</v>
      </c>
      <c r="AE15" s="71" t="str">
        <f t="shared" si="1"/>
        <v>Le Donjon</v>
      </c>
      <c r="AF15" s="71" t="str">
        <f t="shared" si="1"/>
        <v>Malandros Team</v>
      </c>
      <c r="AG15" s="71" t="str">
        <f t="shared" si="1"/>
        <v>Barton</v>
      </c>
      <c r="AH15" s="71" t="str">
        <f t="shared" si="1"/>
        <v>La Crypte</v>
      </c>
      <c r="AI15" s="71" t="str">
        <f t="shared" si="1"/>
        <v>Jodyssée</v>
      </c>
      <c r="AJ15" s="71" t="str">
        <f t="shared" si="1"/>
        <v>Les trutitas</v>
      </c>
      <c r="AK15" s="71" t="str">
        <f t="shared" si="1"/>
        <v>Les grosses cochonnes</v>
      </c>
      <c r="AL15" s="71" t="str">
        <f t="shared" si="1"/>
        <v>Sans-abri </v>
      </c>
      <c r="AM15" s="71" t="str">
        <f t="shared" si="1"/>
        <v>Le Panthéon</v>
      </c>
      <c r="AN15" s="71" t="str">
        <f t="shared" si="1"/>
        <v>la team corlay</v>
      </c>
      <c r="AO15" s="71" t="str">
        <f t="shared" si="1"/>
        <v>Les fortiches</v>
      </c>
      <c r="AP15" s="71" t="str">
        <f t="shared" si="1"/>
        <v>LePatio</v>
      </c>
      <c r="AQ15" s="71" t="str">
        <f t="shared" si="1"/>
        <v>Les coulisses</v>
      </c>
      <c r="AR15" s="71" t="str">
        <f t="shared" si="1"/>
        <v>RACLETENTOUTAN</v>
      </c>
      <c r="AS15" s="71" t="str">
        <f t="shared" si="1"/>
        <v>La boisson</v>
      </c>
      <c r="AT15" s="71" t="str">
        <f t="shared" si="1"/>
        <v>Le squat</v>
      </c>
      <c r="AU15" s="71" t="str">
        <f t="shared" si="1"/>
        <v>Les topeurs</v>
      </c>
      <c r="AV15" s="71" t="str">
        <f t="shared" si="1"/>
        <v>azerty44</v>
      </c>
      <c r="AW15" s="71" t="str">
        <f t="shared" si="1"/>
        <v>Parainplégiques</v>
      </c>
      <c r="AX15" s="71" t="str">
        <f t="shared" si="1"/>
        <v>Le Kraal</v>
      </c>
      <c r="AY15" s="71" t="str">
        <f t="shared" si="1"/>
        <v>Discorde</v>
      </c>
      <c r="AZ15" s="71" t="str">
        <f t="shared" si="1"/>
        <v>BBC</v>
      </c>
      <c r="BA15" s="71" t="str">
        <f t="shared" si="1"/>
        <v>EI3 mous cancer</v>
      </c>
      <c r="BB15" s="71" t="str">
        <f t="shared" si="1"/>
        <v>Badge</v>
      </c>
      <c r="BC15" s="71" t="str">
        <f t="shared" si="1"/>
        <v>l'Alliance</v>
      </c>
      <c r="BD15" s="71" t="str">
        <f t="shared" si="1"/>
        <v>Grande Famille</v>
      </c>
      <c r="BE15" s="71" t="str">
        <f t="shared" si="1"/>
        <v>La vigie</v>
      </c>
      <c r="BF15" s="71" t="str">
        <f t="shared" si="1"/>
        <v>Los Insoportables </v>
      </c>
      <c r="BG15" s="71" t="str">
        <f t="shared" si="1"/>
        <v>Les 6 salopards</v>
      </c>
      <c r="BH15" s="71" t="str">
        <f t="shared" si="1"/>
        <v>Les cyclistes</v>
      </c>
      <c r="BI15" s="71" t="str">
        <f t="shared" si="1"/>
        <v>Juaman’GI Reloaded</v>
      </c>
      <c r="BJ15" s="71" t="str">
        <f t="shared" si="1"/>
        <v/>
      </c>
      <c r="BK15" s="71" t="str">
        <f t="shared" si="1"/>
        <v/>
      </c>
      <c r="BL15" s="71" t="str">
        <f t="shared" si="1"/>
        <v/>
      </c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/>
    </row>
    <row r="16">
      <c r="A16" s="72" t="s">
        <v>1149</v>
      </c>
      <c r="B16" s="73">
        <f>IFERROR(__xludf.DUMMYFUNCTION("ifs(filter( Personnesobjet!$A:$A,Personnesobjet!$C:$C=B7)&lt;$B$24,filter( Personnesobjet!$A:$A,Personnesobjet!$C:$C=B7), filter(Personnesobjet!$A:$A,Personnesobjet!$C:$C=B7)&gt;=$B$24,B15)"),1.0)</f>
        <v>1</v>
      </c>
      <c r="C16" s="73">
        <f>IFERROR(__xludf.DUMMYFUNCTION("ifs(filter( Personnesobjet!$A:$A,Personnesobjet!$C:$C=C7)&lt;$B$24,filter( Personnesobjet!$A:$A,Personnesobjet!$C:$C=C7), filter(Personnesobjet!$A:$A,Personnesobjet!$C:$C=C7)&gt;=$B$24,C15)"),5.0)</f>
        <v>5</v>
      </c>
      <c r="D16" s="73">
        <f>IFERROR(__xludf.DUMMYFUNCTION("ifs(filter( Personnesobjet!$A:$A,Personnesobjet!$C:$C=D7)&lt;$B$24,filter( Personnesobjet!$A:$A,Personnesobjet!$C:$C=D7), filter(Personnesobjet!$A:$A,Personnesobjet!$C:$C=D7)&gt;=$B$24,D15)"),9.0)</f>
        <v>9</v>
      </c>
      <c r="E16" s="73">
        <f>IFERROR(__xludf.DUMMYFUNCTION("ifs(filter( Personnesobjet!$A:$A,Personnesobjet!$C:$C=E7)&lt;$B$24,filter( Personnesobjet!$A:$A,Personnesobjet!$C:$C=E7), filter(Personnesobjet!$A:$A,Personnesobjet!$C:$C=E7)&gt;=$B$24,E15)"),10.0)</f>
        <v>10</v>
      </c>
      <c r="F16" s="73">
        <f>IFERROR(__xludf.DUMMYFUNCTION("ifs(filter( Personnesobjet!$A:$A,Personnesobjet!$C:$C=F7)&lt;$B$24,filter( Personnesobjet!$A:$A,Personnesobjet!$C:$C=F7), filter(Personnesobjet!$A:$A,Personnesobjet!$C:$C=F7)&gt;=$B$24,F15)"),15.0)</f>
        <v>15</v>
      </c>
      <c r="G16" s="73">
        <f>IFERROR(__xludf.DUMMYFUNCTION("ifs(filter( Personnesobjet!$A:$A,Personnesobjet!$C:$C=G7)&lt;$B$24,filter( Personnesobjet!$A:$A,Personnesobjet!$C:$C=G7), filter(Personnesobjet!$A:$A,Personnesobjet!$C:$C=G7)&gt;=$B$24,G15)"),16.0)</f>
        <v>16</v>
      </c>
      <c r="H16" s="73">
        <f>IFERROR(__xludf.DUMMYFUNCTION("ifs(filter( Personnesobjet!$A:$A,Personnesobjet!$C:$C=H7)&lt;$B$24,filter( Personnesobjet!$A:$A,Personnesobjet!$C:$C=H7), filter(Personnesobjet!$A:$A,Personnesobjet!$C:$C=H7)&gt;=$B$24,H15)"),19.0)</f>
        <v>19</v>
      </c>
      <c r="I16" s="73">
        <f>IFERROR(__xludf.DUMMYFUNCTION("ifs(filter( Personnesobjet!$A:$A,Personnesobjet!$C:$C=I7)&lt;$B$24,filter( Personnesobjet!$A:$A,Personnesobjet!$C:$C=I7), filter(Personnesobjet!$A:$A,Personnesobjet!$C:$C=I7)&gt;=$B$24,I15)"),24.0)</f>
        <v>24</v>
      </c>
      <c r="J16" s="73">
        <f>IFERROR(__xludf.DUMMYFUNCTION("ifs(filter( Personnesobjet!$A:$A,Personnesobjet!$C:$C=J7)&lt;$B$24,filter( Personnesobjet!$A:$A,Personnesobjet!$C:$C=J7), filter(Personnesobjet!$A:$A,Personnesobjet!$C:$C=J7)&gt;=$B$24,J15)"),25.0)</f>
        <v>25</v>
      </c>
      <c r="K16" s="73">
        <f>IFERROR(__xludf.DUMMYFUNCTION("ifs(filter( Personnesobjet!$A:$A,Personnesobjet!$C:$C=K7)&lt;$B$24,filter( Personnesobjet!$A:$A,Personnesobjet!$C:$C=K7), filter(Personnesobjet!$A:$A,Personnesobjet!$C:$C=K7)&gt;=$B$24,K15)"),32.0)</f>
        <v>32</v>
      </c>
      <c r="L16" s="73">
        <f>IFERROR(__xludf.DUMMYFUNCTION("ifs(filter( Personnesobjet!$A:$A,Personnesobjet!$C:$C=L7)&lt;$B$24,filter( Personnesobjet!$A:$A,Personnesobjet!$C:$C=L7), filter(Personnesobjet!$A:$A,Personnesobjet!$C:$C=L7)&gt;=$B$24,L15)"),41.0)</f>
        <v>41</v>
      </c>
      <c r="M16" s="73">
        <f>IFERROR(__xludf.DUMMYFUNCTION("ifs(filter( Personnesobjet!$A:$A,Personnesobjet!$C:$C=M7)&lt;$B$24,filter( Personnesobjet!$A:$A,Personnesobjet!$C:$C=M7), filter(Personnesobjet!$A:$A,Personnesobjet!$C:$C=M7)&gt;=$B$24,M15)"),49.0)</f>
        <v>49</v>
      </c>
      <c r="N16" s="73">
        <f>IFERROR(__xludf.DUMMYFUNCTION("ifs(filter( Personnesobjet!$A:$A,Personnesobjet!$C:$C=N7)&lt;$B$24,filter( Personnesobjet!$A:$A,Personnesobjet!$C:$C=N7), filter(Personnesobjet!$A:$A,Personnesobjet!$C:$C=N7)&gt;=$B$24,N15)"),47.0)</f>
        <v>47</v>
      </c>
      <c r="O16" s="73">
        <f>IFERROR(__xludf.DUMMYFUNCTION("ifs(filter( Personnesobjet!$A:$A,Personnesobjet!$C:$C=O7)&lt;$B$24,filter( Personnesobjet!$A:$A,Personnesobjet!$C:$C=O7), filter(Personnesobjet!$A:$A,Personnesobjet!$C:$C=O7)&gt;=$B$24,O15)"),58.0)</f>
        <v>58</v>
      </c>
      <c r="P16" s="73">
        <f>IFERROR(__xludf.DUMMYFUNCTION("ifs(filter( Personnesobjet!$A:$A,Personnesobjet!$C:$C=P7)&lt;$B$24,filter( Personnesobjet!$A:$A,Personnesobjet!$C:$C=P7), filter(Personnesobjet!$A:$A,Personnesobjet!$C:$C=P7)&gt;=$B$24,P15)"),55.0)</f>
        <v>55</v>
      </c>
      <c r="Q16" s="73">
        <f>IFERROR(__xludf.DUMMYFUNCTION("ifs(filter( Personnesobjet!$A:$A,Personnesobjet!$C:$C=Q7)&lt;$B$24,filter( Personnesobjet!$A:$A,Personnesobjet!$C:$C=Q7), filter(Personnesobjet!$A:$A,Personnesobjet!$C:$C=Q7)&gt;=$B$24,Q15)"),57.0)</f>
        <v>57</v>
      </c>
      <c r="R16" s="73">
        <f>IFERROR(__xludf.DUMMYFUNCTION("ifs(filter( Personnesobjet!$A:$A,Personnesobjet!$C:$C=R7)&lt;$B$24,filter( Personnesobjet!$A:$A,Personnesobjet!$C:$C=R7), filter(Personnesobjet!$A:$A,Personnesobjet!$C:$C=R7)&gt;=$B$24,R15)"),184.0)</f>
        <v>184</v>
      </c>
      <c r="S16" s="73">
        <f>IFERROR(__xludf.DUMMYFUNCTION("ifs(filter( Personnesobjet!$A:$A,Personnesobjet!$C:$C=S7)&lt;$B$24,filter( Personnesobjet!$A:$A,Personnesobjet!$C:$C=S7), filter(Personnesobjet!$A:$A,Personnesobjet!$C:$C=S7)&gt;=$B$24,S15)"),65.0)</f>
        <v>65</v>
      </c>
      <c r="T16" s="73">
        <f>IFERROR(__xludf.DUMMYFUNCTION("ifs(filter( Personnesobjet!$A:$A,Personnesobjet!$C:$C=T7)&lt;$B$24,filter( Personnesobjet!$A:$A,Personnesobjet!$C:$C=T7), filter(Personnesobjet!$A:$A,Personnesobjet!$C:$C=T7)&gt;=$B$24,T15)"),70.0)</f>
        <v>70</v>
      </c>
      <c r="U16" s="73">
        <f>IFERROR(__xludf.DUMMYFUNCTION("ifs(filter( Personnesobjet!$A:$A,Personnesobjet!$C:$C=U7)&lt;$B$24,filter( Personnesobjet!$A:$A,Personnesobjet!$C:$C=U7), filter(Personnesobjet!$A:$A,Personnesobjet!$C:$C=U7)&gt;=$B$24,U15)"),77.0)</f>
        <v>77</v>
      </c>
      <c r="V16" s="73">
        <f>IFERROR(__xludf.DUMMYFUNCTION("ifs(filter( Personnesobjet!$A:$A,Personnesobjet!$C:$C=V7)&lt;$B$24,filter( Personnesobjet!$A:$A,Personnesobjet!$C:$C=V7), filter(Personnesobjet!$A:$A,Personnesobjet!$C:$C=V7)&gt;=$B$24,V15)"),133.0)</f>
        <v>133</v>
      </c>
      <c r="W16" s="73">
        <f>IFERROR(__xludf.DUMMYFUNCTION("ifs(filter( Personnesobjet!$A:$A,Personnesobjet!$C:$C=W7)&lt;$B$24,filter( Personnesobjet!$A:$A,Personnesobjet!$C:$C=W7), filter(Personnesobjet!$A:$A,Personnesobjet!$C:$C=W7)&gt;=$B$24,W15)"),81.0)</f>
        <v>81</v>
      </c>
      <c r="X16" s="73">
        <f>IFERROR(__xludf.DUMMYFUNCTION("ifs(filter( Personnesobjet!$A:$A,Personnesobjet!$C:$C=X7)&lt;$B$24,filter( Personnesobjet!$A:$A,Personnesobjet!$C:$C=X7), filter(Personnesobjet!$A:$A,Personnesobjet!$C:$C=X7)&gt;=$B$24,X15)"),87.0)</f>
        <v>87</v>
      </c>
      <c r="Y16" s="73">
        <f>IFERROR(__xludf.DUMMYFUNCTION("ifs(filter( Personnesobjet!$A:$A,Personnesobjet!$C:$C=Y7)&lt;$B$24,filter( Personnesobjet!$A:$A,Personnesobjet!$C:$C=Y7), filter(Personnesobjet!$A:$A,Personnesobjet!$C:$C=Y7)&gt;=$B$24,Y15)"),89.0)</f>
        <v>89</v>
      </c>
      <c r="Z16" s="73">
        <f>IFERROR(__xludf.DUMMYFUNCTION("ifs(filter( Personnesobjet!$A:$A,Personnesobjet!$C:$C=Z7)&lt;$B$24,filter( Personnesobjet!$A:$A,Personnesobjet!$C:$C=Z7), filter(Personnesobjet!$A:$A,Personnesobjet!$C:$C=Z7)&gt;=$B$24,Z15)"),96.0)</f>
        <v>96</v>
      </c>
      <c r="AA16" s="73">
        <f>IFERROR(__xludf.DUMMYFUNCTION("ifs(filter( Personnesobjet!$A:$A,Personnesobjet!$C:$C=AA7)&lt;$B$24,filter( Personnesobjet!$A:$A,Personnesobjet!$C:$C=AA7), filter(Personnesobjet!$A:$A,Personnesobjet!$C:$C=AA7)&gt;=$B$24,AA15)"),114.0)</f>
        <v>114</v>
      </c>
      <c r="AB16" s="73">
        <f>IFERROR(__xludf.DUMMYFUNCTION("ifs(filter( Personnesobjet!$A:$A,Personnesobjet!$C:$C=AB7)&lt;$B$24,filter( Personnesobjet!$A:$A,Personnesobjet!$C:$C=AB7), filter(Personnesobjet!$A:$A,Personnesobjet!$C:$C=AB7)&gt;=$B$24,AB15)"),102.0)</f>
        <v>102</v>
      </c>
      <c r="AC16" s="73">
        <f>IFERROR(__xludf.DUMMYFUNCTION("ifs(filter( Personnesobjet!$A:$A,Personnesobjet!$C:$C=AC7)&lt;$B$24,filter( Personnesobjet!$A:$A,Personnesobjet!$C:$C=AC7), filter(Personnesobjet!$A:$A,Personnesobjet!$C:$C=AC7)&gt;=$B$24,AC15)"),110.0)</f>
        <v>110</v>
      </c>
      <c r="AD16" s="73">
        <f>IFERROR(__xludf.DUMMYFUNCTION("ifs(filter( Personnesobjet!$A:$A,Personnesobjet!$C:$C=AD7)&lt;$B$24,filter( Personnesobjet!$A:$A,Personnesobjet!$C:$C=AD7), filter(Personnesobjet!$A:$A,Personnesobjet!$C:$C=AD7)&gt;=$B$24,AD15)"),107.0)</f>
        <v>107</v>
      </c>
      <c r="AE16" s="73">
        <f>IFERROR(__xludf.DUMMYFUNCTION("ifs(filter( Personnesobjet!$A:$A,Personnesobjet!$C:$C=AE7)&lt;$B$24,filter( Personnesobjet!$A:$A,Personnesobjet!$C:$C=AE7), filter(Personnesobjet!$A:$A,Personnesobjet!$C:$C=AE7)&gt;=$B$24,AE15)"),103.0)</f>
        <v>103</v>
      </c>
      <c r="AF16" s="73">
        <f>IFERROR(__xludf.DUMMYFUNCTION("ifs(filter( Personnesobjet!$A:$A,Personnesobjet!$C:$C=AF7)&lt;$B$24,filter( Personnesobjet!$A:$A,Personnesobjet!$C:$C=AF7), filter(Personnesobjet!$A:$A,Personnesobjet!$C:$C=AF7)&gt;=$B$24,AF15)"),118.0)</f>
        <v>118</v>
      </c>
      <c r="AG16" s="73">
        <f>IFERROR(__xludf.DUMMYFUNCTION("ifs(filter( Personnesobjet!$A:$A,Personnesobjet!$C:$C=AG7)&lt;$B$24,filter( Personnesobjet!$A:$A,Personnesobjet!$C:$C=AG7), filter(Personnesobjet!$A:$A,Personnesobjet!$C:$C=AG7)&gt;=$B$24,AG15)"),122.0)</f>
        <v>122</v>
      </c>
      <c r="AH16" s="73">
        <f>IFERROR(__xludf.DUMMYFUNCTION("ifs(filter( Personnesobjet!$A:$A,Personnesobjet!$C:$C=AH7)&lt;$B$24,filter( Personnesobjet!$A:$A,Personnesobjet!$C:$C=AH7), filter(Personnesobjet!$A:$A,Personnesobjet!$C:$C=AH7)&gt;=$B$24,AH15)"),123.0)</f>
        <v>123</v>
      </c>
      <c r="AI16" s="73">
        <f>IFERROR(__xludf.DUMMYFUNCTION("ifs(filter( Personnesobjet!$A:$A,Personnesobjet!$C:$C=AI7)&lt;$B$24,filter( Personnesobjet!$A:$A,Personnesobjet!$C:$C=AI7), filter(Personnesobjet!$A:$A,Personnesobjet!$C:$C=AI7)&gt;=$B$24,AI15)"),127.0)</f>
        <v>127</v>
      </c>
      <c r="AJ16" s="73">
        <f>IFERROR(__xludf.DUMMYFUNCTION("ifs(filter( Personnesobjet!$A:$A,Personnesobjet!$C:$C=AJ7)&lt;$B$24,filter( Personnesobjet!$A:$A,Personnesobjet!$C:$C=AJ7), filter(Personnesobjet!$A:$A,Personnesobjet!$C:$C=AJ7)&gt;=$B$24,AJ15)"),132.0)</f>
        <v>132</v>
      </c>
      <c r="AK16" s="73">
        <f>IFERROR(__xludf.DUMMYFUNCTION("ifs(filter( Personnesobjet!$A:$A,Personnesobjet!$C:$C=AK7)&lt;$B$24,filter( Personnesobjet!$A:$A,Personnesobjet!$C:$C=AK7), filter(Personnesobjet!$A:$A,Personnesobjet!$C:$C=AK7)&gt;=$B$24,AK15)"),140.0)</f>
        <v>140</v>
      </c>
      <c r="AL16" s="73">
        <f>IFERROR(__xludf.DUMMYFUNCTION("ifs(filter( Personnesobjet!$A:$A,Personnesobjet!$C:$C=AL7)&lt;$B$24,filter( Personnesobjet!$A:$A,Personnesobjet!$C:$C=AL7), filter(Personnesobjet!$A:$A,Personnesobjet!$C:$C=AL7)&gt;=$B$24,AL15)"),145.0)</f>
        <v>145</v>
      </c>
      <c r="AM16" s="73">
        <f>IFERROR(__xludf.DUMMYFUNCTION("ifs(filter( Personnesobjet!$A:$A,Personnesobjet!$C:$C=AM7)&lt;$B$24,filter( Personnesobjet!$A:$A,Personnesobjet!$C:$C=AM7), filter(Personnesobjet!$A:$A,Personnesobjet!$C:$C=AM7)&gt;=$B$24,AM15)"),153.0)</f>
        <v>153</v>
      </c>
      <c r="AN16" s="73">
        <f>IFERROR(__xludf.DUMMYFUNCTION("ifs(filter( Personnesobjet!$A:$A,Personnesobjet!$C:$C=AN7)&lt;$B$24,filter( Personnesobjet!$A:$A,Personnesobjet!$C:$C=AN7), filter(Personnesobjet!$A:$A,Personnesobjet!$C:$C=AN7)&gt;=$B$24,AN15)"),152.0)</f>
        <v>152</v>
      </c>
      <c r="AO16" s="73">
        <f>IFERROR(__xludf.DUMMYFUNCTION("ifs(filter( Personnesobjet!$A:$A,Personnesobjet!$C:$C=AO7)&lt;$B$24,filter( Personnesobjet!$A:$A,Personnesobjet!$C:$C=AO7), filter(Personnesobjet!$A:$A,Personnesobjet!$C:$C=AO7)&gt;=$B$24,AO15)"),162.0)</f>
        <v>162</v>
      </c>
      <c r="AP16" s="73">
        <f>IFERROR(__xludf.DUMMYFUNCTION("ifs(filter( Personnesobjet!$A:$A,Personnesobjet!$C:$C=AP7)&lt;$B$24,filter( Personnesobjet!$A:$A,Personnesobjet!$C:$C=AP7), filter(Personnesobjet!$A:$A,Personnesobjet!$C:$C=AP7)&gt;=$B$24,AP15)"),165.0)</f>
        <v>165</v>
      </c>
      <c r="AQ16" s="73">
        <f>IFERROR(__xludf.DUMMYFUNCTION("ifs(filter( Personnesobjet!$A:$A,Personnesobjet!$C:$C=AQ7)&lt;$B$24,filter( Personnesobjet!$A:$A,Personnesobjet!$C:$C=AQ7), filter(Personnesobjet!$A:$A,Personnesobjet!$C:$C=AQ7)&gt;=$B$24,AQ15)"),175.0)</f>
        <v>175</v>
      </c>
      <c r="AR16" s="73">
        <f>IFERROR(__xludf.DUMMYFUNCTION("ifs(filter( Personnesobjet!$A:$A,Personnesobjet!$C:$C=AR7)&lt;$B$24,filter( Personnesobjet!$A:$A,Personnesobjet!$C:$C=AR7), filter(Personnesobjet!$A:$A,Personnesobjet!$C:$C=AR7)&gt;=$B$24,AR15)"),179.0)</f>
        <v>179</v>
      </c>
      <c r="AS16" s="73">
        <f>IFERROR(__xludf.DUMMYFUNCTION("ifs(filter( Personnesobjet!$A:$A,Personnesobjet!$C:$C=AS7)&lt;$B$24,filter( Personnesobjet!$A:$A,Personnesobjet!$C:$C=AS7), filter(Personnesobjet!$A:$A,Personnesobjet!$C:$C=AS7)&gt;=$B$24,AS15)"),194.0)</f>
        <v>194</v>
      </c>
      <c r="AT16" s="73">
        <f>IFERROR(__xludf.DUMMYFUNCTION("ifs(filter( Personnesobjet!$A:$A,Personnesobjet!$C:$C=AT7)&lt;$B$24,filter( Personnesobjet!$A:$A,Personnesobjet!$C:$C=AT7), filter(Personnesobjet!$A:$A,Personnesobjet!$C:$C=AT7)&gt;=$B$24,AT15)"),189.0)</f>
        <v>189</v>
      </c>
      <c r="AU16" s="73">
        <f>IFERROR(__xludf.DUMMYFUNCTION("ifs(filter( Personnesobjet!$A:$A,Personnesobjet!$C:$C=AU7)&lt;$B$24,filter( Personnesobjet!$A:$A,Personnesobjet!$C:$C=AU7), filter(Personnesobjet!$A:$A,Personnesobjet!$C:$C=AU7)&gt;=$B$24,AU15)"),196.0)</f>
        <v>196</v>
      </c>
      <c r="AV16" s="73">
        <f>IFERROR(__xludf.DUMMYFUNCTION("ifs(filter( Personnesobjet!$A:$A,Personnesobjet!$C:$C=AV7)&lt;$B$24,filter( Personnesobjet!$A:$A,Personnesobjet!$C:$C=AV7), filter(Personnesobjet!$A:$A,Personnesobjet!$C:$C=AV7)&gt;=$B$24,AV15)"),203.0)</f>
        <v>203</v>
      </c>
      <c r="AW16" s="73">
        <f>IFERROR(__xludf.DUMMYFUNCTION("ifs(filter( Personnesobjet!$A:$A,Personnesobjet!$C:$C=AW7)&lt;$B$24,filter( Personnesobjet!$A:$A,Personnesobjet!$C:$C=AW7), filter(Personnesobjet!$A:$A,Personnesobjet!$C:$C=AW7)&gt;=$B$24,AW15)"),206.0)</f>
        <v>206</v>
      </c>
      <c r="AX16" s="73">
        <f>IFERROR(__xludf.DUMMYFUNCTION("ifs(filter( Personnesobjet!$A:$A,Personnesobjet!$C:$C=AX7)&lt;$B$24,filter( Personnesobjet!$A:$A,Personnesobjet!$C:$C=AX7), filter(Personnesobjet!$A:$A,Personnesobjet!$C:$C=AX7)&gt;=$B$24,AX15)"),208.0)</f>
        <v>208</v>
      </c>
      <c r="AY16" s="73">
        <f>IFERROR(__xludf.DUMMYFUNCTION("ifs(filter( Personnesobjet!$A:$A,Personnesobjet!$C:$C=AY7)&lt;$B$24,filter( Personnesobjet!$A:$A,Personnesobjet!$C:$C=AY7), filter(Personnesobjet!$A:$A,Personnesobjet!$C:$C=AY7)&gt;=$B$24,AY15)"),210.0)</f>
        <v>210</v>
      </c>
      <c r="AZ16" s="73">
        <f>IFERROR(__xludf.DUMMYFUNCTION("ifs(filter( Personnesobjet!$A:$A,Personnesobjet!$C:$C=AZ7)&lt;$B$24,filter( Personnesobjet!$A:$A,Personnesobjet!$C:$C=AZ7), filter(Personnesobjet!$A:$A,Personnesobjet!$C:$C=AZ7)&gt;=$B$24,AZ15)"),212.0)</f>
        <v>212</v>
      </c>
      <c r="BA16" s="73">
        <f>IFERROR(__xludf.DUMMYFUNCTION("ifs(filter( Personnesobjet!$A:$A,Personnesobjet!$C:$C=BA7)&lt;$B$24,filter( Personnesobjet!$A:$A,Personnesobjet!$C:$C=BA7), filter(Personnesobjet!$A:$A,Personnesobjet!$C:$C=BA7)&gt;=$B$24,BA15)"),226.0)</f>
        <v>226</v>
      </c>
      <c r="BB16" s="73">
        <f>IFERROR(__xludf.DUMMYFUNCTION("ifs(filter( Personnesobjet!$A:$A,Personnesobjet!$C:$C=BB7)&lt;$B$24,filter( Personnesobjet!$A:$A,Personnesobjet!$C:$C=BB7), filter(Personnesobjet!$A:$A,Personnesobjet!$C:$C=BB7)&gt;=$B$24,BB15)"),224.0)</f>
        <v>224</v>
      </c>
      <c r="BC16" s="73">
        <f>IFERROR(__xludf.DUMMYFUNCTION("ifs(filter( Personnesobjet!$A:$A,Personnesobjet!$C:$C=BC7)&lt;$B$24,filter( Personnesobjet!$A:$A,Personnesobjet!$C:$C=BC7), filter(Personnesobjet!$A:$A,Personnesobjet!$C:$C=BC7)&gt;=$B$24,BC15)"),232.0)</f>
        <v>232</v>
      </c>
      <c r="BD16" s="73">
        <f>IFERROR(__xludf.DUMMYFUNCTION("ifs(filter( Personnesobjet!$A:$A,Personnesobjet!$C:$C=BD7)&lt;$B$24,filter( Personnesobjet!$A:$A,Personnesobjet!$C:$C=BD7), filter(Personnesobjet!$A:$A,Personnesobjet!$C:$C=BD7)&gt;=$B$24,BD15)"),237.0)</f>
        <v>237</v>
      </c>
      <c r="BE16" s="73">
        <f>IFERROR(__xludf.DUMMYFUNCTION("ifs(filter( Personnesobjet!$A:$A,Personnesobjet!$C:$C=BE7)&lt;$B$24,filter( Personnesobjet!$A:$A,Personnesobjet!$C:$C=BE7), filter(Personnesobjet!$A:$A,Personnesobjet!$C:$C=BE7)&gt;=$B$24,BE15)"),239.0)</f>
        <v>239</v>
      </c>
      <c r="BF16" s="73">
        <f>IFERROR(__xludf.DUMMYFUNCTION("ifs(filter( Personnesobjet!$A:$A,Personnesobjet!$C:$C=BF7)&lt;$B$24,filter( Personnesobjet!$A:$A,Personnesobjet!$C:$C=BF7), filter(Personnesobjet!$A:$A,Personnesobjet!$C:$C=BF7)&gt;=$B$24,BF15)"),240.0)</f>
        <v>240</v>
      </c>
      <c r="BG16" s="73">
        <f>IFERROR(__xludf.DUMMYFUNCTION("ifs(filter( Personnesobjet!$A:$A,Personnesobjet!$C:$C=BG7)&lt;$B$24,filter( Personnesobjet!$A:$A,Personnesobjet!$C:$C=BG7), filter(Personnesobjet!$A:$A,Personnesobjet!$C:$C=BG7)&gt;=$B$24,BG15)"),249.0)</f>
        <v>249</v>
      </c>
      <c r="BH16" s="73">
        <f>IFERROR(__xludf.DUMMYFUNCTION("ifs(filter( Personnesobjet!$A:$A,Personnesobjet!$C:$C=BH7)&lt;$B$24,filter( Personnesobjet!$A:$A,Personnesobjet!$C:$C=BH7), filter(Personnesobjet!$A:$A,Personnesobjet!$C:$C=BH7)&gt;=$B$24,BH15)"),256.0)</f>
        <v>256</v>
      </c>
      <c r="BI16" s="73">
        <f>IFERROR(__xludf.DUMMYFUNCTION("ifs(filter( Personnesobjet!$A:$A,Personnesobjet!$C:$C=BI7)&lt;$B$24,filter( Personnesobjet!$A:$A,Personnesobjet!$C:$C=BI7), filter(Personnesobjet!$A:$A,Personnesobjet!$C:$C=BI7)&gt;=$B$24,BI15)"),262.0)</f>
        <v>262</v>
      </c>
      <c r="BJ16" s="73" t="str">
        <f>IFERROR(__xludf.DUMMYFUNCTION("ifs(filter( Personnesobjet!$A:$A,Personnesobjet!$C:$C=BJ7)&lt;$B$24,filter( Personnesobjet!$A:$A,Personnesobjet!$C:$C=BJ7), filter(Personnesobjet!$A:$A,Personnesobjet!$C:$C=BJ7)&gt;=$B$24,BJ15)"),"")</f>
        <v/>
      </c>
      <c r="BK16" s="73" t="str">
        <f>IFERROR(__xludf.DUMMYFUNCTION("ifs(filter( Personnesobjet!$A:$A,Personnesobjet!$C:$C=BK7)&lt;$B$24,filter( Personnesobjet!$A:$A,Personnesobjet!$C:$C=BK7), filter(Personnesobjet!$A:$A,Personnesobjet!$C:$C=BK7)&gt;=$B$24,BK15)"),"")</f>
        <v/>
      </c>
      <c r="BL16" s="73" t="str">
        <f>IFERROR(__xludf.DUMMYFUNCTION("ifs(filter( Personnesobjet!$A:$A,Personnesobjet!$C:$C=BL7)&lt;$B$24,filter( Personnesobjet!$A:$A,Personnesobjet!$C:$C=BL7), filter(Personnesobjet!$A:$A,Personnesobjet!$C:$C=BL7)&gt;=$B$24,BL15)"),"")</f>
        <v/>
      </c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5"/>
    </row>
    <row r="17">
      <c r="A17" s="76"/>
      <c r="B17" s="73">
        <f>IFERROR(__xludf.DUMMYFUNCTION("ifs(filter( Personnesobjet!$A:$A,Personnesobjet!$C:$C=B8)&lt;$B$24,filter( Personnesobjet!$A:$A,Personnesobjet!$C:$C=B8), filter(Personnesobjet!$A:$A,Personnesobjet!$C:$C=B8)&gt;=$B$24,B16)"),2.0)</f>
        <v>2</v>
      </c>
      <c r="C17" s="73">
        <f>IFERROR(__xludf.DUMMYFUNCTION("ifs(filter( Personnesobjet!$A:$A,Personnesobjet!$C:$C=C8)&lt;$B$24,filter( Personnesobjet!$A:$A,Personnesobjet!$C:$C=C8), filter(Personnesobjet!$A:$A,Personnesobjet!$C:$C=C8)&gt;=$B$24,C16)"),7.0)</f>
        <v>7</v>
      </c>
      <c r="D17" s="73">
        <f>IFERROR(__xludf.DUMMYFUNCTION("ifs(filter( Personnesobjet!$A:$A,Personnesobjet!$C:$C=D8)&lt;$B$24,filter( Personnesobjet!$A:$A,Personnesobjet!$C:$C=D8), filter(Personnesobjet!$A:$A,Personnesobjet!$C:$C=D8)&gt;=$B$24,D16)"),35.0)</f>
        <v>35</v>
      </c>
      <c r="E17" s="73">
        <f>IFERROR(__xludf.DUMMYFUNCTION("ifs(filter( Personnesobjet!$A:$A,Personnesobjet!$C:$C=E8)&lt;$B$24,filter( Personnesobjet!$A:$A,Personnesobjet!$C:$C=E8), filter(Personnesobjet!$A:$A,Personnesobjet!$C:$C=E8)&gt;=$B$24,E16)"),12.0)</f>
        <v>12</v>
      </c>
      <c r="F17" s="73">
        <f>IFERROR(__xludf.DUMMYFUNCTION("ifs(filter( Personnesobjet!$A:$A,Personnesobjet!$C:$C=F8)&lt;$B$24,filter( Personnesobjet!$A:$A,Personnesobjet!$C:$C=F8), filter(Personnesobjet!$A:$A,Personnesobjet!$C:$C=F8)&gt;=$B$24,F16)"),17.0)</f>
        <v>17</v>
      </c>
      <c r="G17" s="73">
        <f>IFERROR(__xludf.DUMMYFUNCTION("ifs(filter( Personnesobjet!$A:$A,Personnesobjet!$C:$C=G8)&lt;$B$24,filter( Personnesobjet!$A:$A,Personnesobjet!$C:$C=G8), filter(Personnesobjet!$A:$A,Personnesobjet!$C:$C=G8)&gt;=$B$24,G16)"),21.0)</f>
        <v>21</v>
      </c>
      <c r="H17" s="73">
        <f>IFERROR(__xludf.DUMMYFUNCTION("ifs(filter( Personnesobjet!$A:$A,Personnesobjet!$C:$C=H8)&lt;$B$24,filter( Personnesobjet!$A:$A,Personnesobjet!$C:$C=H8), filter(Personnesobjet!$A:$A,Personnesobjet!$C:$C=H8)&gt;=$B$24,H16)"),37.0)</f>
        <v>37</v>
      </c>
      <c r="I17" s="73">
        <f>IFERROR(__xludf.DUMMYFUNCTION("ifs(filter( Personnesobjet!$A:$A,Personnesobjet!$C:$C=I8)&lt;$B$24,filter( Personnesobjet!$A:$A,Personnesobjet!$C:$C=I8), filter(Personnesobjet!$A:$A,Personnesobjet!$C:$C=I8)&gt;=$B$24,I16)"),27.0)</f>
        <v>27</v>
      </c>
      <c r="J17" s="73">
        <f>IFERROR(__xludf.DUMMYFUNCTION("ifs(filter( Personnesobjet!$A:$A,Personnesobjet!$C:$C=J8)&lt;$B$24,filter( Personnesobjet!$A:$A,Personnesobjet!$C:$C=J8), filter(Personnesobjet!$A:$A,Personnesobjet!$C:$C=J8)&gt;=$B$24,J16)"),26.0)</f>
        <v>26</v>
      </c>
      <c r="K17" s="73">
        <f>IFERROR(__xludf.DUMMYFUNCTION("ifs(filter( Personnesobjet!$A:$A,Personnesobjet!$C:$C=K8)&lt;$B$24,filter( Personnesobjet!$A:$A,Personnesobjet!$C:$C=K8), filter(Personnesobjet!$A:$A,Personnesobjet!$C:$C=K8)&gt;=$B$24,K16)"),33.0)</f>
        <v>33</v>
      </c>
      <c r="L17" s="73">
        <f>IFERROR(__xludf.DUMMYFUNCTION("ifs(filter( Personnesobjet!$A:$A,Personnesobjet!$C:$C=L8)&lt;$B$24,filter( Personnesobjet!$A:$A,Personnesobjet!$C:$C=L8), filter(Personnesobjet!$A:$A,Personnesobjet!$C:$C=L8)&gt;=$B$24,L16)"),42.0)</f>
        <v>42</v>
      </c>
      <c r="M17" s="73">
        <f>IFERROR(__xludf.DUMMYFUNCTION("ifs(filter( Personnesobjet!$A:$A,Personnesobjet!$C:$C=M8)&lt;$B$24,filter( Personnesobjet!$A:$A,Personnesobjet!$C:$C=M8), filter(Personnesobjet!$A:$A,Personnesobjet!$C:$C=M8)&gt;=$B$24,M16)"),50.0)</f>
        <v>50</v>
      </c>
      <c r="N17" s="73">
        <f>IFERROR(__xludf.DUMMYFUNCTION("ifs(filter( Personnesobjet!$A:$A,Personnesobjet!$C:$C=N8)&lt;$B$24,filter( Personnesobjet!$A:$A,Personnesobjet!$C:$C=N8), filter(Personnesobjet!$A:$A,Personnesobjet!$C:$C=N8)&gt;=$B$24,N16)"),54.0)</f>
        <v>54</v>
      </c>
      <c r="O17" s="73">
        <f>IFERROR(__xludf.DUMMYFUNCTION("ifs(filter( Personnesobjet!$A:$A,Personnesobjet!$C:$C=O8)&lt;$B$24,filter( Personnesobjet!$A:$A,Personnesobjet!$C:$C=O8), filter(Personnesobjet!$A:$A,Personnesobjet!$C:$C=O8)&gt;=$B$24,O16)"),59.0)</f>
        <v>59</v>
      </c>
      <c r="P17" s="73">
        <f>IFERROR(__xludf.DUMMYFUNCTION("ifs(filter( Personnesobjet!$A:$A,Personnesobjet!$C:$C=P8)&lt;$B$24,filter( Personnesobjet!$A:$A,Personnesobjet!$C:$C=P8), filter(Personnesobjet!$A:$A,Personnesobjet!$C:$C=P8)&gt;=$B$24,P16)"),64.0)</f>
        <v>64</v>
      </c>
      <c r="Q17" s="73">
        <f>IFERROR(__xludf.DUMMYFUNCTION("ifs(filter( Personnesobjet!$A:$A,Personnesobjet!$C:$C=Q8)&lt;$B$24,filter( Personnesobjet!$A:$A,Personnesobjet!$C:$C=Q8), filter(Personnesobjet!$A:$A,Personnesobjet!$C:$C=Q8)&gt;=$B$24,Q16)"),185.0)</f>
        <v>185</v>
      </c>
      <c r="R17" s="73">
        <f>IFERROR(__xludf.DUMMYFUNCTION("ifs(filter( Personnesobjet!$A:$A,Personnesobjet!$C:$C=R8)&lt;$B$24,filter( Personnesobjet!$A:$A,Personnesobjet!$C:$C=R8), filter(Personnesobjet!$A:$A,Personnesobjet!$C:$C=R8)&gt;=$B$24,R16)"),63.0)</f>
        <v>63</v>
      </c>
      <c r="S17" s="73">
        <f>IFERROR(__xludf.DUMMYFUNCTION("ifs(filter( Personnesobjet!$A:$A,Personnesobjet!$C:$C=S8)&lt;$B$24,filter( Personnesobjet!$A:$A,Personnesobjet!$C:$C=S8), filter(Personnesobjet!$A:$A,Personnesobjet!$C:$C=S8)&gt;=$B$24,S16)"),68.0)</f>
        <v>68</v>
      </c>
      <c r="T17" s="73">
        <f>IFERROR(__xludf.DUMMYFUNCTION("ifs(filter( Personnesobjet!$A:$A,Personnesobjet!$C:$C=T8)&lt;$B$24,filter( Personnesobjet!$A:$A,Personnesobjet!$C:$C=T8), filter(Personnesobjet!$A:$A,Personnesobjet!$C:$C=T8)&gt;=$B$24,T16)"),71.0)</f>
        <v>71</v>
      </c>
      <c r="U17" s="73">
        <f>IFERROR(__xludf.DUMMYFUNCTION("ifs(filter( Personnesobjet!$A:$A,Personnesobjet!$C:$C=U8)&lt;$B$24,filter( Personnesobjet!$A:$A,Personnesobjet!$C:$C=U8), filter(Personnesobjet!$A:$A,Personnesobjet!$C:$C=U8)&gt;=$B$24,U16)"),78.0)</f>
        <v>78</v>
      </c>
      <c r="V17" s="73">
        <f>IFERROR(__xludf.DUMMYFUNCTION("ifs(filter( Personnesobjet!$A:$A,Personnesobjet!$C:$C=V8)&lt;$B$24,filter( Personnesobjet!$A:$A,Personnesobjet!$C:$C=V8), filter(Personnesobjet!$A:$A,Personnesobjet!$C:$C=V8)&gt;=$B$24,V16)"),134.0)</f>
        <v>134</v>
      </c>
      <c r="W17" s="73">
        <f>IFERROR(__xludf.DUMMYFUNCTION("ifs(filter( Personnesobjet!$A:$A,Personnesobjet!$C:$C=W8)&lt;$B$24,filter( Personnesobjet!$A:$A,Personnesobjet!$C:$C=W8), filter(Personnesobjet!$A:$A,Personnesobjet!$C:$C=W8)&gt;=$B$24,W16)"),82.0)</f>
        <v>82</v>
      </c>
      <c r="X17" s="73">
        <f>IFERROR(__xludf.DUMMYFUNCTION("ifs(filter( Personnesobjet!$A:$A,Personnesobjet!$C:$C=X8)&lt;$B$24,filter( Personnesobjet!$A:$A,Personnesobjet!$C:$C=X8), filter(Personnesobjet!$A:$A,Personnesobjet!$C:$C=X8)&gt;=$B$24,X16)"),93.0)</f>
        <v>93</v>
      </c>
      <c r="Y17" s="73">
        <f>IFERROR(__xludf.DUMMYFUNCTION("ifs(filter( Personnesobjet!$A:$A,Personnesobjet!$C:$C=Y8)&lt;$B$24,filter( Personnesobjet!$A:$A,Personnesobjet!$C:$C=Y8), filter(Personnesobjet!$A:$A,Personnesobjet!$C:$C=Y8)&gt;=$B$24,Y16)"),209.0)</f>
        <v>209</v>
      </c>
      <c r="Z17" s="73">
        <f>IFERROR(__xludf.DUMMYFUNCTION("ifs(filter( Personnesobjet!$A:$A,Personnesobjet!$C:$C=Z8)&lt;$B$24,filter( Personnesobjet!$A:$A,Personnesobjet!$C:$C=Z8), filter(Personnesobjet!$A:$A,Personnesobjet!$C:$C=Z8)&gt;=$B$24,Z16)"),97.0)</f>
        <v>97</v>
      </c>
      <c r="AA17" s="73">
        <f>IFERROR(__xludf.DUMMYFUNCTION("ifs(filter( Personnesobjet!$A:$A,Personnesobjet!$C:$C=AA8)&lt;$B$24,filter( Personnesobjet!$A:$A,Personnesobjet!$C:$C=AA8), filter(Personnesobjet!$A:$A,Personnesobjet!$C:$C=AA8)&gt;=$B$24,AA16)"),115.0)</f>
        <v>115</v>
      </c>
      <c r="AB17" s="73">
        <f>IFERROR(__xludf.DUMMYFUNCTION("ifs(filter( Personnesobjet!$A:$A,Personnesobjet!$C:$C=AB8)&lt;$B$24,filter( Personnesobjet!$A:$A,Personnesobjet!$C:$C=AB8), filter(Personnesobjet!$A:$A,Personnesobjet!$C:$C=AB8)&gt;=$B$24,AB16)"),105.0)</f>
        <v>105</v>
      </c>
      <c r="AC17" s="73">
        <f>IFERROR(__xludf.DUMMYFUNCTION("ifs(filter( Personnesobjet!$A:$A,Personnesobjet!$C:$C=AC8)&lt;$B$24,filter( Personnesobjet!$A:$A,Personnesobjet!$C:$C=AC8), filter(Personnesobjet!$A:$A,Personnesobjet!$C:$C=AC8)&gt;=$B$24,AC16)"),111.0)</f>
        <v>111</v>
      </c>
      <c r="AD17" s="73">
        <f>IFERROR(__xludf.DUMMYFUNCTION("ifs(filter( Personnesobjet!$A:$A,Personnesobjet!$C:$C=AD8)&lt;$B$24,filter( Personnesobjet!$A:$A,Personnesobjet!$C:$C=AD8), filter(Personnesobjet!$A:$A,Personnesobjet!$C:$C=AD8)&gt;=$B$24,AD16)"),157.0)</f>
        <v>157</v>
      </c>
      <c r="AE17" s="73">
        <f>IFERROR(__xludf.DUMMYFUNCTION("ifs(filter( Personnesobjet!$A:$A,Personnesobjet!$C:$C=AE8)&lt;$B$24,filter( Personnesobjet!$A:$A,Personnesobjet!$C:$C=AE8), filter(Personnesobjet!$A:$A,Personnesobjet!$C:$C=AE8)&gt;=$B$24,AE16)"),120.0)</f>
        <v>120</v>
      </c>
      <c r="AF17" s="73">
        <f>IFERROR(__xludf.DUMMYFUNCTION("ifs(filter( Personnesobjet!$A:$A,Personnesobjet!$C:$C=AF8)&lt;$B$24,filter( Personnesobjet!$A:$A,Personnesobjet!$C:$C=AF8), filter(Personnesobjet!$A:$A,Personnesobjet!$C:$C=AF8)&gt;=$B$24,AF16)"),119.0)</f>
        <v>119</v>
      </c>
      <c r="AG17" s="73">
        <f>IFERROR(__xludf.DUMMYFUNCTION("ifs(filter( Personnesobjet!$A:$A,Personnesobjet!$C:$C=AG8)&lt;$B$24,filter( Personnesobjet!$A:$A,Personnesobjet!$C:$C=AG8), filter(Personnesobjet!$A:$A,Personnesobjet!$C:$C=AG8)&gt;=$B$24,AG16)"),124.0)</f>
        <v>124</v>
      </c>
      <c r="AH17" s="73">
        <f>IFERROR(__xludf.DUMMYFUNCTION("ifs(filter( Personnesobjet!$A:$A,Personnesobjet!$C:$C=AH8)&lt;$B$24,filter( Personnesobjet!$A:$A,Personnesobjet!$C:$C=AH8), filter(Personnesobjet!$A:$A,Personnesobjet!$C:$C=AH8)&gt;=$B$24,AH16)"),155.0)</f>
        <v>155</v>
      </c>
      <c r="AI17" s="73">
        <f>IFERROR(__xludf.DUMMYFUNCTION("ifs(filter( Personnesobjet!$A:$A,Personnesobjet!$C:$C=AI8)&lt;$B$24,filter( Personnesobjet!$A:$A,Personnesobjet!$C:$C=AI8), filter(Personnesobjet!$A:$A,Personnesobjet!$C:$C=AI8)&gt;=$B$24,AI16)"),128.0)</f>
        <v>128</v>
      </c>
      <c r="AJ17" s="73">
        <f>IFERROR(__xludf.DUMMYFUNCTION("ifs(filter( Personnesobjet!$A:$A,Personnesobjet!$C:$C=AJ8)&lt;$B$24,filter( Personnesobjet!$A:$A,Personnesobjet!$C:$C=AJ8), filter(Personnesobjet!$A:$A,Personnesobjet!$C:$C=AJ8)&gt;=$B$24,AJ16)"),135.0)</f>
        <v>135</v>
      </c>
      <c r="AK17" s="73">
        <f>IFERROR(__xludf.DUMMYFUNCTION("ifs(filter( Personnesobjet!$A:$A,Personnesobjet!$C:$C=AK8)&lt;$B$24,filter( Personnesobjet!$A:$A,Personnesobjet!$C:$C=AK8), filter(Personnesobjet!$A:$A,Personnesobjet!$C:$C=AK8)&gt;=$B$24,AK16)"),141.0)</f>
        <v>141</v>
      </c>
      <c r="AL17" s="73">
        <f>IFERROR(__xludf.DUMMYFUNCTION("ifs(filter( Personnesobjet!$A:$A,Personnesobjet!$C:$C=AL8)&lt;$B$24,filter( Personnesobjet!$A:$A,Personnesobjet!$C:$C=AL8), filter(Personnesobjet!$A:$A,Personnesobjet!$C:$C=AL8)&gt;=$B$24,AL16)"),146.0)</f>
        <v>146</v>
      </c>
      <c r="AM17" s="73">
        <f>IFERROR(__xludf.DUMMYFUNCTION("ifs(filter( Personnesobjet!$A:$A,Personnesobjet!$C:$C=AM8)&lt;$B$24,filter( Personnesobjet!$A:$A,Personnesobjet!$C:$C=AM8), filter(Personnesobjet!$A:$A,Personnesobjet!$C:$C=AM8)&gt;=$B$24,AM16)"),154.0)</f>
        <v>154</v>
      </c>
      <c r="AN17" s="73">
        <f>IFERROR(__xludf.DUMMYFUNCTION("ifs(filter( Personnesobjet!$A:$A,Personnesobjet!$C:$C=AN8)&lt;$B$24,filter( Personnesobjet!$A:$A,Personnesobjet!$C:$C=AN8), filter(Personnesobjet!$A:$A,Personnesobjet!$C:$C=AN8)&gt;=$B$24,AN16)"),158.0)</f>
        <v>158</v>
      </c>
      <c r="AO17" s="73">
        <f>IFERROR(__xludf.DUMMYFUNCTION("ifs(filter( Personnesobjet!$A:$A,Personnesobjet!$C:$C=AO8)&lt;$B$24,filter( Personnesobjet!$A:$A,Personnesobjet!$C:$C=AO8), filter(Personnesobjet!$A:$A,Personnesobjet!$C:$C=AO8)&gt;=$B$24,AO16)"),163.0)</f>
        <v>163</v>
      </c>
      <c r="AP17" s="73">
        <f>IFERROR(__xludf.DUMMYFUNCTION("ifs(filter( Personnesobjet!$A:$A,Personnesobjet!$C:$C=AP8)&lt;$B$24,filter( Personnesobjet!$A:$A,Personnesobjet!$C:$C=AP8), filter(Personnesobjet!$A:$A,Personnesobjet!$C:$C=AP8)&gt;=$B$24,AP16)"),166.0)</f>
        <v>166</v>
      </c>
      <c r="AQ17" s="73">
        <f>IFERROR(__xludf.DUMMYFUNCTION("ifs(filter( Personnesobjet!$A:$A,Personnesobjet!$C:$C=AQ8)&lt;$B$24,filter( Personnesobjet!$A:$A,Personnesobjet!$C:$C=AQ8), filter(Personnesobjet!$A:$A,Personnesobjet!$C:$C=AQ8)&gt;=$B$24,AQ16)"),177.0)</f>
        <v>177</v>
      </c>
      <c r="AR17" s="73">
        <f>IFERROR(__xludf.DUMMYFUNCTION("ifs(filter( Personnesobjet!$A:$A,Personnesobjet!$C:$C=AR8)&lt;$B$24,filter( Personnesobjet!$A:$A,Personnesobjet!$C:$C=AR8), filter(Personnesobjet!$A:$A,Personnesobjet!$C:$C=AR8)&gt;=$B$24,AR16)"),180.0)</f>
        <v>180</v>
      </c>
      <c r="AS17" s="73">
        <f>IFERROR(__xludf.DUMMYFUNCTION("ifs(filter( Personnesobjet!$A:$A,Personnesobjet!$C:$C=AS8)&lt;$B$24,filter( Personnesobjet!$A:$A,Personnesobjet!$C:$C=AS8), filter(Personnesobjet!$A:$A,Personnesobjet!$C:$C=AS8)&gt;=$B$24,AS16)"),195.0)</f>
        <v>195</v>
      </c>
      <c r="AT17" s="73">
        <f>IFERROR(__xludf.DUMMYFUNCTION("ifs(filter( Personnesobjet!$A:$A,Personnesobjet!$C:$C=AT8)&lt;$B$24,filter( Personnesobjet!$A:$A,Personnesobjet!$C:$C=AT8), filter(Personnesobjet!$A:$A,Personnesobjet!$C:$C=AT8)&gt;=$B$24,AT16)"),190.0)</f>
        <v>190</v>
      </c>
      <c r="AU17" s="73">
        <f>IFERROR(__xludf.DUMMYFUNCTION("ifs(filter( Personnesobjet!$A:$A,Personnesobjet!$C:$C=AU8)&lt;$B$24,filter( Personnesobjet!$A:$A,Personnesobjet!$C:$C=AU8), filter(Personnesobjet!$A:$A,Personnesobjet!$C:$C=AU8)&gt;=$B$24,AU16)"),198.0)</f>
        <v>198</v>
      </c>
      <c r="AV17" s="73">
        <f>IFERROR(__xludf.DUMMYFUNCTION("ifs(filter( Personnesobjet!$A:$A,Personnesobjet!$C:$C=AV8)&lt;$B$24,filter( Personnesobjet!$A:$A,Personnesobjet!$C:$C=AV8), filter(Personnesobjet!$A:$A,Personnesobjet!$C:$C=AV8)&gt;=$B$24,AV16)"),204.0)</f>
        <v>204</v>
      </c>
      <c r="AW17" s="73">
        <f>IFERROR(__xludf.DUMMYFUNCTION("ifs(filter( Personnesobjet!$A:$A,Personnesobjet!$C:$C=AW8)&lt;$B$24,filter( Personnesobjet!$A:$A,Personnesobjet!$C:$C=AW8), filter(Personnesobjet!$A:$A,Personnesobjet!$C:$C=AW8)&gt;=$B$24,AW16)"),207.0)</f>
        <v>207</v>
      </c>
      <c r="AX17" s="73">
        <f>IFERROR(__xludf.DUMMYFUNCTION("ifs(filter( Personnesobjet!$A:$A,Personnesobjet!$C:$C=AX8)&lt;$B$24,filter( Personnesobjet!$A:$A,Personnesobjet!$C:$C=AX8), filter(Personnesobjet!$A:$A,Personnesobjet!$C:$C=AX8)&gt;=$B$24,AX16)"),211.0)</f>
        <v>211</v>
      </c>
      <c r="AY17" s="73">
        <f>IFERROR(__xludf.DUMMYFUNCTION("ifs(filter( Personnesobjet!$A:$A,Personnesobjet!$C:$C=AY8)&lt;$B$24,filter( Personnesobjet!$A:$A,Personnesobjet!$C:$C=AY8), filter(Personnesobjet!$A:$A,Personnesobjet!$C:$C=AY8)&gt;=$B$24,AY16)"),216.0)</f>
        <v>216</v>
      </c>
      <c r="AZ17" s="73">
        <f>IFERROR(__xludf.DUMMYFUNCTION("ifs(filter( Personnesobjet!$A:$A,Personnesobjet!$C:$C=AZ8)&lt;$B$24,filter( Personnesobjet!$A:$A,Personnesobjet!$C:$C=AZ8), filter(Personnesobjet!$A:$A,Personnesobjet!$C:$C=AZ8)&gt;=$B$24,AZ16)"),213.0)</f>
        <v>213</v>
      </c>
      <c r="BA17" s="73">
        <f>IFERROR(__xludf.DUMMYFUNCTION("ifs(filter( Personnesobjet!$A:$A,Personnesobjet!$C:$C=BA8)&lt;$B$24,filter( Personnesobjet!$A:$A,Personnesobjet!$C:$C=BA8), filter(Personnesobjet!$A:$A,Personnesobjet!$C:$C=BA8)&gt;=$B$24,BA16)"),227.0)</f>
        <v>227</v>
      </c>
      <c r="BB17" s="73">
        <f>IFERROR(__xludf.DUMMYFUNCTION("ifs(filter( Personnesobjet!$A:$A,Personnesobjet!$C:$C=BB8)&lt;$B$24,filter( Personnesobjet!$A:$A,Personnesobjet!$C:$C=BB8), filter(Personnesobjet!$A:$A,Personnesobjet!$C:$C=BB8)&gt;=$B$24,BB16)"),228.0)</f>
        <v>228</v>
      </c>
      <c r="BC17" s="73">
        <f>IFERROR(__xludf.DUMMYFUNCTION("ifs(filter( Personnesobjet!$A:$A,Personnesobjet!$C:$C=BC8)&lt;$B$24,filter( Personnesobjet!$A:$A,Personnesobjet!$C:$C=BC8), filter(Personnesobjet!$A:$A,Personnesobjet!$C:$C=BC8)&gt;=$B$24,BC16)"),233.0)</f>
        <v>233</v>
      </c>
      <c r="BD17" s="73">
        <f>IFERROR(__xludf.DUMMYFUNCTION("ifs(filter( Personnesobjet!$A:$A,Personnesobjet!$C:$C=BD8)&lt;$B$24,filter( Personnesobjet!$A:$A,Personnesobjet!$C:$C=BD8), filter(Personnesobjet!$A:$A,Personnesobjet!$C:$C=BD8)&gt;=$B$24,BD16)"),247.0)</f>
        <v>247</v>
      </c>
      <c r="BE17" s="73">
        <f>IFERROR(__xludf.DUMMYFUNCTION("ifs(filter( Personnesobjet!$A:$A,Personnesobjet!$C:$C=BE8)&lt;$B$24,filter( Personnesobjet!$A:$A,Personnesobjet!$C:$C=BE8), filter(Personnesobjet!$A:$A,Personnesobjet!$C:$C=BE8)&gt;=$B$24,BE16)"),244.0)</f>
        <v>244</v>
      </c>
      <c r="BF17" s="73">
        <f>IFERROR(__xludf.DUMMYFUNCTION("ifs(filter( Personnesobjet!$A:$A,Personnesobjet!$C:$C=BF8)&lt;$B$24,filter( Personnesobjet!$A:$A,Personnesobjet!$C:$C=BF8), filter(Personnesobjet!$A:$A,Personnesobjet!$C:$C=BF8)&gt;=$B$24,BF16)"),241.0)</f>
        <v>241</v>
      </c>
      <c r="BG17" s="73">
        <f>IFERROR(__xludf.DUMMYFUNCTION("ifs(filter( Personnesobjet!$A:$A,Personnesobjet!$C:$C=BG8)&lt;$B$24,filter( Personnesobjet!$A:$A,Personnesobjet!$C:$C=BG8), filter(Personnesobjet!$A:$A,Personnesobjet!$C:$C=BG8)&gt;=$B$24,BG16)"),252.0)</f>
        <v>252</v>
      </c>
      <c r="BH17" s="73">
        <f>IFERROR(__xludf.DUMMYFUNCTION("ifs(filter( Personnesobjet!$A:$A,Personnesobjet!$C:$C=BH8)&lt;$B$24,filter( Personnesobjet!$A:$A,Personnesobjet!$C:$C=BH8), filter(Personnesobjet!$A:$A,Personnesobjet!$C:$C=BH8)&gt;=$B$24,BH16)"),257.0)</f>
        <v>257</v>
      </c>
      <c r="BI17" s="73">
        <f>IFERROR(__xludf.DUMMYFUNCTION("ifs(filter( Personnesobjet!$A:$A,Personnesobjet!$C:$C=BI8)&lt;$B$24,filter( Personnesobjet!$A:$A,Personnesobjet!$C:$C=BI8), filter(Personnesobjet!$A:$A,Personnesobjet!$C:$C=BI8)&gt;=$B$24,BI16)"),263.0)</f>
        <v>263</v>
      </c>
      <c r="BJ17" s="73" t="str">
        <f>IFERROR(__xludf.DUMMYFUNCTION("ifs(filter( Personnesobjet!$A:$A,Personnesobjet!$C:$C=BJ8)&lt;$B$24,filter( Personnesobjet!$A:$A,Personnesobjet!$C:$C=BJ8), filter(Personnesobjet!$A:$A,Personnesobjet!$C:$C=BJ8)&gt;=$B$24,BJ16)"),"")</f>
        <v/>
      </c>
      <c r="BK17" s="73" t="str">
        <f>IFERROR(__xludf.DUMMYFUNCTION("ifs(filter( Personnesobjet!$A:$A,Personnesobjet!$C:$C=BK8)&lt;$B$24,filter( Personnesobjet!$A:$A,Personnesobjet!$C:$C=BK8), filter(Personnesobjet!$A:$A,Personnesobjet!$C:$C=BK8)&gt;=$B$24,BK16)"),"")</f>
        <v/>
      </c>
      <c r="BL17" s="73" t="str">
        <f>IFERROR(__xludf.DUMMYFUNCTION("ifs(filter( Personnesobjet!$A:$A,Personnesobjet!$C:$C=BL8)&lt;$B$24,filter( Personnesobjet!$A:$A,Personnesobjet!$C:$C=BL8), filter(Personnesobjet!$A:$A,Personnesobjet!$C:$C=BL8)&gt;=$B$24,BL16)"),"")</f>
        <v/>
      </c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8"/>
    </row>
    <row r="18">
      <c r="A18" s="76"/>
      <c r="B18" s="73">
        <f>IFERROR(__xludf.DUMMYFUNCTION("ifs(filter( Personnesobjet!$A:$A,Personnesobjet!$C:$C=B9)&lt;$B$24,filter( Personnesobjet!$A:$A,Personnesobjet!$C:$C=B9), filter(Personnesobjet!$A:$A,Personnesobjet!$C:$C=B9)&gt;=$B$24,B17)"),3.0)</f>
        <v>3</v>
      </c>
      <c r="C18" s="73">
        <f>IFERROR(__xludf.DUMMYFUNCTION("ifs(filter( Personnesobjet!$A:$A,Personnesobjet!$C:$C=C9)&lt;$B$24,filter( Personnesobjet!$A:$A,Personnesobjet!$C:$C=C9), filter(Personnesobjet!$A:$A,Personnesobjet!$C:$C=C9)&gt;=$B$24,C17)"),8.0)</f>
        <v>8</v>
      </c>
      <c r="D18" s="73">
        <f>IFERROR(__xludf.DUMMYFUNCTION("ifs(filter( Personnesobjet!$A:$A,Personnesobjet!$C:$C=D9)&lt;$B$24,filter( Personnesobjet!$A:$A,Personnesobjet!$C:$C=D9), filter(Personnesobjet!$A:$A,Personnesobjet!$C:$C=D9)&gt;=$B$24,D17)"),40.0)</f>
        <v>40</v>
      </c>
      <c r="E18" s="73">
        <f>IFERROR(__xludf.DUMMYFUNCTION("ifs(filter( Personnesobjet!$A:$A,Personnesobjet!$C:$C=E9)&lt;$B$24,filter( Personnesobjet!$A:$A,Personnesobjet!$C:$C=E9), filter(Personnesobjet!$A:$A,Personnesobjet!$C:$C=E9)&gt;=$B$24,E17)"),13.0)</f>
        <v>13</v>
      </c>
      <c r="F18" s="73">
        <f>IFERROR(__xludf.DUMMYFUNCTION("ifs(filter( Personnesobjet!$A:$A,Personnesobjet!$C:$C=F9)&lt;$B$24,filter( Personnesobjet!$A:$A,Personnesobjet!$C:$C=F9), filter(Personnesobjet!$A:$A,Personnesobjet!$C:$C=F9)&gt;=$B$24,F17)"),18.0)</f>
        <v>18</v>
      </c>
      <c r="G18" s="73">
        <f>IFERROR(__xludf.DUMMYFUNCTION("ifs(filter( Personnesobjet!$A:$A,Personnesobjet!$C:$C=G9)&lt;$B$24,filter( Personnesobjet!$A:$A,Personnesobjet!$C:$C=G9), filter(Personnesobjet!$A:$A,Personnesobjet!$C:$C=G9)&gt;=$B$24,G17)"),22.0)</f>
        <v>22</v>
      </c>
      <c r="H18" s="73">
        <f>IFERROR(__xludf.DUMMYFUNCTION("ifs(filter( Personnesobjet!$A:$A,Personnesobjet!$C:$C=H9)&lt;$B$24,filter( Personnesobjet!$A:$A,Personnesobjet!$C:$C=H9), filter(Personnesobjet!$A:$A,Personnesobjet!$C:$C=H9)&gt;=$B$24,H17)"),45.0)</f>
        <v>45</v>
      </c>
      <c r="I18" s="73">
        <f>IFERROR(__xludf.DUMMYFUNCTION("ifs(filter( Personnesobjet!$A:$A,Personnesobjet!$C:$C=I9)&lt;$B$24,filter( Personnesobjet!$A:$A,Personnesobjet!$C:$C=I9), filter(Personnesobjet!$A:$A,Personnesobjet!$C:$C=I9)&gt;=$B$24,I17)"),28.0)</f>
        <v>28</v>
      </c>
      <c r="J18" s="73">
        <f>IFERROR(__xludf.DUMMYFUNCTION("ifs(filter( Personnesobjet!$A:$A,Personnesobjet!$C:$C=J9)&lt;$B$24,filter( Personnesobjet!$A:$A,Personnesobjet!$C:$C=J9), filter(Personnesobjet!$A:$A,Personnesobjet!$C:$C=J9)&gt;=$B$24,J17)"),31.0)</f>
        <v>31</v>
      </c>
      <c r="K18" s="73">
        <f>IFERROR(__xludf.DUMMYFUNCTION("ifs(filter( Personnesobjet!$A:$A,Personnesobjet!$C:$C=K9)&lt;$B$24,filter( Personnesobjet!$A:$A,Personnesobjet!$C:$C=K9), filter(Personnesobjet!$A:$A,Personnesobjet!$C:$C=K9)&gt;=$B$24,K17)"),36.0)</f>
        <v>36</v>
      </c>
      <c r="L18" s="73">
        <f>IFERROR(__xludf.DUMMYFUNCTION("ifs(filter( Personnesobjet!$A:$A,Personnesobjet!$C:$C=L9)&lt;$B$24,filter( Personnesobjet!$A:$A,Personnesobjet!$C:$C=L9), filter(Personnesobjet!$A:$A,Personnesobjet!$C:$C=L9)&gt;=$B$24,L17)"),43.0)</f>
        <v>43</v>
      </c>
      <c r="M18" s="73">
        <f>IFERROR(__xludf.DUMMYFUNCTION("ifs(filter( Personnesobjet!$A:$A,Personnesobjet!$C:$C=M9)&lt;$B$24,filter( Personnesobjet!$A:$A,Personnesobjet!$C:$C=M9), filter(Personnesobjet!$A:$A,Personnesobjet!$C:$C=M9)&gt;=$B$24,M17)"),51.0)</f>
        <v>51</v>
      </c>
      <c r="N18" s="73">
        <f>IFERROR(__xludf.DUMMYFUNCTION("ifs(filter( Personnesobjet!$A:$A,Personnesobjet!$C:$C=N9)&lt;$B$24,filter( Personnesobjet!$A:$A,Personnesobjet!$C:$C=N9), filter(Personnesobjet!$A:$A,Personnesobjet!$C:$C=N9)&gt;=$B$24,N17)"),60.0)</f>
        <v>60</v>
      </c>
      <c r="O18" s="73">
        <f>IFERROR(__xludf.DUMMYFUNCTION("ifs(filter( Personnesobjet!$A:$A,Personnesobjet!$C:$C=O9)&lt;$B$24,filter( Personnesobjet!$A:$A,Personnesobjet!$C:$C=O9), filter(Personnesobjet!$A:$A,Personnesobjet!$C:$C=O9)&gt;=$B$24,O17)"),76.0)</f>
        <v>76</v>
      </c>
      <c r="P18" s="73">
        <f>IFERROR(__xludf.DUMMYFUNCTION("ifs(filter( Personnesobjet!$A:$A,Personnesobjet!$C:$C=P9)&lt;$B$24,filter( Personnesobjet!$A:$A,Personnesobjet!$C:$C=P9), filter(Personnesobjet!$A:$A,Personnesobjet!$C:$C=P9)&gt;=$B$24,P17)"),86.0)</f>
        <v>86</v>
      </c>
      <c r="Q18" s="73">
        <f>IFERROR(__xludf.DUMMYFUNCTION("ifs(filter( Personnesobjet!$A:$A,Personnesobjet!$C:$C=Q9)&lt;$B$24,filter( Personnesobjet!$A:$A,Personnesobjet!$C:$C=Q9), filter(Personnesobjet!$A:$A,Personnesobjet!$C:$C=Q9)&gt;=$B$24,Q17)"),100.0)</f>
        <v>100</v>
      </c>
      <c r="R18" s="73">
        <f>IFERROR(__xludf.DUMMYFUNCTION("ifs(filter( Personnesobjet!$A:$A,Personnesobjet!$C:$C=R9)&lt;$B$24,filter( Personnesobjet!$A:$A,Personnesobjet!$C:$C=R9), filter(Personnesobjet!$A:$A,Personnesobjet!$C:$C=R9)&gt;=$B$24,R17)"),170.0)</f>
        <v>170</v>
      </c>
      <c r="S18" s="73">
        <f>IFERROR(__xludf.DUMMYFUNCTION("ifs(filter( Personnesobjet!$A:$A,Personnesobjet!$C:$C=S9)&lt;$B$24,filter( Personnesobjet!$A:$A,Personnesobjet!$C:$C=S9), filter(Personnesobjet!$A:$A,Personnesobjet!$C:$C=S9)&gt;=$B$24,S17)"),69.0)</f>
        <v>69</v>
      </c>
      <c r="T18" s="73">
        <f>IFERROR(__xludf.DUMMYFUNCTION("ifs(filter( Personnesobjet!$A:$A,Personnesobjet!$C:$C=T9)&lt;$B$24,filter( Personnesobjet!$A:$A,Personnesobjet!$C:$C=T9), filter(Personnesobjet!$A:$A,Personnesobjet!$C:$C=T9)&gt;=$B$24,T17)"),72.0)</f>
        <v>72</v>
      </c>
      <c r="U18" s="73">
        <f>IFERROR(__xludf.DUMMYFUNCTION("ifs(filter( Personnesobjet!$A:$A,Personnesobjet!$C:$C=U9)&lt;$B$24,filter( Personnesobjet!$A:$A,Personnesobjet!$C:$C=U9), filter(Personnesobjet!$A:$A,Personnesobjet!$C:$C=U9)&gt;=$B$24,U17)"),79.0)</f>
        <v>79</v>
      </c>
      <c r="V18" s="73">
        <f>IFERROR(__xludf.DUMMYFUNCTION("ifs(filter( Personnesobjet!$A:$A,Personnesobjet!$C:$C=V9)&lt;$B$24,filter( Personnesobjet!$A:$A,Personnesobjet!$C:$C=V9), filter(Personnesobjet!$A:$A,Personnesobjet!$C:$C=V9)&gt;=$B$24,V17)"),136.0)</f>
        <v>136</v>
      </c>
      <c r="W18" s="73">
        <f>IFERROR(__xludf.DUMMYFUNCTION("ifs(filter( Personnesobjet!$A:$A,Personnesobjet!$C:$C=W9)&lt;$B$24,filter( Personnesobjet!$A:$A,Personnesobjet!$C:$C=W9), filter(Personnesobjet!$A:$A,Personnesobjet!$C:$C=W9)&gt;=$B$24,W17)"),83.0)</f>
        <v>83</v>
      </c>
      <c r="X18" s="73">
        <f>IFERROR(__xludf.DUMMYFUNCTION("ifs(filter( Personnesobjet!$A:$A,Personnesobjet!$C:$C=X9)&lt;$B$24,filter( Personnesobjet!$A:$A,Personnesobjet!$C:$C=X9), filter(Personnesobjet!$A:$A,Personnesobjet!$C:$C=X9)&gt;=$B$24,X17)"),94.0)</f>
        <v>94</v>
      </c>
      <c r="Y18" s="73">
        <f>IFERROR(__xludf.DUMMYFUNCTION("ifs(filter( Personnesobjet!$A:$A,Personnesobjet!$C:$C=Y9)&lt;$B$24,filter( Personnesobjet!$A:$A,Personnesobjet!$C:$C=Y9), filter(Personnesobjet!$A:$A,Personnesobjet!$C:$C=Y9)&gt;=$B$24,Y17)"),215.0)</f>
        <v>215</v>
      </c>
      <c r="Z18" s="73">
        <f>IFERROR(__xludf.DUMMYFUNCTION("ifs(filter( Personnesobjet!$A:$A,Personnesobjet!$C:$C=Z9)&lt;$B$24,filter( Personnesobjet!$A:$A,Personnesobjet!$C:$C=Z9), filter(Personnesobjet!$A:$A,Personnesobjet!$C:$C=Z9)&gt;=$B$24,Z17)"),98.0)</f>
        <v>98</v>
      </c>
      <c r="AA18" s="73">
        <f>IFERROR(__xludf.DUMMYFUNCTION("ifs(filter( Personnesobjet!$A:$A,Personnesobjet!$C:$C=AA9)&lt;$B$24,filter( Personnesobjet!$A:$A,Personnesobjet!$C:$C=AA9), filter(Personnesobjet!$A:$A,Personnesobjet!$C:$C=AA9)&gt;=$B$24,AA17)"),116.0)</f>
        <v>116</v>
      </c>
      <c r="AB18" s="73">
        <f>IFERROR(__xludf.DUMMYFUNCTION("ifs(filter( Personnesobjet!$A:$A,Personnesobjet!$C:$C=AB9)&lt;$B$24,filter( Personnesobjet!$A:$A,Personnesobjet!$C:$C=AB9), filter(Personnesobjet!$A:$A,Personnesobjet!$C:$C=AB9)&gt;=$B$24,AB17)"),109.0)</f>
        <v>109</v>
      </c>
      <c r="AC18" s="73">
        <f>IFERROR(__xludf.DUMMYFUNCTION("ifs(filter( Personnesobjet!$A:$A,Personnesobjet!$C:$C=AC9)&lt;$B$24,filter( Personnesobjet!$A:$A,Personnesobjet!$C:$C=AC9), filter(Personnesobjet!$A:$A,Personnesobjet!$C:$C=AC9)&gt;=$B$24,AC17)"),113.0)</f>
        <v>113</v>
      </c>
      <c r="AD18" s="73">
        <f>IFERROR(__xludf.DUMMYFUNCTION("ifs(filter( Personnesobjet!$A:$A,Personnesobjet!$C:$C=AD9)&lt;$B$24,filter( Personnesobjet!$A:$A,Personnesobjet!$C:$C=AD9), filter(Personnesobjet!$A:$A,Personnesobjet!$C:$C=AD9)&gt;=$B$24,AD17)"),160.0)</f>
        <v>160</v>
      </c>
      <c r="AE18" s="73">
        <f>IFERROR(__xludf.DUMMYFUNCTION("ifs(filter( Personnesobjet!$A:$A,Personnesobjet!$C:$C=AE9)&lt;$B$24,filter( Personnesobjet!$A:$A,Personnesobjet!$C:$C=AE9), filter(Personnesobjet!$A:$A,Personnesobjet!$C:$C=AE9)&gt;=$B$24,AE17)"),121.0)</f>
        <v>121</v>
      </c>
      <c r="AF18" s="73">
        <f>IFERROR(__xludf.DUMMYFUNCTION("ifs(filter( Personnesobjet!$A:$A,Personnesobjet!$C:$C=AF9)&lt;$B$24,filter( Personnesobjet!$A:$A,Personnesobjet!$C:$C=AF9), filter(Personnesobjet!$A:$A,Personnesobjet!$C:$C=AF9)&gt;=$B$24,AF17)"),144.0)</f>
        <v>144</v>
      </c>
      <c r="AG18" s="73">
        <f>IFERROR(__xludf.DUMMYFUNCTION("ifs(filter( Personnesobjet!$A:$A,Personnesobjet!$C:$C=AG9)&lt;$B$24,filter( Personnesobjet!$A:$A,Personnesobjet!$C:$C=AG9), filter(Personnesobjet!$A:$A,Personnesobjet!$C:$C=AG9)&gt;=$B$24,AG17)"),125.0)</f>
        <v>125</v>
      </c>
      <c r="AH18" s="73">
        <f>IFERROR(__xludf.DUMMYFUNCTION("ifs(filter( Personnesobjet!$A:$A,Personnesobjet!$C:$C=AH9)&lt;$B$24,filter( Personnesobjet!$A:$A,Personnesobjet!$C:$C=AH9), filter(Personnesobjet!$A:$A,Personnesobjet!$C:$C=AH9)&gt;=$B$24,AH17)"),156.0)</f>
        <v>156</v>
      </c>
      <c r="AI18" s="73">
        <f>IFERROR(__xludf.DUMMYFUNCTION("ifs(filter( Personnesobjet!$A:$A,Personnesobjet!$C:$C=AI9)&lt;$B$24,filter( Personnesobjet!$A:$A,Personnesobjet!$C:$C=AI9), filter(Personnesobjet!$A:$A,Personnesobjet!$C:$C=AI9)&gt;=$B$24,AI17)"),129.0)</f>
        <v>129</v>
      </c>
      <c r="AJ18" s="73">
        <f>IFERROR(__xludf.DUMMYFUNCTION("ifs(filter( Personnesobjet!$A:$A,Personnesobjet!$C:$C=AJ9)&lt;$B$24,filter( Personnesobjet!$A:$A,Personnesobjet!$C:$C=AJ9), filter(Personnesobjet!$A:$A,Personnesobjet!$C:$C=AJ9)&gt;=$B$24,AJ17)"),138.0)</f>
        <v>138</v>
      </c>
      <c r="AK18" s="73">
        <f>IFERROR(__xludf.DUMMYFUNCTION("ifs(filter( Personnesobjet!$A:$A,Personnesobjet!$C:$C=AK9)&lt;$B$24,filter( Personnesobjet!$A:$A,Personnesobjet!$C:$C=AK9), filter(Personnesobjet!$A:$A,Personnesobjet!$C:$C=AK9)&gt;=$B$24,AK17)"),142.0)</f>
        <v>142</v>
      </c>
      <c r="AL18" s="73">
        <f>IFERROR(__xludf.DUMMYFUNCTION("ifs(filter( Personnesobjet!$A:$A,Personnesobjet!$C:$C=AL9)&lt;$B$24,filter( Personnesobjet!$A:$A,Personnesobjet!$C:$C=AL9), filter(Personnesobjet!$A:$A,Personnesobjet!$C:$C=AL9)&gt;=$B$24,AL17)"),147.0)</f>
        <v>147</v>
      </c>
      <c r="AM18" s="73">
        <f>IFERROR(__xludf.DUMMYFUNCTION("ifs(filter( Personnesobjet!$A:$A,Personnesobjet!$C:$C=AM9)&lt;$B$24,filter( Personnesobjet!$A:$A,Personnesobjet!$C:$C=AM9), filter(Personnesobjet!$A:$A,Personnesobjet!$C:$C=AM9)&gt;=$B$24,AM17)"),150.0)</f>
        <v>150</v>
      </c>
      <c r="AN18" s="73">
        <f>IFERROR(__xludf.DUMMYFUNCTION("ifs(filter( Personnesobjet!$A:$A,Personnesobjet!$C:$C=AN9)&lt;$B$24,filter( Personnesobjet!$A:$A,Personnesobjet!$C:$C=AN9), filter(Personnesobjet!$A:$A,Personnesobjet!$C:$C=AN9)&gt;=$B$24,AN17)"),159.0)</f>
        <v>159</v>
      </c>
      <c r="AO18" s="73">
        <f>IFERROR(__xludf.DUMMYFUNCTION("ifs(filter( Personnesobjet!$A:$A,Personnesobjet!$C:$C=AO9)&lt;$B$24,filter( Personnesobjet!$A:$A,Personnesobjet!$C:$C=AO9), filter(Personnesobjet!$A:$A,Personnesobjet!$C:$C=AO9)&gt;=$B$24,AO17)"),164.0)</f>
        <v>164</v>
      </c>
      <c r="AP18" s="73">
        <f>IFERROR(__xludf.DUMMYFUNCTION("ifs(filter( Personnesobjet!$A:$A,Personnesobjet!$C:$C=AP9)&lt;$B$24,filter( Personnesobjet!$A:$A,Personnesobjet!$C:$C=AP9), filter(Personnesobjet!$A:$A,Personnesobjet!$C:$C=AP9)&gt;=$B$24,AP17)"),167.0)</f>
        <v>167</v>
      </c>
      <c r="AQ18" s="73">
        <f>IFERROR(__xludf.DUMMYFUNCTION("ifs(filter( Personnesobjet!$A:$A,Personnesobjet!$C:$C=AQ9)&lt;$B$24,filter( Personnesobjet!$A:$A,Personnesobjet!$C:$C=AQ9), filter(Personnesobjet!$A:$A,Personnesobjet!$C:$C=AQ9)&gt;=$B$24,AQ17)"),186.0)</f>
        <v>186</v>
      </c>
      <c r="AR18" s="73">
        <f>IFERROR(__xludf.DUMMYFUNCTION("ifs(filter( Personnesobjet!$A:$A,Personnesobjet!$C:$C=AR9)&lt;$B$24,filter( Personnesobjet!$A:$A,Personnesobjet!$C:$C=AR9), filter(Personnesobjet!$A:$A,Personnesobjet!$C:$C=AR9)&gt;=$B$24,AR17)"),181.0)</f>
        <v>181</v>
      </c>
      <c r="AS18" s="73">
        <f>IFERROR(__xludf.DUMMYFUNCTION("ifs(filter( Personnesobjet!$A:$A,Personnesobjet!$C:$C=AS9)&lt;$B$24,filter( Personnesobjet!$A:$A,Personnesobjet!$C:$C=AS9), filter(Personnesobjet!$A:$A,Personnesobjet!$C:$C=AS9)&gt;=$B$24,AS17)"),197.0)</f>
        <v>197</v>
      </c>
      <c r="AT18" s="73">
        <f>IFERROR(__xludf.DUMMYFUNCTION("ifs(filter( Personnesobjet!$A:$A,Personnesobjet!$C:$C=AT9)&lt;$B$24,filter( Personnesobjet!$A:$A,Personnesobjet!$C:$C=AT9), filter(Personnesobjet!$A:$A,Personnesobjet!$C:$C=AT9)&gt;=$B$24,AT17)"),191.0)</f>
        <v>191</v>
      </c>
      <c r="AU18" s="73">
        <f>IFERROR(__xludf.DUMMYFUNCTION("ifs(filter( Personnesobjet!$A:$A,Personnesobjet!$C:$C=AU9)&lt;$B$24,filter( Personnesobjet!$A:$A,Personnesobjet!$C:$C=AU9), filter(Personnesobjet!$A:$A,Personnesobjet!$C:$C=AU9)&gt;=$B$24,AU17)"),199.0)</f>
        <v>199</v>
      </c>
      <c r="AV18" s="73">
        <f>IFERROR(__xludf.DUMMYFUNCTION("ifs(filter( Personnesobjet!$A:$A,Personnesobjet!$C:$C=AV9)&lt;$B$24,filter( Personnesobjet!$A:$A,Personnesobjet!$C:$C=AV9), filter(Personnesobjet!$A:$A,Personnesobjet!$C:$C=AV9)&gt;=$B$24,AV17)"),205.0)</f>
        <v>205</v>
      </c>
      <c r="AW18" s="73">
        <f>IFERROR(__xludf.DUMMYFUNCTION("ifs(filter( Personnesobjet!$A:$A,Personnesobjet!$C:$C=AW9)&lt;$B$24,filter( Personnesobjet!$A:$A,Personnesobjet!$C:$C=AW9), filter(Personnesobjet!$A:$A,Personnesobjet!$C:$C=AW9)&gt;=$B$24,AW17)"),250.0)</f>
        <v>250</v>
      </c>
      <c r="AX18" s="73">
        <f>IFERROR(__xludf.DUMMYFUNCTION("ifs(filter( Personnesobjet!$A:$A,Personnesobjet!$C:$C=AX9)&lt;$B$24,filter( Personnesobjet!$A:$A,Personnesobjet!$C:$C=AX9), filter(Personnesobjet!$A:$A,Personnesobjet!$C:$C=AX9)&gt;=$B$24,AX17)"),218.0)</f>
        <v>218</v>
      </c>
      <c r="AY18" s="73">
        <f>IFERROR(__xludf.DUMMYFUNCTION("ifs(filter( Personnesobjet!$A:$A,Personnesobjet!$C:$C=AY9)&lt;$B$24,filter( Personnesobjet!$A:$A,Personnesobjet!$C:$C=AY9), filter(Personnesobjet!$A:$A,Personnesobjet!$C:$C=AY9)&gt;=$B$24,AY17)"),219.0)</f>
        <v>219</v>
      </c>
      <c r="AZ18" s="73">
        <f>IFERROR(__xludf.DUMMYFUNCTION("ifs(filter( Personnesobjet!$A:$A,Personnesobjet!$C:$C=AZ9)&lt;$B$24,filter( Personnesobjet!$A:$A,Personnesobjet!$C:$C=AZ9), filter(Personnesobjet!$A:$A,Personnesobjet!$C:$C=AZ9)&gt;=$B$24,AZ17)"),214.0)</f>
        <v>214</v>
      </c>
      <c r="BA18" s="73">
        <f>IFERROR(__xludf.DUMMYFUNCTION("ifs(filter( Personnesobjet!$A:$A,Personnesobjet!$C:$C=BA9)&lt;$B$24,filter( Personnesobjet!$A:$A,Personnesobjet!$C:$C=BA9), filter(Personnesobjet!$A:$A,Personnesobjet!$C:$C=BA9)&gt;=$B$24,BA17)"),229.0)</f>
        <v>229</v>
      </c>
      <c r="BB18" s="73">
        <f>IFERROR(__xludf.DUMMYFUNCTION("ifs(filter( Personnesobjet!$A:$A,Personnesobjet!$C:$C=BB9)&lt;$B$24,filter( Personnesobjet!$A:$A,Personnesobjet!$C:$C=BB9), filter(Personnesobjet!$A:$A,Personnesobjet!$C:$C=BB9)&gt;=$B$24,BB17)"),236.0)</f>
        <v>236</v>
      </c>
      <c r="BC18" s="73">
        <f>IFERROR(__xludf.DUMMYFUNCTION("ifs(filter( Personnesobjet!$A:$A,Personnesobjet!$C:$C=BC9)&lt;$B$24,filter( Personnesobjet!$A:$A,Personnesobjet!$C:$C=BC9), filter(Personnesobjet!$A:$A,Personnesobjet!$C:$C=BC9)&gt;=$B$24,BC17)"),234.0)</f>
        <v>234</v>
      </c>
      <c r="BD18" s="73">
        <f>IFERROR(__xludf.DUMMYFUNCTION("ifs(filter( Personnesobjet!$A:$A,Personnesobjet!$C:$C=BD9)&lt;$B$24,filter( Personnesobjet!$A:$A,Personnesobjet!$C:$C=BD9), filter(Personnesobjet!$A:$A,Personnesobjet!$C:$C=BD9)&gt;=$B$24,BD17)"),269.0)</f>
        <v>269</v>
      </c>
      <c r="BE18" s="73">
        <f>IFERROR(__xludf.DUMMYFUNCTION("ifs(filter( Personnesobjet!$A:$A,Personnesobjet!$C:$C=BE9)&lt;$B$24,filter( Personnesobjet!$A:$A,Personnesobjet!$C:$C=BE9), filter(Personnesobjet!$A:$A,Personnesobjet!$C:$C=BE9)&gt;=$B$24,BE17)"),268.0)</f>
        <v>268</v>
      </c>
      <c r="BF18" s="73">
        <f>IFERROR(__xludf.DUMMYFUNCTION("ifs(filter( Personnesobjet!$A:$A,Personnesobjet!$C:$C=BF9)&lt;$B$24,filter( Personnesobjet!$A:$A,Personnesobjet!$C:$C=BF9), filter(Personnesobjet!$A:$A,Personnesobjet!$C:$C=BF9)&gt;=$B$24,BF17)"),242.0)</f>
        <v>242</v>
      </c>
      <c r="BG18" s="73">
        <f>IFERROR(__xludf.DUMMYFUNCTION("ifs(filter( Personnesobjet!$A:$A,Personnesobjet!$C:$C=BG9)&lt;$B$24,filter( Personnesobjet!$A:$A,Personnesobjet!$C:$C=BG9), filter(Personnesobjet!$A:$A,Personnesobjet!$C:$C=BG9)&gt;=$B$24,BG17)"),253.0)</f>
        <v>253</v>
      </c>
      <c r="BH18" s="73">
        <f>IFERROR(__xludf.DUMMYFUNCTION("ifs(filter( Personnesobjet!$A:$A,Personnesobjet!$C:$C=BH9)&lt;$B$24,filter( Personnesobjet!$A:$A,Personnesobjet!$C:$C=BH9), filter(Personnesobjet!$A:$A,Personnesobjet!$C:$C=BH9)&gt;=$B$24,BH17)"),258.0)</f>
        <v>258</v>
      </c>
      <c r="BI18" s="73">
        <f>IFERROR(__xludf.DUMMYFUNCTION("ifs(filter( Personnesobjet!$A:$A,Personnesobjet!$C:$C=BI9)&lt;$B$24,filter( Personnesobjet!$A:$A,Personnesobjet!$C:$C=BI9), filter(Personnesobjet!$A:$A,Personnesobjet!$C:$C=BI9)&gt;=$B$24,BI17)"),264.0)</f>
        <v>264</v>
      </c>
      <c r="BJ18" s="73" t="str">
        <f>IFERROR(__xludf.DUMMYFUNCTION("ifs(filter( Personnesobjet!$A:$A,Personnesobjet!$C:$C=BJ9)&lt;$B$24,filter( Personnesobjet!$A:$A,Personnesobjet!$C:$C=BJ9), filter(Personnesobjet!$A:$A,Personnesobjet!$C:$C=BJ9)&gt;=$B$24,BJ17)"),"")</f>
        <v/>
      </c>
      <c r="BK18" s="73" t="str">
        <f>IFERROR(__xludf.DUMMYFUNCTION("ifs(filter( Personnesobjet!$A:$A,Personnesobjet!$C:$C=BK9)&lt;$B$24,filter( Personnesobjet!$A:$A,Personnesobjet!$C:$C=BK9), filter(Personnesobjet!$A:$A,Personnesobjet!$C:$C=BK9)&gt;=$B$24,BK17)"),"")</f>
        <v/>
      </c>
      <c r="BL18" s="73" t="str">
        <f>IFERROR(__xludf.DUMMYFUNCTION("ifs(filter( Personnesobjet!$A:$A,Personnesobjet!$C:$C=BL9)&lt;$B$24,filter( Personnesobjet!$A:$A,Personnesobjet!$C:$C=BL9), filter(Personnesobjet!$A:$A,Personnesobjet!$C:$C=BL9)&gt;=$B$24,BL17)"),"")</f>
        <v/>
      </c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8"/>
    </row>
    <row r="19">
      <c r="A19" s="76"/>
      <c r="B19" s="73">
        <f>IFERROR(__xludf.DUMMYFUNCTION("ifs(filter( Personnesobjet!$A:$A,Personnesobjet!$C:$C=B10)&lt;$B$24,filter( Personnesobjet!$A:$A,Personnesobjet!$C:$C=B10), filter(Personnesobjet!$A:$A,Personnesobjet!$C:$C=B10)&gt;=$B$24,B18)"),4.0)</f>
        <v>4</v>
      </c>
      <c r="C19" s="73">
        <f>IFERROR(__xludf.DUMMYFUNCTION("ifs(filter( Personnesobjet!$A:$A,Personnesobjet!$C:$C=C10)&lt;$B$24,filter( Personnesobjet!$A:$A,Personnesobjet!$C:$C=C10), filter(Personnesobjet!$A:$A,Personnesobjet!$C:$C=C10)&gt;=$B$24,C18)"),8.0)</f>
        <v>8</v>
      </c>
      <c r="D19" s="73">
        <f>IFERROR(__xludf.DUMMYFUNCTION("ifs(filter( Personnesobjet!$A:$A,Personnesobjet!$C:$C=D10)&lt;$B$24,filter( Personnesobjet!$A:$A,Personnesobjet!$C:$C=D10), filter(Personnesobjet!$A:$A,Personnesobjet!$C:$C=D10)&gt;=$B$24,D18)"),91.0)</f>
        <v>91</v>
      </c>
      <c r="E19" s="73">
        <f>IFERROR(__xludf.DUMMYFUNCTION("ifs(filter( Personnesobjet!$A:$A,Personnesobjet!$C:$C=E10)&lt;$B$24,filter( Personnesobjet!$A:$A,Personnesobjet!$C:$C=E10), filter(Personnesobjet!$A:$A,Personnesobjet!$C:$C=E10)&gt;=$B$24,E18)"),14.0)</f>
        <v>14</v>
      </c>
      <c r="F19" s="73">
        <f>IFERROR(__xludf.DUMMYFUNCTION("ifs(filter( Personnesobjet!$A:$A,Personnesobjet!$C:$C=F10)&lt;$B$24,filter( Personnesobjet!$A:$A,Personnesobjet!$C:$C=F10), filter(Personnesobjet!$A:$A,Personnesobjet!$C:$C=F10)&gt;=$B$24,F18)"),20.0)</f>
        <v>20</v>
      </c>
      <c r="G19" s="73">
        <f>IFERROR(__xludf.DUMMYFUNCTION("ifs(filter( Personnesobjet!$A:$A,Personnesobjet!$C:$C=G10)&lt;$B$24,filter( Personnesobjet!$A:$A,Personnesobjet!$C:$C=G10), filter(Personnesobjet!$A:$A,Personnesobjet!$C:$C=G10)&gt;=$B$24,G18)"),23.0)</f>
        <v>23</v>
      </c>
      <c r="H19" s="73">
        <f>IFERROR(__xludf.DUMMYFUNCTION("ifs(filter( Personnesobjet!$A:$A,Personnesobjet!$C:$C=H10)&lt;$B$24,filter( Personnesobjet!$A:$A,Personnesobjet!$C:$C=H10), filter(Personnesobjet!$A:$A,Personnesobjet!$C:$C=H10)&gt;=$B$24,H18)"),56.0)</f>
        <v>56</v>
      </c>
      <c r="I19" s="73">
        <f>IFERROR(__xludf.DUMMYFUNCTION("ifs(filter( Personnesobjet!$A:$A,Personnesobjet!$C:$C=I10)&lt;$B$24,filter( Personnesobjet!$A:$A,Personnesobjet!$C:$C=I10), filter(Personnesobjet!$A:$A,Personnesobjet!$C:$C=I10)&gt;=$B$24,I18)"),29.0)</f>
        <v>29</v>
      </c>
      <c r="J19" s="73">
        <f>IFERROR(__xludf.DUMMYFUNCTION("ifs(filter( Personnesobjet!$A:$A,Personnesobjet!$C:$C=J10)&lt;$B$24,filter( Personnesobjet!$A:$A,Personnesobjet!$C:$C=J10), filter(Personnesobjet!$A:$A,Personnesobjet!$C:$C=J10)&gt;=$B$24,J18)"),34.0)</f>
        <v>34</v>
      </c>
      <c r="K19" s="73">
        <f>IFERROR(__xludf.DUMMYFUNCTION("ifs(filter( Personnesobjet!$A:$A,Personnesobjet!$C:$C=K10)&lt;$B$24,filter( Personnesobjet!$A:$A,Personnesobjet!$C:$C=K10), filter(Personnesobjet!$A:$A,Personnesobjet!$C:$C=K10)&gt;=$B$24,K18)"),38.0)</f>
        <v>38</v>
      </c>
      <c r="L19" s="73">
        <f>IFERROR(__xludf.DUMMYFUNCTION("ifs(filter( Personnesobjet!$A:$A,Personnesobjet!$C:$C=L10)&lt;$B$24,filter( Personnesobjet!$A:$A,Personnesobjet!$C:$C=L10), filter(Personnesobjet!$A:$A,Personnesobjet!$C:$C=L10)&gt;=$B$24,L18)"),44.0)</f>
        <v>44</v>
      </c>
      <c r="M19" s="73">
        <f>IFERROR(__xludf.DUMMYFUNCTION("ifs(filter( Personnesobjet!$A:$A,Personnesobjet!$C:$C=M10)&lt;$B$24,filter( Personnesobjet!$A:$A,Personnesobjet!$C:$C=M10), filter(Personnesobjet!$A:$A,Personnesobjet!$C:$C=M10)&gt;=$B$24,M18)"),52.0)</f>
        <v>52</v>
      </c>
      <c r="N19" s="73">
        <f>IFERROR(__xludf.DUMMYFUNCTION("ifs(filter( Personnesobjet!$A:$A,Personnesobjet!$C:$C=N10)&lt;$B$24,filter( Personnesobjet!$A:$A,Personnesobjet!$C:$C=N10), filter(Personnesobjet!$A:$A,Personnesobjet!$C:$C=N10)&gt;=$B$24,N18)"),61.0)</f>
        <v>61</v>
      </c>
      <c r="O19" s="73">
        <f>IFERROR(__xludf.DUMMYFUNCTION("ifs(filter( Personnesobjet!$A:$A,Personnesobjet!$C:$C=O10)&lt;$B$24,filter( Personnesobjet!$A:$A,Personnesobjet!$C:$C=O10), filter(Personnesobjet!$A:$A,Personnesobjet!$C:$C=O10)&gt;=$B$24,O18)"),271.0)</f>
        <v>271</v>
      </c>
      <c r="P19" s="73">
        <f>IFERROR(__xludf.DUMMYFUNCTION("ifs(filter( Personnesobjet!$A:$A,Personnesobjet!$C:$C=P10)&lt;$B$24,filter( Personnesobjet!$A:$A,Personnesobjet!$C:$C=P10), filter(Personnesobjet!$A:$A,Personnesobjet!$C:$C=P10)&gt;=$B$24,P18)"),106.0)</f>
        <v>106</v>
      </c>
      <c r="Q19" s="73">
        <f>IFERROR(__xludf.DUMMYFUNCTION("ifs(filter( Personnesobjet!$A:$A,Personnesobjet!$C:$C=Q10)&lt;$B$24,filter( Personnesobjet!$A:$A,Personnesobjet!$C:$C=Q10), filter(Personnesobjet!$A:$A,Personnesobjet!$C:$C=Q10)&gt;=$B$24,Q18)"),101.0)</f>
        <v>101</v>
      </c>
      <c r="R19" s="73">
        <f>IFERROR(__xludf.DUMMYFUNCTION("ifs(filter( Personnesobjet!$A:$A,Personnesobjet!$C:$C=R10)&lt;$B$24,filter( Personnesobjet!$A:$A,Personnesobjet!$C:$C=R10), filter(Personnesobjet!$A:$A,Personnesobjet!$C:$C=R10)&gt;=$B$24,R18)"),235.0)</f>
        <v>235</v>
      </c>
      <c r="S19" s="73">
        <f>IFERROR(__xludf.DUMMYFUNCTION("ifs(filter( Personnesobjet!$A:$A,Personnesobjet!$C:$C=S10)&lt;$B$24,filter( Personnesobjet!$A:$A,Personnesobjet!$C:$C=S10), filter(Personnesobjet!$A:$A,Personnesobjet!$C:$C=S10)&gt;=$B$24,S18)"),73.0)</f>
        <v>73</v>
      </c>
      <c r="T19" s="73">
        <f>IFERROR(__xludf.DUMMYFUNCTION("ifs(filter( Personnesobjet!$A:$A,Personnesobjet!$C:$C=T10)&lt;$B$24,filter( Personnesobjet!$A:$A,Personnesobjet!$C:$C=T10), filter(Personnesobjet!$A:$A,Personnesobjet!$C:$C=T10)&gt;=$B$24,T18)"),85.0)</f>
        <v>85</v>
      </c>
      <c r="U19" s="73">
        <f>IFERROR(__xludf.DUMMYFUNCTION("ifs(filter( Personnesobjet!$A:$A,Personnesobjet!$C:$C=U10)&lt;$B$24,filter( Personnesobjet!$A:$A,Personnesobjet!$C:$C=U10), filter(Personnesobjet!$A:$A,Personnesobjet!$C:$C=U10)&gt;=$B$24,U18)"),80.0)</f>
        <v>80</v>
      </c>
      <c r="V19" s="73">
        <f>IFERROR(__xludf.DUMMYFUNCTION("ifs(filter( Personnesobjet!$A:$A,Personnesobjet!$C:$C=V10)&lt;$B$24,filter( Personnesobjet!$A:$A,Personnesobjet!$C:$C=V10), filter(Personnesobjet!$A:$A,Personnesobjet!$C:$C=V10)&gt;=$B$24,V18)"),137.0)</f>
        <v>137</v>
      </c>
      <c r="W19" s="73">
        <f>IFERROR(__xludf.DUMMYFUNCTION("ifs(filter( Personnesobjet!$A:$A,Personnesobjet!$C:$C=W10)&lt;$B$24,filter( Personnesobjet!$A:$A,Personnesobjet!$C:$C=W10), filter(Personnesobjet!$A:$A,Personnesobjet!$C:$C=W10)&gt;=$B$24,W18)"),84.0)</f>
        <v>84</v>
      </c>
      <c r="X19" s="73">
        <f>IFERROR(__xludf.DUMMYFUNCTION("ifs(filter( Personnesobjet!$A:$A,Personnesobjet!$C:$C=X10)&lt;$B$24,filter( Personnesobjet!$A:$A,Personnesobjet!$C:$C=X10), filter(Personnesobjet!$A:$A,Personnesobjet!$C:$C=X10)&gt;=$B$24,X18)"),95.0)</f>
        <v>95</v>
      </c>
      <c r="Y19" s="73">
        <f>IFERROR(__xludf.DUMMYFUNCTION("ifs(filter( Personnesobjet!$A:$A,Personnesobjet!$C:$C=Y10)&lt;$B$24,filter( Personnesobjet!$A:$A,Personnesobjet!$C:$C=Y10), filter(Personnesobjet!$A:$A,Personnesobjet!$C:$C=Y10)&gt;=$B$24,Y18)"),217.0)</f>
        <v>217</v>
      </c>
      <c r="Z19" s="73">
        <f>IFERROR(__xludf.DUMMYFUNCTION("ifs(filter( Personnesobjet!$A:$A,Personnesobjet!$C:$C=Z10)&lt;$B$24,filter( Personnesobjet!$A:$A,Personnesobjet!$C:$C=Z10), filter(Personnesobjet!$A:$A,Personnesobjet!$C:$C=Z10)&gt;=$B$24,Z18)"),149.0)</f>
        <v>149</v>
      </c>
      <c r="AA19" s="73">
        <f>IFERROR(__xludf.DUMMYFUNCTION("ifs(filter( Personnesobjet!$A:$A,Personnesobjet!$C:$C=AA10)&lt;$B$24,filter( Personnesobjet!$A:$A,Personnesobjet!$C:$C=AA10), filter(Personnesobjet!$A:$A,Personnesobjet!$C:$C=AA10)&gt;=$B$24,AA18)"),148.0)</f>
        <v>148</v>
      </c>
      <c r="AB19" s="73">
        <f>IFERROR(__xludf.DUMMYFUNCTION("ifs(filter( Personnesobjet!$A:$A,Personnesobjet!$C:$C=AB10)&lt;$B$24,filter( Personnesobjet!$A:$A,Personnesobjet!$C:$C=AB10), filter(Personnesobjet!$A:$A,Personnesobjet!$C:$C=AB10)&gt;=$B$24,AB18)"),112.0)</f>
        <v>112</v>
      </c>
      <c r="AC19" s="73">
        <f>IFERROR(__xludf.DUMMYFUNCTION("ifs(filter( Personnesobjet!$A:$A,Personnesobjet!$C:$C=AC10)&lt;$B$24,filter( Personnesobjet!$A:$A,Personnesobjet!$C:$C=AC10), filter(Personnesobjet!$A:$A,Personnesobjet!$C:$C=AC10)&gt;=$B$24,AC18)"),176.0)</f>
        <v>176</v>
      </c>
      <c r="AD19" s="73">
        <f>IFERROR(__xludf.DUMMYFUNCTION("ifs(filter( Personnesobjet!$A:$A,Personnesobjet!$C:$C=AD10)&lt;$B$24,filter( Personnesobjet!$A:$A,Personnesobjet!$C:$C=AD10), filter(Personnesobjet!$A:$A,Personnesobjet!$C:$C=AD10)&gt;=$B$24,AD18)"),283.0)</f>
        <v>283</v>
      </c>
      <c r="AE19" s="73">
        <f>IFERROR(__xludf.DUMMYFUNCTION("ifs(filter( Personnesobjet!$A:$A,Personnesobjet!$C:$C=AE10)&lt;$B$24,filter( Personnesobjet!$A:$A,Personnesobjet!$C:$C=AE10), filter(Personnesobjet!$A:$A,Personnesobjet!$C:$C=AE10)&gt;=$B$24,AE18)"),278.0)</f>
        <v>278</v>
      </c>
      <c r="AF19" s="73">
        <f>IFERROR(__xludf.DUMMYFUNCTION("ifs(filter( Personnesobjet!$A:$A,Personnesobjet!$C:$C=AF10)&lt;$B$24,filter( Personnesobjet!$A:$A,Personnesobjet!$C:$C=AF10), filter(Personnesobjet!$A:$A,Personnesobjet!$C:$C=AF10)&gt;=$B$24,AF18)"),261.0)</f>
        <v>261</v>
      </c>
      <c r="AG19" s="73">
        <f>IFERROR(__xludf.DUMMYFUNCTION("ifs(filter( Personnesobjet!$A:$A,Personnesobjet!$C:$C=AG10)&lt;$B$24,filter( Personnesobjet!$A:$A,Personnesobjet!$C:$C=AG10), filter(Personnesobjet!$A:$A,Personnesobjet!$C:$C=AG10)&gt;=$B$24,AG18)"),192.0)</f>
        <v>192</v>
      </c>
      <c r="AH19" s="73">
        <f>IFERROR(__xludf.DUMMYFUNCTION("ifs(filter( Personnesobjet!$A:$A,Personnesobjet!$C:$C=AH10)&lt;$B$24,filter( Personnesobjet!$A:$A,Personnesobjet!$C:$C=AH10), filter(Personnesobjet!$A:$A,Personnesobjet!$C:$C=AH10)&gt;=$B$24,AH18)"),171.0)</f>
        <v>171</v>
      </c>
      <c r="AI19" s="73">
        <f>IFERROR(__xludf.DUMMYFUNCTION("ifs(filter( Personnesobjet!$A:$A,Personnesobjet!$C:$C=AI10)&lt;$B$24,filter( Personnesobjet!$A:$A,Personnesobjet!$C:$C=AI10), filter(Personnesobjet!$A:$A,Personnesobjet!$C:$C=AI10)&gt;=$B$24,AI18)"),130.0)</f>
        <v>130</v>
      </c>
      <c r="AJ19" s="73">
        <f>IFERROR(__xludf.DUMMYFUNCTION("ifs(filter( Personnesobjet!$A:$A,Personnesobjet!$C:$C=AJ10)&lt;$B$24,filter( Personnesobjet!$A:$A,Personnesobjet!$C:$C=AJ10), filter(Personnesobjet!$A:$A,Personnesobjet!$C:$C=AJ10)&gt;=$B$24,AJ18)"),139.0)</f>
        <v>139</v>
      </c>
      <c r="AK19" s="73">
        <f>IFERROR(__xludf.DUMMYFUNCTION("ifs(filter( Personnesobjet!$A:$A,Personnesobjet!$C:$C=AK10)&lt;$B$24,filter( Personnesobjet!$A:$A,Personnesobjet!$C:$C=AK10), filter(Personnesobjet!$A:$A,Personnesobjet!$C:$C=AK10)&gt;=$B$24,AK18)"),143.0)</f>
        <v>143</v>
      </c>
      <c r="AL19" s="73">
        <f>IFERROR(__xludf.DUMMYFUNCTION("ifs(filter( Personnesobjet!$A:$A,Personnesobjet!$C:$C=AL10)&lt;$B$24,filter( Personnesobjet!$A:$A,Personnesobjet!$C:$C=AL10), filter(Personnesobjet!$A:$A,Personnesobjet!$C:$C=AL10)&gt;=$B$24,AL18)"),161.0)</f>
        <v>161</v>
      </c>
      <c r="AM19" s="73">
        <f>IFERROR(__xludf.DUMMYFUNCTION("ifs(filter( Personnesobjet!$A:$A,Personnesobjet!$C:$C=AM10)&lt;$B$24,filter( Personnesobjet!$A:$A,Personnesobjet!$C:$C=AM10), filter(Personnesobjet!$A:$A,Personnesobjet!$C:$C=AM10)&gt;=$B$24,AM18)"),151.0)</f>
        <v>151</v>
      </c>
      <c r="AN19" s="73">
        <f>IFERROR(__xludf.DUMMYFUNCTION("ifs(filter( Personnesobjet!$A:$A,Personnesobjet!$C:$C=AN10)&lt;$B$24,filter( Personnesobjet!$A:$A,Personnesobjet!$C:$C=AN10), filter(Personnesobjet!$A:$A,Personnesobjet!$C:$C=AN10)&gt;=$B$24,AN18)"),288.0)</f>
        <v>288</v>
      </c>
      <c r="AO19" s="73">
        <f>IFERROR(__xludf.DUMMYFUNCTION("ifs(filter( Personnesobjet!$A:$A,Personnesobjet!$C:$C=AO10)&lt;$B$24,filter( Personnesobjet!$A:$A,Personnesobjet!$C:$C=AO10), filter(Personnesobjet!$A:$A,Personnesobjet!$C:$C=AO10)&gt;=$B$24,AO18)"),202.0)</f>
        <v>202</v>
      </c>
      <c r="AP19" s="73">
        <f>IFERROR(__xludf.DUMMYFUNCTION("ifs(filter( Personnesobjet!$A:$A,Personnesobjet!$C:$C=AP10)&lt;$B$24,filter( Personnesobjet!$A:$A,Personnesobjet!$C:$C=AP10), filter(Personnesobjet!$A:$A,Personnesobjet!$C:$C=AP10)&gt;=$B$24,AP18)"),168.0)</f>
        <v>168</v>
      </c>
      <c r="AQ19" s="73">
        <f>IFERROR(__xludf.DUMMYFUNCTION("ifs(filter( Personnesobjet!$A:$A,Personnesobjet!$C:$C=AQ10)&lt;$B$24,filter( Personnesobjet!$A:$A,Personnesobjet!$C:$C=AQ10), filter(Personnesobjet!$A:$A,Personnesobjet!$C:$C=AQ10)&gt;=$B$24,AQ18)"),186.0)</f>
        <v>186</v>
      </c>
      <c r="AR19" s="73">
        <f>IFERROR(__xludf.DUMMYFUNCTION("ifs(filter( Personnesobjet!$A:$A,Personnesobjet!$C:$C=AR10)&lt;$B$24,filter( Personnesobjet!$A:$A,Personnesobjet!$C:$C=AR10), filter(Personnesobjet!$A:$A,Personnesobjet!$C:$C=AR10)&gt;=$B$24,AR18)"),182.0)</f>
        <v>182</v>
      </c>
      <c r="AS19" s="73">
        <f>IFERROR(__xludf.DUMMYFUNCTION("ifs(filter( Personnesobjet!$A:$A,Personnesobjet!$C:$C=AS10)&lt;$B$24,filter( Personnesobjet!$A:$A,Personnesobjet!$C:$C=AS10), filter(Personnesobjet!$A:$A,Personnesobjet!$C:$C=AS10)&gt;=$B$24,AS18)"),200.0)</f>
        <v>200</v>
      </c>
      <c r="AT19" s="73">
        <f>IFERROR(__xludf.DUMMYFUNCTION("ifs(filter( Personnesobjet!$A:$A,Personnesobjet!$C:$C=AT10)&lt;$B$24,filter( Personnesobjet!$A:$A,Personnesobjet!$C:$C=AT10), filter(Personnesobjet!$A:$A,Personnesobjet!$C:$C=AT10)&gt;=$B$24,AT18)"),201.0)</f>
        <v>201</v>
      </c>
      <c r="AU19" s="73">
        <f>IFERROR(__xludf.DUMMYFUNCTION("ifs(filter( Personnesobjet!$A:$A,Personnesobjet!$C:$C=AU10)&lt;$B$24,filter( Personnesobjet!$A:$A,Personnesobjet!$C:$C=AU10), filter(Personnesobjet!$A:$A,Personnesobjet!$C:$C=AU10)&gt;=$B$24,AU18)"),199.0)</f>
        <v>199</v>
      </c>
      <c r="AV19" s="73">
        <f>IFERROR(__xludf.DUMMYFUNCTION("ifs(filter( Personnesobjet!$A:$A,Personnesobjet!$C:$C=AV10)&lt;$B$24,filter( Personnesobjet!$A:$A,Personnesobjet!$C:$C=AV10), filter(Personnesobjet!$A:$A,Personnesobjet!$C:$C=AV10)&gt;=$B$24,AV18)"),223.0)</f>
        <v>223</v>
      </c>
      <c r="AW19" s="73">
        <f>IFERROR(__xludf.DUMMYFUNCTION("ifs(filter( Personnesobjet!$A:$A,Personnesobjet!$C:$C=AW10)&lt;$B$24,filter( Personnesobjet!$A:$A,Personnesobjet!$C:$C=AW10), filter(Personnesobjet!$A:$A,Personnesobjet!$C:$C=AW10)&gt;=$B$24,AW18)"),274.0)</f>
        <v>274</v>
      </c>
      <c r="AX19" s="73">
        <f>IFERROR(__xludf.DUMMYFUNCTION("ifs(filter( Personnesobjet!$A:$A,Personnesobjet!$C:$C=AX10)&lt;$B$24,filter( Personnesobjet!$A:$A,Personnesobjet!$C:$C=AX10), filter(Personnesobjet!$A:$A,Personnesobjet!$C:$C=AX10)&gt;=$B$24,AX18)"),220.0)</f>
        <v>220</v>
      </c>
      <c r="AY19" s="73">
        <f>IFERROR(__xludf.DUMMYFUNCTION("ifs(filter( Personnesobjet!$A:$A,Personnesobjet!$C:$C=AY10)&lt;$B$24,filter( Personnesobjet!$A:$A,Personnesobjet!$C:$C=AY10), filter(Personnesobjet!$A:$A,Personnesobjet!$C:$C=AY10)&gt;=$B$24,AY18)"),225.0)</f>
        <v>225</v>
      </c>
      <c r="AZ19" s="73">
        <f>IFERROR(__xludf.DUMMYFUNCTION("ifs(filter( Personnesobjet!$A:$A,Personnesobjet!$C:$C=AZ10)&lt;$B$24,filter( Personnesobjet!$A:$A,Personnesobjet!$C:$C=AZ10), filter(Personnesobjet!$A:$A,Personnesobjet!$C:$C=AZ10)&gt;=$B$24,AZ18)"),214.0)</f>
        <v>214</v>
      </c>
      <c r="BA19" s="73">
        <f>IFERROR(__xludf.DUMMYFUNCTION("ifs(filter( Personnesobjet!$A:$A,Personnesobjet!$C:$C=BA10)&lt;$B$24,filter( Personnesobjet!$A:$A,Personnesobjet!$C:$C=BA10), filter(Personnesobjet!$A:$A,Personnesobjet!$C:$C=BA10)&gt;=$B$24,BA18)"),230.0)</f>
        <v>230</v>
      </c>
      <c r="BB19" s="73">
        <f>IFERROR(__xludf.DUMMYFUNCTION("ifs(filter( Personnesobjet!$A:$A,Personnesobjet!$C:$C=BB10)&lt;$B$24,filter( Personnesobjet!$A:$A,Personnesobjet!$C:$C=BB10), filter(Personnesobjet!$A:$A,Personnesobjet!$C:$C=BB10)&gt;=$B$24,BB18)"),236.0)</f>
        <v>236</v>
      </c>
      <c r="BC19" s="73">
        <f>IFERROR(__xludf.DUMMYFUNCTION("ifs(filter( Personnesobjet!$A:$A,Personnesobjet!$C:$C=BC10)&lt;$B$24,filter( Personnesobjet!$A:$A,Personnesobjet!$C:$C=BC10), filter(Personnesobjet!$A:$A,Personnesobjet!$C:$C=BC10)&gt;=$B$24,BC18)"),285.0)</f>
        <v>285</v>
      </c>
      <c r="BD19" s="73">
        <f>IFERROR(__xludf.DUMMYFUNCTION("ifs(filter( Personnesobjet!$A:$A,Personnesobjet!$C:$C=BD10)&lt;$B$24,filter( Personnesobjet!$A:$A,Personnesobjet!$C:$C=BD10), filter(Personnesobjet!$A:$A,Personnesobjet!$C:$C=BD10)&gt;=$B$24,BD18)"),269.0)</f>
        <v>269</v>
      </c>
      <c r="BE19" s="73">
        <f>IFERROR(__xludf.DUMMYFUNCTION("ifs(filter( Personnesobjet!$A:$A,Personnesobjet!$C:$C=BE10)&lt;$B$24,filter( Personnesobjet!$A:$A,Personnesobjet!$C:$C=BE10), filter(Personnesobjet!$A:$A,Personnesobjet!$C:$C=BE10)&gt;=$B$24,BE18)"),275.0)</f>
        <v>275</v>
      </c>
      <c r="BF19" s="73">
        <f>IFERROR(__xludf.DUMMYFUNCTION("ifs(filter( Personnesobjet!$A:$A,Personnesobjet!$C:$C=BF10)&lt;$B$24,filter( Personnesobjet!$A:$A,Personnesobjet!$C:$C=BF10), filter(Personnesobjet!$A:$A,Personnesobjet!$C:$C=BF10)&gt;=$B$24,BF18)"),243.0)</f>
        <v>243</v>
      </c>
      <c r="BG19" s="73">
        <f>IFERROR(__xludf.DUMMYFUNCTION("ifs(filter( Personnesobjet!$A:$A,Personnesobjet!$C:$C=BG10)&lt;$B$24,filter( Personnesobjet!$A:$A,Personnesobjet!$C:$C=BG10), filter(Personnesobjet!$A:$A,Personnesobjet!$C:$C=BG10)&gt;=$B$24,BG18)"),254.0)</f>
        <v>254</v>
      </c>
      <c r="BH19" s="73">
        <f>IFERROR(__xludf.DUMMYFUNCTION("ifs(filter( Personnesobjet!$A:$A,Personnesobjet!$C:$C=BH10)&lt;$B$24,filter( Personnesobjet!$A:$A,Personnesobjet!$C:$C=BH10), filter(Personnesobjet!$A:$A,Personnesobjet!$C:$C=BH10)&gt;=$B$24,BH18)"),259.0)</f>
        <v>259</v>
      </c>
      <c r="BI19" s="73">
        <f>IFERROR(__xludf.DUMMYFUNCTION("ifs(filter( Personnesobjet!$A:$A,Personnesobjet!$C:$C=BI10)&lt;$B$24,filter( Personnesobjet!$A:$A,Personnesobjet!$C:$C=BI10), filter(Personnesobjet!$A:$A,Personnesobjet!$C:$C=BI10)&gt;=$B$24,BI18)"),265.0)</f>
        <v>265</v>
      </c>
      <c r="BJ19" s="73" t="str">
        <f>IFERROR(__xludf.DUMMYFUNCTION("ifs(filter( Personnesobjet!$A:$A,Personnesobjet!$C:$C=BJ10)&lt;$B$24,filter( Personnesobjet!$A:$A,Personnesobjet!$C:$C=BJ10), filter(Personnesobjet!$A:$A,Personnesobjet!$C:$C=BJ10)&gt;=$B$24,BJ18)"),"")</f>
        <v/>
      </c>
      <c r="BK19" s="73" t="str">
        <f>IFERROR(__xludf.DUMMYFUNCTION("ifs(filter( Personnesobjet!$A:$A,Personnesobjet!$C:$C=BK10)&lt;$B$24,filter( Personnesobjet!$A:$A,Personnesobjet!$C:$C=BK10), filter(Personnesobjet!$A:$A,Personnesobjet!$C:$C=BK10)&gt;=$B$24,BK18)"),"")</f>
        <v/>
      </c>
      <c r="BL19" s="73" t="str">
        <f>IFERROR(__xludf.DUMMYFUNCTION("ifs(filter( Personnesobjet!$A:$A,Personnesobjet!$C:$C=BL10)&lt;$B$24,filter( Personnesobjet!$A:$A,Personnesobjet!$C:$C=BL10), filter(Personnesobjet!$A:$A,Personnesobjet!$C:$C=BL10)&gt;=$B$24,BL18)"),"")</f>
        <v/>
      </c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8"/>
    </row>
    <row r="20">
      <c r="A20" s="76"/>
      <c r="B20" s="73">
        <f>IFERROR(__xludf.DUMMYFUNCTION("ifs(filter( Personnesobjet!$A:$A,Personnesobjet!$C:$C=B11)&lt;$B$24,filter( Personnesobjet!$A:$A,Personnesobjet!$C:$C=B11), filter(Personnesobjet!$A:$A,Personnesobjet!$C:$C=B11)&gt;=$B$24,B19)"),6.0)</f>
        <v>6</v>
      </c>
      <c r="C20" s="73">
        <f>IFERROR(__xludf.DUMMYFUNCTION("ifs(filter( Personnesobjet!$A:$A,Personnesobjet!$C:$C=C11)&lt;$B$24,filter( Personnesobjet!$A:$A,Personnesobjet!$C:$C=C11), filter(Personnesobjet!$A:$A,Personnesobjet!$C:$C=C11)&gt;=$B$24,C19)"),8.0)</f>
        <v>8</v>
      </c>
      <c r="D20" s="73">
        <f>IFERROR(__xludf.DUMMYFUNCTION("ifs(filter( Personnesobjet!$A:$A,Personnesobjet!$C:$C=D11)&lt;$B$24,filter( Personnesobjet!$A:$A,Personnesobjet!$C:$C=D11), filter(Personnesobjet!$A:$A,Personnesobjet!$C:$C=D11)&gt;=$B$24,D19)"),248.0)</f>
        <v>248</v>
      </c>
      <c r="E20" s="73">
        <f>IFERROR(__xludf.DUMMYFUNCTION("ifs(filter( Personnesobjet!$A:$A,Personnesobjet!$C:$C=E11)&lt;$B$24,filter( Personnesobjet!$A:$A,Personnesobjet!$C:$C=E11), filter(Personnesobjet!$A:$A,Personnesobjet!$C:$C=E11)&gt;=$B$24,E19)"),48.0)</f>
        <v>48</v>
      </c>
      <c r="F20" s="73">
        <f>IFERROR(__xludf.DUMMYFUNCTION("ifs(filter( Personnesobjet!$A:$A,Personnesobjet!$C:$C=F11)&lt;$B$24,filter( Personnesobjet!$A:$A,Personnesobjet!$C:$C=F11), filter(Personnesobjet!$A:$A,Personnesobjet!$C:$C=F11)&gt;=$B$24,F19)"),20.0)</f>
        <v>20</v>
      </c>
      <c r="G20" s="73">
        <f>IFERROR(__xludf.DUMMYFUNCTION("ifs(filter( Personnesobjet!$A:$A,Personnesobjet!$C:$C=G11)&lt;$B$24,filter( Personnesobjet!$A:$A,Personnesobjet!$C:$C=G11), filter(Personnesobjet!$A:$A,Personnesobjet!$C:$C=G11)&gt;=$B$24,G19)"),23.0)</f>
        <v>23</v>
      </c>
      <c r="H20" s="73">
        <f>IFERROR(__xludf.DUMMYFUNCTION("ifs(filter( Personnesobjet!$A:$A,Personnesobjet!$C:$C=H11)&lt;$B$24,filter( Personnesobjet!$A:$A,Personnesobjet!$C:$C=H11), filter(Personnesobjet!$A:$A,Personnesobjet!$C:$C=H11)&gt;=$B$24,H19)"),67.0)</f>
        <v>67</v>
      </c>
      <c r="I20" s="73">
        <f>IFERROR(__xludf.DUMMYFUNCTION("ifs(filter( Personnesobjet!$A:$A,Personnesobjet!$C:$C=I11)&lt;$B$24,filter( Personnesobjet!$A:$A,Personnesobjet!$C:$C=I11), filter(Personnesobjet!$A:$A,Personnesobjet!$C:$C=I11)&gt;=$B$24,I19)"),30.0)</f>
        <v>30</v>
      </c>
      <c r="J20" s="73">
        <f>IFERROR(__xludf.DUMMYFUNCTION("ifs(filter( Personnesobjet!$A:$A,Personnesobjet!$C:$C=J11)&lt;$B$24,filter( Personnesobjet!$A:$A,Personnesobjet!$C:$C=J11), filter(Personnesobjet!$A:$A,Personnesobjet!$C:$C=J11)&gt;=$B$24,J19)"),46.0)</f>
        <v>46</v>
      </c>
      <c r="K20" s="73">
        <f>IFERROR(__xludf.DUMMYFUNCTION("ifs(filter( Personnesobjet!$A:$A,Personnesobjet!$C:$C=K11)&lt;$B$24,filter( Personnesobjet!$A:$A,Personnesobjet!$C:$C=K11), filter(Personnesobjet!$A:$A,Personnesobjet!$C:$C=K11)&gt;=$B$24,K19)"),39.0)</f>
        <v>39</v>
      </c>
      <c r="L20" s="73">
        <f>IFERROR(__xludf.DUMMYFUNCTION("ifs(filter( Personnesobjet!$A:$A,Personnesobjet!$C:$C=L11)&lt;$B$24,filter( Personnesobjet!$A:$A,Personnesobjet!$C:$C=L11), filter(Personnesobjet!$A:$A,Personnesobjet!$C:$C=L11)&gt;=$B$24,L19)"),277.0)</f>
        <v>277</v>
      </c>
      <c r="M20" s="73">
        <f>IFERROR(__xludf.DUMMYFUNCTION("ifs(filter( Personnesobjet!$A:$A,Personnesobjet!$C:$C=M11)&lt;$B$24,filter( Personnesobjet!$A:$A,Personnesobjet!$C:$C=M11), filter(Personnesobjet!$A:$A,Personnesobjet!$C:$C=M11)&gt;=$B$24,M19)"),53.0)</f>
        <v>53</v>
      </c>
      <c r="N20" s="73">
        <f>IFERROR(__xludf.DUMMYFUNCTION("ifs(filter( Personnesobjet!$A:$A,Personnesobjet!$C:$C=N11)&lt;$B$24,filter( Personnesobjet!$A:$A,Personnesobjet!$C:$C=N11), filter(Personnesobjet!$A:$A,Personnesobjet!$C:$C=N11)&gt;=$B$24,N19)"),92.0)</f>
        <v>92</v>
      </c>
      <c r="O20" s="73">
        <f>IFERROR(__xludf.DUMMYFUNCTION("ifs(filter( Personnesobjet!$A:$A,Personnesobjet!$C:$C=O11)&lt;$B$24,filter( Personnesobjet!$A:$A,Personnesobjet!$C:$C=O11), filter(Personnesobjet!$A:$A,Personnesobjet!$C:$C=O11)&gt;=$B$24,O19)"),272.0)</f>
        <v>272</v>
      </c>
      <c r="P20" s="73">
        <f>IFERROR(__xludf.DUMMYFUNCTION("ifs(filter( Personnesobjet!$A:$A,Personnesobjet!$C:$C=P11)&lt;$B$24,filter( Personnesobjet!$A:$A,Personnesobjet!$C:$C=P11), filter(Personnesobjet!$A:$A,Personnesobjet!$C:$C=P11)&gt;=$B$24,P19)"),108.0)</f>
        <v>108</v>
      </c>
      <c r="Q20" s="73">
        <f>IFERROR(__xludf.DUMMYFUNCTION("ifs(filter( Personnesobjet!$A:$A,Personnesobjet!$C:$C=Q11)&lt;$B$24,filter( Personnesobjet!$A:$A,Personnesobjet!$C:$C=Q11), filter(Personnesobjet!$A:$A,Personnesobjet!$C:$C=Q11)&gt;=$B$24,Q19)"),251.0)</f>
        <v>251</v>
      </c>
      <c r="R20" s="73">
        <f>IFERROR(__xludf.DUMMYFUNCTION("ifs(filter( Personnesobjet!$A:$A,Personnesobjet!$C:$C=R11)&lt;$B$24,filter( Personnesobjet!$A:$A,Personnesobjet!$C:$C=R11), filter(Personnesobjet!$A:$A,Personnesobjet!$C:$C=R11)&gt;=$B$24,R19)"),235.0)</f>
        <v>235</v>
      </c>
      <c r="S20" s="73">
        <f>IFERROR(__xludf.DUMMYFUNCTION("ifs(filter( Personnesobjet!$A:$A,Personnesobjet!$C:$C=S11)&lt;$B$24,filter( Personnesobjet!$A:$A,Personnesobjet!$C:$C=S11), filter(Personnesobjet!$A:$A,Personnesobjet!$C:$C=S11)&gt;=$B$24,S19)"),74.0)</f>
        <v>74</v>
      </c>
      <c r="T20" s="73">
        <f>IFERROR(__xludf.DUMMYFUNCTION("ifs(filter( Personnesobjet!$A:$A,Personnesobjet!$C:$C=T11)&lt;$B$24,filter( Personnesobjet!$A:$A,Personnesobjet!$C:$C=T11), filter(Personnesobjet!$A:$A,Personnesobjet!$C:$C=T11)&gt;=$B$24,T19)"),88.0)</f>
        <v>88</v>
      </c>
      <c r="U20" s="73">
        <f>IFERROR(__xludf.DUMMYFUNCTION("ifs(filter( Personnesobjet!$A:$A,Personnesobjet!$C:$C=U11)&lt;$B$24,filter( Personnesobjet!$A:$A,Personnesobjet!$C:$C=U11), filter(Personnesobjet!$A:$A,Personnesobjet!$C:$C=U11)&gt;=$B$24,U19)"),80.0)</f>
        <v>80</v>
      </c>
      <c r="V20" s="73">
        <f>IFERROR(__xludf.DUMMYFUNCTION("ifs(filter( Personnesobjet!$A:$A,Personnesobjet!$C:$C=V11)&lt;$B$24,filter( Personnesobjet!$A:$A,Personnesobjet!$C:$C=V11), filter(Personnesobjet!$A:$A,Personnesobjet!$C:$C=V11)&gt;=$B$24,V19)"),137.0)</f>
        <v>137</v>
      </c>
      <c r="W20" s="73">
        <f>IFERROR(__xludf.DUMMYFUNCTION("ifs(filter( Personnesobjet!$A:$A,Personnesobjet!$C:$C=W11)&lt;$B$24,filter( Personnesobjet!$A:$A,Personnesobjet!$C:$C=W11), filter(Personnesobjet!$A:$A,Personnesobjet!$C:$C=W11)&gt;=$B$24,W19)"),117.0)</f>
        <v>117</v>
      </c>
      <c r="X20" s="73">
        <f>IFERROR(__xludf.DUMMYFUNCTION("ifs(filter( Personnesobjet!$A:$A,Personnesobjet!$C:$C=X11)&lt;$B$24,filter( Personnesobjet!$A:$A,Personnesobjet!$C:$C=X11), filter(Personnesobjet!$A:$A,Personnesobjet!$C:$C=X11)&gt;=$B$24,X19)"),95.0)</f>
        <v>95</v>
      </c>
      <c r="Y20" s="73">
        <f>IFERROR(__xludf.DUMMYFUNCTION("ifs(filter( Personnesobjet!$A:$A,Personnesobjet!$C:$C=Y11)&lt;$B$24,filter( Personnesobjet!$A:$A,Personnesobjet!$C:$C=Y11), filter(Personnesobjet!$A:$A,Personnesobjet!$C:$C=Y11)&gt;=$B$24,Y19)"),221.0)</f>
        <v>221</v>
      </c>
      <c r="Z20" s="73">
        <f>IFERROR(__xludf.DUMMYFUNCTION("ifs(filter( Personnesobjet!$A:$A,Personnesobjet!$C:$C=Z11)&lt;$B$24,filter( Personnesobjet!$A:$A,Personnesobjet!$C:$C=Z11), filter(Personnesobjet!$A:$A,Personnesobjet!$C:$C=Z11)&gt;=$B$24,Z19)"),149.0)</f>
        <v>149</v>
      </c>
      <c r="AA20" s="73">
        <f>IFERROR(__xludf.DUMMYFUNCTION("ifs(filter( Personnesobjet!$A:$A,Personnesobjet!$C:$C=AA11)&lt;$B$24,filter( Personnesobjet!$A:$A,Personnesobjet!$C:$C=AA11), filter(Personnesobjet!$A:$A,Personnesobjet!$C:$C=AA11)&gt;=$B$24,AA19)"),148.0)</f>
        <v>148</v>
      </c>
      <c r="AB20" s="73" t="str">
        <f>IFERROR(__xludf.DUMMYFUNCTION("ifs(filter( Personnesobjet!$A:$A,Personnesobjet!$C:$C=AB11)&lt;$B$24,filter( Personnesobjet!$A:$A,Personnesobjet!$C:$C=AB11), filter(Personnesobjet!$A:$A,Personnesobjet!$C:$C=AB11)&gt;=$B$24,AB19)"),"#N/A")</f>
        <v>#N/A</v>
      </c>
      <c r="AC20" s="73">
        <f>IFERROR(__xludf.DUMMYFUNCTION("ifs(filter( Personnesobjet!$A:$A,Personnesobjet!$C:$C=AC11)&lt;$B$24,filter( Personnesobjet!$A:$A,Personnesobjet!$C:$C=AC11), filter(Personnesobjet!$A:$A,Personnesobjet!$C:$C=AC11)&gt;=$B$24,AC19)"),270.0)</f>
        <v>270</v>
      </c>
      <c r="AD20" s="73">
        <f>IFERROR(__xludf.DUMMYFUNCTION("ifs(filter( Personnesobjet!$A:$A,Personnesobjet!$C:$C=AD11)&lt;$B$24,filter( Personnesobjet!$A:$A,Personnesobjet!$C:$C=AD11), filter(Personnesobjet!$A:$A,Personnesobjet!$C:$C=AD11)&gt;=$B$24,AD19)"),283.0)</f>
        <v>283</v>
      </c>
      <c r="AE20" s="73">
        <f>IFERROR(__xludf.DUMMYFUNCTION("ifs(filter( Personnesobjet!$A:$A,Personnesobjet!$C:$C=AE11)&lt;$B$24,filter( Personnesobjet!$A:$A,Personnesobjet!$C:$C=AE11), filter(Personnesobjet!$A:$A,Personnesobjet!$C:$C=AE11)&gt;=$B$24,AE19)"),279.0)</f>
        <v>279</v>
      </c>
      <c r="AF20" s="73">
        <f>IFERROR(__xludf.DUMMYFUNCTION("ifs(filter( Personnesobjet!$A:$A,Personnesobjet!$C:$C=AF11)&lt;$B$24,filter( Personnesobjet!$A:$A,Personnesobjet!$C:$C=AF11), filter(Personnesobjet!$A:$A,Personnesobjet!$C:$C=AF11)&gt;=$B$24,AF19)"),261.0)</f>
        <v>261</v>
      </c>
      <c r="AG20" s="73">
        <f>IFERROR(__xludf.DUMMYFUNCTION("ifs(filter( Personnesobjet!$A:$A,Personnesobjet!$C:$C=AG11)&lt;$B$24,filter( Personnesobjet!$A:$A,Personnesobjet!$C:$C=AG11), filter(Personnesobjet!$A:$A,Personnesobjet!$C:$C=AG11)&gt;=$B$24,AG19)"),193.0)</f>
        <v>193</v>
      </c>
      <c r="AH20" s="73">
        <f>IFERROR(__xludf.DUMMYFUNCTION("ifs(filter( Personnesobjet!$A:$A,Personnesobjet!$C:$C=AH11)&lt;$B$24,filter( Personnesobjet!$A:$A,Personnesobjet!$C:$C=AH11), filter(Personnesobjet!$A:$A,Personnesobjet!$C:$C=AH11)&gt;=$B$24,AH19)"),255.0)</f>
        <v>255</v>
      </c>
      <c r="AI20" s="73">
        <f>IFERROR(__xludf.DUMMYFUNCTION("ifs(filter( Personnesobjet!$A:$A,Personnesobjet!$C:$C=AI11)&lt;$B$24,filter( Personnesobjet!$A:$A,Personnesobjet!$C:$C=AI11), filter(Personnesobjet!$A:$A,Personnesobjet!$C:$C=AI11)&gt;=$B$24,AI19)"),131.0)</f>
        <v>131</v>
      </c>
      <c r="AJ20" s="73">
        <f>IFERROR(__xludf.DUMMYFUNCTION("ifs(filter( Personnesobjet!$A:$A,Personnesobjet!$C:$C=AJ11)&lt;$B$24,filter( Personnesobjet!$A:$A,Personnesobjet!$C:$C=AJ11), filter(Personnesobjet!$A:$A,Personnesobjet!$C:$C=AJ11)&gt;=$B$24,AJ19)"),169.0)</f>
        <v>169</v>
      </c>
      <c r="AK20" s="73">
        <f>IFERROR(__xludf.DUMMYFUNCTION("ifs(filter( Personnesobjet!$A:$A,Personnesobjet!$C:$C=AK11)&lt;$B$24,filter( Personnesobjet!$A:$A,Personnesobjet!$C:$C=AK11), filter(Personnesobjet!$A:$A,Personnesobjet!$C:$C=AK11)&gt;=$B$24,AK19)"),143.0)</f>
        <v>143</v>
      </c>
      <c r="AL20" s="73">
        <f>IFERROR(__xludf.DUMMYFUNCTION("ifs(filter( Personnesobjet!$A:$A,Personnesobjet!$C:$C=AL11)&lt;$B$24,filter( Personnesobjet!$A:$A,Personnesobjet!$C:$C=AL11), filter(Personnesobjet!$A:$A,Personnesobjet!$C:$C=AL11)&gt;=$B$24,AL19)"),260.0)</f>
        <v>260</v>
      </c>
      <c r="AM20" s="73">
        <f>IFERROR(__xludf.DUMMYFUNCTION("ifs(filter( Personnesobjet!$A:$A,Personnesobjet!$C:$C=AM11)&lt;$B$24,filter( Personnesobjet!$A:$A,Personnesobjet!$C:$C=AM11), filter(Personnesobjet!$A:$A,Personnesobjet!$C:$C=AM11)&gt;=$B$24,AM19)"),178.0)</f>
        <v>178</v>
      </c>
      <c r="AN20" s="73">
        <f>IFERROR(__xludf.DUMMYFUNCTION("ifs(filter( Personnesobjet!$A:$A,Personnesobjet!$C:$C=AN11)&lt;$B$24,filter( Personnesobjet!$A:$A,Personnesobjet!$C:$C=AN11), filter(Personnesobjet!$A:$A,Personnesobjet!$C:$C=AN11)&gt;=$B$24,AN19)"),288.0)</f>
        <v>288</v>
      </c>
      <c r="AO20" s="73">
        <f>IFERROR(__xludf.DUMMYFUNCTION("ifs(filter( Personnesobjet!$A:$A,Personnesobjet!$C:$C=AO11)&lt;$B$24,filter( Personnesobjet!$A:$A,Personnesobjet!$C:$C=AO11), filter(Personnesobjet!$A:$A,Personnesobjet!$C:$C=AO11)&gt;=$B$24,AO19)"),282.0)</f>
        <v>282</v>
      </c>
      <c r="AP20" s="73">
        <f>IFERROR(__xludf.DUMMYFUNCTION("ifs(filter( Personnesobjet!$A:$A,Personnesobjet!$C:$C=AP11)&lt;$B$24,filter( Personnesobjet!$A:$A,Personnesobjet!$C:$C=AP11), filter(Personnesobjet!$A:$A,Personnesobjet!$C:$C=AP11)&gt;=$B$24,AP19)"),172.0)</f>
        <v>172</v>
      </c>
      <c r="AQ20" s="73">
        <f>IFERROR(__xludf.DUMMYFUNCTION("ifs(filter( Personnesobjet!$A:$A,Personnesobjet!$C:$C=AQ11)&lt;$B$24,filter( Personnesobjet!$A:$A,Personnesobjet!$C:$C=AQ11), filter(Personnesobjet!$A:$A,Personnesobjet!$C:$C=AQ11)&gt;=$B$24,AQ19)"),186.0)</f>
        <v>186</v>
      </c>
      <c r="AR20" s="73">
        <f>IFERROR(__xludf.DUMMYFUNCTION("ifs(filter( Personnesobjet!$A:$A,Personnesobjet!$C:$C=AR11)&lt;$B$24,filter( Personnesobjet!$A:$A,Personnesobjet!$C:$C=AR11), filter(Personnesobjet!$A:$A,Personnesobjet!$C:$C=AR11)&gt;=$B$24,AR19)"),183.0)</f>
        <v>183</v>
      </c>
      <c r="AS20" s="73">
        <f>IFERROR(__xludf.DUMMYFUNCTION("ifs(filter( Personnesobjet!$A:$A,Personnesobjet!$C:$C=AS11)&lt;$B$24,filter( Personnesobjet!$A:$A,Personnesobjet!$C:$C=AS11), filter(Personnesobjet!$A:$A,Personnesobjet!$C:$C=AS11)&gt;=$B$24,AS19)"),200.0)</f>
        <v>200</v>
      </c>
      <c r="AT20" s="73">
        <f>IFERROR(__xludf.DUMMYFUNCTION("ifs(filter( Personnesobjet!$A:$A,Personnesobjet!$C:$C=AT11)&lt;$B$24,filter( Personnesobjet!$A:$A,Personnesobjet!$C:$C=AT11), filter(Personnesobjet!$A:$A,Personnesobjet!$C:$C=AT11)&gt;=$B$24,AT19)"),222.0)</f>
        <v>222</v>
      </c>
      <c r="AU20" s="73">
        <f>IFERROR(__xludf.DUMMYFUNCTION("ifs(filter( Personnesobjet!$A:$A,Personnesobjet!$C:$C=AU11)&lt;$B$24,filter( Personnesobjet!$A:$A,Personnesobjet!$C:$C=AU11), filter(Personnesobjet!$A:$A,Personnesobjet!$C:$C=AU11)&gt;=$B$24,AU19)"),199.0)</f>
        <v>199</v>
      </c>
      <c r="AV20" s="73">
        <f>IFERROR(__xludf.DUMMYFUNCTION("ifs(filter( Personnesobjet!$A:$A,Personnesobjet!$C:$C=AV11)&lt;$B$24,filter( Personnesobjet!$A:$A,Personnesobjet!$C:$C=AV11), filter(Personnesobjet!$A:$A,Personnesobjet!$C:$C=AV11)&gt;=$B$24,AV19)"),223.0)</f>
        <v>223</v>
      </c>
      <c r="AW20" s="73">
        <f>IFERROR(__xludf.DUMMYFUNCTION("ifs(filter( Personnesobjet!$A:$A,Personnesobjet!$C:$C=AW11)&lt;$B$24,filter( Personnesobjet!$A:$A,Personnesobjet!$C:$C=AW11), filter(Personnesobjet!$A:$A,Personnesobjet!$C:$C=AW11)&gt;=$B$24,AW19)"),286.0)</f>
        <v>286</v>
      </c>
      <c r="AX20" s="73">
        <f>IFERROR(__xludf.DUMMYFUNCTION("ifs(filter( Personnesobjet!$A:$A,Personnesobjet!$C:$C=AX11)&lt;$B$24,filter( Personnesobjet!$A:$A,Personnesobjet!$C:$C=AX11), filter(Personnesobjet!$A:$A,Personnesobjet!$C:$C=AX11)&gt;=$B$24,AX19)"),287.0)</f>
        <v>287</v>
      </c>
      <c r="AY20" s="73">
        <f>IFERROR(__xludf.DUMMYFUNCTION("ifs(filter( Personnesobjet!$A:$A,Personnesobjet!$C:$C=AY11)&lt;$B$24,filter( Personnesobjet!$A:$A,Personnesobjet!$C:$C=AY11), filter(Personnesobjet!$A:$A,Personnesobjet!$C:$C=AY11)&gt;=$B$24,AY19)"),225.0)</f>
        <v>225</v>
      </c>
      <c r="AZ20" s="73">
        <f>IFERROR(__xludf.DUMMYFUNCTION("ifs(filter( Personnesobjet!$A:$A,Personnesobjet!$C:$C=AZ11)&lt;$B$24,filter( Personnesobjet!$A:$A,Personnesobjet!$C:$C=AZ11), filter(Personnesobjet!$A:$A,Personnesobjet!$C:$C=AZ11)&gt;=$B$24,AZ19)"),214.0)</f>
        <v>214</v>
      </c>
      <c r="BA20" s="73">
        <f>IFERROR(__xludf.DUMMYFUNCTION("ifs(filter( Personnesobjet!$A:$A,Personnesobjet!$C:$C=BA11)&lt;$B$24,filter( Personnesobjet!$A:$A,Personnesobjet!$C:$C=BA11), filter(Personnesobjet!$A:$A,Personnesobjet!$C:$C=BA11)&gt;=$B$24,BA19)"),231.0)</f>
        <v>231</v>
      </c>
      <c r="BB20" s="73">
        <f>IFERROR(__xludf.DUMMYFUNCTION("ifs(filter( Personnesobjet!$A:$A,Personnesobjet!$C:$C=BB11)&lt;$B$24,filter( Personnesobjet!$A:$A,Personnesobjet!$C:$C=BB11), filter(Personnesobjet!$A:$A,Personnesobjet!$C:$C=BB11)&gt;=$B$24,BB19)"),236.0)</f>
        <v>236</v>
      </c>
      <c r="BC20" s="73">
        <f>IFERROR(__xludf.DUMMYFUNCTION("ifs(filter( Personnesobjet!$A:$A,Personnesobjet!$C:$C=BC11)&lt;$B$24,filter( Personnesobjet!$A:$A,Personnesobjet!$C:$C=BC11), filter(Personnesobjet!$A:$A,Personnesobjet!$C:$C=BC11)&gt;=$B$24,BC19)"),280.0)</f>
        <v>280</v>
      </c>
      <c r="BD20" s="73">
        <f>IFERROR(__xludf.DUMMYFUNCTION("ifs(filter( Personnesobjet!$A:$A,Personnesobjet!$C:$C=BD11)&lt;$B$24,filter( Personnesobjet!$A:$A,Personnesobjet!$C:$C=BD11), filter(Personnesobjet!$A:$A,Personnesobjet!$C:$C=BD11)&gt;=$B$24,BD19)"),269.0)</f>
        <v>269</v>
      </c>
      <c r="BE20" s="73">
        <f>IFERROR(__xludf.DUMMYFUNCTION("ifs(filter( Personnesobjet!$A:$A,Personnesobjet!$C:$C=BE11)&lt;$B$24,filter( Personnesobjet!$A:$A,Personnesobjet!$C:$C=BE11), filter(Personnesobjet!$A:$A,Personnesobjet!$C:$C=BE11)&gt;=$B$24,BE19)"),275.0)</f>
        <v>275</v>
      </c>
      <c r="BF20" s="73">
        <f>IFERROR(__xludf.DUMMYFUNCTION("ifs(filter( Personnesobjet!$A:$A,Personnesobjet!$C:$C=BF11)&lt;$B$24,filter( Personnesobjet!$A:$A,Personnesobjet!$C:$C=BF11), filter(Personnesobjet!$A:$A,Personnesobjet!$C:$C=BF11)&gt;=$B$24,BF19)"),245.0)</f>
        <v>245</v>
      </c>
      <c r="BG20" s="73">
        <f>IFERROR(__xludf.DUMMYFUNCTION("ifs(filter( Personnesobjet!$A:$A,Personnesobjet!$C:$C=BG11)&lt;$B$24,filter( Personnesobjet!$A:$A,Personnesobjet!$C:$C=BG11), filter(Personnesobjet!$A:$A,Personnesobjet!$C:$C=BG11)&gt;=$B$24,BG19)"),284.0)</f>
        <v>284</v>
      </c>
      <c r="BH20" s="73">
        <f>IFERROR(__xludf.DUMMYFUNCTION("ifs(filter( Personnesobjet!$A:$A,Personnesobjet!$C:$C=BH11)&lt;$B$24,filter( Personnesobjet!$A:$A,Personnesobjet!$C:$C=BH11), filter(Personnesobjet!$A:$A,Personnesobjet!$C:$C=BH11)&gt;=$B$24,BH19)"),259.0)</f>
        <v>259</v>
      </c>
      <c r="BI20" s="73">
        <f>IFERROR(__xludf.DUMMYFUNCTION("ifs(filter( Personnesobjet!$A:$A,Personnesobjet!$C:$C=BI11)&lt;$B$24,filter( Personnesobjet!$A:$A,Personnesobjet!$C:$C=BI11), filter(Personnesobjet!$A:$A,Personnesobjet!$C:$C=BI11)&gt;=$B$24,BI19)"),266.0)</f>
        <v>266</v>
      </c>
      <c r="BJ20" s="73" t="str">
        <f>IFERROR(__xludf.DUMMYFUNCTION("ifs(filter( Personnesobjet!$A:$A,Personnesobjet!$C:$C=BJ11)&lt;$B$24,filter( Personnesobjet!$A:$A,Personnesobjet!$C:$C=BJ11), filter(Personnesobjet!$A:$A,Personnesobjet!$C:$C=BJ11)&gt;=$B$24,BJ19)"),"")</f>
        <v/>
      </c>
      <c r="BK20" s="73" t="str">
        <f>IFERROR(__xludf.DUMMYFUNCTION("ifs(filter( Personnesobjet!$A:$A,Personnesobjet!$C:$C=BK11)&lt;$B$24,filter( Personnesobjet!$A:$A,Personnesobjet!$C:$C=BK11), filter(Personnesobjet!$A:$A,Personnesobjet!$C:$C=BK11)&gt;=$B$24,BK19)"),"")</f>
        <v/>
      </c>
      <c r="BL20" s="73" t="str">
        <f>IFERROR(__xludf.DUMMYFUNCTION("ifs(filter( Personnesobjet!$A:$A,Personnesobjet!$C:$C=BL11)&lt;$B$24,filter( Personnesobjet!$A:$A,Personnesobjet!$C:$C=BL11), filter(Personnesobjet!$A:$A,Personnesobjet!$C:$C=BL11)&gt;=$B$24,BL19)"),"")</f>
        <v/>
      </c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8"/>
    </row>
    <row r="21">
      <c r="A21" s="82"/>
      <c r="B21" s="73">
        <f>IFERROR(__xludf.DUMMYFUNCTION("ifs(filter( Personnesobjet!$A:$A,Personnesobjet!$C:$C=B12)&lt;$B$24,filter( Personnesobjet!$A:$A,Personnesobjet!$C:$C=B12), filter(Personnesobjet!$A:$A,Personnesobjet!$C:$C=B12)&gt;=$B$24,B20)"),11.0)</f>
        <v>11</v>
      </c>
      <c r="C21" s="73">
        <f>IFERROR(__xludf.DUMMYFUNCTION("ifs(filter( Personnesobjet!$A:$A,Personnesobjet!$C:$C=C12)&lt;$B$24,filter( Personnesobjet!$A:$A,Personnesobjet!$C:$C=C12), filter(Personnesobjet!$A:$A,Personnesobjet!$C:$C=C12)&gt;=$B$24,C20)"),8.0)</f>
        <v>8</v>
      </c>
      <c r="D21" s="73">
        <f>IFERROR(__xludf.DUMMYFUNCTION("ifs(filter( Personnesobjet!$A:$A,Personnesobjet!$C:$C=D12)&lt;$B$24,filter( Personnesobjet!$A:$A,Personnesobjet!$C:$C=D12), filter(Personnesobjet!$A:$A,Personnesobjet!$C:$C=D12)&gt;=$B$24,D20)"),248.0)</f>
        <v>248</v>
      </c>
      <c r="E21" s="73">
        <f>IFERROR(__xludf.DUMMYFUNCTION("ifs(filter( Personnesobjet!$A:$A,Personnesobjet!$C:$C=E12)&lt;$B$24,filter( Personnesobjet!$A:$A,Personnesobjet!$C:$C=E12), filter(Personnesobjet!$A:$A,Personnesobjet!$C:$C=E12)&gt;=$B$24,E20)"),62.0)</f>
        <v>62</v>
      </c>
      <c r="F21" s="73">
        <f>IFERROR(__xludf.DUMMYFUNCTION("ifs(filter( Personnesobjet!$A:$A,Personnesobjet!$C:$C=F12)&lt;$B$24,filter( Personnesobjet!$A:$A,Personnesobjet!$C:$C=F12), filter(Personnesobjet!$A:$A,Personnesobjet!$C:$C=F12)&gt;=$B$24,F20)"),20.0)</f>
        <v>20</v>
      </c>
      <c r="G21" s="73">
        <f>IFERROR(__xludf.DUMMYFUNCTION("ifs(filter( Personnesobjet!$A:$A,Personnesobjet!$C:$C=G12)&lt;$B$24,filter( Personnesobjet!$A:$A,Personnesobjet!$C:$C=G12), filter(Personnesobjet!$A:$A,Personnesobjet!$C:$C=G12)&gt;=$B$24,G20)"),23.0)</f>
        <v>23</v>
      </c>
      <c r="H21" s="73">
        <f>IFERROR(__xludf.DUMMYFUNCTION("ifs(filter( Personnesobjet!$A:$A,Personnesobjet!$C:$C=H12)&lt;$B$24,filter( Personnesobjet!$A:$A,Personnesobjet!$C:$C=H12), filter(Personnesobjet!$A:$A,Personnesobjet!$C:$C=H12)&gt;=$B$24,H20)"),104.0)</f>
        <v>104</v>
      </c>
      <c r="I21" s="73">
        <f>IFERROR(__xludf.DUMMYFUNCTION("ifs(filter( Personnesobjet!$A:$A,Personnesobjet!$C:$C=I12)&lt;$B$24,filter( Personnesobjet!$A:$A,Personnesobjet!$C:$C=I12), filter(Personnesobjet!$A:$A,Personnesobjet!$C:$C=I12)&gt;=$B$24,I20)"),66.0)</f>
        <v>66</v>
      </c>
      <c r="J21" s="73">
        <f>IFERROR(__xludf.DUMMYFUNCTION("ifs(filter( Personnesobjet!$A:$A,Personnesobjet!$C:$C=J12)&lt;$B$24,filter( Personnesobjet!$A:$A,Personnesobjet!$C:$C=J12), filter(Personnesobjet!$A:$A,Personnesobjet!$C:$C=J12)&gt;=$B$24,J20)"),46.0)</f>
        <v>46</v>
      </c>
      <c r="K21" s="73">
        <f>IFERROR(__xludf.DUMMYFUNCTION("ifs(filter( Personnesobjet!$A:$A,Personnesobjet!$C:$C=K12)&lt;$B$24,filter( Personnesobjet!$A:$A,Personnesobjet!$C:$C=K12), filter(Personnesobjet!$A:$A,Personnesobjet!$C:$C=K12)&gt;=$B$24,K20)"),39.0)</f>
        <v>39</v>
      </c>
      <c r="L21" s="73">
        <f>IFERROR(__xludf.DUMMYFUNCTION("ifs(filter( Personnesobjet!$A:$A,Personnesobjet!$C:$C=L12)&lt;$B$24,filter( Personnesobjet!$A:$A,Personnesobjet!$C:$C=L12), filter(Personnesobjet!$A:$A,Personnesobjet!$C:$C=L12)&gt;=$B$24,L20)"),277.0)</f>
        <v>277</v>
      </c>
      <c r="M21" s="73">
        <f>IFERROR(__xludf.DUMMYFUNCTION("ifs(filter( Personnesobjet!$A:$A,Personnesobjet!$C:$C=M12)&lt;$B$24,filter( Personnesobjet!$A:$A,Personnesobjet!$C:$C=M12), filter(Personnesobjet!$A:$A,Personnesobjet!$C:$C=M12)&gt;=$B$24,M20)"),53.0)</f>
        <v>53</v>
      </c>
      <c r="N21" s="73">
        <f>IFERROR(__xludf.DUMMYFUNCTION("ifs(filter( Personnesobjet!$A:$A,Personnesobjet!$C:$C=N12)&lt;$B$24,filter( Personnesobjet!$A:$A,Personnesobjet!$C:$C=N12), filter(Personnesobjet!$A:$A,Personnesobjet!$C:$C=N12)&gt;=$B$24,N20)"),99.0)</f>
        <v>99</v>
      </c>
      <c r="O21" s="73">
        <f>IFERROR(__xludf.DUMMYFUNCTION("ifs(filter( Personnesobjet!$A:$A,Personnesobjet!$C:$C=O12)&lt;$B$24,filter( Personnesobjet!$A:$A,Personnesobjet!$C:$C=O12), filter(Personnesobjet!$A:$A,Personnesobjet!$C:$C=O12)&gt;=$B$24,O20)"),273.0)</f>
        <v>273</v>
      </c>
      <c r="P21" s="73">
        <f>IFERROR(__xludf.DUMMYFUNCTION("ifs(filter( Personnesobjet!$A:$A,Personnesobjet!$C:$C=P12)&lt;$B$24,filter( Personnesobjet!$A:$A,Personnesobjet!$C:$C=P12), filter(Personnesobjet!$A:$A,Personnesobjet!$C:$C=P12)&gt;=$B$24,P20)"),187.0)</f>
        <v>187</v>
      </c>
      <c r="Q21" s="73">
        <f>IFERROR(__xludf.DUMMYFUNCTION("ifs(filter( Personnesobjet!$A:$A,Personnesobjet!$C:$C=Q12)&lt;$B$24,filter( Personnesobjet!$A:$A,Personnesobjet!$C:$C=Q12), filter(Personnesobjet!$A:$A,Personnesobjet!$C:$C=Q12)&gt;=$B$24,Q20)"),251.0)</f>
        <v>251</v>
      </c>
      <c r="R21" s="73">
        <f>IFERROR(__xludf.DUMMYFUNCTION("ifs(filter( Personnesobjet!$A:$A,Personnesobjet!$C:$C=R12)&lt;$B$24,filter( Personnesobjet!$A:$A,Personnesobjet!$C:$C=R12), filter(Personnesobjet!$A:$A,Personnesobjet!$C:$C=R12)&gt;=$B$24,R20)"),235.0)</f>
        <v>235</v>
      </c>
      <c r="S21" s="73">
        <f>IFERROR(__xludf.DUMMYFUNCTION("ifs(filter( Personnesobjet!$A:$A,Personnesobjet!$C:$C=S12)&lt;$B$24,filter( Personnesobjet!$A:$A,Personnesobjet!$C:$C=S12), filter(Personnesobjet!$A:$A,Personnesobjet!$C:$C=S12)&gt;=$B$24,S20)"),75.0)</f>
        <v>75</v>
      </c>
      <c r="T21" s="73">
        <f>IFERROR(__xludf.DUMMYFUNCTION("ifs(filter( Personnesobjet!$A:$A,Personnesobjet!$C:$C=T12)&lt;$B$24,filter( Personnesobjet!$A:$A,Personnesobjet!$C:$C=T12), filter(Personnesobjet!$A:$A,Personnesobjet!$C:$C=T12)&gt;=$B$24,T20)"),90.0)</f>
        <v>90</v>
      </c>
      <c r="U21" s="73">
        <f>IFERROR(__xludf.DUMMYFUNCTION("ifs(filter( Personnesobjet!$A:$A,Personnesobjet!$C:$C=U12)&lt;$B$24,filter( Personnesobjet!$A:$A,Personnesobjet!$C:$C=U12), filter(Personnesobjet!$A:$A,Personnesobjet!$C:$C=U12)&gt;=$B$24,U20)"),80.0)</f>
        <v>80</v>
      </c>
      <c r="V21" s="73">
        <f>IFERROR(__xludf.DUMMYFUNCTION("ifs(filter( Personnesobjet!$A:$A,Personnesobjet!$C:$C=V12)&lt;$B$24,filter( Personnesobjet!$A:$A,Personnesobjet!$C:$C=V12), filter(Personnesobjet!$A:$A,Personnesobjet!$C:$C=V12)&gt;=$B$24,V20)"),137.0)</f>
        <v>137</v>
      </c>
      <c r="W21" s="73">
        <f>IFERROR(__xludf.DUMMYFUNCTION("ifs(filter( Personnesobjet!$A:$A,Personnesobjet!$C:$C=W12)&lt;$B$24,filter( Personnesobjet!$A:$A,Personnesobjet!$C:$C=W12), filter(Personnesobjet!$A:$A,Personnesobjet!$C:$C=W12)&gt;=$B$24,W20)"),126.0)</f>
        <v>126</v>
      </c>
      <c r="X21" s="73">
        <f>IFERROR(__xludf.DUMMYFUNCTION("ifs(filter( Personnesobjet!$A:$A,Personnesobjet!$C:$C=X12)&lt;$B$24,filter( Personnesobjet!$A:$A,Personnesobjet!$C:$C=X12), filter(Personnesobjet!$A:$A,Personnesobjet!$C:$C=X12)&gt;=$B$24,X20)"),95.0)</f>
        <v>95</v>
      </c>
      <c r="Y21" s="73">
        <f>IFERROR(__xludf.DUMMYFUNCTION("ifs(filter( Personnesobjet!$A:$A,Personnesobjet!$C:$C=Y12)&lt;$B$24,filter( Personnesobjet!$A:$A,Personnesobjet!$C:$C=Y12), filter(Personnesobjet!$A:$A,Personnesobjet!$C:$C=Y12)&gt;=$B$24,Y20)"),276.0)</f>
        <v>276</v>
      </c>
      <c r="Z21" s="73">
        <f>IFERROR(__xludf.DUMMYFUNCTION("ifs(filter( Personnesobjet!$A:$A,Personnesobjet!$C:$C=Z12)&lt;$B$24,filter( Personnesobjet!$A:$A,Personnesobjet!$C:$C=Z12), filter(Personnesobjet!$A:$A,Personnesobjet!$C:$C=Z12)&gt;=$B$24,Z20)"),149.0)</f>
        <v>149</v>
      </c>
      <c r="AA21" s="73">
        <f>IFERROR(__xludf.DUMMYFUNCTION("ifs(filter( Personnesobjet!$A:$A,Personnesobjet!$C:$C=AA12)&lt;$B$24,filter( Personnesobjet!$A:$A,Personnesobjet!$C:$C=AA12), filter(Personnesobjet!$A:$A,Personnesobjet!$C:$C=AA12)&gt;=$B$24,AA20)"),148.0)</f>
        <v>148</v>
      </c>
      <c r="AB21" s="73">
        <f>IFERROR(__xludf.DUMMYFUNCTION("ifs(filter( Personnesobjet!$A:$A,Personnesobjet!$C:$C=AB12)&lt;$B$24,filter( Personnesobjet!$A:$A,Personnesobjet!$C:$C=AB12), filter(Personnesobjet!$A:$A,Personnesobjet!$C:$C=AB12)&gt;=$B$24,AB20)"),173.0)</f>
        <v>173</v>
      </c>
      <c r="AC21" s="73">
        <f>IFERROR(__xludf.DUMMYFUNCTION("ifs(filter( Personnesobjet!$A:$A,Personnesobjet!$C:$C=AC12)&lt;$B$24,filter( Personnesobjet!$A:$A,Personnesobjet!$C:$C=AC12), filter(Personnesobjet!$A:$A,Personnesobjet!$C:$C=AC12)&gt;=$B$24,AC20)"),281.0)</f>
        <v>281</v>
      </c>
      <c r="AD21" s="73">
        <f>IFERROR(__xludf.DUMMYFUNCTION("ifs(filter( Personnesobjet!$A:$A,Personnesobjet!$C:$C=AD12)&lt;$B$24,filter( Personnesobjet!$A:$A,Personnesobjet!$C:$C=AD12), filter(Personnesobjet!$A:$A,Personnesobjet!$C:$C=AD12)&gt;=$B$24,AD20)"),283.0)</f>
        <v>283</v>
      </c>
      <c r="AE21" s="73">
        <f>IFERROR(__xludf.DUMMYFUNCTION("ifs(filter( Personnesobjet!$A:$A,Personnesobjet!$C:$C=AE12)&lt;$B$24,filter( Personnesobjet!$A:$A,Personnesobjet!$C:$C=AE12), filter(Personnesobjet!$A:$A,Personnesobjet!$C:$C=AE12)&gt;=$B$24,AE20)"),279.0)</f>
        <v>279</v>
      </c>
      <c r="AF21" s="73">
        <f>IFERROR(__xludf.DUMMYFUNCTION("ifs(filter( Personnesobjet!$A:$A,Personnesobjet!$C:$C=AF12)&lt;$B$24,filter( Personnesobjet!$A:$A,Personnesobjet!$C:$C=AF12), filter(Personnesobjet!$A:$A,Personnesobjet!$C:$C=AF12)&gt;=$B$24,AF20)"),261.0)</f>
        <v>261</v>
      </c>
      <c r="AG21" s="73">
        <f>IFERROR(__xludf.DUMMYFUNCTION("ifs(filter( Personnesobjet!$A:$A,Personnesobjet!$C:$C=AG12)&lt;$B$24,filter( Personnesobjet!$A:$A,Personnesobjet!$C:$C=AG12), filter(Personnesobjet!$A:$A,Personnesobjet!$C:$C=AG12)&gt;=$B$24,AG20)"),188.0)</f>
        <v>188</v>
      </c>
      <c r="AH21" s="73">
        <f>IFERROR(__xludf.DUMMYFUNCTION("ifs(filter( Personnesobjet!$A:$A,Personnesobjet!$C:$C=AH12)&lt;$B$24,filter( Personnesobjet!$A:$A,Personnesobjet!$C:$C=AH12), filter(Personnesobjet!$A:$A,Personnesobjet!$C:$C=AH12)&gt;=$B$24,AH20)"),255.0)</f>
        <v>255</v>
      </c>
      <c r="AI21" s="73">
        <f>IFERROR(__xludf.DUMMYFUNCTION("ifs(filter( Personnesobjet!$A:$A,Personnesobjet!$C:$C=AI12)&lt;$B$24,filter( Personnesobjet!$A:$A,Personnesobjet!$C:$C=AI12), filter(Personnesobjet!$A:$A,Personnesobjet!$C:$C=AI12)&gt;=$B$24,AI20)"),131.0)</f>
        <v>131</v>
      </c>
      <c r="AJ21" s="73">
        <f>IFERROR(__xludf.DUMMYFUNCTION("ifs(filter( Personnesobjet!$A:$A,Personnesobjet!$C:$C=AJ12)&lt;$B$24,filter( Personnesobjet!$A:$A,Personnesobjet!$C:$C=AJ12), filter(Personnesobjet!$A:$A,Personnesobjet!$C:$C=AJ12)&gt;=$B$24,AJ20)"),289.0)</f>
        <v>289</v>
      </c>
      <c r="AK21" s="73">
        <f>IFERROR(__xludf.DUMMYFUNCTION("ifs(filter( Personnesobjet!$A:$A,Personnesobjet!$C:$C=AK12)&lt;$B$24,filter( Personnesobjet!$A:$A,Personnesobjet!$C:$C=AK12), filter(Personnesobjet!$A:$A,Personnesobjet!$C:$C=AK12)&gt;=$B$24,AK20)"),143.0)</f>
        <v>143</v>
      </c>
      <c r="AL21" s="73">
        <f>IFERROR(__xludf.DUMMYFUNCTION("ifs(filter( Personnesobjet!$A:$A,Personnesobjet!$C:$C=AL12)&lt;$B$24,filter( Personnesobjet!$A:$A,Personnesobjet!$C:$C=AL12), filter(Personnesobjet!$A:$A,Personnesobjet!$C:$C=AL12)&gt;=$B$24,AL20)"),260.0)</f>
        <v>260</v>
      </c>
      <c r="AM21" s="73">
        <f>IFERROR(__xludf.DUMMYFUNCTION("ifs(filter( Personnesobjet!$A:$A,Personnesobjet!$C:$C=AM12)&lt;$B$24,filter( Personnesobjet!$A:$A,Personnesobjet!$C:$C=AM12), filter(Personnesobjet!$A:$A,Personnesobjet!$C:$C=AM12)&gt;=$B$24,AM20)"),178.0)</f>
        <v>178</v>
      </c>
      <c r="AN21" s="73">
        <f>IFERROR(__xludf.DUMMYFUNCTION("ifs(filter( Personnesobjet!$A:$A,Personnesobjet!$C:$C=AN12)&lt;$B$24,filter( Personnesobjet!$A:$A,Personnesobjet!$C:$C=AN12), filter(Personnesobjet!$A:$A,Personnesobjet!$C:$C=AN12)&gt;=$B$24,AN20)"),288.0)</f>
        <v>288</v>
      </c>
      <c r="AO21" s="73">
        <f>IFERROR(__xludf.DUMMYFUNCTION("ifs(filter( Personnesobjet!$A:$A,Personnesobjet!$C:$C=AO12)&lt;$B$24,filter( Personnesobjet!$A:$A,Personnesobjet!$C:$C=AO12), filter(Personnesobjet!$A:$A,Personnesobjet!$C:$C=AO12)&gt;=$B$24,AO20)"),282.0)</f>
        <v>282</v>
      </c>
      <c r="AP21" s="73">
        <f>IFERROR(__xludf.DUMMYFUNCTION("ifs(filter( Personnesobjet!$A:$A,Personnesobjet!$C:$C=AP12)&lt;$B$24,filter( Personnesobjet!$A:$A,Personnesobjet!$C:$C=AP12), filter(Personnesobjet!$A:$A,Personnesobjet!$C:$C=AP12)&gt;=$B$24,AP20)"),174.0)</f>
        <v>174</v>
      </c>
      <c r="AQ21" s="73">
        <f>IFERROR(__xludf.DUMMYFUNCTION("ifs(filter( Personnesobjet!$A:$A,Personnesobjet!$C:$C=AQ12)&lt;$B$24,filter( Personnesobjet!$A:$A,Personnesobjet!$C:$C=AQ12), filter(Personnesobjet!$A:$A,Personnesobjet!$C:$C=AQ12)&gt;=$B$24,AQ20)"),186.0)</f>
        <v>186</v>
      </c>
      <c r="AR21" s="73">
        <f>IFERROR(__xludf.DUMMYFUNCTION("ifs(filter( Personnesobjet!$A:$A,Personnesobjet!$C:$C=AR12)&lt;$B$24,filter( Personnesobjet!$A:$A,Personnesobjet!$C:$C=AR12), filter(Personnesobjet!$A:$A,Personnesobjet!$C:$C=AR12)&gt;=$B$24,AR20)"),183.0)</f>
        <v>183</v>
      </c>
      <c r="AS21" s="73">
        <f>IFERROR(__xludf.DUMMYFUNCTION("ifs(filter( Personnesobjet!$A:$A,Personnesobjet!$C:$C=AS12)&lt;$B$24,filter( Personnesobjet!$A:$A,Personnesobjet!$C:$C=AS12), filter(Personnesobjet!$A:$A,Personnesobjet!$C:$C=AS12)&gt;=$B$24,AS20)"),200.0)</f>
        <v>200</v>
      </c>
      <c r="AT21" s="73">
        <f>IFERROR(__xludf.DUMMYFUNCTION("ifs(filter( Personnesobjet!$A:$A,Personnesobjet!$C:$C=AT12)&lt;$B$24,filter( Personnesobjet!$A:$A,Personnesobjet!$C:$C=AT12), filter(Personnesobjet!$A:$A,Personnesobjet!$C:$C=AT12)&gt;=$B$24,AT20)"),267.0)</f>
        <v>267</v>
      </c>
      <c r="AU21" s="73">
        <f>IFERROR(__xludf.DUMMYFUNCTION("ifs(filter( Personnesobjet!$A:$A,Personnesobjet!$C:$C=AU12)&lt;$B$24,filter( Personnesobjet!$A:$A,Personnesobjet!$C:$C=AU12), filter(Personnesobjet!$A:$A,Personnesobjet!$C:$C=AU12)&gt;=$B$24,AU20)"),199.0)</f>
        <v>199</v>
      </c>
      <c r="AV21" s="73">
        <f>IFERROR(__xludf.DUMMYFUNCTION("ifs(filter( Personnesobjet!$A:$A,Personnesobjet!$C:$C=AV12)&lt;$B$24,filter( Personnesobjet!$A:$A,Personnesobjet!$C:$C=AV12), filter(Personnesobjet!$A:$A,Personnesobjet!$C:$C=AV12)&gt;=$B$24,AV20)"),223.0)</f>
        <v>223</v>
      </c>
      <c r="AW21" s="73">
        <f>IFERROR(__xludf.DUMMYFUNCTION("ifs(filter( Personnesobjet!$A:$A,Personnesobjet!$C:$C=AW12)&lt;$B$24,filter( Personnesobjet!$A:$A,Personnesobjet!$C:$C=AW12), filter(Personnesobjet!$A:$A,Personnesobjet!$C:$C=AW12)&gt;=$B$24,AW20)"),286.0)</f>
        <v>286</v>
      </c>
      <c r="AX21" s="73">
        <f>IFERROR(__xludf.DUMMYFUNCTION("ifs(filter( Personnesobjet!$A:$A,Personnesobjet!$C:$C=AX12)&lt;$B$24,filter( Personnesobjet!$A:$A,Personnesobjet!$C:$C=AX12), filter(Personnesobjet!$A:$A,Personnesobjet!$C:$C=AX12)&gt;=$B$24,AX20)"),287.0)</f>
        <v>287</v>
      </c>
      <c r="AY21" s="73">
        <f>IFERROR(__xludf.DUMMYFUNCTION("ifs(filter( Personnesobjet!$A:$A,Personnesobjet!$C:$C=AY12)&lt;$B$24,filter( Personnesobjet!$A:$A,Personnesobjet!$C:$C=AY12), filter(Personnesobjet!$A:$A,Personnesobjet!$C:$C=AY12)&gt;=$B$24,AY20)"),225.0)</f>
        <v>225</v>
      </c>
      <c r="AZ21" s="73">
        <f>IFERROR(__xludf.DUMMYFUNCTION("ifs(filter( Personnesobjet!$A:$A,Personnesobjet!$C:$C=AZ12)&lt;$B$24,filter( Personnesobjet!$A:$A,Personnesobjet!$C:$C=AZ12), filter(Personnesobjet!$A:$A,Personnesobjet!$C:$C=AZ12)&gt;=$B$24,AZ20)"),214.0)</f>
        <v>214</v>
      </c>
      <c r="BA21" s="73">
        <f>IFERROR(__xludf.DUMMYFUNCTION("ifs(filter( Personnesobjet!$A:$A,Personnesobjet!$C:$C=BA12)&lt;$B$24,filter( Personnesobjet!$A:$A,Personnesobjet!$C:$C=BA12), filter(Personnesobjet!$A:$A,Personnesobjet!$C:$C=BA12)&gt;=$B$24,BA20)"),238.0)</f>
        <v>238</v>
      </c>
      <c r="BB21" s="73">
        <f>IFERROR(__xludf.DUMMYFUNCTION("ifs(filter( Personnesobjet!$A:$A,Personnesobjet!$C:$C=BB12)&lt;$B$24,filter( Personnesobjet!$A:$A,Personnesobjet!$C:$C=BB12), filter(Personnesobjet!$A:$A,Personnesobjet!$C:$C=BB12)&gt;=$B$24,BB20)"),236.0)</f>
        <v>236</v>
      </c>
      <c r="BC21" s="73">
        <f>IFERROR(__xludf.DUMMYFUNCTION("ifs(filter( Personnesobjet!$A:$A,Personnesobjet!$C:$C=BC12)&lt;$B$24,filter( Personnesobjet!$A:$A,Personnesobjet!$C:$C=BC12), filter(Personnesobjet!$A:$A,Personnesobjet!$C:$C=BC12)&gt;=$B$24,BC20)"),280.0)</f>
        <v>280</v>
      </c>
      <c r="BD21" s="73">
        <f>IFERROR(__xludf.DUMMYFUNCTION("ifs(filter( Personnesobjet!$A:$A,Personnesobjet!$C:$C=BD12)&lt;$B$24,filter( Personnesobjet!$A:$A,Personnesobjet!$C:$C=BD12), filter(Personnesobjet!$A:$A,Personnesobjet!$C:$C=BD12)&gt;=$B$24,BD20)"),269.0)</f>
        <v>269</v>
      </c>
      <c r="BE21" s="73">
        <f>IFERROR(__xludf.DUMMYFUNCTION("ifs(filter( Personnesobjet!$A:$A,Personnesobjet!$C:$C=BE12)&lt;$B$24,filter( Personnesobjet!$A:$A,Personnesobjet!$C:$C=BE12), filter(Personnesobjet!$A:$A,Personnesobjet!$C:$C=BE12)&gt;=$B$24,BE20)"),275.0)</f>
        <v>275</v>
      </c>
      <c r="BF21" s="73">
        <f>IFERROR(__xludf.DUMMYFUNCTION("ifs(filter( Personnesobjet!$A:$A,Personnesobjet!$C:$C=BF12)&lt;$B$24,filter( Personnesobjet!$A:$A,Personnesobjet!$C:$C=BF12), filter(Personnesobjet!$A:$A,Personnesobjet!$C:$C=BF12)&gt;=$B$24,BF20)"),246.0)</f>
        <v>246</v>
      </c>
      <c r="BG21" s="73">
        <f>IFERROR(__xludf.DUMMYFUNCTION("ifs(filter( Personnesobjet!$A:$A,Personnesobjet!$C:$C=BG12)&lt;$B$24,filter( Personnesobjet!$A:$A,Personnesobjet!$C:$C=BG12), filter(Personnesobjet!$A:$A,Personnesobjet!$C:$C=BG12)&gt;=$B$24,BG20)"),284.0)</f>
        <v>284</v>
      </c>
      <c r="BH21" s="73">
        <f>IFERROR(__xludf.DUMMYFUNCTION("ifs(filter( Personnesobjet!$A:$A,Personnesobjet!$C:$C=BH12)&lt;$B$24,filter( Personnesobjet!$A:$A,Personnesobjet!$C:$C=BH12), filter(Personnesobjet!$A:$A,Personnesobjet!$C:$C=BH12)&gt;=$B$24,BH20)"),259.0)</f>
        <v>259</v>
      </c>
      <c r="BI21" s="73">
        <f>IFERROR(__xludf.DUMMYFUNCTION("ifs(filter( Personnesobjet!$A:$A,Personnesobjet!$C:$C=BI12)&lt;$B$24,filter( Personnesobjet!$A:$A,Personnesobjet!$C:$C=BI12), filter(Personnesobjet!$A:$A,Personnesobjet!$C:$C=BI12)&gt;=$B$24,BI20)"),266.0)</f>
        <v>266</v>
      </c>
      <c r="BJ21" s="73" t="str">
        <f>IFERROR(__xludf.DUMMYFUNCTION("ifs(filter( Personnesobjet!$A:$A,Personnesobjet!$C:$C=BJ12)&lt;$B$24,filter( Personnesobjet!$A:$A,Personnesobjet!$C:$C=BJ12), filter(Personnesobjet!$A:$A,Personnesobjet!$C:$C=BJ12)&gt;=$B$24,BJ20)"),"")</f>
        <v/>
      </c>
      <c r="BK21" s="73" t="str">
        <f>IFERROR(__xludf.DUMMYFUNCTION("ifs(filter( Personnesobjet!$A:$A,Personnesobjet!$C:$C=BK12)&lt;$B$24,filter( Personnesobjet!$A:$A,Personnesobjet!$C:$C=BK12), filter(Personnesobjet!$A:$A,Personnesobjet!$C:$C=BK12)&gt;=$B$24,BK20)"),"")</f>
        <v/>
      </c>
      <c r="BL21" s="73" t="str">
        <f>IFERROR(__xludf.DUMMYFUNCTION("ifs(filter( Personnesobjet!$A:$A,Personnesobjet!$C:$C=BL12)&lt;$B$24,filter( Personnesobjet!$A:$A,Personnesobjet!$C:$C=BL12), filter(Personnesobjet!$A:$A,Personnesobjet!$C:$C=BL12)&gt;=$B$24,BL20)"),"")</f>
        <v/>
      </c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4"/>
    </row>
    <row r="22">
      <c r="A22" s="85" t="s">
        <v>1152</v>
      </c>
      <c r="B22" s="86">
        <v>1.0</v>
      </c>
      <c r="C22" s="62">
        <f t="shared" ref="C22:BI22" si="2">B22+5</f>
        <v>6</v>
      </c>
      <c r="D22" s="62">
        <f t="shared" si="2"/>
        <v>11</v>
      </c>
      <c r="E22" s="62">
        <f t="shared" si="2"/>
        <v>16</v>
      </c>
      <c r="F22" s="62">
        <f t="shared" si="2"/>
        <v>21</v>
      </c>
      <c r="G22" s="62">
        <f t="shared" si="2"/>
        <v>26</v>
      </c>
      <c r="H22" s="62">
        <f t="shared" si="2"/>
        <v>31</v>
      </c>
      <c r="I22" s="62">
        <f t="shared" si="2"/>
        <v>36</v>
      </c>
      <c r="J22" s="62">
        <f t="shared" si="2"/>
        <v>41</v>
      </c>
      <c r="K22" s="62">
        <f t="shared" si="2"/>
        <v>46</v>
      </c>
      <c r="L22" s="62">
        <f t="shared" si="2"/>
        <v>51</v>
      </c>
      <c r="M22" s="62">
        <f t="shared" si="2"/>
        <v>56</v>
      </c>
      <c r="N22" s="62">
        <f t="shared" si="2"/>
        <v>61</v>
      </c>
      <c r="O22" s="62">
        <f t="shared" si="2"/>
        <v>66</v>
      </c>
      <c r="P22" s="62">
        <f t="shared" si="2"/>
        <v>71</v>
      </c>
      <c r="Q22" s="62">
        <f t="shared" si="2"/>
        <v>76</v>
      </c>
      <c r="R22" s="62">
        <f t="shared" si="2"/>
        <v>81</v>
      </c>
      <c r="S22" s="62">
        <f t="shared" si="2"/>
        <v>86</v>
      </c>
      <c r="T22" s="62">
        <f t="shared" si="2"/>
        <v>91</v>
      </c>
      <c r="U22" s="62">
        <f t="shared" si="2"/>
        <v>96</v>
      </c>
      <c r="V22" s="62">
        <f t="shared" si="2"/>
        <v>101</v>
      </c>
      <c r="W22" s="62">
        <f t="shared" si="2"/>
        <v>106</v>
      </c>
      <c r="X22" s="62">
        <f t="shared" si="2"/>
        <v>111</v>
      </c>
      <c r="Y22" s="62">
        <f t="shared" si="2"/>
        <v>116</v>
      </c>
      <c r="Z22" s="62">
        <f t="shared" si="2"/>
        <v>121</v>
      </c>
      <c r="AA22" s="62">
        <f t="shared" si="2"/>
        <v>126</v>
      </c>
      <c r="AB22" s="62">
        <f t="shared" si="2"/>
        <v>131</v>
      </c>
      <c r="AC22" s="62">
        <f t="shared" si="2"/>
        <v>136</v>
      </c>
      <c r="AD22" s="62">
        <f t="shared" si="2"/>
        <v>141</v>
      </c>
      <c r="AE22" s="62">
        <f t="shared" si="2"/>
        <v>146</v>
      </c>
      <c r="AF22" s="62">
        <f t="shared" si="2"/>
        <v>151</v>
      </c>
      <c r="AG22" s="62">
        <f t="shared" si="2"/>
        <v>156</v>
      </c>
      <c r="AH22" s="62">
        <f t="shared" si="2"/>
        <v>161</v>
      </c>
      <c r="AI22" s="62">
        <f t="shared" si="2"/>
        <v>166</v>
      </c>
      <c r="AJ22" s="62">
        <f t="shared" si="2"/>
        <v>171</v>
      </c>
      <c r="AK22" s="62">
        <f t="shared" si="2"/>
        <v>176</v>
      </c>
      <c r="AL22" s="62">
        <f t="shared" si="2"/>
        <v>181</v>
      </c>
      <c r="AM22" s="62">
        <f t="shared" si="2"/>
        <v>186</v>
      </c>
      <c r="AN22" s="62">
        <f t="shared" si="2"/>
        <v>191</v>
      </c>
      <c r="AO22" s="62">
        <f t="shared" si="2"/>
        <v>196</v>
      </c>
      <c r="AP22" s="62">
        <f t="shared" si="2"/>
        <v>201</v>
      </c>
      <c r="AQ22" s="62">
        <f t="shared" si="2"/>
        <v>206</v>
      </c>
      <c r="AR22" s="62">
        <f t="shared" si="2"/>
        <v>211</v>
      </c>
      <c r="AS22" s="62">
        <f t="shared" si="2"/>
        <v>216</v>
      </c>
      <c r="AT22" s="62">
        <f t="shared" si="2"/>
        <v>221</v>
      </c>
      <c r="AU22" s="62">
        <f t="shared" si="2"/>
        <v>226</v>
      </c>
      <c r="AV22" s="62">
        <f t="shared" si="2"/>
        <v>231</v>
      </c>
      <c r="AW22" s="62">
        <f t="shared" si="2"/>
        <v>236</v>
      </c>
      <c r="AX22" s="62">
        <f t="shared" si="2"/>
        <v>241</v>
      </c>
      <c r="AY22" s="62">
        <f t="shared" si="2"/>
        <v>246</v>
      </c>
      <c r="AZ22" s="62">
        <f t="shared" si="2"/>
        <v>251</v>
      </c>
      <c r="BA22" s="62">
        <f t="shared" si="2"/>
        <v>256</v>
      </c>
      <c r="BB22" s="62">
        <f t="shared" si="2"/>
        <v>261</v>
      </c>
      <c r="BC22" s="62">
        <f t="shared" si="2"/>
        <v>266</v>
      </c>
      <c r="BD22" s="62">
        <f t="shared" si="2"/>
        <v>271</v>
      </c>
      <c r="BE22" s="62">
        <f t="shared" si="2"/>
        <v>276</v>
      </c>
      <c r="BF22" s="62">
        <f t="shared" si="2"/>
        <v>281</v>
      </c>
      <c r="BG22" s="62">
        <f t="shared" si="2"/>
        <v>286</v>
      </c>
      <c r="BH22" s="62">
        <f t="shared" si="2"/>
        <v>291</v>
      </c>
      <c r="BI22" s="62">
        <f t="shared" si="2"/>
        <v>296</v>
      </c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/>
    </row>
    <row r="24">
      <c r="B24">
        <f>IFERROR(__xludf.DUMMYFUNCTION("max(Filter(Personnesobjet!A:A,NOT(Personnesobjet!C:C ="""")))"),290.0)</f>
        <v>290</v>
      </c>
    </row>
    <row r="26">
      <c r="B26" s="87"/>
    </row>
    <row r="27">
      <c r="B27" s="87"/>
    </row>
  </sheetData>
  <conditionalFormatting sqref="A16:BZ21">
    <cfRule type="notContainsBlanks" dxfId="1" priority="1">
      <formula>LEN(TRIM(A16))&gt;0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8.29"/>
    <col customWidth="1" min="3" max="3" width="29.14"/>
    <col customWidth="1" min="4" max="4" width="82.29"/>
    <col customWidth="1" min="5" max="8" width="29.14"/>
    <col customWidth="1" min="9" max="9" width="146.14"/>
    <col customWidth="1" min="10" max="154" width="29.14"/>
  </cols>
  <sheetData>
    <row r="1">
      <c r="A1" s="88" t="s">
        <v>1153</v>
      </c>
      <c r="B1" s="86" t="s">
        <v>1152</v>
      </c>
      <c r="C1" s="89" t="str">
        <f>IFERROR(__xludf.DUMMYFUNCTION("filter( 'Réponses au formulaire 1'!B:B,'Réponses au formulaire 1'!B:B&gt;0)"),"Prénom NOM ")</f>
        <v>Prénom NOM </v>
      </c>
      <c r="D1" s="90" t="str">
        <f>IFERROR(__xludf.DUMMYFUNCTION("filter('Réponses au formulaire 1'!T:T,'Réponses au formulaire 1'!B:B=C1)"),"Quel objet donneras-tu à ton fillot pour la soirée de parrainage ?")</f>
        <v>Quel objet donneras-tu à ton fillot pour la soirée de parrainage ?</v>
      </c>
      <c r="E1" s="91" t="s">
        <v>1154</v>
      </c>
      <c r="F1" s="92"/>
      <c r="G1" s="18"/>
      <c r="H1" s="88" t="s">
        <v>1155</v>
      </c>
      <c r="I1" s="93" t="s">
        <v>1156</v>
      </c>
      <c r="J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</row>
    <row r="2">
      <c r="A2" s="94">
        <v>1.0</v>
      </c>
      <c r="B2" s="95">
        <f>IFERROR(__xludf.DUMMYFUNCTION("filter(Famillesid!$22:$22,(Famillesid!$16:$16=A2)+(Famillesid!$17:$17=A2)+(Famillesid!$18:$18=A2)+(Famillesid!$19:$19=A2)+(Famillesid!$20:$20=A2)+(Famillesid!$21:$21=A2))"),1.0)</f>
        <v>1</v>
      </c>
      <c r="C2" s="96" t="str">
        <f>IFERROR(__xludf.DUMMYFUNCTION("""COMPUTED_VALUE"""),"Michel Qu")</f>
        <v>Michel Qu</v>
      </c>
      <c r="D2" s="98" t="str">
        <f>IFERROR(__xludf.DUMMYFUNCTION("filter('Réponses au formulaire 1'!T:T,'Réponses au formulaire 1'!B:B=C2)"),"Du cidre")</f>
        <v>Du cidre</v>
      </c>
      <c r="E2" s="99"/>
      <c r="F2" s="92"/>
      <c r="G2" s="18"/>
      <c r="H2" s="100" t="str">
        <f>IFERROR(__xludf.DUMMYFUNCTION("filter(C:D,E:E="""")"),"Michel Qu")</f>
        <v>Michel Qu</v>
      </c>
      <c r="I2" s="65" t="str">
        <f>IFERROR(__xludf.DUMMYFUNCTION("""COMPUTED_VALUE"""),"Du cidre")</f>
        <v>Du cidre</v>
      </c>
      <c r="J2" s="18"/>
      <c r="K2" s="102" t="str">
        <f>Famillesid!B2</f>
        <v>DPSU</v>
      </c>
      <c r="L2" s="103" t="str">
        <f>Famillesid!C2</f>
        <v>Le Bordel</v>
      </c>
      <c r="M2" s="103" t="str">
        <f>Famillesid!D2</f>
        <v>La Glotte</v>
      </c>
      <c r="N2" s="103" t="str">
        <f>Famillesid!E2</f>
        <v>Consulm3ow</v>
      </c>
      <c r="O2" s="103" t="str">
        <f>Famillesid!F2</f>
        <v>Le Zoo </v>
      </c>
      <c r="P2" s="103" t="str">
        <f>Famillesid!G2</f>
        <v>Beurre salé &amp; chocolatine</v>
      </c>
      <c r="Q2" s="103" t="str">
        <f>Famillesid!H2</f>
        <v>Les domineurs</v>
      </c>
      <c r="R2" s="103" t="str">
        <f>Famillesid!I2</f>
        <v>La Comté</v>
      </c>
      <c r="S2" s="103" t="str">
        <f>Famillesid!J2</f>
        <v>La chevroll's </v>
      </c>
      <c r="T2" s="103" t="str">
        <f>Famillesid!K2</f>
        <v>La Tracharnasse</v>
      </c>
      <c r="U2" s="103" t="str">
        <f>Famillesid!L2</f>
        <v>Waltherock</v>
      </c>
      <c r="V2" s="103" t="str">
        <f>Famillesid!M2</f>
        <v>L'Influence</v>
      </c>
      <c r="W2" s="103" t="str">
        <f>Famillesid!N2</f>
        <v>COMA</v>
      </c>
      <c r="X2" s="103" t="str">
        <f>Famillesid!O2</f>
        <v>Mafia</v>
      </c>
      <c r="Y2" s="103" t="str">
        <f>Famillesid!P2</f>
        <v>Summerfaigle</v>
      </c>
      <c r="Z2" s="103" t="str">
        <f>Famillesid!Q2</f>
        <v>Nuage</v>
      </c>
      <c r="AA2" s="103" t="str">
        <f>Famillesid!R2</f>
        <v>PB</v>
      </c>
      <c r="AB2" s="103" t="str">
        <f>Famillesid!S2</f>
        <v>Trident X ChaPau</v>
      </c>
      <c r="AC2" s="103" t="str">
        <f>Famillesid!T2</f>
        <v>Galerie ++</v>
      </c>
      <c r="AD2" s="103" t="str">
        <f>Famillesid!U2</f>
        <v>Le Corridor</v>
      </c>
      <c r="AE2" s="103" t="str">
        <f>Famillesid!V2</f>
        <v>Dark Ludi et ses copines </v>
      </c>
      <c r="AF2" s="103" t="str">
        <f>Famillesid!W2</f>
        <v>Dusex</v>
      </c>
      <c r="AG2" s="103" t="str">
        <f>Famillesid!X2</f>
        <v>La Roulotte</v>
      </c>
      <c r="AH2" s="103" t="str">
        <f>Famillesid!Y2</f>
        <v>La dezingue</v>
      </c>
      <c r="AI2" s="103" t="str">
        <f>Famillesid!Z2</f>
        <v>Aquamif</v>
      </c>
      <c r="AJ2" s="103" t="str">
        <f>Famillesid!AA2</f>
        <v>Les Mages</v>
      </c>
      <c r="AK2" s="103" t="str">
        <f>Famillesid!AB2</f>
        <v>Auberge-Monastère</v>
      </c>
      <c r="AL2" s="103" t="str">
        <f>Famillesid!AC2</f>
        <v>Pimp my Ride</v>
      </c>
      <c r="AM2" s="103" t="str">
        <f>Famillesid!AD2</f>
        <v>La 4 étoiles</v>
      </c>
      <c r="AN2" s="103" t="str">
        <f>Famillesid!AE2</f>
        <v>Le Donjon</v>
      </c>
      <c r="AO2" s="103" t="str">
        <f>Famillesid!AF2</f>
        <v>Malandros Team</v>
      </c>
      <c r="AP2" s="103" t="str">
        <f>Famillesid!AG2</f>
        <v>Barton</v>
      </c>
      <c r="AQ2" s="103" t="str">
        <f>Famillesid!AH2</f>
        <v>La Crypte</v>
      </c>
      <c r="AR2" s="103" t="str">
        <f>Famillesid!AI2</f>
        <v>Jodyssée</v>
      </c>
      <c r="AS2" s="103" t="str">
        <f>Famillesid!AJ2</f>
        <v>Les trutitas</v>
      </c>
      <c r="AT2" s="103" t="str">
        <f>Famillesid!AK2</f>
        <v>Les grosses cochonnes</v>
      </c>
      <c r="AU2" s="103" t="str">
        <f>Famillesid!AL2</f>
        <v>Sans-abri </v>
      </c>
      <c r="AV2" s="103" t="str">
        <f>Famillesid!AM2</f>
        <v>Le Panthéon</v>
      </c>
      <c r="AW2" s="103" t="str">
        <f>Famillesid!AN2</f>
        <v>la team corlay</v>
      </c>
      <c r="AX2" s="103" t="str">
        <f>Famillesid!AO2</f>
        <v>Les fortiches</v>
      </c>
      <c r="AY2" s="103" t="str">
        <f>Famillesid!AP2</f>
        <v>LePatio</v>
      </c>
      <c r="AZ2" s="103" t="str">
        <f>Famillesid!AQ2</f>
        <v>Les coulisses</v>
      </c>
      <c r="BA2" s="103" t="str">
        <f>Famillesid!AR2</f>
        <v>RACLETENTOUTAN</v>
      </c>
      <c r="BB2" s="103" t="str">
        <f>Famillesid!AS2</f>
        <v>La boisson</v>
      </c>
      <c r="BC2" s="103" t="str">
        <f>Famillesid!AT2</f>
        <v>Le squat</v>
      </c>
      <c r="BD2" s="103" t="str">
        <f>Famillesid!AU2</f>
        <v>Les topeurs</v>
      </c>
      <c r="BE2" s="103" t="str">
        <f>Famillesid!AV2</f>
        <v>azerty44</v>
      </c>
      <c r="BF2" s="103" t="str">
        <f>Famillesid!AW2</f>
        <v>Parainplégiques</v>
      </c>
      <c r="BG2" s="103" t="str">
        <f>Famillesid!AX2</f>
        <v>Le Kraal</v>
      </c>
      <c r="BH2" s="103" t="str">
        <f>Famillesid!AY2</f>
        <v>Discorde</v>
      </c>
      <c r="BI2" s="103" t="str">
        <f>Famillesid!AZ2</f>
        <v>BBC</v>
      </c>
      <c r="BJ2" s="103" t="str">
        <f>Famillesid!BA2</f>
        <v>EI3 mous cancer</v>
      </c>
      <c r="BK2" s="103" t="str">
        <f>Famillesid!BB2</f>
        <v>Badge</v>
      </c>
      <c r="BL2" s="103" t="str">
        <f>Famillesid!BC2</f>
        <v>l'Alliance</v>
      </c>
      <c r="BM2" s="103" t="str">
        <f>Famillesid!BD2</f>
        <v>Grande Famille</v>
      </c>
      <c r="BN2" s="103" t="str">
        <f>Famillesid!BE2</f>
        <v>La vigie</v>
      </c>
      <c r="BO2" s="103" t="str">
        <f>Famillesid!BF2</f>
        <v>Los Insoportables </v>
      </c>
      <c r="BP2" s="103" t="str">
        <f>Famillesid!BG2</f>
        <v>Les 6 salopards</v>
      </c>
      <c r="BQ2" s="103" t="str">
        <f>Famillesid!BH2</f>
        <v>Les cyclistes</v>
      </c>
      <c r="BR2" s="103" t="str">
        <f>Famillesid!BI2</f>
        <v>Juaman’GI Reloaded</v>
      </c>
      <c r="BS2" s="104" t="str">
        <f>Famillesid!BJ2</f>
        <v/>
      </c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</row>
    <row r="3">
      <c r="A3" s="101">
        <f t="shared" ref="A3:A309" si="1">A2+1</f>
        <v>2</v>
      </c>
      <c r="B3" s="95">
        <f>IFERROR(__xludf.DUMMYFUNCTION("filter(Famillesid!$22:$22,(Famillesid!$16:$16=A3)+(Famillesid!$17:$17=A3)+(Famillesid!$18:$18=A3)+(Famillesid!$19:$19=A3)+(Famillesid!$20:$20=A3)+(Famillesid!$21:$21=A3))"),1.0)</f>
        <v>1</v>
      </c>
      <c r="C3" s="105" t="str">
        <f>IFERROR(__xludf.DUMMYFUNCTION("""COMPUTED_VALUE"""),"Marie BOUTROUX")</f>
        <v>Marie BOUTROUX</v>
      </c>
      <c r="D3" s="106" t="str">
        <f>IFERROR(__xludf.DUMMYFUNCTION("filter('Réponses au formulaire 1'!T:T,'Réponses au formulaire 1'!B:B=C3)"),"Aucune idée")</f>
        <v>Aucune idée</v>
      </c>
      <c r="E3" s="107" t="s">
        <v>631</v>
      </c>
      <c r="F3" s="108" t="s">
        <v>1157</v>
      </c>
      <c r="G3" s="18"/>
      <c r="H3" s="101" t="str">
        <f>IFERROR(__xludf.DUMMYFUNCTION("""COMPUTED_VALUE"""),"Jean ROMAN")</f>
        <v>Jean ROMAN</v>
      </c>
      <c r="I3" s="67" t="str">
        <f>IFERROR(__xludf.DUMMYFUNCTION("""COMPUTED_VALUE"""),"Un cubi de sangria (vide, évidement, pas d'alcool dans Centrale)")</f>
        <v>Un cubi de sangria (vide, évidement, pas d'alcool dans Centrale)</v>
      </c>
      <c r="J3" s="18"/>
      <c r="K3" s="109">
        <f>FamillePersonnes!B8</f>
        <v>6</v>
      </c>
      <c r="L3" s="69">
        <f>FamillePersonnes!C8</f>
        <v>3</v>
      </c>
      <c r="M3" s="69">
        <f>FamillePersonnes!D8</f>
        <v>5</v>
      </c>
      <c r="N3" s="69">
        <f>FamillePersonnes!E8</f>
        <v>6</v>
      </c>
      <c r="O3" s="69">
        <f>FamillePersonnes!F8</f>
        <v>4</v>
      </c>
      <c r="P3" s="69">
        <f>FamillePersonnes!G8</f>
        <v>4</v>
      </c>
      <c r="Q3" s="69">
        <f>FamillePersonnes!H8</f>
        <v>6</v>
      </c>
      <c r="R3" s="69">
        <f>FamillePersonnes!I8</f>
        <v>6</v>
      </c>
      <c r="S3" s="69">
        <f>FamillePersonnes!J8</f>
        <v>5</v>
      </c>
      <c r="T3" s="69">
        <f>FamillePersonnes!K8</f>
        <v>5</v>
      </c>
      <c r="U3" s="69">
        <f>FamillePersonnes!L8</f>
        <v>5</v>
      </c>
      <c r="V3" s="69">
        <f>FamillePersonnes!M8</f>
        <v>5</v>
      </c>
      <c r="W3" s="69">
        <f>FamillePersonnes!N8</f>
        <v>6</v>
      </c>
      <c r="X3" s="69">
        <f>FamillePersonnes!O8</f>
        <v>6</v>
      </c>
      <c r="Y3" s="69">
        <f>FamillePersonnes!P8</f>
        <v>6</v>
      </c>
      <c r="Z3" s="69">
        <f>FamillePersonnes!Q8</f>
        <v>5</v>
      </c>
      <c r="AA3" s="69">
        <f>FamillePersonnes!R8</f>
        <v>4</v>
      </c>
      <c r="AB3" s="69">
        <f>FamillePersonnes!S8</f>
        <v>6</v>
      </c>
      <c r="AC3" s="69">
        <f>FamillePersonnes!T8</f>
        <v>6</v>
      </c>
      <c r="AD3" s="69">
        <f>FamillePersonnes!U8</f>
        <v>4</v>
      </c>
      <c r="AE3" s="69">
        <f>FamillePersonnes!V8</f>
        <v>4</v>
      </c>
      <c r="AF3" s="69">
        <f>FamillePersonnes!W8</f>
        <v>6</v>
      </c>
      <c r="AG3" s="69">
        <f>FamillePersonnes!X8</f>
        <v>4</v>
      </c>
      <c r="AH3" s="69">
        <f>FamillePersonnes!Y8</f>
        <v>6</v>
      </c>
      <c r="AI3" s="69">
        <f>FamillePersonnes!Z8</f>
        <v>4</v>
      </c>
      <c r="AJ3" s="69">
        <f>FamillePersonnes!AA8</f>
        <v>4</v>
      </c>
      <c r="AK3" s="69">
        <f>FamillePersonnes!AB8</f>
        <v>6</v>
      </c>
      <c r="AL3" s="69">
        <f>FamillePersonnes!AC8</f>
        <v>6</v>
      </c>
      <c r="AM3" s="69">
        <f>FamillePersonnes!AD8</f>
        <v>4</v>
      </c>
      <c r="AN3" s="69">
        <f>FamillePersonnes!AE8</f>
        <v>5</v>
      </c>
      <c r="AO3" s="69">
        <f>FamillePersonnes!AF8</f>
        <v>4</v>
      </c>
      <c r="AP3" s="69">
        <f>FamillePersonnes!AG8</f>
        <v>6</v>
      </c>
      <c r="AQ3" s="69">
        <f>FamillePersonnes!AH8</f>
        <v>5</v>
      </c>
      <c r="AR3" s="69">
        <f>FamillePersonnes!AI8</f>
        <v>5</v>
      </c>
      <c r="AS3" s="69">
        <f>FamillePersonnes!AJ8</f>
        <v>6</v>
      </c>
      <c r="AT3" s="69">
        <f>FamillePersonnes!AK8</f>
        <v>4</v>
      </c>
      <c r="AU3" s="69">
        <f>FamillePersonnes!AL8</f>
        <v>5</v>
      </c>
      <c r="AV3" s="69">
        <f>FamillePersonnes!AM8</f>
        <v>5</v>
      </c>
      <c r="AW3" s="69">
        <f>FamillePersonnes!AN8</f>
        <v>4</v>
      </c>
      <c r="AX3" s="69">
        <f>FamillePersonnes!AO8</f>
        <v>5</v>
      </c>
      <c r="AY3" s="69">
        <f>FamillePersonnes!AP8</f>
        <v>6</v>
      </c>
      <c r="AZ3" s="69">
        <f>FamillePersonnes!AQ8</f>
        <v>3</v>
      </c>
      <c r="BA3" s="69">
        <f>FamillePersonnes!AR8</f>
        <v>5</v>
      </c>
      <c r="BB3" s="69">
        <f>FamillePersonnes!AS8</f>
        <v>4</v>
      </c>
      <c r="BC3" s="69">
        <f>FamillePersonnes!AT8</f>
        <v>6</v>
      </c>
      <c r="BD3" s="69">
        <f>FamillePersonnes!AU8</f>
        <v>3</v>
      </c>
      <c r="BE3" s="69">
        <f>FamillePersonnes!AV8</f>
        <v>4</v>
      </c>
      <c r="BF3" s="69">
        <f>FamillePersonnes!AW8</f>
        <v>5</v>
      </c>
      <c r="BG3" s="69">
        <f>FamillePersonnes!AX8</f>
        <v>5</v>
      </c>
      <c r="BH3" s="69">
        <f>FamillePersonnes!AY8</f>
        <v>4</v>
      </c>
      <c r="BI3" s="69">
        <f>FamillePersonnes!AZ8</f>
        <v>3</v>
      </c>
      <c r="BJ3" s="69">
        <f>FamillePersonnes!BA8</f>
        <v>6</v>
      </c>
      <c r="BK3" s="69">
        <f>FamillePersonnes!BB8</f>
        <v>3</v>
      </c>
      <c r="BL3" s="69">
        <f>FamillePersonnes!BC8</f>
        <v>5</v>
      </c>
      <c r="BM3" s="69">
        <f>FamillePersonnes!BD8</f>
        <v>3</v>
      </c>
      <c r="BN3" s="69">
        <f>FamillePersonnes!BE8</f>
        <v>4</v>
      </c>
      <c r="BO3" s="69">
        <f>FamillePersonnes!BF8</f>
        <v>6</v>
      </c>
      <c r="BP3" s="69">
        <f>FamillePersonnes!BG8</f>
        <v>6</v>
      </c>
      <c r="BQ3" s="69">
        <f>FamillePersonnes!BH8</f>
        <v>4</v>
      </c>
      <c r="BR3" s="69">
        <f>FamillePersonnes!BI8</f>
        <v>5</v>
      </c>
      <c r="BS3" s="70">
        <f>FamillePersonnes!BJ8</f>
        <v>5</v>
      </c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</row>
    <row r="4">
      <c r="A4" s="101">
        <f t="shared" si="1"/>
        <v>3</v>
      </c>
      <c r="B4" s="95">
        <f>IFERROR(__xludf.DUMMYFUNCTION("filter(Famillesid!$22:$22,(Famillesid!$16:$16=A4)+(Famillesid!$17:$17=A4)+(Famillesid!$18:$18=A4)+(Famillesid!$19:$19=A4)+(Famillesid!$20:$20=A4)+(Famillesid!$21:$21=A4))"),1.0)</f>
        <v>1</v>
      </c>
      <c r="C4" s="105" t="str">
        <f>IFERROR(__xludf.DUMMYFUNCTION("""COMPUTED_VALUE"""),"Kheira POUVREAU")</f>
        <v>Kheira POUVREAU</v>
      </c>
      <c r="D4" s="106" t="str">
        <f>IFERROR(__xludf.DUMMYFUNCTION("filter('Réponses au formulaire 1'!T:T,'Réponses au formulaire 1'!B:B=C4)"),".")</f>
        <v>.</v>
      </c>
      <c r="E4" s="107" t="s">
        <v>631</v>
      </c>
      <c r="F4" s="108" t="s">
        <v>1157</v>
      </c>
      <c r="G4" s="18"/>
      <c r="H4" s="101" t="str">
        <f>IFERROR(__xludf.DUMMYFUNCTION("""COMPUTED_VALUE"""),"Alexis Birée")</f>
        <v>Alexis Birée</v>
      </c>
      <c r="I4" s="67" t="str">
        <f>IFERROR(__xludf.DUMMYFUNCTION("""COMPUTED_VALUE"""),"Surprise")</f>
        <v>Surprise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</row>
    <row r="5">
      <c r="A5" s="101">
        <f t="shared" si="1"/>
        <v>4</v>
      </c>
      <c r="B5" s="95">
        <f>IFERROR(__xludf.DUMMYFUNCTION("filter(Famillesid!$22:$22,(Famillesid!$16:$16=A5)+(Famillesid!$17:$17=A5)+(Famillesid!$18:$18=A5)+(Famillesid!$19:$19=A5)+(Famillesid!$20:$20=A5)+(Famillesid!$21:$21=A5))"),1.0)</f>
        <v>1</v>
      </c>
      <c r="C5" s="105" t="str">
        <f>IFERROR(__xludf.DUMMYFUNCTION("""COMPUTED_VALUE"""),"Jean ROMAN")</f>
        <v>Jean ROMAN</v>
      </c>
      <c r="D5" s="106" t="str">
        <f>IFERROR(__xludf.DUMMYFUNCTION("filter('Réponses au formulaire 1'!T:T,'Réponses au formulaire 1'!B:B=C5)"),"Un cubi de sangria (vide, évidement, pas d'alcool dans Centrale)")</f>
        <v>Un cubi de sangria (vide, évidement, pas d'alcool dans Centrale)</v>
      </c>
      <c r="E5" s="110"/>
      <c r="F5" s="92"/>
      <c r="G5" s="18"/>
      <c r="H5" s="101" t="str">
        <f>IFERROR(__xludf.DUMMYFUNCTION("""COMPUTED_VALUE"""),"Jeanne SUDOUR")</f>
        <v>Jeanne SUDOUR</v>
      </c>
      <c r="I5" s="67" t="str">
        <f>IFERROR(__xludf.DUMMYFUNCTION("""COMPUTED_VALUE"""),"Je ne sais pas encore")</f>
        <v>Je ne sais pas encore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</row>
    <row r="6">
      <c r="A6" s="101">
        <f t="shared" si="1"/>
        <v>5</v>
      </c>
      <c r="B6" s="95">
        <f>IFERROR(__xludf.DUMMYFUNCTION("filter(Famillesid!$22:$22,(Famillesid!$16:$16=A6)+(Famillesid!$17:$17=A6)+(Famillesid!$18:$18=A6)+(Famillesid!$19:$19=A6)+(Famillesid!$20:$20=A6)+(Famillesid!$21:$21=A6))"),6.0)</f>
        <v>6</v>
      </c>
      <c r="C6" s="105" t="str">
        <f>IFERROR(__xludf.DUMMYFUNCTION("""COMPUTED_VALUE"""),"Alexis Birée")</f>
        <v>Alexis Birée</v>
      </c>
      <c r="D6" s="106" t="str">
        <f>IFERROR(__xludf.DUMMYFUNCTION("filter('Réponses au formulaire 1'!T:T,'Réponses au formulaire 1'!B:B=C6)"),"Surprise")</f>
        <v>Surprise</v>
      </c>
      <c r="E6" s="110"/>
      <c r="F6" s="92"/>
      <c r="G6" s="18"/>
      <c r="H6" s="101" t="str">
        <f>IFERROR(__xludf.DUMMYFUNCTION("""COMPUTED_VALUE"""),"Laura DRAUX")</f>
        <v>Laura DRAUX</v>
      </c>
      <c r="I6" s="67" t="str">
        <f>IFERROR(__xludf.DUMMYFUNCTION("""COMPUTED_VALUE"""),"Je sais pas")</f>
        <v>Je sais pas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</row>
    <row r="7">
      <c r="A7" s="101">
        <f t="shared" si="1"/>
        <v>6</v>
      </c>
      <c r="B7" s="95">
        <f>IFERROR(__xludf.DUMMYFUNCTION("filter(Famillesid!$22:$22,(Famillesid!$16:$16=A7)+(Famillesid!$17:$17=A7)+(Famillesid!$18:$18=A7)+(Famillesid!$19:$19=A7)+(Famillesid!$20:$20=A7)+(Famillesid!$21:$21=A7))"),1.0)</f>
        <v>1</v>
      </c>
      <c r="C7" s="105" t="str">
        <f>IFERROR(__xludf.DUMMYFUNCTION("""COMPUTED_VALUE"""),"Jeanne SUDOUR")</f>
        <v>Jeanne SUDOUR</v>
      </c>
      <c r="D7" s="106" t="str">
        <f>IFERROR(__xludf.DUMMYFUNCTION("filter('Réponses au formulaire 1'!T:T,'Réponses au formulaire 1'!B:B=C7)"),"Je ne sais pas encore")</f>
        <v>Je ne sais pas encore</v>
      </c>
      <c r="E7" s="110"/>
      <c r="F7" s="92"/>
      <c r="G7" s="18"/>
      <c r="H7" s="101" t="str">
        <f>IFERROR(__xludf.DUMMYFUNCTION("""COMPUTED_VALUE"""),"Célia CHABRANT")</f>
        <v>Célia CHABRANT</v>
      </c>
      <c r="I7" s="67" t="str">
        <f>IFERROR(__xludf.DUMMYFUNCTION("""COMPUTED_VALUE"""),"On verra")</f>
        <v>On verra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</row>
    <row r="8">
      <c r="A8" s="101">
        <f t="shared" si="1"/>
        <v>7</v>
      </c>
      <c r="B8" s="95">
        <f>IFERROR(__xludf.DUMMYFUNCTION("filter(Famillesid!$22:$22,(Famillesid!$16:$16=A8)+(Famillesid!$17:$17=A8)+(Famillesid!$18:$18=A8)+(Famillesid!$19:$19=A8)+(Famillesid!$20:$20=A8)+(Famillesid!$21:$21=A8))"),6.0)</f>
        <v>6</v>
      </c>
      <c r="C8" s="105" t="str">
        <f>IFERROR(__xludf.DUMMYFUNCTION("""COMPUTED_VALUE"""),"Laura DRAUX")</f>
        <v>Laura DRAUX</v>
      </c>
      <c r="D8" s="106" t="str">
        <f>IFERROR(__xludf.DUMMYFUNCTION("filter('Réponses au formulaire 1'!T:T,'Réponses au formulaire 1'!B:B=C8)"),"Je sais pas")</f>
        <v>Je sais pas</v>
      </c>
      <c r="E8" s="110"/>
      <c r="F8" s="92"/>
      <c r="G8" s="18"/>
      <c r="H8" s="101" t="str">
        <f>IFERROR(__xludf.DUMMYFUNCTION("""COMPUTED_VALUE"""),"Pablo CARDONA ALVAREZ")</f>
        <v>Pablo CARDONA ALVAREZ</v>
      </c>
      <c r="I8" s="67" t="str">
        <f>IFERROR(__xludf.DUMMYFUNCTION("""COMPUTED_VALUE"""),"Écharpe ( Valencia C.F. )")</f>
        <v>Écharpe ( Valencia C.F. )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</row>
    <row r="9">
      <c r="A9" s="101">
        <f t="shared" si="1"/>
        <v>8</v>
      </c>
      <c r="B9" s="95">
        <f>IFERROR(__xludf.DUMMYFUNCTION("filter(Famillesid!$22:$22,(Famillesid!$16:$16=A9)+(Famillesid!$17:$17=A9)+(Famillesid!$18:$18=A9)+(Famillesid!$19:$19=A9)+(Famillesid!$20:$20=A9)+(Famillesid!$21:$21=A9))"),6.0)</f>
        <v>6</v>
      </c>
      <c r="C9" s="105" t="str">
        <f>IFERROR(__xludf.DUMMYFUNCTION("""COMPUTED_VALUE"""),"Célia CHABRANT")</f>
        <v>Célia CHABRANT</v>
      </c>
      <c r="D9" s="106" t="str">
        <f>IFERROR(__xludf.DUMMYFUNCTION("filter('Réponses au formulaire 1'!T:T,'Réponses au formulaire 1'!B:B=C9)"),"On verra")</f>
        <v>On verra</v>
      </c>
      <c r="E9" s="110"/>
      <c r="F9" s="92"/>
      <c r="G9" s="18"/>
      <c r="H9" s="101" t="str">
        <f>IFERROR(__xludf.DUMMYFUNCTION("""COMPUTED_VALUE"""),"Victor VINCENT DE LESTRADE")</f>
        <v>Victor VINCENT DE LESTRADE</v>
      </c>
      <c r="I9" s="67" t="str">
        <f>IFERROR(__xludf.DUMMYFUNCTION("""COMPUTED_VALUE"""),"Palme de la plus grosse PLS Nemo 2019")</f>
        <v>Palme de la plus grosse PLS Nemo 2019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</row>
    <row r="10">
      <c r="A10" s="101">
        <f t="shared" si="1"/>
        <v>9</v>
      </c>
      <c r="B10" s="95">
        <f>IFERROR(__xludf.DUMMYFUNCTION("filter(Famillesid!$22:$22,(Famillesid!$16:$16=A10)+(Famillesid!$17:$17=A10)+(Famillesid!$18:$18=A10)+(Famillesid!$19:$19=A10)+(Famillesid!$20:$20=A10)+(Famillesid!$21:$21=A10))"),11.0)</f>
        <v>11</v>
      </c>
      <c r="C10" s="105" t="str">
        <f>IFERROR(__xludf.DUMMYFUNCTION("""COMPUTED_VALUE"""),"Pablo CARDONA ALVAREZ")</f>
        <v>Pablo CARDONA ALVAREZ</v>
      </c>
      <c r="D10" s="106" t="str">
        <f>IFERROR(__xludf.DUMMYFUNCTION("filter('Réponses au formulaire 1'!T:T,'Réponses au formulaire 1'!B:B=C10)"),"Écharpe ( Valencia C.F. )")</f>
        <v>Écharpe ( Valencia C.F. )</v>
      </c>
      <c r="E10" s="110"/>
      <c r="F10" s="92"/>
      <c r="G10" s="18"/>
      <c r="H10" s="101" t="str">
        <f>IFERROR(__xludf.DUMMYFUNCTION("""COMPUTED_VALUE"""),"Andrew FONDJO")</f>
        <v>Andrew FONDJO</v>
      </c>
      <c r="I10" s="67" t="str">
        <f>IFERROR(__xludf.DUMMYFUNCTION("""COMPUTED_VALUE"""),"Manette de play/table caspor")</f>
        <v>Manette de play/table caspor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</row>
    <row r="11">
      <c r="A11" s="101">
        <f t="shared" si="1"/>
        <v>10</v>
      </c>
      <c r="B11" s="95">
        <f>IFERROR(__xludf.DUMMYFUNCTION("filter(Famillesid!$22:$22,(Famillesid!$16:$16=A11)+(Famillesid!$17:$17=A11)+(Famillesid!$18:$18=A11)+(Famillesid!$19:$19=A11)+(Famillesid!$20:$20=A11)+(Famillesid!$21:$21=A11))"),16.0)</f>
        <v>16</v>
      </c>
      <c r="C11" s="105" t="str">
        <f>IFERROR(__xludf.DUMMYFUNCTION("""COMPUTED_VALUE"""),"Enzo MORI")</f>
        <v>Enzo MORI</v>
      </c>
      <c r="D11" s="106" t="str">
        <f>IFERROR(__xludf.DUMMYFUNCTION("filter('Réponses au formulaire 1'!T:T,'Réponses au formulaire 1'!B:B=C11)"),"Une cuillère ")</f>
        <v>Une cuillère </v>
      </c>
      <c r="E11" s="107" t="s">
        <v>631</v>
      </c>
      <c r="F11" s="108" t="s">
        <v>1158</v>
      </c>
      <c r="G11" s="18"/>
      <c r="H11" s="101" t="str">
        <f>IFERROR(__xludf.DUMMYFUNCTION("""COMPUTED_VALUE"""),"Laura BOIS")</f>
        <v>Laura BOIS</v>
      </c>
      <c r="I11" s="67" t="str">
        <f>IFERROR(__xludf.DUMMYFUNCTION("""COMPUTED_VALUE"""),"sifflet ")</f>
        <v>sifflet 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</row>
    <row r="12">
      <c r="A12" s="101">
        <f t="shared" si="1"/>
        <v>11</v>
      </c>
      <c r="B12" s="95">
        <f>IFERROR(__xludf.DUMMYFUNCTION("filter(Famillesid!$22:$22,(Famillesid!$16:$16=A12)+(Famillesid!$17:$17=A12)+(Famillesid!$18:$18=A12)+(Famillesid!$19:$19=A12)+(Famillesid!$20:$20=A12)+(Famillesid!$21:$21=A12))"),1.0)</f>
        <v>1</v>
      </c>
      <c r="C12" s="105" t="str">
        <f>IFERROR(__xludf.DUMMYFUNCTION("""COMPUTED_VALUE"""),"Apolline Gorry")</f>
        <v>Apolline Gorry</v>
      </c>
      <c r="D12" s="106" t="str">
        <f>IFERROR(__xludf.DUMMYFUNCTION("filter('Réponses au formulaire 1'!T:T,'Réponses au formulaire 1'!B:B=C12)"),"Pompon de cheerleading ou souvenir du Népal ")</f>
        <v>Pompon de cheerleading ou souvenir du Népal </v>
      </c>
      <c r="E12" s="107" t="s">
        <v>631</v>
      </c>
      <c r="F12" s="108" t="s">
        <v>1157</v>
      </c>
      <c r="G12" s="18"/>
      <c r="H12" s="101" t="str">
        <f>IFERROR(__xludf.DUMMYFUNCTION("""COMPUTED_VALUE"""),"Guillaume SALUDEN")</f>
        <v>Guillaume SALUDEN</v>
      </c>
      <c r="I12" s="67" t="str">
        <f>IFERROR(__xludf.DUMMYFUNCTION("""COMPUTED_VALUE"""),"Drapeau ")</f>
        <v>Drapeau 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</row>
    <row r="13">
      <c r="A13" s="101">
        <f t="shared" si="1"/>
        <v>12</v>
      </c>
      <c r="B13" s="95">
        <f>IFERROR(__xludf.DUMMYFUNCTION("filter(Famillesid!$22:$22,(Famillesid!$16:$16=A13)+(Famillesid!$17:$17=A13)+(Famillesid!$18:$18=A13)+(Famillesid!$19:$19=A13)+(Famillesid!$20:$20=A13)+(Famillesid!$21:$21=A13))"),16.0)</f>
        <v>16</v>
      </c>
      <c r="C13" s="105" t="str">
        <f>IFERROR(__xludf.DUMMYFUNCTION("""COMPUTED_VALUE"""),"Victor VINCENT DE LESTRADE")</f>
        <v>Victor VINCENT DE LESTRADE</v>
      </c>
      <c r="D13" s="106" t="str">
        <f>IFERROR(__xludf.DUMMYFUNCTION("filter('Réponses au formulaire 1'!T:T,'Réponses au formulaire 1'!B:B=C13)"),"Palme de la plus grosse PLS Nemo 2019")</f>
        <v>Palme de la plus grosse PLS Nemo 2019</v>
      </c>
      <c r="E13" s="110"/>
      <c r="F13" s="92"/>
      <c r="G13" s="18"/>
      <c r="H13" s="101" t="str">
        <f>IFERROR(__xludf.DUMMYFUNCTION("""COMPUTED_VALUE"""),"Dimitri DEGONHIER")</f>
        <v>Dimitri DEGONHIER</v>
      </c>
      <c r="I13" s="67" t="str">
        <f>IFERROR(__xludf.DUMMYFUNCTION("""COMPUTED_VALUE"""),"Un meme imprimé (nantral gag  rpz)")</f>
        <v>Un meme imprimé (nantral gag  rpz)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</row>
    <row r="14">
      <c r="A14" s="101">
        <f t="shared" si="1"/>
        <v>13</v>
      </c>
      <c r="B14" s="95">
        <f>IFERROR(__xludf.DUMMYFUNCTION("filter(Famillesid!$22:$22,(Famillesid!$16:$16=A14)+(Famillesid!$17:$17=A14)+(Famillesid!$18:$18=A14)+(Famillesid!$19:$19=A14)+(Famillesid!$20:$20=A14)+(Famillesid!$21:$21=A14))"),16.0)</f>
        <v>16</v>
      </c>
      <c r="C14" s="105" t="str">
        <f>IFERROR(__xludf.DUMMYFUNCTION("""COMPUTED_VALUE"""),"Mathis BARTHERE")</f>
        <v>Mathis BARTHERE</v>
      </c>
      <c r="D14" s="106" t="str">
        <f>IFERROR(__xludf.DUMMYFUNCTION("filter('Réponses au formulaire 1'!T:T,'Réponses au formulaire 1'!B:B=C14)"),"Planche caspor")</f>
        <v>Planche caspor</v>
      </c>
      <c r="E14" s="107" t="s">
        <v>631</v>
      </c>
      <c r="F14" s="108" t="s">
        <v>1159</v>
      </c>
      <c r="G14" s="18"/>
      <c r="H14" s="101" t="str">
        <f>IFERROR(__xludf.DUMMYFUNCTION("""COMPUTED_VALUE"""),"Louis Duhem")</f>
        <v>Louis Duhem</v>
      </c>
      <c r="I14" s="67" t="str">
        <f>IFERROR(__xludf.DUMMYFUNCTION("""COMPUTED_VALUE"""),"Du houmous")</f>
        <v>Du houmous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</row>
    <row r="15">
      <c r="A15" s="101">
        <f t="shared" si="1"/>
        <v>14</v>
      </c>
      <c r="B15" s="95">
        <f>IFERROR(__xludf.DUMMYFUNCTION("filter(Famillesid!$22:$22,(Famillesid!$16:$16=A15)+(Famillesid!$17:$17=A15)+(Famillesid!$18:$18=A15)+(Famillesid!$19:$19=A15)+(Famillesid!$20:$20=A15)+(Famillesid!$21:$21=A15))"),16.0)</f>
        <v>16</v>
      </c>
      <c r="C15" s="105" t="str">
        <f>IFERROR(__xludf.DUMMYFUNCTION("""COMPUTED_VALUE"""),"Andrew FONDJO")</f>
        <v>Andrew FONDJO</v>
      </c>
      <c r="D15" s="106" t="str">
        <f>IFERROR(__xludf.DUMMYFUNCTION("filter('Réponses au formulaire 1'!T:T,'Réponses au formulaire 1'!B:B=C15)"),"Manette de play/table caspor")</f>
        <v>Manette de play/table caspor</v>
      </c>
      <c r="E15" s="110"/>
      <c r="F15" s="92"/>
      <c r="G15" s="18"/>
      <c r="H15" s="101" t="str">
        <f>IFERROR(__xludf.DUMMYFUNCTION("""COMPUTED_VALUE"""),"Gonzalez JoseRi 😇")</f>
        <v>Gonzalez JoseRi 😇</v>
      </c>
      <c r="I15" s="67" t="str">
        <f>IFERROR(__xludf.DUMMYFUNCTION("""COMPUTED_VALUE"""),"Mouton")</f>
        <v>Mouton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</row>
    <row r="16">
      <c r="A16" s="101">
        <f t="shared" si="1"/>
        <v>15</v>
      </c>
      <c r="B16" s="95">
        <f>IFERROR(__xludf.DUMMYFUNCTION("filter(Famillesid!$22:$22,(Famillesid!$16:$16=A16)+(Famillesid!$17:$17=A16)+(Famillesid!$18:$18=A16)+(Famillesid!$19:$19=A16)+(Famillesid!$20:$20=A16)+(Famillesid!$21:$21=A16))"),21.0)</f>
        <v>21</v>
      </c>
      <c r="C16" s="105" t="str">
        <f>IFERROR(__xludf.DUMMYFUNCTION("""COMPUTED_VALUE"""),"Laura BOIS")</f>
        <v>Laura BOIS</v>
      </c>
      <c r="D16" s="106" t="str">
        <f>IFERROR(__xludf.DUMMYFUNCTION("filter('Réponses au formulaire 1'!T:T,'Réponses au formulaire 1'!B:B=C16)"),"sifflet ")</f>
        <v>sifflet </v>
      </c>
      <c r="E16" s="110"/>
      <c r="F16" s="92"/>
      <c r="G16" s="18"/>
      <c r="H16" s="101" t="str">
        <f>IFERROR(__xludf.DUMMYFUNCTION("""COMPUTED_VALUE"""),"Jeremy Garcia")</f>
        <v>Jeremy Garcia</v>
      </c>
      <c r="I16" s="67" t="str">
        <f>IFERROR(__xludf.DUMMYFUNCTION("""COMPUTED_VALUE"""),"Puzzle")</f>
        <v>Puzzle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</row>
    <row r="17">
      <c r="A17" s="101">
        <f t="shared" si="1"/>
        <v>16</v>
      </c>
      <c r="B17" s="95">
        <f>IFERROR(__xludf.DUMMYFUNCTION("filter(Famillesid!$22:$22,(Famillesid!$16:$16=A17)+(Famillesid!$17:$17=A17)+(Famillesid!$18:$18=A17)+(Famillesid!$19:$19=A17)+(Famillesid!$20:$20=A17)+(Famillesid!$21:$21=A17))"),26.0)</f>
        <v>26</v>
      </c>
      <c r="C17" s="105" t="str">
        <f>IFERROR(__xludf.DUMMYFUNCTION("""COMPUTED_VALUE"""),"Guillaume SALUDEN")</f>
        <v>Guillaume SALUDEN</v>
      </c>
      <c r="D17" s="106" t="str">
        <f>IFERROR(__xludf.DUMMYFUNCTION("filter('Réponses au formulaire 1'!T:T,'Réponses au formulaire 1'!B:B=C17)"),"Drapeau ")</f>
        <v>Drapeau </v>
      </c>
      <c r="E17" s="110"/>
      <c r="F17" s="92"/>
      <c r="G17" s="18"/>
      <c r="H17" s="101" t="str">
        <f>IFERROR(__xludf.DUMMYFUNCTION("""COMPUTED_VALUE"""),"Maxence FORT")</f>
        <v>Maxence FORT</v>
      </c>
      <c r="I17" s="67" t="str">
        <f>IFERROR(__xludf.DUMMYFUNCTION("""COMPUTED_VALUE"""),"Puzzle hyper stylé")</f>
        <v>Puzzle hyper stylé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</row>
    <row r="18">
      <c r="A18" s="101">
        <f t="shared" si="1"/>
        <v>17</v>
      </c>
      <c r="B18" s="95">
        <f>IFERROR(__xludf.DUMMYFUNCTION("filter(Famillesid!$22:$22,(Famillesid!$16:$16=A18)+(Famillesid!$17:$17=A18)+(Famillesid!$18:$18=A18)+(Famillesid!$19:$19=A18)+(Famillesid!$20:$20=A18)+(Famillesid!$21:$21=A18))"),21.0)</f>
        <v>21</v>
      </c>
      <c r="C18" s="105" t="str">
        <f>IFERROR(__xludf.DUMMYFUNCTION("""COMPUTED_VALUE"""),"Dimitri DEGONHIER")</f>
        <v>Dimitri DEGONHIER</v>
      </c>
      <c r="D18" s="106" t="str">
        <f>IFERROR(__xludf.DUMMYFUNCTION("filter('Réponses au formulaire 1'!T:T,'Réponses au formulaire 1'!B:B=C18)"),"Un meme imprimé (nantral gag  rpz)")</f>
        <v>Un meme imprimé (nantral gag  rpz)</v>
      </c>
      <c r="E18" s="110"/>
      <c r="F18" s="92"/>
      <c r="G18" s="18"/>
      <c r="H18" s="101" t="str">
        <f>IFERROR(__xludf.DUMMYFUNCTION("""COMPUTED_VALUE"""),"Adrien COCHARD")</f>
        <v>Adrien COCHARD</v>
      </c>
      <c r="I18" s="67" t="str">
        <f>IFERROR(__xludf.DUMMYFUNCTION("""COMPUTED_VALUE"""),"D120")</f>
        <v>D120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</row>
    <row r="19">
      <c r="A19" s="101">
        <f t="shared" si="1"/>
        <v>18</v>
      </c>
      <c r="B19" s="95">
        <f>IFERROR(__xludf.DUMMYFUNCTION("filter(Famillesid!$22:$22,(Famillesid!$16:$16=A19)+(Famillesid!$17:$17=A19)+(Famillesid!$18:$18=A19)+(Famillesid!$19:$19=A19)+(Famillesid!$20:$20=A19)+(Famillesid!$21:$21=A19))"),21.0)</f>
        <v>21</v>
      </c>
      <c r="C19" s="105" t="str">
        <f>IFERROR(__xludf.DUMMYFUNCTION("""COMPUTED_VALUE"""),"André D'ELBREIL")</f>
        <v>André D'ELBREIL</v>
      </c>
      <c r="D19" s="106" t="str">
        <f>IFERROR(__xludf.DUMMYFUNCTION("filter('Réponses au formulaire 1'!T:T,'Réponses au formulaire 1'!B:B=C19)"),"Un bout de verre (la fontaine tmtc)")</f>
        <v>Un bout de verre (la fontaine tmtc)</v>
      </c>
      <c r="E19" s="107" t="s">
        <v>631</v>
      </c>
      <c r="F19" s="108" t="s">
        <v>1157</v>
      </c>
      <c r="G19" s="18"/>
      <c r="H19" s="101" t="str">
        <f>IFERROR(__xludf.DUMMYFUNCTION("""COMPUTED_VALUE"""),"Tom Aubelle")</f>
        <v>Tom Aubelle</v>
      </c>
      <c r="I19" s="67" t="str">
        <f>IFERROR(__xludf.DUMMYFUNCTION("""COMPUTED_VALUE"""),"Pas encore trouvé ")</f>
        <v>Pas encore trouvé 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</row>
    <row r="20">
      <c r="A20" s="101">
        <f t="shared" si="1"/>
        <v>19</v>
      </c>
      <c r="B20" s="95">
        <f>IFERROR(__xludf.DUMMYFUNCTION("filter(Famillesid!$22:$22,(Famillesid!$16:$16=A20)+(Famillesid!$17:$17=A20)+(Famillesid!$18:$18=A20)+(Famillesid!$19:$19=A20)+(Famillesid!$20:$20=A20)+(Famillesid!$21:$21=A20))"),31.0)</f>
        <v>31</v>
      </c>
      <c r="C20" s="105" t="str">
        <f>IFERROR(__xludf.DUMMYFUNCTION("""COMPUTED_VALUE"""),"Louis Duhem")</f>
        <v>Louis Duhem</v>
      </c>
      <c r="D20" s="106" t="str">
        <f>IFERROR(__xludf.DUMMYFUNCTION("filter('Réponses au formulaire 1'!T:T,'Réponses au formulaire 1'!B:B=C20)"),"Du houmous")</f>
        <v>Du houmous</v>
      </c>
      <c r="E20" s="110"/>
      <c r="F20" s="92"/>
      <c r="G20" s="18"/>
      <c r="H20" s="101" t="str">
        <f>IFERROR(__xludf.DUMMYFUNCTION("""COMPUTED_VALUE"""),"Joanna MARTIN")</f>
        <v>Joanna MARTIN</v>
      </c>
      <c r="I20" s="67" t="str">
        <f>IFERROR(__xludf.DUMMYFUNCTION("""COMPUTED_VALUE"""),"Un éléphant")</f>
        <v>Un éléphant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</row>
    <row r="21">
      <c r="A21" s="101">
        <f t="shared" si="1"/>
        <v>20</v>
      </c>
      <c r="B21" s="95">
        <f>IFERROR(__xludf.DUMMYFUNCTION("filter(Famillesid!$22:$22,(Famillesid!$16:$16=A21)+(Famillesid!$17:$17=A21)+(Famillesid!$18:$18=A21)+(Famillesid!$19:$19=A21)+(Famillesid!$20:$20=A21)+(Famillesid!$21:$21=A21))"),21.0)</f>
        <v>21</v>
      </c>
      <c r="C21" s="105" t="str">
        <f>IFERROR(__xludf.DUMMYFUNCTION("""COMPUTED_VALUE"""),"Maximin TOURAILLE")</f>
        <v>Maximin TOURAILLE</v>
      </c>
      <c r="D21" s="106" t="str">
        <f>IFERROR(__xludf.DUMMYFUNCTION("filter('Réponses au formulaire 1'!T:T,'Réponses au formulaire 1'!B:B=C21)"),"costume de nain + lunettes ")</f>
        <v>costume de nain + lunettes </v>
      </c>
      <c r="E21" s="107" t="s">
        <v>631</v>
      </c>
      <c r="F21" s="108" t="s">
        <v>1158</v>
      </c>
      <c r="G21" s="18"/>
      <c r="H21" s="101" t="str">
        <f>IFERROR(__xludf.DUMMYFUNCTION("""COMPUTED_VALUE"""),"Pauline Viault")</f>
        <v>Pauline Viault</v>
      </c>
      <c r="I21" s="67" t="str">
        <f>IFERROR(__xludf.DUMMYFUNCTION("""COMPUTED_VALUE"""),"Un tutu rose ")</f>
        <v>Un tutu rose 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</row>
    <row r="22">
      <c r="A22" s="101">
        <f t="shared" si="1"/>
        <v>21</v>
      </c>
      <c r="B22" s="95">
        <f>IFERROR(__xludf.DUMMYFUNCTION("filter(Famillesid!$22:$22,(Famillesid!$16:$16=A22)+(Famillesid!$17:$17=A22)+(Famillesid!$18:$18=A22)+(Famillesid!$19:$19=A22)+(Famillesid!$20:$20=A22)+(Famillesid!$21:$21=A22))"),26.0)</f>
        <v>26</v>
      </c>
      <c r="C22" s="105" t="str">
        <f>IFERROR(__xludf.DUMMYFUNCTION("""COMPUTED_VALUE"""),"Gonzalez JoseRi 😇")</f>
        <v>Gonzalez JoseRi 😇</v>
      </c>
      <c r="D22" s="106" t="str">
        <f>IFERROR(__xludf.DUMMYFUNCTION("filter('Réponses au formulaire 1'!T:T,'Réponses au formulaire 1'!B:B=C22)"),"Mouton")</f>
        <v>Mouton</v>
      </c>
      <c r="E22" s="110"/>
      <c r="F22" s="92"/>
      <c r="G22" s="18"/>
      <c r="H22" s="101" t="str">
        <f>IFERROR(__xludf.DUMMYFUNCTION("""COMPUTED_VALUE"""),"Alexandre VURLOD")</f>
        <v>Alexandre VURLOD</v>
      </c>
      <c r="I22" s="67" t="str">
        <f>IFERROR(__xludf.DUMMYFUNCTION("""COMPUTED_VALUE"""),"Ce choix n'est encore défini")</f>
        <v>Ce choix n'est encore défini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</row>
    <row r="23">
      <c r="A23" s="101">
        <f t="shared" si="1"/>
        <v>22</v>
      </c>
      <c r="B23" s="95">
        <f>IFERROR(__xludf.DUMMYFUNCTION("filter(Famillesid!$22:$22,(Famillesid!$16:$16=A23)+(Famillesid!$17:$17=A23)+(Famillesid!$18:$18=A23)+(Famillesid!$19:$19=A23)+(Famillesid!$20:$20=A23)+(Famillesid!$21:$21=A23))"),26.0)</f>
        <v>26</v>
      </c>
      <c r="C23" s="105" t="str">
        <f>IFERROR(__xludf.DUMMYFUNCTION("""COMPUTED_VALUE"""),"Jeremy Garcia")</f>
        <v>Jeremy Garcia</v>
      </c>
      <c r="D23" s="106" t="str">
        <f>IFERROR(__xludf.DUMMYFUNCTION("filter('Réponses au formulaire 1'!T:T,'Réponses au formulaire 1'!B:B=C23)"),"Puzzle")</f>
        <v>Puzzle</v>
      </c>
      <c r="E23" s="110"/>
      <c r="F23" s="92"/>
      <c r="G23" s="18"/>
      <c r="H23" s="101" t="str">
        <f>IFERROR(__xludf.DUMMYFUNCTION("""COMPUTED_VALUE"""),"Tony MARTINEAU")</f>
        <v>Tony MARTINEAU</v>
      </c>
      <c r="I23" s="67" t="str">
        <f>IFERROR(__xludf.DUMMYFUNCTION("""COMPUTED_VALUE"""),"pas encore d'idée")</f>
        <v>pas encore d'idée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</row>
    <row r="24">
      <c r="A24" s="101">
        <f t="shared" si="1"/>
        <v>23</v>
      </c>
      <c r="B24" s="95">
        <f>IFERROR(__xludf.DUMMYFUNCTION("filter(Famillesid!$22:$22,(Famillesid!$16:$16=A24)+(Famillesid!$17:$17=A24)+(Famillesid!$18:$18=A24)+(Famillesid!$19:$19=A24)+(Famillesid!$20:$20=A24)+(Famillesid!$21:$21=A24))"),26.0)</f>
        <v>26</v>
      </c>
      <c r="C24" s="105" t="str">
        <f>IFERROR(__xludf.DUMMYFUNCTION("""COMPUTED_VALUE"""),"Maxence FORT")</f>
        <v>Maxence FORT</v>
      </c>
      <c r="D24" s="106" t="str">
        <f>IFERROR(__xludf.DUMMYFUNCTION("filter('Réponses au formulaire 1'!T:T,'Réponses au formulaire 1'!B:B=C24)"),"Puzzle hyper stylé")</f>
        <v>Puzzle hyper stylé</v>
      </c>
      <c r="E24" s="110"/>
      <c r="F24" s="92"/>
      <c r="G24" s="18"/>
      <c r="H24" s="101" t="str">
        <f>IFERROR(__xludf.DUMMYFUNCTION("""COMPUTED_VALUE"""),"Maelig GABORIEAU")</f>
        <v>Maelig GABORIEAU</v>
      </c>
      <c r="I24" s="67" t="str">
        <f>IFERROR(__xludf.DUMMYFUNCTION("""COMPUTED_VALUE"""),"Une casquette ")</f>
        <v>Une casquette 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</row>
    <row r="25">
      <c r="A25" s="101">
        <f t="shared" si="1"/>
        <v>24</v>
      </c>
      <c r="B25" s="95">
        <f>IFERROR(__xludf.DUMMYFUNCTION("filter(Famillesid!$22:$22,(Famillesid!$16:$16=A25)+(Famillesid!$17:$17=A25)+(Famillesid!$18:$18=A25)+(Famillesid!$19:$19=A25)+(Famillesid!$20:$20=A25)+(Famillesid!$21:$21=A25))"),36.0)</f>
        <v>36</v>
      </c>
      <c r="C25" s="105" t="str">
        <f>IFERROR(__xludf.DUMMYFUNCTION("""COMPUTED_VALUE"""),"Adrien COCHARD")</f>
        <v>Adrien COCHARD</v>
      </c>
      <c r="D25" s="106" t="str">
        <f>IFERROR(__xludf.DUMMYFUNCTION("filter('Réponses au formulaire 1'!T:T,'Réponses au formulaire 1'!B:B=C25)"),"D120")</f>
        <v>D120</v>
      </c>
      <c r="E25" s="110"/>
      <c r="F25" s="92"/>
      <c r="G25" s="18"/>
      <c r="H25" s="101" t="str">
        <f>IFERROR(__xludf.DUMMYFUNCTION("""COMPUTED_VALUE"""),"Marc de Ponnat")</f>
        <v>Marc de Ponnat</v>
      </c>
      <c r="I25" s="67" t="str">
        <f>IFERROR(__xludf.DUMMYFUNCTION("""COMPUTED_VALUE"""),"Une table ou un micro")</f>
        <v>Une table ou un micro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</row>
    <row r="26">
      <c r="A26" s="101">
        <f t="shared" si="1"/>
        <v>25</v>
      </c>
      <c r="B26" s="95">
        <f>IFERROR(__xludf.DUMMYFUNCTION("filter(Famillesid!$22:$22,(Famillesid!$16:$16=A26)+(Famillesid!$17:$17=A26)+(Famillesid!$18:$18=A26)+(Famillesid!$19:$19=A26)+(Famillesid!$20:$20=A26)+(Famillesid!$21:$21=A26))"),41.0)</f>
        <v>41</v>
      </c>
      <c r="C26" s="105" t="str">
        <f>IFERROR(__xludf.DUMMYFUNCTION("""COMPUTED_VALUE"""),"Tom Aubelle")</f>
        <v>Tom Aubelle</v>
      </c>
      <c r="D26" s="106" t="str">
        <f>IFERROR(__xludf.DUMMYFUNCTION("filter('Réponses au formulaire 1'!T:T,'Réponses au formulaire 1'!B:B=C26)"),"Pas encore trouvé ")</f>
        <v>Pas encore trouvé </v>
      </c>
      <c r="E26" s="110"/>
      <c r="F26" s="92"/>
      <c r="G26" s="18"/>
      <c r="H26" s="101" t="str">
        <f>IFERROR(__xludf.DUMMYFUNCTION("""COMPUTED_VALUE"""),"Vincent PASCAT")</f>
        <v>Vincent PASCAT</v>
      </c>
      <c r="I26" s="67" t="str">
        <f>IFERROR(__xludf.DUMMYFUNCTION("""COMPUTED_VALUE"""),"Un vinyle?")</f>
        <v>Un vinyle?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</row>
    <row r="27">
      <c r="A27" s="101">
        <f t="shared" si="1"/>
        <v>26</v>
      </c>
      <c r="B27" s="95">
        <f>IFERROR(__xludf.DUMMYFUNCTION("filter(Famillesid!$22:$22,(Famillesid!$16:$16=A27)+(Famillesid!$17:$17=A27)+(Famillesid!$18:$18=A27)+(Famillesid!$19:$19=A27)+(Famillesid!$20:$20=A27)+(Famillesid!$21:$21=A27))"),41.0)</f>
        <v>41</v>
      </c>
      <c r="C27" s="105" t="str">
        <f>IFERROR(__xludf.DUMMYFUNCTION("""COMPUTED_VALUE"""),"Joanna MARTIN")</f>
        <v>Joanna MARTIN</v>
      </c>
      <c r="D27" s="106" t="str">
        <f>IFERROR(__xludf.DUMMYFUNCTION("filter('Réponses au formulaire 1'!T:T,'Réponses au formulaire 1'!B:B=C27)"),"Un éléphant")</f>
        <v>Un éléphant</v>
      </c>
      <c r="E27" s="110"/>
      <c r="F27" s="92"/>
      <c r="G27" s="18"/>
      <c r="H27" s="101" t="str">
        <f>IFERROR(__xludf.DUMMYFUNCTION("""COMPUTED_VALUE"""),"Matthieu Brunot")</f>
        <v>Matthieu Brunot</v>
      </c>
      <c r="I27" s="67" t="str">
        <f>IFERROR(__xludf.DUMMYFUNCTION("""COMPUTED_VALUE"""),"un enfant, voire deux s'il est chauve")</f>
        <v>un enfant, voire deux s'il est chauve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</row>
    <row r="28">
      <c r="A28" s="101">
        <f t="shared" si="1"/>
        <v>27</v>
      </c>
      <c r="B28" s="95">
        <f>IFERROR(__xludf.DUMMYFUNCTION("filter(Famillesid!$22:$22,(Famillesid!$16:$16=A28)+(Famillesid!$17:$17=A28)+(Famillesid!$18:$18=A28)+(Famillesid!$19:$19=A28)+(Famillesid!$20:$20=A28)+(Famillesid!$21:$21=A28))"),36.0)</f>
        <v>36</v>
      </c>
      <c r="C28" s="105" t="str">
        <f>IFERROR(__xludf.DUMMYFUNCTION("""COMPUTED_VALUE"""),"Pauline Viault")</f>
        <v>Pauline Viault</v>
      </c>
      <c r="D28" s="106" t="str">
        <f>IFERROR(__xludf.DUMMYFUNCTION("filter('Réponses au formulaire 1'!T:T,'Réponses au formulaire 1'!B:B=C28)"),"Un tutu rose ")</f>
        <v>Un tutu rose </v>
      </c>
      <c r="E28" s="110"/>
      <c r="F28" s="92"/>
      <c r="G28" s="18"/>
      <c r="H28" s="101" t="str">
        <f>IFERROR(__xludf.DUMMYFUNCTION("""COMPUTED_VALUE"""),"Carmen SORIA")</f>
        <v>Carmen SORIA</v>
      </c>
      <c r="I28" s="67" t="str">
        <f>IFERROR(__xludf.DUMMYFUNCTION("""COMPUTED_VALUE"""),"pâte à modeler")</f>
        <v>pâte à modeler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</row>
    <row r="29">
      <c r="A29" s="101">
        <f t="shared" si="1"/>
        <v>28</v>
      </c>
      <c r="B29" s="95">
        <f>IFERROR(__xludf.DUMMYFUNCTION("filter(Famillesid!$22:$22,(Famillesid!$16:$16=A29)+(Famillesid!$17:$17=A29)+(Famillesid!$18:$18=A29)+(Famillesid!$19:$19=A29)+(Famillesid!$20:$20=A29)+(Famillesid!$21:$21=A29))"),36.0)</f>
        <v>36</v>
      </c>
      <c r="C29" s="105" t="str">
        <f>IFERROR(__xludf.DUMMYFUNCTION("""COMPUTED_VALUE"""),"Laurine DECROS")</f>
        <v>Laurine DECROS</v>
      </c>
      <c r="D29" s="106" t="str">
        <f>IFERROR(__xludf.DUMMYFUNCTION("filter('Réponses au formulaire 1'!T:T,'Réponses au formulaire 1'!B:B=C29)"),"Une partition de musique ")</f>
        <v>Une partition de musique </v>
      </c>
      <c r="E29" s="111" t="s">
        <v>631</v>
      </c>
      <c r="F29" s="112" t="s">
        <v>1160</v>
      </c>
      <c r="G29" s="18"/>
      <c r="H29" s="101" t="str">
        <f>IFERROR(__xludf.DUMMYFUNCTION("""COMPUTED_VALUE"""),"Constance Kooyman")</f>
        <v>Constance Kooyman</v>
      </c>
      <c r="I29" s="67" t="str">
        <f>IFERROR(__xludf.DUMMYFUNCTION("""COMPUTED_VALUE"""),"Walter le mouton (c'est une peluche) ")</f>
        <v>Walter le mouton (c'est une peluche) 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</row>
    <row r="30">
      <c r="A30" s="101">
        <f t="shared" si="1"/>
        <v>29</v>
      </c>
      <c r="B30" s="95">
        <f>IFERROR(__xludf.DUMMYFUNCTION("filter(Famillesid!$22:$22,(Famillesid!$16:$16=A30)+(Famillesid!$17:$17=A30)+(Famillesid!$18:$18=A30)+(Famillesid!$19:$19=A30)+(Famillesid!$20:$20=A30)+(Famillesid!$21:$21=A30))"),36.0)</f>
        <v>36</v>
      </c>
      <c r="C30" s="105" t="str">
        <f>IFERROR(__xludf.DUMMYFUNCTION("""COMPUTED_VALUE"""),"Suzanne COUTELOU")</f>
        <v>Suzanne COUTELOU</v>
      </c>
      <c r="D30" s="106" t="str">
        <f>IFERROR(__xludf.DUMMYFUNCTION("filter('Réponses au formulaire 1'!T:T,'Réponses au formulaire 1'!B:B=C30)"),"Une salopette rayée bleue et blanche")</f>
        <v>Une salopette rayée bleue et blanche</v>
      </c>
      <c r="E30" s="111" t="s">
        <v>631</v>
      </c>
      <c r="F30" s="112" t="s">
        <v>1160</v>
      </c>
      <c r="G30" s="18"/>
      <c r="H30" s="101" t="str">
        <f>IFERROR(__xludf.DUMMYFUNCTION("""COMPUTED_VALUE"""),"Damien GUYONVARCH")</f>
        <v>Damien GUYONVARCH</v>
      </c>
      <c r="I30" s="67" t="str">
        <f>IFERROR(__xludf.DUMMYFUNCTION("""COMPUTED_VALUE"""),"Cadre avec une photo de Dwayne Johnson")</f>
        <v>Cadre avec une photo de Dwayne Johnson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</row>
    <row r="31">
      <c r="A31" s="101">
        <f t="shared" si="1"/>
        <v>30</v>
      </c>
      <c r="B31" s="95">
        <f>IFERROR(__xludf.DUMMYFUNCTION("filter(Famillesid!$22:$22,(Famillesid!$16:$16=A31)+(Famillesid!$17:$17=A31)+(Famillesid!$18:$18=A31)+(Famillesid!$19:$19=A31)+(Famillesid!$20:$20=A31)+(Famillesid!$21:$21=A31))"),36.0)</f>
        <v>36</v>
      </c>
      <c r="C31" s="105" t="str">
        <f>IFERROR(__xludf.DUMMYFUNCTION("""COMPUTED_VALUE"""),"Hugo DOUX")</f>
        <v>Hugo DOUX</v>
      </c>
      <c r="D31" s="106" t="str">
        <f>IFERROR(__xludf.DUMMYFUNCTION("filter('Réponses au formulaire 1'!T:T,'Réponses au formulaire 1'!B:B=C31)"),"Un bandana")</f>
        <v>Un bandana</v>
      </c>
      <c r="E31" s="107" t="s">
        <v>631</v>
      </c>
      <c r="F31" s="108" t="s">
        <v>1158</v>
      </c>
      <c r="G31" s="18"/>
      <c r="H31" s="101" t="str">
        <f>IFERROR(__xludf.DUMMYFUNCTION("""COMPUTED_VALUE"""),"Florent COLLOCH")</f>
        <v>Florent COLLOCH</v>
      </c>
      <c r="I31" s="67" t="str">
        <f>IFERROR(__xludf.DUMMYFUNCTION("""COMPUTED_VALUE"""),"Bouteille de sable")</f>
        <v>Bouteille de sable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</row>
    <row r="32">
      <c r="A32" s="101">
        <f t="shared" si="1"/>
        <v>31</v>
      </c>
      <c r="B32" s="95">
        <f>IFERROR(__xludf.DUMMYFUNCTION("filter(Famillesid!$22:$22,(Famillesid!$16:$16=A32)+(Famillesid!$17:$17=A32)+(Famillesid!$18:$18=A32)+(Famillesid!$19:$19=A32)+(Famillesid!$20:$20=A32)+(Famillesid!$21:$21=A32))"),41.0)</f>
        <v>41</v>
      </c>
      <c r="C32" s="105" t="str">
        <f>IFERROR(__xludf.DUMMYFUNCTION("""COMPUTED_VALUE"""),"Alexandre VURLOD")</f>
        <v>Alexandre VURLOD</v>
      </c>
      <c r="D32" s="106" t="str">
        <f>IFERROR(__xludf.DUMMYFUNCTION("filter('Réponses au formulaire 1'!T:T,'Réponses au formulaire 1'!B:B=C32)"),"Ce choix n'est encore défini")</f>
        <v>Ce choix n'est encore défini</v>
      </c>
      <c r="E32" s="110"/>
      <c r="F32" s="92"/>
      <c r="G32" s="18"/>
      <c r="H32" s="101" t="str">
        <f>IFERROR(__xludf.DUMMYFUNCTION("""COMPUTED_VALUE"""),"Adrien RIDOUARD")</f>
        <v>Adrien RIDOUARD</v>
      </c>
      <c r="I32" s="67" t="str">
        <f>IFERROR(__xludf.DUMMYFUNCTION("""COMPUTED_VALUE"""),"Liasse de billets (home made) ")</f>
        <v>Liasse de billets (home made) 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</row>
    <row r="33">
      <c r="A33" s="101">
        <f t="shared" si="1"/>
        <v>32</v>
      </c>
      <c r="B33" s="95">
        <f>IFERROR(__xludf.DUMMYFUNCTION("filter(Famillesid!$22:$22,(Famillesid!$16:$16=A33)+(Famillesid!$17:$17=A33)+(Famillesid!$18:$18=A33)+(Famillesid!$19:$19=A33)+(Famillesid!$20:$20=A33)+(Famillesid!$21:$21=A33))"),46.0)</f>
        <v>46</v>
      </c>
      <c r="C33" s="105" t="str">
        <f>IFERROR(__xludf.DUMMYFUNCTION("""COMPUTED_VALUE"""),"Julie Ugolini")</f>
        <v>Julie Ugolini</v>
      </c>
      <c r="D33" s="106" t="str">
        <f>IFERROR(__xludf.DUMMYFUNCTION("filter('Réponses au formulaire 1'!T:T,'Réponses au formulaire 1'!B:B=C33)"),"Sûrement une connerie ")</f>
        <v>Sûrement une connerie </v>
      </c>
      <c r="E33" s="111" t="s">
        <v>631</v>
      </c>
      <c r="F33" s="112" t="s">
        <v>1160</v>
      </c>
      <c r="G33" s="18"/>
      <c r="H33" s="101" t="str">
        <f>IFERROR(__xludf.DUMMYFUNCTION("""COMPUTED_VALUE"""),"Lucas MIRANDE")</f>
        <v>Lucas MIRANDE</v>
      </c>
      <c r="I33" s="67" t="str">
        <f>IFERROR(__xludf.DUMMYFUNCTION("""COMPUTED_VALUE"""),"Un drapeau du Brésil")</f>
        <v>Un drapeau du Brésil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</row>
    <row r="34">
      <c r="A34" s="101">
        <f t="shared" si="1"/>
        <v>33</v>
      </c>
      <c r="B34" s="95">
        <f>IFERROR(__xludf.DUMMYFUNCTION("filter(Famillesid!$22:$22,(Famillesid!$16:$16=A34)+(Famillesid!$17:$17=A34)+(Famillesid!$18:$18=A34)+(Famillesid!$19:$19=A34)+(Famillesid!$20:$20=A34)+(Famillesid!$21:$21=A34))"),46.0)</f>
        <v>46</v>
      </c>
      <c r="C34" s="105" t="str">
        <f>IFERROR(__xludf.DUMMYFUNCTION("""COMPUTED_VALUE"""),"Marie POIRIER")</f>
        <v>Marie POIRIER</v>
      </c>
      <c r="D34" s="106" t="str">
        <f>IFERROR(__xludf.DUMMYFUNCTION("filter('Réponses au formulaire 1'!T:T,'Réponses au formulaire 1'!B:B=C34)"),"Un skate ou un trotinnette")</f>
        <v>Un skate ou un trotinnette</v>
      </c>
      <c r="E34" s="107" t="s">
        <v>631</v>
      </c>
      <c r="F34" s="108" t="s">
        <v>1161</v>
      </c>
      <c r="G34" s="18"/>
      <c r="H34" s="101" t="str">
        <f>IFERROR(__xludf.DUMMYFUNCTION("""COMPUTED_VALUE"""),"Simon PUECH")</f>
        <v>Simon PUECH</v>
      </c>
      <c r="I34" s="67" t="str">
        <f>IFERROR(__xludf.DUMMYFUNCTION("""COMPUTED_VALUE"""),"Harnais de kitesurf")</f>
        <v>Harnais de kitesurf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</row>
    <row r="35">
      <c r="A35" s="101">
        <f t="shared" si="1"/>
        <v>34</v>
      </c>
      <c r="B35" s="95">
        <f>IFERROR(__xludf.DUMMYFUNCTION("filter(Famillesid!$22:$22,(Famillesid!$16:$16=A35)+(Famillesid!$17:$17=A35)+(Famillesid!$18:$18=A35)+(Famillesid!$19:$19=A35)+(Famillesid!$20:$20=A35)+(Famillesid!$21:$21=A35))"),41.0)</f>
        <v>41</v>
      </c>
      <c r="C35" s="105" t="str">
        <f>IFERROR(__xludf.DUMMYFUNCTION("""COMPUTED_VALUE"""),"Tony MARTINEAU")</f>
        <v>Tony MARTINEAU</v>
      </c>
      <c r="D35" s="106" t="str">
        <f>IFERROR(__xludf.DUMMYFUNCTION("filter('Réponses au formulaire 1'!T:T,'Réponses au formulaire 1'!B:B=C35)"),"pas encore d'idée")</f>
        <v>pas encore d'idée</v>
      </c>
      <c r="E35" s="110"/>
      <c r="F35" s="92"/>
      <c r="G35" s="18"/>
      <c r="H35" s="101" t="str">
        <f>IFERROR(__xludf.DUMMYFUNCTION("""COMPUTED_VALUE"""),"Alexandre MERVILLE")</f>
        <v>Alexandre MERVILLE</v>
      </c>
      <c r="I35" s="67" t="str">
        <f>IFERROR(__xludf.DUMMYFUNCTION("""COMPUTED_VALUE"""),"NON")</f>
        <v>NON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</row>
    <row r="36">
      <c r="A36" s="101">
        <f t="shared" si="1"/>
        <v>35</v>
      </c>
      <c r="B36" s="95">
        <f>IFERROR(__xludf.DUMMYFUNCTION("filter(Famillesid!$22:$22,(Famillesid!$16:$16=A36)+(Famillesid!$17:$17=A36)+(Famillesid!$18:$18=A36)+(Famillesid!$19:$19=A36)+(Famillesid!$20:$20=A36)+(Famillesid!$21:$21=A36))"),11.0)</f>
        <v>11</v>
      </c>
      <c r="C36" s="105" t="str">
        <f>IFERROR(__xludf.DUMMYFUNCTION("""COMPUTED_VALUE"""),"Maelig GABORIEAU")</f>
        <v>Maelig GABORIEAU</v>
      </c>
      <c r="D36" s="106" t="str">
        <f>IFERROR(__xludf.DUMMYFUNCTION("filter('Réponses au formulaire 1'!T:T,'Réponses au formulaire 1'!B:B=C36)"),"Une casquette ")</f>
        <v>Une casquette </v>
      </c>
      <c r="E36" s="110"/>
      <c r="F36" s="92"/>
      <c r="G36" s="18"/>
      <c r="H36" s="101" t="str">
        <f>IFERROR(__xludf.DUMMYFUNCTION("""COMPUTED_VALUE"""),"Grégory Perret")</f>
        <v>Grégory Perret</v>
      </c>
      <c r="I36" s="67" t="str">
        <f>IFERROR(__xludf.DUMMYFUNCTION("""COMPUTED_VALUE"""),"Casquette de Schumacher ")</f>
        <v>Casquette de Schumacher 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</row>
    <row r="37">
      <c r="A37" s="101">
        <f t="shared" si="1"/>
        <v>36</v>
      </c>
      <c r="B37" s="95">
        <f>IFERROR(__xludf.DUMMYFUNCTION("filter(Famillesid!$22:$22,(Famillesid!$16:$16=A37)+(Famillesid!$17:$17=A37)+(Famillesid!$18:$18=A37)+(Famillesid!$19:$19=A37)+(Famillesid!$20:$20=A37)+(Famillesid!$21:$21=A37))"),46.0)</f>
        <v>46</v>
      </c>
      <c r="C37" s="105" t="str">
        <f>IFERROR(__xludf.DUMMYFUNCTION("""COMPUTED_VALUE"""),"Marc de Ponnat")</f>
        <v>Marc de Ponnat</v>
      </c>
      <c r="D37" s="106" t="str">
        <f>IFERROR(__xludf.DUMMYFUNCTION("filter('Réponses au formulaire 1'!T:T,'Réponses au formulaire 1'!B:B=C37)"),"Une table ou un micro")</f>
        <v>Une table ou un micro</v>
      </c>
      <c r="E37" s="110"/>
      <c r="F37" s="92"/>
      <c r="G37" s="18"/>
      <c r="H37" s="101" t="str">
        <f>IFERROR(__xludf.DUMMYFUNCTION("""COMPUTED_VALUE"""),"Agathe MADAULE")</f>
        <v>Agathe MADAULE</v>
      </c>
      <c r="I37" s="67" t="str">
        <f>IFERROR(__xludf.DUMMYFUNCTION("""COMPUTED_VALUE"""),"Foulard feria")</f>
        <v>Foulard feria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</row>
    <row r="38">
      <c r="A38" s="101">
        <f t="shared" si="1"/>
        <v>37</v>
      </c>
      <c r="B38" s="95">
        <f>IFERROR(__xludf.DUMMYFUNCTION("filter(Famillesid!$22:$22,(Famillesid!$16:$16=A38)+(Famillesid!$17:$17=A38)+(Famillesid!$18:$18=A38)+(Famillesid!$19:$19=A38)+(Famillesid!$20:$20=A38)+(Famillesid!$21:$21=A38))"),31.0)</f>
        <v>31</v>
      </c>
      <c r="C38" s="105" t="str">
        <f>IFERROR(__xludf.DUMMYFUNCTION("""COMPUTED_VALUE"""),"Vincent PASCAT")</f>
        <v>Vincent PASCAT</v>
      </c>
      <c r="D38" s="106" t="str">
        <f>IFERROR(__xludf.DUMMYFUNCTION("filter('Réponses au formulaire 1'!T:T,'Réponses au formulaire 1'!B:B=C38)"),"Un vinyle?")</f>
        <v>Un vinyle?</v>
      </c>
      <c r="E38" s="110"/>
      <c r="F38" s="92"/>
      <c r="G38" s="18"/>
      <c r="H38" s="101" t="str">
        <f>IFERROR(__xludf.DUMMYFUNCTION("""COMPUTED_VALUE"""),"Mathilde Querné")</f>
        <v>Mathilde Querné</v>
      </c>
      <c r="I38" s="67" t="str">
        <f>IFERROR(__xludf.DUMMYFUNCTION("""COMPUTED_VALUE"""),"Un cactus")</f>
        <v>Un cactus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</row>
    <row r="39">
      <c r="A39" s="101">
        <f t="shared" si="1"/>
        <v>38</v>
      </c>
      <c r="B39" s="95">
        <f>IFERROR(__xludf.DUMMYFUNCTION("filter(Famillesid!$22:$22,(Famillesid!$16:$16=A39)+(Famillesid!$17:$17=A39)+(Famillesid!$18:$18=A39)+(Famillesid!$19:$19=A39)+(Famillesid!$20:$20=A39)+(Famillesid!$21:$21=A39))"),46.0)</f>
        <v>46</v>
      </c>
      <c r="C39" s="105" t="str">
        <f>IFERROR(__xludf.DUMMYFUNCTION("""COMPUTED_VALUE"""),"Matthieu Brunot")</f>
        <v>Matthieu Brunot</v>
      </c>
      <c r="D39" s="106" t="str">
        <f>IFERROR(__xludf.DUMMYFUNCTION("filter('Réponses au formulaire 1'!T:T,'Réponses au formulaire 1'!B:B=C39)"),"un enfant, voire deux s'il est chauve")</f>
        <v>un enfant, voire deux s'il est chauve</v>
      </c>
      <c r="E39" s="110"/>
      <c r="F39" s="92"/>
      <c r="G39" s="18"/>
      <c r="H39" s="101" t="str">
        <f>IFERROR(__xludf.DUMMYFUNCTION("""COMPUTED_VALUE"""),"Cédric DUSSERRE")</f>
        <v>Cédric DUSSERRE</v>
      </c>
      <c r="I39" s="67" t="str">
        <f>IFERROR(__xludf.DUMMYFUNCTION("""COMPUTED_VALUE"""),"Une crosse de hockey")</f>
        <v>Une crosse de hockey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</row>
    <row r="40">
      <c r="A40" s="101">
        <f t="shared" si="1"/>
        <v>39</v>
      </c>
      <c r="B40" s="95">
        <f>IFERROR(__xludf.DUMMYFUNCTION("filter(Famillesid!$22:$22,(Famillesid!$16:$16=A40)+(Famillesid!$17:$17=A40)+(Famillesid!$18:$18=A40)+(Famillesid!$19:$19=A40)+(Famillesid!$20:$20=A40)+(Famillesid!$21:$21=A40))"),46.0)</f>
        <v>46</v>
      </c>
      <c r="C40" s="105" t="str">
        <f>IFERROR(__xludf.DUMMYFUNCTION("""COMPUTED_VALUE"""),"Julien Bomberault")</f>
        <v>Julien Bomberault</v>
      </c>
      <c r="D40" s="106" t="str">
        <f>IFERROR(__xludf.DUMMYFUNCTION("filter('Réponses au formulaire 1'!T:T,'Réponses au formulaire 1'!B:B=C40)"),"Une peluche de Scrat")</f>
        <v>Une peluche de Scrat</v>
      </c>
      <c r="E40" s="107" t="s">
        <v>631</v>
      </c>
      <c r="F40" s="108" t="s">
        <v>1157</v>
      </c>
      <c r="G40" s="18"/>
      <c r="H40" s="101" t="str">
        <f>IFERROR(__xludf.DUMMYFUNCTION("""COMPUTED_VALUE"""),"Julien Douxami")</f>
        <v>Julien Douxami</v>
      </c>
      <c r="I40" s="67" t="str">
        <f>IFERROR(__xludf.DUMMYFUNCTION("""COMPUTED_VALUE"""),"des lunettes fashion")</f>
        <v>des lunettes fashion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</row>
    <row r="41">
      <c r="A41" s="101">
        <f t="shared" si="1"/>
        <v>40</v>
      </c>
      <c r="B41" s="95">
        <f>IFERROR(__xludf.DUMMYFUNCTION("filter(Famillesid!$22:$22,(Famillesid!$16:$16=A41)+(Famillesid!$17:$17=A41)+(Famillesid!$18:$18=A41)+(Famillesid!$19:$19=A41)+(Famillesid!$20:$20=A41)+(Famillesid!$21:$21=A41))"),11.0)</f>
        <v>11</v>
      </c>
      <c r="C41" s="105" t="str">
        <f>IFERROR(__xludf.DUMMYFUNCTION("""COMPUTED_VALUE"""),"Carmen SORIA")</f>
        <v>Carmen SORIA</v>
      </c>
      <c r="D41" s="106" t="str">
        <f>IFERROR(__xludf.DUMMYFUNCTION("filter('Réponses au formulaire 1'!T:T,'Réponses au formulaire 1'!B:B=C41)"),"pâte à modeler")</f>
        <v>pâte à modeler</v>
      </c>
      <c r="E41" s="110"/>
      <c r="F41" s="92"/>
      <c r="G41" s="18"/>
      <c r="H41" s="101" t="str">
        <f>IFERROR(__xludf.DUMMYFUNCTION("""COMPUTED_VALUE"""),"Louis DA COSTA")</f>
        <v>Louis DA COSTA</v>
      </c>
      <c r="I41" s="67" t="str">
        <f>IFERROR(__xludf.DUMMYFUNCTION("""COMPUTED_VALUE"""),"Une atelle")</f>
        <v>Une atelle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</row>
    <row r="42">
      <c r="A42" s="101">
        <f t="shared" si="1"/>
        <v>41</v>
      </c>
      <c r="B42" s="95">
        <f>IFERROR(__xludf.DUMMYFUNCTION("filter(Famillesid!$22:$22,(Famillesid!$16:$16=A42)+(Famillesid!$17:$17=A42)+(Famillesid!$18:$18=A42)+(Famillesid!$19:$19=A42)+(Famillesid!$20:$20=A42)+(Famillesid!$21:$21=A42))"),51.0)</f>
        <v>51</v>
      </c>
      <c r="C42" s="105" t="str">
        <f>IFERROR(__xludf.DUMMYFUNCTION("""COMPUTED_VALUE"""),"Constance Kooyman")</f>
        <v>Constance Kooyman</v>
      </c>
      <c r="D42" s="106" t="str">
        <f>IFERROR(__xludf.DUMMYFUNCTION("filter('Réponses au formulaire 1'!T:T,'Réponses au formulaire 1'!B:B=C42)"),"Walter le mouton (c'est une peluche) ")</f>
        <v>Walter le mouton (c'est une peluche) </v>
      </c>
      <c r="E42" s="110"/>
      <c r="F42" s="92"/>
      <c r="G42" s="18"/>
      <c r="H42" s="101" t="str">
        <f>IFERROR(__xludf.DUMMYFUNCTION("""COMPUTED_VALUE"""),"Lilian Dedecker")</f>
        <v>Lilian Dedecker</v>
      </c>
      <c r="I42" s="67" t="str">
        <f>IFERROR(__xludf.DUMMYFUNCTION("""COMPUTED_VALUE"""),"Appareil photo")</f>
        <v>Appareil photo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</row>
    <row r="43">
      <c r="A43" s="101">
        <f t="shared" si="1"/>
        <v>42</v>
      </c>
      <c r="B43" s="95">
        <f>IFERROR(__xludf.DUMMYFUNCTION("filter(Famillesid!$22:$22,(Famillesid!$16:$16=A43)+(Famillesid!$17:$17=A43)+(Famillesid!$18:$18=A43)+(Famillesid!$19:$19=A43)+(Famillesid!$20:$20=A43)+(Famillesid!$21:$21=A43))"),51.0)</f>
        <v>51</v>
      </c>
      <c r="C43" s="105" t="str">
        <f>IFERROR(__xludf.DUMMYFUNCTION("""COMPUTED_VALUE"""),"Damien GUYONVARCH")</f>
        <v>Damien GUYONVARCH</v>
      </c>
      <c r="D43" s="106" t="str">
        <f>IFERROR(__xludf.DUMMYFUNCTION("filter('Réponses au formulaire 1'!T:T,'Réponses au formulaire 1'!B:B=C43)"),"Cadre avec une photo de Dwayne Johnson")</f>
        <v>Cadre avec une photo de Dwayne Johnson</v>
      </c>
      <c r="E43" s="110"/>
      <c r="F43" s="92"/>
      <c r="G43" s="18"/>
      <c r="H43" s="101" t="str">
        <f>IFERROR(__xludf.DUMMYFUNCTION("""COMPUTED_VALUE"""),"J'ui une grosse pute")</f>
        <v>J'ui une grosse pute</v>
      </c>
      <c r="I43" s="67" t="str">
        <f>IFERROR(__xludf.DUMMYFUNCTION("""COMPUTED_VALUE"""),"Chapeau de farfadet ")</f>
        <v>Chapeau de farfadet 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</row>
    <row r="44">
      <c r="A44" s="101">
        <f t="shared" si="1"/>
        <v>43</v>
      </c>
      <c r="B44" s="95">
        <f>IFERROR(__xludf.DUMMYFUNCTION("filter(Famillesid!$22:$22,(Famillesid!$16:$16=A44)+(Famillesid!$17:$17=A44)+(Famillesid!$18:$18=A44)+(Famillesid!$19:$19=A44)+(Famillesid!$20:$20=A44)+(Famillesid!$21:$21=A44))"),51.0)</f>
        <v>51</v>
      </c>
      <c r="C44" s="105" t="str">
        <f>IFERROR(__xludf.DUMMYFUNCTION("""COMPUTED_VALUE"""),"Florent COLLOCH")</f>
        <v>Florent COLLOCH</v>
      </c>
      <c r="D44" s="106" t="str">
        <f>IFERROR(__xludf.DUMMYFUNCTION("filter('Réponses au formulaire 1'!T:T,'Réponses au formulaire 1'!B:B=C44)"),"Bouteille de sable")</f>
        <v>Bouteille de sable</v>
      </c>
      <c r="E44" s="110"/>
      <c r="F44" s="92"/>
      <c r="G44" s="18"/>
      <c r="H44" s="101" t="str">
        <f>IFERROR(__xludf.DUMMYFUNCTION("""COMPUTED_VALUE"""),"Valentine KEMPF")</f>
        <v>Valentine KEMPF</v>
      </c>
      <c r="I44" s="67" t="str">
        <f>IFERROR(__xludf.DUMMYFUNCTION("""COMPUTED_VALUE"""),"Une sonette de vélo ")</f>
        <v>Une sonette de vélo 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</row>
    <row r="45">
      <c r="A45" s="101">
        <f t="shared" si="1"/>
        <v>44</v>
      </c>
      <c r="B45" s="95">
        <f>IFERROR(__xludf.DUMMYFUNCTION("filter(Famillesid!$22:$22,(Famillesid!$16:$16=A45)+(Famillesid!$17:$17=A45)+(Famillesid!$18:$18=A45)+(Famillesid!$19:$19=A45)+(Famillesid!$20:$20=A45)+(Famillesid!$21:$21=A45))"),51.0)</f>
        <v>51</v>
      </c>
      <c r="C45" s="105" t="str">
        <f>IFERROR(__xludf.DUMMYFUNCTION("""COMPUTED_VALUE"""),"Adrien RIDOUARD")</f>
        <v>Adrien RIDOUARD</v>
      </c>
      <c r="D45" s="106" t="str">
        <f>IFERROR(__xludf.DUMMYFUNCTION("filter('Réponses au formulaire 1'!T:T,'Réponses au formulaire 1'!B:B=C45)"),"Liasse de billets (home made) ")</f>
        <v>Liasse de billets (home made) </v>
      </c>
      <c r="E45" s="110"/>
      <c r="F45" s="92"/>
      <c r="G45" s="18"/>
      <c r="H45" s="101" t="str">
        <f>IFERROR(__xludf.DUMMYFUNCTION("""COMPUTED_VALUE"""),"Charlotte Fosse")</f>
        <v>Charlotte Fosse</v>
      </c>
      <c r="I45" s="67" t="str">
        <f>IFERROR(__xludf.DUMMYFUNCTION("""COMPUTED_VALUE"""),"Choix en cours")</f>
        <v>Choix en cours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</row>
    <row r="46">
      <c r="A46" s="101">
        <f t="shared" si="1"/>
        <v>45</v>
      </c>
      <c r="B46" s="95">
        <f>IFERROR(__xludf.DUMMYFUNCTION("filter(Famillesid!$22:$22,(Famillesid!$16:$16=A46)+(Famillesid!$17:$17=A46)+(Famillesid!$18:$18=A46)+(Famillesid!$19:$19=A46)+(Famillesid!$20:$20=A46)+(Famillesid!$21:$21=A46))"),31.0)</f>
        <v>31</v>
      </c>
      <c r="C46" s="105" t="str">
        <f>IFERROR(__xludf.DUMMYFUNCTION("""COMPUTED_VALUE"""),"Lucas MIRANDE")</f>
        <v>Lucas MIRANDE</v>
      </c>
      <c r="D46" s="106" t="str">
        <f>IFERROR(__xludf.DUMMYFUNCTION("filter('Réponses au formulaire 1'!T:T,'Réponses au formulaire 1'!B:B=C46)"),"Un drapeau du Brésil")</f>
        <v>Un drapeau du Brésil</v>
      </c>
      <c r="E46" s="110"/>
      <c r="F46" s="92"/>
      <c r="G46" s="18"/>
      <c r="H46" s="101" t="str">
        <f>IFERROR(__xludf.DUMMYFUNCTION("""COMPUTED_VALUE"""),"Julien LACOUR")</f>
        <v>Julien LACOUR</v>
      </c>
      <c r="I46" s="67" t="str">
        <f>IFERROR(__xludf.DUMMYFUNCTION("""COMPUTED_VALUE"""),"Peluche Snoopy")</f>
        <v>Peluche Snoopy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</row>
    <row r="47">
      <c r="A47" s="101">
        <f t="shared" si="1"/>
        <v>46</v>
      </c>
      <c r="B47" s="95">
        <f>IFERROR(__xludf.DUMMYFUNCTION("filter(Famillesid!$22:$22,(Famillesid!$16:$16=A47)+(Famillesid!$17:$17=A47)+(Famillesid!$18:$18=A47)+(Famillesid!$19:$19=A47)+(Famillesid!$20:$20=A47)+(Famillesid!$21:$21=A47))"),41.0)</f>
        <v>41</v>
      </c>
      <c r="C47" s="105" t="str">
        <f>IFERROR(__xludf.DUMMYFUNCTION("""COMPUTED_VALUE"""),"Simon PUECH")</f>
        <v>Simon PUECH</v>
      </c>
      <c r="D47" s="106" t="str">
        <f>IFERROR(__xludf.DUMMYFUNCTION("filter('Réponses au formulaire 1'!T:T,'Réponses au formulaire 1'!B:B=C47)"),"Harnais de kitesurf")</f>
        <v>Harnais de kitesurf</v>
      </c>
      <c r="E47" s="110"/>
      <c r="F47" s="92"/>
      <c r="G47" s="18"/>
      <c r="H47" s="101" t="str">
        <f>IFERROR(__xludf.DUMMYFUNCTION("""COMPUTED_VALUE"""),"Irène Le Borgne")</f>
        <v>Irène Le Borgne</v>
      </c>
      <c r="I47" s="67" t="str">
        <f>IFERROR(__xludf.DUMMYFUNCTION("""COMPUTED_VALUE"""),"Un kway orange")</f>
        <v>Un kway orange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</row>
    <row r="48">
      <c r="A48" s="101">
        <f t="shared" si="1"/>
        <v>47</v>
      </c>
      <c r="B48" s="95">
        <f>IFERROR(__xludf.DUMMYFUNCTION("filter(Famillesid!$22:$22,(Famillesid!$16:$16=A48)+(Famillesid!$17:$17=A48)+(Famillesid!$18:$18=A48)+(Famillesid!$19:$19=A48)+(Famillesid!$20:$20=A48)+(Famillesid!$21:$21=A48))"),61.0)</f>
        <v>61</v>
      </c>
      <c r="C48" s="105" t="str">
        <f>IFERROR(__xludf.DUMMYFUNCTION("""COMPUTED_VALUE"""),"Thomas Serratrice")</f>
        <v>Thomas Serratrice</v>
      </c>
      <c r="D48" s="106" t="str">
        <f>IFERROR(__xludf.DUMMYFUNCTION("filter('Réponses au formulaire 1'!T:T,'Réponses au formulaire 1'!B:B=C48)"),"Bombe de lubrifiant moteur diesel ")</f>
        <v>Bombe de lubrifiant moteur diesel </v>
      </c>
      <c r="E48" s="107" t="s">
        <v>631</v>
      </c>
      <c r="F48" s="108" t="s">
        <v>1158</v>
      </c>
      <c r="G48" s="18"/>
      <c r="H48" s="101" t="str">
        <f>IFERROR(__xludf.DUMMYFUNCTION("""COMPUTED_VALUE"""),"Aurélien DE LA HOUGUE")</f>
        <v>Aurélien DE LA HOUGUE</v>
      </c>
      <c r="I48" s="67" t="str">
        <f>IFERROR(__xludf.DUMMYFUNCTION("""COMPUTED_VALUE"""),"Une spirale hypnotisante")</f>
        <v>Une spirale hypnotisante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</row>
    <row r="49">
      <c r="A49" s="101">
        <f t="shared" si="1"/>
        <v>48</v>
      </c>
      <c r="B49" s="95">
        <f>IFERROR(__xludf.DUMMYFUNCTION("filter(Famillesid!$22:$22,(Famillesid!$16:$16=A49)+(Famillesid!$17:$17=A49)+(Famillesid!$18:$18=A49)+(Famillesid!$19:$19=A49)+(Famillesid!$20:$20=A49)+(Famillesid!$21:$21=A49))"),16.0)</f>
        <v>16</v>
      </c>
      <c r="C49" s="105" t="str">
        <f>IFERROR(__xludf.DUMMYFUNCTION("""COMPUTED_VALUE"""),"Clément DENIS")</f>
        <v>Clément DENIS</v>
      </c>
      <c r="D49" s="106" t="str">
        <f>IFERROR(__xludf.DUMMYFUNCTION("filter('Réponses au formulaire 1'!T:T,'Réponses au formulaire 1'!B:B=C49)"),"Abdel Caspor Harrack si il est là ")</f>
        <v>Abdel Caspor Harrack si il est là </v>
      </c>
      <c r="E49" s="107" t="s">
        <v>631</v>
      </c>
      <c r="F49" s="108" t="s">
        <v>1158</v>
      </c>
      <c r="G49" s="18"/>
      <c r="H49" s="101" t="str">
        <f>IFERROR(__xludf.DUMMYFUNCTION("""COMPUTED_VALUE"""),"Matthieu BARCET")</f>
        <v>Matthieu BARCET</v>
      </c>
      <c r="I49" s="67" t="str">
        <f>IFERROR(__xludf.DUMMYFUNCTION("""COMPUTED_VALUE"""),"Un bout de voile")</f>
        <v>Un bout de voile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</row>
    <row r="50">
      <c r="A50" s="101">
        <f t="shared" si="1"/>
        <v>49</v>
      </c>
      <c r="B50" s="95">
        <f>IFERROR(__xludf.DUMMYFUNCTION("filter(Famillesid!$22:$22,(Famillesid!$16:$16=A50)+(Famillesid!$17:$17=A50)+(Famillesid!$18:$18=A50)+(Famillesid!$19:$19=A50)+(Famillesid!$20:$20=A50)+(Famillesid!$21:$21=A50))"),56.0)</f>
        <v>56</v>
      </c>
      <c r="C50" s="105" t="str">
        <f>IFERROR(__xludf.DUMMYFUNCTION("""COMPUTED_VALUE"""),"Mathieu KERMAREC")</f>
        <v>Mathieu KERMAREC</v>
      </c>
      <c r="D50" s="106" t="str">
        <f>IFERROR(__xludf.DUMMYFUNCTION("filter('Réponses au formulaire 1'!T:T,'Réponses au formulaire 1'!B:B=C50)"),"Un truc")</f>
        <v>Un truc</v>
      </c>
      <c r="E50" s="107" t="s">
        <v>631</v>
      </c>
      <c r="F50" s="108" t="s">
        <v>1157</v>
      </c>
      <c r="G50" s="18"/>
      <c r="H50" s="101" t="str">
        <f>IFERROR(__xludf.DUMMYFUNCTION("""COMPUTED_VALUE"""),"Marie VIOLLEAU")</f>
        <v>Marie VIOLLEAU</v>
      </c>
      <c r="I50" s="67" t="str">
        <f>IFERROR(__xludf.DUMMYFUNCTION("""COMPUTED_VALUE"""),"Une béquille ")</f>
        <v>Une béquille 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</row>
    <row r="51">
      <c r="A51" s="101">
        <f t="shared" si="1"/>
        <v>50</v>
      </c>
      <c r="B51" s="95">
        <f>IFERROR(__xludf.DUMMYFUNCTION("filter(Famillesid!$22:$22,(Famillesid!$16:$16=A51)+(Famillesid!$17:$17=A51)+(Famillesid!$18:$18=A51)+(Famillesid!$19:$19=A51)+(Famillesid!$20:$20=A51)+(Famillesid!$21:$21=A51))"),56.0)</f>
        <v>56</v>
      </c>
      <c r="C51" s="105" t="str">
        <f>IFERROR(__xludf.DUMMYFUNCTION("""COMPUTED_VALUE"""),"Thomas LE JAN")</f>
        <v>Thomas LE JAN</v>
      </c>
      <c r="D51" s="106" t="str">
        <f>IFERROR(__xludf.DUMMYFUNCTION("filter('Réponses au formulaire 1'!T:T,'Réponses au formulaire 1'!B:B=C51)"),"Un cadeau ")</f>
        <v>Un cadeau </v>
      </c>
      <c r="E51" s="107" t="s">
        <v>631</v>
      </c>
      <c r="F51" s="108" t="s">
        <v>1157</v>
      </c>
      <c r="G51" s="18"/>
      <c r="H51" s="101" t="str">
        <f>IFERROR(__xludf.DUMMYFUNCTION("""COMPUTED_VALUE"""),"Mathieu ZACH")</f>
        <v>Mathieu ZACH</v>
      </c>
      <c r="I51" s="67" t="str">
        <f>IFERROR(__xludf.DUMMYFUNCTION("""COMPUTED_VALUE"""),"Poster sympathique ")</f>
        <v>Poster sympathique 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</row>
    <row r="52">
      <c r="A52" s="101">
        <f t="shared" si="1"/>
        <v>51</v>
      </c>
      <c r="B52" s="95">
        <f>IFERROR(__xludf.DUMMYFUNCTION("filter(Famillesid!$22:$22,(Famillesid!$16:$16=A52)+(Famillesid!$17:$17=A52)+(Famillesid!$18:$18=A52)+(Famillesid!$19:$19=A52)+(Famillesid!$20:$20=A52)+(Famillesid!$21:$21=A52))"),56.0)</f>
        <v>56</v>
      </c>
      <c r="C52" s="105" t="str">
        <f>IFERROR(__xludf.DUMMYFUNCTION("""COMPUTED_VALUE"""),"Paul LENOIR")</f>
        <v>Paul LENOIR</v>
      </c>
      <c r="D52" s="106" t="str">
        <f>IFERROR(__xludf.DUMMYFUNCTION("filter('Réponses au formulaire 1'!T:T,'Réponses au formulaire 1'!B:B=C52)"),"Un présent ")</f>
        <v>Un présent </v>
      </c>
      <c r="E52" s="107" t="s">
        <v>631</v>
      </c>
      <c r="F52" s="108" t="s">
        <v>1157</v>
      </c>
      <c r="G52" s="18"/>
      <c r="H52" s="101" t="str">
        <f>IFERROR(__xludf.DUMMYFUNCTION("""COMPUTED_VALUE"""),"Iris PROUST")</f>
        <v>Iris PROUST</v>
      </c>
      <c r="I52" s="67" t="str">
        <f>IFERROR(__xludf.DUMMYFUNCTION("""COMPUTED_VALUE"""),"cannelés")</f>
        <v>cannelés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</row>
    <row r="53">
      <c r="A53" s="101">
        <f t="shared" si="1"/>
        <v>52</v>
      </c>
      <c r="B53" s="95">
        <f>IFERROR(__xludf.DUMMYFUNCTION("filter(Famillesid!$22:$22,(Famillesid!$16:$16=A53)+(Famillesid!$17:$17=A53)+(Famillesid!$18:$18=A53)+(Famillesid!$19:$19=A53)+(Famillesid!$20:$20=A53)+(Famillesid!$21:$21=A53))"),56.0)</f>
        <v>56</v>
      </c>
      <c r="C53" s="105" t="str">
        <f>IFERROR(__xludf.DUMMYFUNCTION("""COMPUTED_VALUE"""),"Alexandre MERVILLE")</f>
        <v>Alexandre MERVILLE</v>
      </c>
      <c r="D53" s="106" t="str">
        <f>IFERROR(__xludf.DUMMYFUNCTION("filter('Réponses au formulaire 1'!T:T,'Réponses au formulaire 1'!B:B=C53)"),"NON")</f>
        <v>NON</v>
      </c>
      <c r="E53" s="110"/>
      <c r="F53" s="92"/>
      <c r="G53" s="18"/>
      <c r="H53" s="101" t="str">
        <f>IFERROR(__xludf.DUMMYFUNCTION("""COMPUTED_VALUE"""),"Louis AUGEREAU")</f>
        <v>Louis AUGEREAU</v>
      </c>
      <c r="I53" s="67" t="str">
        <f>IFERROR(__xludf.DUMMYFUNCTION("""COMPUTED_VALUE"""),"Un truc stylé")</f>
        <v>Un truc stylé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</row>
    <row r="54">
      <c r="A54" s="101">
        <f t="shared" si="1"/>
        <v>53</v>
      </c>
      <c r="B54" s="95">
        <f>IFERROR(__xludf.DUMMYFUNCTION("filter(Famillesid!$22:$22,(Famillesid!$16:$16=A54)+(Famillesid!$17:$17=A54)+(Famillesid!$18:$18=A54)+(Famillesid!$19:$19=A54)+(Famillesid!$20:$20=A54)+(Famillesid!$21:$21=A54))"),56.0)</f>
        <v>56</v>
      </c>
      <c r="C54" s="105" t="str">
        <f>IFERROR(__xludf.DUMMYFUNCTION("""COMPUTED_VALUE"""),"Gabriel Lucas")</f>
        <v>Gabriel Lucas</v>
      </c>
      <c r="D54" s="106" t="str">
        <f>IFERROR(__xludf.DUMMYFUNCTION("filter('Réponses au formulaire 1'!T:T,'Réponses au formulaire 1'!B:B=C54)"),"Oui")</f>
        <v>Oui</v>
      </c>
      <c r="E54" s="107" t="s">
        <v>631</v>
      </c>
      <c r="F54" s="108" t="s">
        <v>1157</v>
      </c>
      <c r="G54" s="18"/>
      <c r="H54" s="101" t="str">
        <f>IFERROR(__xludf.DUMMYFUNCTION("""COMPUTED_VALUE"""),"Céline Balmes")</f>
        <v>Céline Balmes</v>
      </c>
      <c r="I54" s="67" t="str">
        <f>IFERROR(__xludf.DUMMYFUNCTION("""COMPUTED_VALUE"""),"Cape Winterf'aigle")</f>
        <v>Cape Winterf'aigle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</row>
    <row r="55">
      <c r="A55" s="101">
        <f t="shared" si="1"/>
        <v>54</v>
      </c>
      <c r="B55" s="95">
        <f>IFERROR(__xludf.DUMMYFUNCTION("filter(Famillesid!$22:$22,(Famillesid!$16:$16=A55)+(Famillesid!$17:$17=A55)+(Famillesid!$18:$18=A55)+(Famillesid!$19:$19=A55)+(Famillesid!$20:$20=A55)+(Famillesid!$21:$21=A55))"),61.0)</f>
        <v>61</v>
      </c>
      <c r="C55" s="105" t="str">
        <f>IFERROR(__xludf.DUMMYFUNCTION("""COMPUTED_VALUE"""),"Grégory Perret")</f>
        <v>Grégory Perret</v>
      </c>
      <c r="D55" s="106" t="str">
        <f>IFERROR(__xludf.DUMMYFUNCTION("filter('Réponses au formulaire 1'!T:T,'Réponses au formulaire 1'!B:B=C55)"),"Casquette de Schumacher ")</f>
        <v>Casquette de Schumacher </v>
      </c>
      <c r="E55" s="110"/>
      <c r="F55" s="92"/>
      <c r="G55" s="18"/>
      <c r="H55" s="101" t="str">
        <f>IFERROR(__xludf.DUMMYFUNCTION("""COMPUTED_VALUE"""),"Paul SIMON")</f>
        <v>Paul SIMON</v>
      </c>
      <c r="I55" s="67" t="str">
        <f>IFERROR(__xludf.DUMMYFUNCTION("""COMPUTED_VALUE"""),"De l'amour")</f>
        <v>De l'amour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</row>
    <row r="56">
      <c r="A56" s="101">
        <f t="shared" si="1"/>
        <v>55</v>
      </c>
      <c r="B56" s="95">
        <f>IFERROR(__xludf.DUMMYFUNCTION("filter(Famillesid!$22:$22,(Famillesid!$16:$16=A56)+(Famillesid!$17:$17=A56)+(Famillesid!$18:$18=A56)+(Famillesid!$19:$19=A56)+(Famillesid!$20:$20=A56)+(Famillesid!$21:$21=A56))"),71.0)</f>
        <v>71</v>
      </c>
      <c r="C56" s="105" t="str">
        <f>IFERROR(__xludf.DUMMYFUNCTION("""COMPUTED_VALUE"""),"Agathe MADAULE")</f>
        <v>Agathe MADAULE</v>
      </c>
      <c r="D56" s="106" t="str">
        <f>IFERROR(__xludf.DUMMYFUNCTION("filter('Réponses au formulaire 1'!T:T,'Réponses au formulaire 1'!B:B=C56)"),"Foulard feria")</f>
        <v>Foulard feria</v>
      </c>
      <c r="E56" s="110"/>
      <c r="F56" s="92"/>
      <c r="G56" s="18"/>
      <c r="H56" s="101" t="str">
        <f>IFERROR(__xludf.DUMMYFUNCTION("""COMPUTED_VALUE"""),"Paul CHAUVIN")</f>
        <v>Paul CHAUVIN</v>
      </c>
      <c r="I56" s="67" t="str">
        <f>IFERROR(__xludf.DUMMYFUNCTION("""COMPUTED_VALUE"""),"je sais pas encore ")</f>
        <v>je sais pas encore 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</row>
    <row r="57">
      <c r="A57" s="101">
        <f t="shared" si="1"/>
        <v>56</v>
      </c>
      <c r="B57" s="95">
        <f>IFERROR(__xludf.DUMMYFUNCTION("filter(Famillesid!$22:$22,(Famillesid!$16:$16=A57)+(Famillesid!$17:$17=A57)+(Famillesid!$18:$18=A57)+(Famillesid!$19:$19=A57)+(Famillesid!$20:$20=A57)+(Famillesid!$21:$21=A57))"),31.0)</f>
        <v>31</v>
      </c>
      <c r="C57" s="105" t="str">
        <f>IFERROR(__xludf.DUMMYFUNCTION("""COMPUTED_VALUE"""),"Mathilde Querné")</f>
        <v>Mathilde Querné</v>
      </c>
      <c r="D57" s="106" t="str">
        <f>IFERROR(__xludf.DUMMYFUNCTION("filter('Réponses au formulaire 1'!T:T,'Réponses au formulaire 1'!B:B=C57)"),"Un cactus")</f>
        <v>Un cactus</v>
      </c>
      <c r="E57" s="110"/>
      <c r="F57" s="92"/>
      <c r="G57" s="18"/>
      <c r="H57" s="101" t="str">
        <f>IFERROR(__xludf.DUMMYFUNCTION("""COMPUTED_VALUE"""),"Jules SINTES")</f>
        <v>Jules SINTES</v>
      </c>
      <c r="I57" s="67" t="str">
        <f>IFERROR(__xludf.DUMMYFUNCTION("""COMPUTED_VALUE"""),"Ski")</f>
        <v>Ski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</row>
    <row r="58">
      <c r="A58" s="101">
        <f t="shared" si="1"/>
        <v>57</v>
      </c>
      <c r="B58" s="95">
        <f>IFERROR(__xludf.DUMMYFUNCTION("filter(Famillesid!$22:$22,(Famillesid!$16:$16=A58)+(Famillesid!$17:$17=A58)+(Famillesid!$18:$18=A58)+(Famillesid!$19:$19=A58)+(Famillesid!$20:$20=A58)+(Famillesid!$21:$21=A58))"),76.0)</f>
        <v>76</v>
      </c>
      <c r="C58" s="105" t="str">
        <f>IFERROR(__xludf.DUMMYFUNCTION("""COMPUTED_VALUE"""),"Marie Cozzi")</f>
        <v>Marie Cozzi</v>
      </c>
      <c r="D58" s="106" t="str">
        <f>IFERROR(__xludf.DUMMYFUNCTION("filter('Réponses au formulaire 1'!T:T,'Réponses au formulaire 1'!B:B=C58)"),"Ma veste jaune")</f>
        <v>Ma veste jaune</v>
      </c>
      <c r="E58" s="111" t="s">
        <v>631</v>
      </c>
      <c r="F58" s="112" t="s">
        <v>1160</v>
      </c>
      <c r="G58" s="18"/>
      <c r="H58" s="101" t="str">
        <f>IFERROR(__xludf.DUMMYFUNCTION("""COMPUTED_VALUE"""),"Emeric Claudel")</f>
        <v>Emeric Claudel</v>
      </c>
      <c r="I58" s="67" t="str">
        <f>IFERROR(__xludf.DUMMYFUNCTION("""COMPUTED_VALUE"""),"Raffin")</f>
        <v>Raffin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</row>
    <row r="59">
      <c r="A59" s="101">
        <f t="shared" si="1"/>
        <v>58</v>
      </c>
      <c r="B59" s="95">
        <f>IFERROR(__xludf.DUMMYFUNCTION("filter(Famillesid!$22:$22,(Famillesid!$16:$16=A59)+(Famillesid!$17:$17=A59)+(Famillesid!$18:$18=A59)+(Famillesid!$19:$19=A59)+(Famillesid!$20:$20=A59)+(Famillesid!$21:$21=A59))"),66.0)</f>
        <v>66</v>
      </c>
      <c r="C59" s="105" t="str">
        <f>IFERROR(__xludf.DUMMYFUNCTION("""COMPUTED_VALUE"""),"Cédric DUSSERRE")</f>
        <v>Cédric DUSSERRE</v>
      </c>
      <c r="D59" s="106" t="str">
        <f>IFERROR(__xludf.DUMMYFUNCTION("filter('Réponses au formulaire 1'!T:T,'Réponses au formulaire 1'!B:B=C59)"),"Une crosse de hockey")</f>
        <v>Une crosse de hockey</v>
      </c>
      <c r="E59" s="110"/>
      <c r="F59" s="92"/>
      <c r="G59" s="18"/>
      <c r="H59" s="101" t="str">
        <f>IFERROR(__xludf.DUMMYFUNCTION("""COMPUTED_VALUE"""),"Orson JAY")</f>
        <v>Orson JAY</v>
      </c>
      <c r="I59" s="67" t="str">
        <f>IFERROR(__xludf.DUMMYFUNCTION("""COMPUTED_VALUE"""),"Ski bas")</f>
        <v>Ski bas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</row>
    <row r="60">
      <c r="A60" s="101">
        <f t="shared" si="1"/>
        <v>59</v>
      </c>
      <c r="B60" s="95">
        <f>IFERROR(__xludf.DUMMYFUNCTION("filter(Famillesid!$22:$22,(Famillesid!$16:$16=A60)+(Famillesid!$17:$17=A60)+(Famillesid!$18:$18=A60)+(Famillesid!$19:$19=A60)+(Famillesid!$20:$20=A60)+(Famillesid!$21:$21=A60))"),66.0)</f>
        <v>66</v>
      </c>
      <c r="C60" s="105" t="str">
        <f>IFERROR(__xludf.DUMMYFUNCTION("""COMPUTED_VALUE"""),"Julien Douxami")</f>
        <v>Julien Douxami</v>
      </c>
      <c r="D60" s="106" t="str">
        <f>IFERROR(__xludf.DUMMYFUNCTION("filter('Réponses au formulaire 1'!T:T,'Réponses au formulaire 1'!B:B=C60)"),"des lunettes fashion")</f>
        <v>des lunettes fashion</v>
      </c>
      <c r="E60" s="110"/>
      <c r="F60" s="92"/>
      <c r="G60" s="18"/>
      <c r="H60" s="101" t="str">
        <f>IFERROR(__xludf.DUMMYFUNCTION("""COMPUTED_VALUE"""),"Sébastien MARAIS")</f>
        <v>Sébastien MARAIS</v>
      </c>
      <c r="I60" s="67" t="str">
        <f>IFERROR(__xludf.DUMMYFUNCTION("""COMPUTED_VALUE"""),"Bonsaï")</f>
        <v>Bonsaï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</row>
    <row r="61">
      <c r="A61" s="101">
        <f t="shared" si="1"/>
        <v>60</v>
      </c>
      <c r="B61" s="95">
        <f>IFERROR(__xludf.DUMMYFUNCTION("filter(Famillesid!$22:$22,(Famillesid!$16:$16=A61)+(Famillesid!$17:$17=A61)+(Famillesid!$18:$18=A61)+(Famillesid!$19:$19=A61)+(Famillesid!$20:$20=A61)+(Famillesid!$21:$21=A61))"),61.0)</f>
        <v>61</v>
      </c>
      <c r="C61" s="105" t="str">
        <f>IFERROR(__xludf.DUMMYFUNCTION("""COMPUTED_VALUE"""),"Louis DA COSTA")</f>
        <v>Louis DA COSTA</v>
      </c>
      <c r="D61" s="106" t="str">
        <f>IFERROR(__xludf.DUMMYFUNCTION("filter('Réponses au formulaire 1'!T:T,'Réponses au formulaire 1'!B:B=C61)"),"Une atelle")</f>
        <v>Une atelle</v>
      </c>
      <c r="E61" s="110"/>
      <c r="F61" s="92"/>
      <c r="G61" s="18"/>
      <c r="H61" s="101" t="str">
        <f>IFERROR(__xludf.DUMMYFUNCTION("""COMPUTED_VALUE"""),"Baptiste Miossec")</f>
        <v>Baptiste Miossec</v>
      </c>
      <c r="I61" s="67" t="str">
        <f>IFERROR(__xludf.DUMMYFUNCTION("""COMPUTED_VALUE"""),"Médaille de semi marathon ")</f>
        <v>Médaille de semi marathon 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</row>
    <row r="62">
      <c r="A62" s="101">
        <f t="shared" si="1"/>
        <v>61</v>
      </c>
      <c r="B62" s="95">
        <f>IFERROR(__xludf.DUMMYFUNCTION("filter(Famillesid!$22:$22,(Famillesid!$16:$16=A62)+(Famillesid!$17:$17=A62)+(Famillesid!$18:$18=A62)+(Famillesid!$19:$19=A62)+(Famillesid!$20:$20=A62)+(Famillesid!$21:$21=A62))"),61.0)</f>
        <v>61</v>
      </c>
      <c r="C62" s="105" t="str">
        <f>IFERROR(__xludf.DUMMYFUNCTION("""COMPUTED_VALUE"""),"Antoine Dupuis")</f>
        <v>Antoine Dupuis</v>
      </c>
      <c r="D62" s="106" t="str">
        <f>IFERROR(__xludf.DUMMYFUNCTION("filter('Réponses au formulaire 1'!T:T,'Réponses au formulaire 1'!B:B=C62)"),"Un ski de qualité supérieure")</f>
        <v>Un ski de qualité supérieure</v>
      </c>
      <c r="E62" s="107" t="s">
        <v>631</v>
      </c>
      <c r="F62" s="108" t="s">
        <v>1162</v>
      </c>
      <c r="G62" s="18"/>
      <c r="H62" s="101" t="str">
        <f>IFERROR(__xludf.DUMMYFUNCTION("""COMPUTED_VALUE"""),"Ferreol GORIOUX")</f>
        <v>Ferreol GORIOUX</v>
      </c>
      <c r="I62" s="67" t="str">
        <f>IFERROR(__xludf.DUMMYFUNCTION("""COMPUTED_VALUE"""),"Un maillot de rugby ")</f>
        <v>Un maillot de rugby 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</row>
    <row r="63">
      <c r="A63" s="101">
        <f t="shared" si="1"/>
        <v>62</v>
      </c>
      <c r="B63" s="95">
        <f>IFERROR(__xludf.DUMMYFUNCTION("filter(Famillesid!$22:$22,(Famillesid!$16:$16=A63)+(Famillesid!$17:$17=A63)+(Famillesid!$18:$18=A63)+(Famillesid!$19:$19=A63)+(Famillesid!$20:$20=A63)+(Famillesid!$21:$21=A63))"),16.0)</f>
        <v>16</v>
      </c>
      <c r="C63" s="105" t="str">
        <f>IFERROR(__xludf.DUMMYFUNCTION("""COMPUTED_VALUE"""),"Lilian Dedecker")</f>
        <v>Lilian Dedecker</v>
      </c>
      <c r="D63" s="106" t="str">
        <f>IFERROR(__xludf.DUMMYFUNCTION("filter('Réponses au formulaire 1'!T:T,'Réponses au formulaire 1'!B:B=C63)"),"Appareil photo")</f>
        <v>Appareil photo</v>
      </c>
      <c r="E63" s="110"/>
      <c r="F63" s="92"/>
      <c r="G63" s="18"/>
      <c r="H63" s="101" t="str">
        <f>IFERROR(__xludf.DUMMYFUNCTION("""COMPUTED_VALUE"""),"Gauthier Maillard")</f>
        <v>Gauthier Maillard</v>
      </c>
      <c r="I63" s="67" t="str">
        <f>IFERROR(__xludf.DUMMYFUNCTION("""COMPUTED_VALUE"""),"Une roue de velo")</f>
        <v>Une roue de velo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</row>
    <row r="64">
      <c r="A64" s="101">
        <f t="shared" si="1"/>
        <v>63</v>
      </c>
      <c r="B64" s="95">
        <f>IFERROR(__xludf.DUMMYFUNCTION("filter(Famillesid!$22:$22,(Famillesid!$16:$16=A64)+(Famillesid!$17:$17=A64)+(Famillesid!$18:$18=A64)+(Famillesid!$19:$19=A64)+(Famillesid!$20:$20=A64)+(Famillesid!$21:$21=A64))"),81.0)</f>
        <v>81</v>
      </c>
      <c r="C64" s="105" t="str">
        <f>IFERROR(__xludf.DUMMYFUNCTION("""COMPUTED_VALUE"""),"J'ui une grosse pute")</f>
        <v>J'ui une grosse pute</v>
      </c>
      <c r="D64" s="106" t="str">
        <f>IFERROR(__xludf.DUMMYFUNCTION("filter('Réponses au formulaire 1'!T:T,'Réponses au formulaire 1'!B:B=C64)"),"Chapeau de farfadet ")</f>
        <v>Chapeau de farfadet </v>
      </c>
      <c r="E64" s="110"/>
      <c r="F64" s="92"/>
      <c r="G64" s="18"/>
      <c r="H64" s="101" t="str">
        <f>IFERROR(__xludf.DUMMYFUNCTION("""COMPUTED_VALUE"""),"Thomas SAEZ")</f>
        <v>Thomas SAEZ</v>
      </c>
      <c r="I64" s="67" t="str">
        <f>IFERROR(__xludf.DUMMYFUNCTION("""COMPUTED_VALUE"""),"une truelle avec du platre")</f>
        <v>une truelle avec du platre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</row>
    <row r="65">
      <c r="A65" s="101">
        <f t="shared" si="1"/>
        <v>64</v>
      </c>
      <c r="B65" s="95">
        <f>IFERROR(__xludf.DUMMYFUNCTION("filter(Famillesid!$22:$22,(Famillesid!$16:$16=A65)+(Famillesid!$17:$17=A65)+(Famillesid!$18:$18=A65)+(Famillesid!$19:$19=A65)+(Famillesid!$20:$20=A65)+(Famillesid!$21:$21=A65))"),71.0)</f>
        <v>71</v>
      </c>
      <c r="C65" s="105" t="str">
        <f>IFERROR(__xludf.DUMMYFUNCTION("""COMPUTED_VALUE"""),"Valentine KEMPF")</f>
        <v>Valentine KEMPF</v>
      </c>
      <c r="D65" s="106" t="str">
        <f>IFERROR(__xludf.DUMMYFUNCTION("filter('Réponses au formulaire 1'!T:T,'Réponses au formulaire 1'!B:B=C65)"),"Une sonette de vélo ")</f>
        <v>Une sonette de vélo </v>
      </c>
      <c r="E65" s="110"/>
      <c r="F65" s="92"/>
      <c r="G65" s="18"/>
      <c r="H65" s="101" t="str">
        <f>IFERROR(__xludf.DUMMYFUNCTION("""COMPUTED_VALUE"""),"Maixent TIGNON")</f>
        <v>Maixent TIGNON</v>
      </c>
      <c r="I65" s="67" t="str">
        <f>IFERROR(__xludf.DUMMYFUNCTION("""COMPUTED_VALUE"""),"Une chaise de bureau en bien bel état")</f>
        <v>Une chaise de bureau en bien bel état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</row>
    <row r="66">
      <c r="A66" s="101">
        <f t="shared" si="1"/>
        <v>65</v>
      </c>
      <c r="B66" s="95">
        <f>IFERROR(__xludf.DUMMYFUNCTION("filter(Famillesid!$22:$22,(Famillesid!$16:$16=A66)+(Famillesid!$17:$17=A66)+(Famillesid!$18:$18=A66)+(Famillesid!$19:$19=A66)+(Famillesid!$20:$20=A66)+(Famillesid!$21:$21=A66))"),86.0)</f>
        <v>86</v>
      </c>
      <c r="C66" s="105" t="str">
        <f>IFERROR(__xludf.DUMMYFUNCTION("""COMPUTED_VALUE"""),"Charlotte Fosse")</f>
        <v>Charlotte Fosse</v>
      </c>
      <c r="D66" s="106" t="str">
        <f>IFERROR(__xludf.DUMMYFUNCTION("filter('Réponses au formulaire 1'!T:T,'Réponses au formulaire 1'!B:B=C66)"),"Choix en cours")</f>
        <v>Choix en cours</v>
      </c>
      <c r="E66" s="110"/>
      <c r="F66" s="92"/>
      <c r="G66" s="18"/>
      <c r="H66" s="101" t="str">
        <f>IFERROR(__xludf.DUMMYFUNCTION("""COMPUTED_VALUE"""),"Quentin Peyle")</f>
        <v>Quentin Peyle</v>
      </c>
      <c r="I66" s="67" t="str">
        <f>IFERROR(__xludf.DUMMYFUNCTION("""COMPUTED_VALUE"""),"Une bêche ")</f>
        <v>Une bêche 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</row>
    <row r="67">
      <c r="A67" s="101">
        <f t="shared" si="1"/>
        <v>66</v>
      </c>
      <c r="B67" s="95">
        <f>IFERROR(__xludf.DUMMYFUNCTION("filter(Famillesid!$22:$22,(Famillesid!$16:$16=A67)+(Famillesid!$17:$17=A67)+(Famillesid!$18:$18=A67)+(Famillesid!$19:$19=A67)+(Famillesid!$20:$20=A67)+(Famillesid!$21:$21=A67))"),36.0)</f>
        <v>36</v>
      </c>
      <c r="C67" s="105" t="str">
        <f>IFERROR(__xludf.DUMMYFUNCTION("""COMPUTED_VALUE"""),"Julien LACOUR")</f>
        <v>Julien LACOUR</v>
      </c>
      <c r="D67" s="106" t="str">
        <f>IFERROR(__xludf.DUMMYFUNCTION("filter('Réponses au formulaire 1'!T:T,'Réponses au formulaire 1'!B:B=C67)"),"Peluche Snoopy")</f>
        <v>Peluche Snoopy</v>
      </c>
      <c r="E67" s="110"/>
      <c r="F67" s="92"/>
      <c r="G67" s="18"/>
      <c r="H67" s="101" t="str">
        <f>IFERROR(__xludf.DUMMYFUNCTION("""COMPUTED_VALUE"""),"Lucas Baraton")</f>
        <v>Lucas Baraton</v>
      </c>
      <c r="I67" s="67" t="str">
        <f>IFERROR(__xludf.DUMMYFUNCTION("""COMPUTED_VALUE"""),"Boîte de glaçons ")</f>
        <v>Boîte de glaçons 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</row>
    <row r="68">
      <c r="A68" s="101">
        <f t="shared" si="1"/>
        <v>67</v>
      </c>
      <c r="B68" s="95">
        <f>IFERROR(__xludf.DUMMYFUNCTION("filter(Famillesid!$22:$22,(Famillesid!$16:$16=A68)+(Famillesid!$17:$17=A68)+(Famillesid!$18:$18=A68)+(Famillesid!$19:$19=A68)+(Famillesid!$20:$20=A68)+(Famillesid!$21:$21=A68))"),31.0)</f>
        <v>31</v>
      </c>
      <c r="C68" s="105" t="str">
        <f>IFERROR(__xludf.DUMMYFUNCTION("""COMPUTED_VALUE"""),"Irène Le Borgne")</f>
        <v>Irène Le Borgne</v>
      </c>
      <c r="D68" s="106" t="str">
        <f>IFERROR(__xludf.DUMMYFUNCTION("filter('Réponses au formulaire 1'!T:T,'Réponses au formulaire 1'!B:B=C68)"),"Un kway orange")</f>
        <v>Un kway orange</v>
      </c>
      <c r="E68" s="110"/>
      <c r="F68" s="92"/>
      <c r="G68" s="18"/>
      <c r="H68" s="101" t="str">
        <f>IFERROR(__xludf.DUMMYFUNCTION("""COMPUTED_VALUE"""),"Martin Fauchille-Martin")</f>
        <v>Martin Fauchille-Martin</v>
      </c>
      <c r="I68" s="67" t="str">
        <f>IFERROR(__xludf.DUMMYFUNCTION("""COMPUTED_VALUE"""),"Le petit Némo")</f>
        <v>Le petit Némo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</row>
    <row r="69">
      <c r="A69" s="101">
        <f t="shared" si="1"/>
        <v>68</v>
      </c>
      <c r="B69" s="95">
        <f>IFERROR(__xludf.DUMMYFUNCTION("filter(Famillesid!$22:$22,(Famillesid!$16:$16=A69)+(Famillesid!$17:$17=A69)+(Famillesid!$18:$18=A69)+(Famillesid!$19:$19=A69)+(Famillesid!$20:$20=A69)+(Famillesid!$21:$21=A69))"),86.0)</f>
        <v>86</v>
      </c>
      <c r="C69" s="105" t="str">
        <f>IFERROR(__xludf.DUMMYFUNCTION("""COMPUTED_VALUE"""),"Aurélien DE LA HOUGUE")</f>
        <v>Aurélien DE LA HOUGUE</v>
      </c>
      <c r="D69" s="106" t="str">
        <f>IFERROR(__xludf.DUMMYFUNCTION("filter('Réponses au formulaire 1'!T:T,'Réponses au formulaire 1'!B:B=C69)"),"Une spirale hypnotisante")</f>
        <v>Une spirale hypnotisante</v>
      </c>
      <c r="E69" s="110"/>
      <c r="F69" s="92"/>
      <c r="G69" s="18"/>
      <c r="H69" s="101" t="str">
        <f>IFERROR(__xludf.DUMMYFUNCTION("""COMPUTED_VALUE"""),"Nils Hornet")</f>
        <v>Nils Hornet</v>
      </c>
      <c r="I69" s="67" t="str">
        <f>IFERROR(__xludf.DUMMYFUNCTION("""COMPUTED_VALUE"""),"Une tongue ")</f>
        <v>Une tongue 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</row>
    <row r="70">
      <c r="A70" s="101">
        <f t="shared" si="1"/>
        <v>69</v>
      </c>
      <c r="B70" s="95">
        <f>IFERROR(__xludf.DUMMYFUNCTION("filter(Famillesid!$22:$22,(Famillesid!$16:$16=A70)+(Famillesid!$17:$17=A70)+(Famillesid!$18:$18=A70)+(Famillesid!$19:$19=A70)+(Famillesid!$20:$20=A70)+(Famillesid!$21:$21=A70))"),86.0)</f>
        <v>86</v>
      </c>
      <c r="C70" s="105" t="str">
        <f>IFERROR(__xludf.DUMMYFUNCTION("""COMPUTED_VALUE"""),"Matthieu BARCET")</f>
        <v>Matthieu BARCET</v>
      </c>
      <c r="D70" s="106" t="str">
        <f>IFERROR(__xludf.DUMMYFUNCTION("filter('Réponses au formulaire 1'!T:T,'Réponses au formulaire 1'!B:B=C70)"),"Un bout de voile")</f>
        <v>Un bout de voile</v>
      </c>
      <c r="E70" s="110"/>
      <c r="F70" s="92"/>
      <c r="G70" s="18"/>
      <c r="H70" s="101" t="str">
        <f>IFERROR(__xludf.DUMMYFUNCTION("""COMPUTED_VALUE"""),"Thomas MEDORI")</f>
        <v>Thomas MEDORI</v>
      </c>
      <c r="I70" s="67" t="str">
        <f>IFERROR(__xludf.DUMMYFUNCTION("""COMPUTED_VALUE"""),"Aquarium")</f>
        <v>Aquarium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</row>
    <row r="71">
      <c r="A71" s="101">
        <f t="shared" si="1"/>
        <v>70</v>
      </c>
      <c r="B71" s="95">
        <f>IFERROR(__xludf.DUMMYFUNCTION("filter(Famillesid!$22:$22,(Famillesid!$16:$16=A71)+(Famillesid!$17:$17=A71)+(Famillesid!$18:$18=A71)+(Famillesid!$19:$19=A71)+(Famillesid!$20:$20=A71)+(Famillesid!$21:$21=A71))"),91.0)</f>
        <v>91</v>
      </c>
      <c r="C71" s="105" t="str">
        <f>IFERROR(__xludf.DUMMYFUNCTION("""COMPUTED_VALUE"""),"Marie VIOLLEAU")</f>
        <v>Marie VIOLLEAU</v>
      </c>
      <c r="D71" s="106" t="str">
        <f>IFERROR(__xludf.DUMMYFUNCTION("filter('Réponses au formulaire 1'!T:T,'Réponses au formulaire 1'!B:B=C71)"),"Une béquille ")</f>
        <v>Une béquille </v>
      </c>
      <c r="E71" s="110"/>
      <c r="F71" s="92"/>
      <c r="G71" s="18"/>
      <c r="H71" s="101" t="str">
        <f>IFERROR(__xludf.DUMMYFUNCTION("""COMPUTED_VALUE"""),"Aurèle HAINAUT")</f>
        <v>Aurèle HAINAUT</v>
      </c>
      <c r="I71" s="67" t="str">
        <f>IFERROR(__xludf.DUMMYFUNCTION("""COMPUTED_VALUE"""),"Un flacon de poppy ")</f>
        <v>Un flacon de poppy 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</row>
    <row r="72">
      <c r="A72" s="101">
        <f t="shared" si="1"/>
        <v>71</v>
      </c>
      <c r="B72" s="95">
        <f>IFERROR(__xludf.DUMMYFUNCTION("filter(Famillesid!$22:$22,(Famillesid!$16:$16=A72)+(Famillesid!$17:$17=A72)+(Famillesid!$18:$18=A72)+(Famillesid!$19:$19=A72)+(Famillesid!$20:$20=A72)+(Famillesid!$21:$21=A72))"),91.0)</f>
        <v>91</v>
      </c>
      <c r="C72" s="105" t="str">
        <f>IFERROR(__xludf.DUMMYFUNCTION("""COMPUTED_VALUE"""),"Mathieu ZACH")</f>
        <v>Mathieu ZACH</v>
      </c>
      <c r="D72" s="106" t="str">
        <f>IFERROR(__xludf.DUMMYFUNCTION("filter('Réponses au formulaire 1'!T:T,'Réponses au formulaire 1'!B:B=C72)"),"Poster sympathique ")</f>
        <v>Poster sympathique </v>
      </c>
      <c r="E72" s="110"/>
      <c r="F72" s="92"/>
      <c r="G72" s="18"/>
      <c r="H72" s="101" t="str">
        <f>IFERROR(__xludf.DUMMYFUNCTION("""COMPUTED_VALUE"""),"Aurèle DALIBOT")</f>
        <v>Aurèle DALIBOT</v>
      </c>
      <c r="I72" s="67" t="str">
        <f>IFERROR(__xludf.DUMMYFUNCTION("""COMPUTED_VALUE"""),"Un chibros")</f>
        <v>Un chibros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</row>
    <row r="73">
      <c r="A73" s="101">
        <f t="shared" si="1"/>
        <v>72</v>
      </c>
      <c r="B73" s="95">
        <f>IFERROR(__xludf.DUMMYFUNCTION("filter(Famillesid!$22:$22,(Famillesid!$16:$16=A73)+(Famillesid!$17:$17=A73)+(Famillesid!$18:$18=A73)+(Famillesid!$19:$19=A73)+(Famillesid!$20:$20=A73)+(Famillesid!$21:$21=A73))"),91.0)</f>
        <v>91</v>
      </c>
      <c r="C73" s="105" t="str">
        <f>IFERROR(__xludf.DUMMYFUNCTION("""COMPUTED_VALUE"""),"Iris PROUST")</f>
        <v>Iris PROUST</v>
      </c>
      <c r="D73" s="106" t="str">
        <f>IFERROR(__xludf.DUMMYFUNCTION("filter('Réponses au formulaire 1'!T:T,'Réponses au formulaire 1'!B:B=C73)"),"cannelés")</f>
        <v>cannelés</v>
      </c>
      <c r="E73" s="110"/>
      <c r="F73" s="92"/>
      <c r="G73" s="18"/>
      <c r="H73" s="101" t="str">
        <f>IFERROR(__xludf.DUMMYFUNCTION("""COMPUTED_VALUE"""),"Quentin NIGRON")</f>
        <v>Quentin NIGRON</v>
      </c>
      <c r="I73" s="67" t="str">
        <f>IFERROR(__xludf.DUMMYFUNCTION("""COMPUTED_VALUE"""),"Une fiole ")</f>
        <v>Une fiole 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</row>
    <row r="74">
      <c r="A74" s="101">
        <f t="shared" si="1"/>
        <v>73</v>
      </c>
      <c r="B74" s="95">
        <f>IFERROR(__xludf.DUMMYFUNCTION("filter(Famillesid!$22:$22,(Famillesid!$16:$16=A74)+(Famillesid!$17:$17=A74)+(Famillesid!$18:$18=A74)+(Famillesid!$19:$19=A74)+(Famillesid!$20:$20=A74)+(Famillesid!$21:$21=A74))"),86.0)</f>
        <v>86</v>
      </c>
      <c r="C74" s="105" t="str">
        <f>IFERROR(__xludf.DUMMYFUNCTION("""COMPUTED_VALUE"""),"Louis AUGEREAU")</f>
        <v>Louis AUGEREAU</v>
      </c>
      <c r="D74" s="106" t="str">
        <f>IFERROR(__xludf.DUMMYFUNCTION("filter('Réponses au formulaire 1'!T:T,'Réponses au formulaire 1'!B:B=C74)"),"Un truc stylé")</f>
        <v>Un truc stylé</v>
      </c>
      <c r="E74" s="110"/>
      <c r="F74" s="92"/>
      <c r="G74" s="18"/>
      <c r="H74" s="101" t="str">
        <f>IFERROR(__xludf.DUMMYFUNCTION("""COMPUTED_VALUE"""),"Alessandro MASI")</f>
        <v>Alessandro MASI</v>
      </c>
      <c r="I74" s="67" t="str">
        <f>IFERROR(__xludf.DUMMYFUNCTION("""COMPUTED_VALUE"""),".")</f>
        <v>.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</row>
    <row r="75">
      <c r="A75" s="101">
        <f t="shared" si="1"/>
        <v>74</v>
      </c>
      <c r="B75" s="95">
        <f>IFERROR(__xludf.DUMMYFUNCTION("filter(Famillesid!$22:$22,(Famillesid!$16:$16=A75)+(Famillesid!$17:$17=A75)+(Famillesid!$18:$18=A75)+(Famillesid!$19:$19=A75)+(Famillesid!$20:$20=A75)+(Famillesid!$21:$21=A75))"),86.0)</f>
        <v>86</v>
      </c>
      <c r="C75" s="105" t="str">
        <f>IFERROR(__xludf.DUMMYFUNCTION("""COMPUTED_VALUE"""),"Céline Balmes")</f>
        <v>Céline Balmes</v>
      </c>
      <c r="D75" s="106" t="str">
        <f>IFERROR(__xludf.DUMMYFUNCTION("filter('Réponses au formulaire 1'!T:T,'Réponses au formulaire 1'!B:B=C75)"),"Cape Winterf'aigle")</f>
        <v>Cape Winterf'aigle</v>
      </c>
      <c r="E75" s="110"/>
      <c r="F75" s="92"/>
      <c r="G75" s="18"/>
      <c r="H75" s="101" t="str">
        <f>IFERROR(__xludf.DUMMYFUNCTION("""COMPUTED_VALUE"""),"Robin Tanquerel")</f>
        <v>Robin Tanquerel</v>
      </c>
      <c r="I75" s="67" t="str">
        <f>IFERROR(__xludf.DUMMYFUNCTION("""COMPUTED_VALUE"""),"Du JDR et de l'alcool ")</f>
        <v>Du JDR et de l'alcool 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</row>
    <row r="76">
      <c r="A76" s="101">
        <f t="shared" si="1"/>
        <v>75</v>
      </c>
      <c r="B76" s="95">
        <f>IFERROR(__xludf.DUMMYFUNCTION("filter(Famillesid!$22:$22,(Famillesid!$16:$16=A76)+(Famillesid!$17:$17=A76)+(Famillesid!$18:$18=A76)+(Famillesid!$19:$19=A76)+(Famillesid!$20:$20=A76)+(Famillesid!$21:$21=A76))"),86.0)</f>
        <v>86</v>
      </c>
      <c r="C76" s="105" t="str">
        <f>IFERROR(__xludf.DUMMYFUNCTION("""COMPUTED_VALUE"""),"Paul SIMON")</f>
        <v>Paul SIMON</v>
      </c>
      <c r="D76" s="106" t="str">
        <f>IFERROR(__xludf.DUMMYFUNCTION("filter('Réponses au formulaire 1'!T:T,'Réponses au formulaire 1'!B:B=C76)"),"De l'amour")</f>
        <v>De l'amour</v>
      </c>
      <c r="E76" s="110"/>
      <c r="F76" s="92"/>
      <c r="G76" s="18"/>
      <c r="H76" s="101" t="str">
        <f>IFERROR(__xludf.DUMMYFUNCTION("""COMPUTED_VALUE"""),"Nathan Gérard")</f>
        <v>Nathan Gérard</v>
      </c>
      <c r="I76" s="67" t="str">
        <f>IFERROR(__xludf.DUMMYFUNCTION("""COMPUTED_VALUE"""),"Un calendrier Clara Morgane")</f>
        <v>Un calendrier Clara Morgane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</row>
    <row r="77">
      <c r="A77" s="101">
        <f t="shared" si="1"/>
        <v>76</v>
      </c>
      <c r="B77" s="95">
        <f>IFERROR(__xludf.DUMMYFUNCTION("filter(Famillesid!$22:$22,(Famillesid!$16:$16=A77)+(Famillesid!$17:$17=A77)+(Famillesid!$18:$18=A77)+(Famillesid!$19:$19=A77)+(Famillesid!$20:$20=A77)+(Famillesid!$21:$21=A77))"),66.0)</f>
        <v>66</v>
      </c>
      <c r="C77" s="105" t="str">
        <f>IFERROR(__xludf.DUMMYFUNCTION("""COMPUTED_VALUE"""),"Paul CHAUVIN")</f>
        <v>Paul CHAUVIN</v>
      </c>
      <c r="D77" s="106" t="str">
        <f>IFERROR(__xludf.DUMMYFUNCTION("filter('Réponses au formulaire 1'!T:T,'Réponses au formulaire 1'!B:B=C77)"),"je sais pas encore ")</f>
        <v>je sais pas encore </v>
      </c>
      <c r="E77" s="110"/>
      <c r="F77" s="92"/>
      <c r="G77" s="18"/>
      <c r="H77" s="101" t="str">
        <f>IFERROR(__xludf.DUMMYFUNCTION("""COMPUTED_VALUE"""),"Alizée DIATCHENKO")</f>
        <v>Alizée DIATCHENKO</v>
      </c>
      <c r="I77" s="67" t="str">
        <f>IFERROR(__xludf.DUMMYFUNCTION("""COMPUTED_VALUE"""),"Une étoile")</f>
        <v>Une étoile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</row>
    <row r="78">
      <c r="A78" s="101">
        <f t="shared" si="1"/>
        <v>77</v>
      </c>
      <c r="B78" s="95">
        <f>IFERROR(__xludf.DUMMYFUNCTION("filter(Famillesid!$22:$22,(Famillesid!$16:$16=A78)+(Famillesid!$17:$17=A78)+(Famillesid!$18:$18=A78)+(Famillesid!$19:$19=A78)+(Famillesid!$20:$20=A78)+(Famillesid!$21:$21=A78))"),96.0)</f>
        <v>96</v>
      </c>
      <c r="C78" s="105" t="str">
        <f>IFERROR(__xludf.DUMMYFUNCTION("""COMPUTED_VALUE"""),"Paul MARTEL")</f>
        <v>Paul MARTEL</v>
      </c>
      <c r="D78" s="106" t="str">
        <f>IFERROR(__xludf.DUMMYFUNCTION("filter('Réponses au formulaire 1'!T:T,'Réponses au formulaire 1'!B:B=C78)"),"Déguisement ")</f>
        <v>Déguisement </v>
      </c>
      <c r="E78" s="107" t="s">
        <v>631</v>
      </c>
      <c r="F78" s="108" t="s">
        <v>1158</v>
      </c>
      <c r="G78" s="18"/>
      <c r="H78" s="101" t="str">
        <f>IFERROR(__xludf.DUMMYFUNCTION("""COMPUTED_VALUE"""),"Thibaut BERTHOMÉ")</f>
        <v>Thibaut BERTHOMÉ</v>
      </c>
      <c r="I78" s="67" t="str">
        <f>IFERROR(__xludf.DUMMYFUNCTION("""COMPUTED_VALUE"""),"Une maquette d'archi lol")</f>
        <v>Une maquette d'archi lol</v>
      </c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</row>
    <row r="79">
      <c r="A79" s="101">
        <f t="shared" si="1"/>
        <v>78</v>
      </c>
      <c r="B79" s="95">
        <f>IFERROR(__xludf.DUMMYFUNCTION("filter(Famillesid!$22:$22,(Famillesid!$16:$16=A79)+(Famillesid!$17:$17=A79)+(Famillesid!$18:$18=A79)+(Famillesid!$19:$19=A79)+(Famillesid!$20:$20=A79)+(Famillesid!$21:$21=A79))"),96.0)</f>
        <v>96</v>
      </c>
      <c r="C79" s="105" t="str">
        <f>IFERROR(__xludf.DUMMYFUNCTION("""COMPUTED_VALUE"""),"Pierre-Louis lombard")</f>
        <v>Pierre-Louis lombard</v>
      </c>
      <c r="D79" s="106" t="str">
        <f>IFERROR(__xludf.DUMMYFUNCTION("filter('Réponses au formulaire 1'!T:T,'Réponses au formulaire 1'!B:B=C79)"),"Mon bob Charlie ")</f>
        <v>Mon bob Charlie </v>
      </c>
      <c r="E79" s="107" t="s">
        <v>631</v>
      </c>
      <c r="F79" s="108" t="s">
        <v>1158</v>
      </c>
      <c r="G79" s="18"/>
      <c r="H79" s="101" t="str">
        <f>IFERROR(__xludf.DUMMYFUNCTION("""COMPUTED_VALUE"""),"Claire TRINQUET")</f>
        <v>Claire TRINQUET</v>
      </c>
      <c r="I79" s="67" t="str">
        <f>IFERROR(__xludf.DUMMYFUNCTION("""COMPUTED_VALUE"""),"Un domino")</f>
        <v>Un domino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</row>
    <row r="80">
      <c r="A80" s="101">
        <f t="shared" si="1"/>
        <v>79</v>
      </c>
      <c r="B80" s="95">
        <f>IFERROR(__xludf.DUMMYFUNCTION("filter(Famillesid!$22:$22,(Famillesid!$16:$16=A80)+(Famillesid!$17:$17=A80)+(Famillesid!$18:$18=A80)+(Famillesid!$19:$19=A80)+(Famillesid!$20:$20=A80)+(Famillesid!$21:$21=A80))"),96.0)</f>
        <v>96</v>
      </c>
      <c r="C80" s="105" t="str">
        <f>IFERROR(__xludf.DUMMYFUNCTION("""COMPUTED_VALUE"""),"Lucas Chaubier")</f>
        <v>Lucas Chaubier</v>
      </c>
      <c r="D80" s="113" t="s">
        <v>1163</v>
      </c>
      <c r="E80" s="107" t="s">
        <v>631</v>
      </c>
      <c r="F80" s="108" t="s">
        <v>1158</v>
      </c>
      <c r="G80" s="18"/>
      <c r="H80" s="101" t="str">
        <f>IFERROR(__xludf.DUMMYFUNCTION("""COMPUTED_VALUE"""),"Sol VILLEGAS")</f>
        <v>Sol VILLEGAS</v>
      </c>
      <c r="I80" s="114" t="str">
        <f>IFERROR(__xludf.DUMMYFUNCTION("""COMPUTED_VALUE"""),"JAMONN")</f>
        <v>JAMONN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</row>
    <row r="81">
      <c r="A81" s="101">
        <f t="shared" si="1"/>
        <v>80</v>
      </c>
      <c r="B81" s="95">
        <f>IFERROR(__xludf.DUMMYFUNCTION("filter(Famillesid!$22:$22,(Famillesid!$16:$16=A81)+(Famillesid!$17:$17=A81)+(Famillesid!$18:$18=A81)+(Famillesid!$19:$19=A81)+(Famillesid!$20:$20=A81)+(Famillesid!$21:$21=A81))"),96.0)</f>
        <v>96</v>
      </c>
      <c r="C81" s="105" t="str">
        <f>IFERROR(__xludf.DUMMYFUNCTION("""COMPUTED_VALUE"""),"Matthieu RETIERE")</f>
        <v>Matthieu RETIERE</v>
      </c>
      <c r="D81" s="106" t="str">
        <f>IFERROR(__xludf.DUMMYFUNCTION("filter('Réponses au formulaire 1'!T:T,'Réponses au formulaire 1'!B:B=C81)"),"Un truc quali")</f>
        <v>Un truc quali</v>
      </c>
      <c r="E81" s="107" t="s">
        <v>631</v>
      </c>
      <c r="F81" s="108" t="s">
        <v>1157</v>
      </c>
      <c r="G81" s="18"/>
      <c r="H81" s="101" t="str">
        <f>IFERROR(__xludf.DUMMYFUNCTION("""COMPUTED_VALUE"""),"Mario ALVAREZ-CASTRILLON")</f>
        <v>Mario ALVAREZ-CASTRILLON</v>
      </c>
      <c r="I81" s="67" t="str">
        <f>IFERROR(__xludf.DUMMYFUNCTION("""COMPUTED_VALUE"""),"Guitare")</f>
        <v>Guitare</v>
      </c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</row>
    <row r="82">
      <c r="A82" s="101">
        <f t="shared" si="1"/>
        <v>81</v>
      </c>
      <c r="B82" s="95">
        <f>IFERROR(__xludf.DUMMYFUNCTION("filter(Famillesid!$22:$22,(Famillesid!$16:$16=A82)+(Famillesid!$17:$17=A82)+(Famillesid!$18:$18=A82)+(Famillesid!$19:$19=A82)+(Famillesid!$20:$20=A82)+(Famillesid!$21:$21=A82))"),106.0)</f>
        <v>106</v>
      </c>
      <c r="C82" s="105" t="str">
        <f>IFERROR(__xludf.DUMMYFUNCTION("""COMPUTED_VALUE"""),"Jules SINTES")</f>
        <v>Jules SINTES</v>
      </c>
      <c r="D82" s="106" t="str">
        <f>IFERROR(__xludf.DUMMYFUNCTION("filter('Réponses au formulaire 1'!T:T,'Réponses au formulaire 1'!B:B=C82)"),"Ski")</f>
        <v>Ski</v>
      </c>
      <c r="E82" s="110"/>
      <c r="F82" s="92"/>
      <c r="G82" s="18"/>
      <c r="H82" s="101" t="str">
        <f>IFERROR(__xludf.DUMMYFUNCTION("""COMPUTED_VALUE"""),"Marie-Jeanne PAUL")</f>
        <v>Marie-Jeanne PAUL</v>
      </c>
      <c r="I82" s="67" t="str">
        <f>IFERROR(__xludf.DUMMYFUNCTION("""COMPUTED_VALUE"""),"Je sais pas")</f>
        <v>Je sais pas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</row>
    <row r="83">
      <c r="A83" s="101">
        <f t="shared" si="1"/>
        <v>82</v>
      </c>
      <c r="B83" s="95">
        <f>IFERROR(__xludf.DUMMYFUNCTION("filter(Famillesid!$22:$22,(Famillesid!$16:$16=A83)+(Famillesid!$17:$17=A83)+(Famillesid!$18:$18=A83)+(Famillesid!$19:$19=A83)+(Famillesid!$20:$20=A83)+(Famillesid!$21:$21=A83))"),106.0)</f>
        <v>106</v>
      </c>
      <c r="C83" s="105" t="str">
        <f>IFERROR(__xludf.DUMMYFUNCTION("""COMPUTED_VALUE"""),"Emeric Claudel")</f>
        <v>Emeric Claudel</v>
      </c>
      <c r="D83" s="106" t="str">
        <f>IFERROR(__xludf.DUMMYFUNCTION("filter('Réponses au formulaire 1'!T:T,'Réponses au formulaire 1'!B:B=C83)"),"Raffin")</f>
        <v>Raffin</v>
      </c>
      <c r="E83" s="110"/>
      <c r="F83" s="92"/>
      <c r="G83" s="18"/>
      <c r="H83" s="101" t="str">
        <f>IFERROR(__xludf.DUMMYFUNCTION("""COMPUTED_VALUE"""),"Vincent Maillou")</f>
        <v>Vincent Maillou</v>
      </c>
      <c r="I83" s="67" t="str">
        <f>IFERROR(__xludf.DUMMYFUNCTION("""COMPUTED_VALUE"""),"Un aviron (la rame)")</f>
        <v>Un aviron (la rame)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</row>
    <row r="84">
      <c r="A84" s="101">
        <f t="shared" si="1"/>
        <v>83</v>
      </c>
      <c r="B84" s="95">
        <f>IFERROR(__xludf.DUMMYFUNCTION("filter(Famillesid!$22:$22,(Famillesid!$16:$16=A84)+(Famillesid!$17:$17=A84)+(Famillesid!$18:$18=A84)+(Famillesid!$19:$19=A84)+(Famillesid!$20:$20=A84)+(Famillesid!$21:$21=A84))"),106.0)</f>
        <v>106</v>
      </c>
      <c r="C84" s="105" t="str">
        <f>IFERROR(__xludf.DUMMYFUNCTION("""COMPUTED_VALUE"""),"Thomas AUZARD")</f>
        <v>Thomas AUZARD</v>
      </c>
      <c r="D84" s="106" t="str">
        <f>IFERROR(__xludf.DUMMYFUNCTION("filter('Réponses au formulaire 1'!T:T,'Réponses au formulaire 1'!B:B=C84)"),"Une voiture ")</f>
        <v>Une voiture </v>
      </c>
      <c r="E84" s="107" t="s">
        <v>631</v>
      </c>
      <c r="F84" s="92"/>
      <c r="G84" s="18"/>
      <c r="H84" s="101" t="str">
        <f>IFERROR(__xludf.DUMMYFUNCTION("""COMPUTED_VALUE"""),"Alfonso COLON DE CARVAJAL")</f>
        <v>Alfonso COLON DE CARVAJAL</v>
      </c>
      <c r="I84" s="67" t="str">
        <f>IFERROR(__xludf.DUMMYFUNCTION("""COMPUTED_VALUE"""),"Vêtements")</f>
        <v>Vêtements</v>
      </c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</row>
    <row r="85">
      <c r="A85" s="101">
        <f t="shared" si="1"/>
        <v>84</v>
      </c>
      <c r="B85" s="95">
        <f>IFERROR(__xludf.DUMMYFUNCTION("filter(Famillesid!$22:$22,(Famillesid!$16:$16=A85)+(Famillesid!$17:$17=A85)+(Famillesid!$18:$18=A85)+(Famillesid!$19:$19=A85)+(Famillesid!$20:$20=A85)+(Famillesid!$21:$21=A85))"),106.0)</f>
        <v>106</v>
      </c>
      <c r="C85" s="105" t="str">
        <f>IFERROR(__xludf.DUMMYFUNCTION("""COMPUTED_VALUE"""),"Orson JAY")</f>
        <v>Orson JAY</v>
      </c>
      <c r="D85" s="106" t="str">
        <f>IFERROR(__xludf.DUMMYFUNCTION("filter('Réponses au formulaire 1'!T:T,'Réponses au formulaire 1'!B:B=C85)"),"Ski bas")</f>
        <v>Ski bas</v>
      </c>
      <c r="E85" s="110"/>
      <c r="F85" s="92"/>
      <c r="G85" s="18"/>
      <c r="H85" s="101" t="str">
        <f>IFERROR(__xludf.DUMMYFUNCTION("""COMPUTED_VALUE"""),"Constance PHILIPPE")</f>
        <v>Constance PHILIPPE</v>
      </c>
      <c r="I85" s="67" t="str">
        <f>IFERROR(__xludf.DUMMYFUNCTION("""COMPUTED_VALUE"""),"Pygama")</f>
        <v>Pygama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</row>
    <row r="86">
      <c r="A86" s="101">
        <f t="shared" si="1"/>
        <v>85</v>
      </c>
      <c r="B86" s="95">
        <f>IFERROR(__xludf.DUMMYFUNCTION("filter(Famillesid!$22:$22,(Famillesid!$16:$16=A86)+(Famillesid!$17:$17=A86)+(Famillesid!$18:$18=A86)+(Famillesid!$19:$19=A86)+(Famillesid!$20:$20=A86)+(Famillesid!$21:$21=A86))"),91.0)</f>
        <v>91</v>
      </c>
      <c r="C86" s="105" t="str">
        <f>IFERROR(__xludf.DUMMYFUNCTION("""COMPUTED_VALUE"""),"Sébastien MARAIS")</f>
        <v>Sébastien MARAIS</v>
      </c>
      <c r="D86" s="106" t="str">
        <f>IFERROR(__xludf.DUMMYFUNCTION("filter('Réponses au formulaire 1'!T:T,'Réponses au formulaire 1'!B:B=C86)"),"Bonsaï")</f>
        <v>Bonsaï</v>
      </c>
      <c r="E86" s="110"/>
      <c r="F86" s="92"/>
      <c r="G86" s="18"/>
      <c r="H86" s="101" t="str">
        <f>IFERROR(__xludf.DUMMYFUNCTION("""COMPUTED_VALUE"""),"Alban VILLEDIEU")</f>
        <v>Alban VILLEDIEU</v>
      </c>
      <c r="I86" s="67" t="str">
        <f>IFERROR(__xludf.DUMMYFUNCTION("""COMPUTED_VALUE"""),"Jsp wsh")</f>
        <v>Jsp wsh</v>
      </c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</row>
    <row r="87">
      <c r="A87" s="101">
        <f t="shared" si="1"/>
        <v>86</v>
      </c>
      <c r="B87" s="95">
        <f>IFERROR(__xludf.DUMMYFUNCTION("filter(Famillesid!$22:$22,(Famillesid!$16:$16=A87)+(Famillesid!$17:$17=A87)+(Famillesid!$18:$18=A87)+(Famillesid!$19:$19=A87)+(Famillesid!$20:$20=A87)+(Famillesid!$21:$21=A87))"),71.0)</f>
        <v>71</v>
      </c>
      <c r="C87" s="105" t="str">
        <f>IFERROR(__xludf.DUMMYFUNCTION("""COMPUTED_VALUE"""),"Baptiste Miossec")</f>
        <v>Baptiste Miossec</v>
      </c>
      <c r="D87" s="106" t="str">
        <f>IFERROR(__xludf.DUMMYFUNCTION("filter('Réponses au formulaire 1'!T:T,'Réponses au formulaire 1'!B:B=C87)"),"Médaille de semi marathon ")</f>
        <v>Médaille de semi marathon </v>
      </c>
      <c r="E87" s="110"/>
      <c r="F87" s="92"/>
      <c r="G87" s="18"/>
      <c r="H87" s="101" t="str">
        <f>IFERROR(__xludf.DUMMYFUNCTION("""COMPUTED_VALUE"""),"Marius DUVILLARD")</f>
        <v>Marius DUVILLARD</v>
      </c>
      <c r="I87" s="67" t="str">
        <f>IFERROR(__xludf.DUMMYFUNCTION("""COMPUTED_VALUE"""),"une fi'sel")</f>
        <v>une fi'sel</v>
      </c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</row>
    <row r="88">
      <c r="A88" s="101">
        <f t="shared" si="1"/>
        <v>87</v>
      </c>
      <c r="B88" s="95">
        <f>IFERROR(__xludf.DUMMYFUNCTION("filter(Famillesid!$22:$22,(Famillesid!$16:$16=A88)+(Famillesid!$17:$17=A88)+(Famillesid!$18:$18=A88)+(Famillesid!$19:$19=A88)+(Famillesid!$20:$20=A88)+(Famillesid!$21:$21=A88))"),111.0)</f>
        <v>111</v>
      </c>
      <c r="C88" s="105" t="str">
        <f>IFERROR(__xludf.DUMMYFUNCTION("""COMPUTED_VALUE"""),"Ferreol GORIOUX")</f>
        <v>Ferreol GORIOUX</v>
      </c>
      <c r="D88" s="106" t="str">
        <f>IFERROR(__xludf.DUMMYFUNCTION("filter('Réponses au formulaire 1'!T:T,'Réponses au formulaire 1'!B:B=C88)"),"Un maillot de rugby ")</f>
        <v>Un maillot de rugby </v>
      </c>
      <c r="E88" s="110"/>
      <c r="F88" s="92"/>
      <c r="G88" s="18"/>
      <c r="H88" s="101" t="str">
        <f>IFERROR(__xludf.DUMMYFUNCTION("""COMPUTED_VALUE"""),"Pierre Go")</f>
        <v>Pierre Go</v>
      </c>
      <c r="I88" s="67" t="str">
        <f>IFERROR(__xludf.DUMMYFUNCTION("""COMPUTED_VALUE"""),"Une machine à barbe a papa")</f>
        <v>Une machine à barbe a papa</v>
      </c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</row>
    <row r="89">
      <c r="A89" s="101">
        <f t="shared" si="1"/>
        <v>88</v>
      </c>
      <c r="B89" s="95">
        <f>IFERROR(__xludf.DUMMYFUNCTION("filter(Famillesid!$22:$22,(Famillesid!$16:$16=A89)+(Famillesid!$17:$17=A89)+(Famillesid!$18:$18=A89)+(Famillesid!$19:$19=A89)+(Famillesid!$20:$20=A89)+(Famillesid!$21:$21=A89))"),91.0)</f>
        <v>91</v>
      </c>
      <c r="C89" s="105" t="str">
        <f>IFERROR(__xludf.DUMMYFUNCTION("""COMPUTED_VALUE"""),"Gauthier Maillard")</f>
        <v>Gauthier Maillard</v>
      </c>
      <c r="D89" s="106" t="str">
        <f>IFERROR(__xludf.DUMMYFUNCTION("filter('Réponses au formulaire 1'!T:T,'Réponses au formulaire 1'!B:B=C89)"),"Une roue de velo")</f>
        <v>Une roue de velo</v>
      </c>
      <c r="E89" s="110"/>
      <c r="F89" s="92"/>
      <c r="G89" s="18"/>
      <c r="H89" s="101" t="str">
        <f>IFERROR(__xludf.DUMMYFUNCTION("""COMPUTED_VALUE"""),"Mitsi R.")</f>
        <v>Mitsi R.</v>
      </c>
      <c r="I89" s="67" t="str">
        <f>IFERROR(__xludf.DUMMYFUNCTION("""COMPUTED_VALUE"""),"El sombrero")</f>
        <v>El sombrero</v>
      </c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</row>
    <row r="90">
      <c r="A90" s="101">
        <f t="shared" si="1"/>
        <v>89</v>
      </c>
      <c r="B90" s="95">
        <f>IFERROR(__xludf.DUMMYFUNCTION("filter(Famillesid!$22:$22,(Famillesid!$16:$16=A90)+(Famillesid!$17:$17=A90)+(Famillesid!$18:$18=A90)+(Famillesid!$19:$19=A90)+(Famillesid!$20:$20=A90)+(Famillesid!$21:$21=A90))"),116.0)</f>
        <v>116</v>
      </c>
      <c r="C90" s="105" t="str">
        <f>IFERROR(__xludf.DUMMYFUNCTION("""COMPUTED_VALUE"""),"Thomas SAEZ")</f>
        <v>Thomas SAEZ</v>
      </c>
      <c r="D90" s="106" t="str">
        <f>IFERROR(__xludf.DUMMYFUNCTION("filter('Réponses au formulaire 1'!T:T,'Réponses au formulaire 1'!B:B=C90)"),"une truelle avec du platre")</f>
        <v>une truelle avec du platre</v>
      </c>
      <c r="E90" s="110"/>
      <c r="F90" s="92"/>
      <c r="G90" s="18"/>
      <c r="H90" s="101" t="str">
        <f>IFERROR(__xludf.DUMMYFUNCTION("""COMPUTED_VALUE"""),"Valentin Antonio")</f>
        <v>Valentin Antonio</v>
      </c>
      <c r="I90" s="67" t="str">
        <f>IFERROR(__xludf.DUMMYFUNCTION("""COMPUTED_VALUE"""),"une balle de hand")</f>
        <v>une balle de hand</v>
      </c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</row>
    <row r="91">
      <c r="A91" s="101">
        <f t="shared" si="1"/>
        <v>90</v>
      </c>
      <c r="B91" s="95">
        <f>IFERROR(__xludf.DUMMYFUNCTION("filter(Famillesid!$22:$22,(Famillesid!$16:$16=A91)+(Famillesid!$17:$17=A91)+(Famillesid!$18:$18=A91)+(Famillesid!$19:$19=A91)+(Famillesid!$20:$20=A91)+(Famillesid!$21:$21=A91))"),91.0)</f>
        <v>91</v>
      </c>
      <c r="C91" s="105" t="str">
        <f>IFERROR(__xludf.DUMMYFUNCTION("""COMPUTED_VALUE"""),"Maixent TIGNON")</f>
        <v>Maixent TIGNON</v>
      </c>
      <c r="D91" s="106" t="str">
        <f>IFERROR(__xludf.DUMMYFUNCTION("filter('Réponses au formulaire 1'!T:T,'Réponses au formulaire 1'!B:B=C91)"),"Une chaise de bureau en bien bel état")</f>
        <v>Une chaise de bureau en bien bel état</v>
      </c>
      <c r="E91" s="110"/>
      <c r="F91" s="92"/>
      <c r="G91" s="18"/>
      <c r="H91" s="101" t="str">
        <f>IFERROR(__xludf.DUMMYFUNCTION("""COMPUTED_VALUE"""),"Alizée AMSLER")</f>
        <v>Alizée AMSLER</v>
      </c>
      <c r="I91" s="67" t="str">
        <f>IFERROR(__xludf.DUMMYFUNCTION("""COMPUTED_VALUE"""),"Jeu de wii ")</f>
        <v>Jeu de wii </v>
      </c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</row>
    <row r="92">
      <c r="A92" s="101">
        <f t="shared" si="1"/>
        <v>91</v>
      </c>
      <c r="B92" s="95">
        <f>IFERROR(__xludf.DUMMYFUNCTION("filter(Famillesid!$22:$22,(Famillesid!$16:$16=A92)+(Famillesid!$17:$17=A92)+(Famillesid!$18:$18=A92)+(Famillesid!$19:$19=A92)+(Famillesid!$20:$20=A92)+(Famillesid!$21:$21=A92))"),11.0)</f>
        <v>11</v>
      </c>
      <c r="C92" s="105" t="str">
        <f>IFERROR(__xludf.DUMMYFUNCTION("""COMPUTED_VALUE"""),"Quentin Peyle")</f>
        <v>Quentin Peyle</v>
      </c>
      <c r="D92" s="106" t="str">
        <f>IFERROR(__xludf.DUMMYFUNCTION("filter('Réponses au formulaire 1'!T:T,'Réponses au formulaire 1'!B:B=C92)"),"Une bêche ")</f>
        <v>Une bêche </v>
      </c>
      <c r="E92" s="110"/>
      <c r="F92" s="92"/>
      <c r="G92" s="18"/>
      <c r="H92" s="101" t="str">
        <f>IFERROR(__xludf.DUMMYFUNCTION("""COMPUTED_VALUE"""),"Mai-Vi VU")</f>
        <v>Mai-Vi VU</v>
      </c>
      <c r="I92" s="67" t="str">
        <f>IFERROR(__xludf.DUMMYFUNCTION("""COMPUTED_VALUE"""),"Une genouillère ")</f>
        <v>Une genouillère </v>
      </c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</row>
    <row r="93">
      <c r="A93" s="101">
        <f t="shared" si="1"/>
        <v>92</v>
      </c>
      <c r="B93" s="95">
        <f>IFERROR(__xludf.DUMMYFUNCTION("filter(Famillesid!$22:$22,(Famillesid!$16:$16=A93)+(Famillesid!$17:$17=A93)+(Famillesid!$18:$18=A93)+(Famillesid!$19:$19=A93)+(Famillesid!$20:$20=A93)+(Famillesid!$21:$21=A93))"),61.0)</f>
        <v>61</v>
      </c>
      <c r="C93" s="105" t="str">
        <f>IFERROR(__xludf.DUMMYFUNCTION("""COMPUTED_VALUE"""),"Lucas Baraton")</f>
        <v>Lucas Baraton</v>
      </c>
      <c r="D93" s="106" t="str">
        <f>IFERROR(__xludf.DUMMYFUNCTION("filter('Réponses au formulaire 1'!T:T,'Réponses au formulaire 1'!B:B=C93)"),"Boîte de glaçons ")</f>
        <v>Boîte de glaçons </v>
      </c>
      <c r="E93" s="110"/>
      <c r="F93" s="92"/>
      <c r="G93" s="18"/>
      <c r="H93" s="101" t="str">
        <f>IFERROR(__xludf.DUMMYFUNCTION("""COMPUTED_VALUE"""),"Perrine JUILLET")</f>
        <v>Perrine JUILLET</v>
      </c>
      <c r="I93" s="67" t="str">
        <f>IFERROR(__xludf.DUMMYFUNCTION("""COMPUTED_VALUE"""),"Mon diplome de bac littéraire")</f>
        <v>Mon diplome de bac littéraire</v>
      </c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</row>
    <row r="94">
      <c r="A94" s="101">
        <f t="shared" si="1"/>
        <v>93</v>
      </c>
      <c r="B94" s="95">
        <f>IFERROR(__xludf.DUMMYFUNCTION("filter(Famillesid!$22:$22,(Famillesid!$16:$16=A94)+(Famillesid!$17:$17=A94)+(Famillesid!$18:$18=A94)+(Famillesid!$19:$19=A94)+(Famillesid!$20:$20=A94)+(Famillesid!$21:$21=A94))"),111.0)</f>
        <v>111</v>
      </c>
      <c r="C94" s="105" t="str">
        <f>IFERROR(__xludf.DUMMYFUNCTION("""COMPUTED_VALUE"""),"Samuel RATOUIT")</f>
        <v>Samuel RATOUIT</v>
      </c>
      <c r="D94" s="106" t="str">
        <f>IFERROR(__xludf.DUMMYFUNCTION("filter('Réponses au formulaire 1'!T:T,'Réponses au formulaire 1'!B:B=C94)"),"Un Chapelet ")</f>
        <v>Un Chapelet </v>
      </c>
      <c r="E94" s="107" t="s">
        <v>631</v>
      </c>
      <c r="F94" s="108" t="s">
        <v>1157</v>
      </c>
      <c r="G94" s="18"/>
      <c r="H94" s="101" t="str">
        <f>IFERROR(__xludf.DUMMYFUNCTION("""COMPUTED_VALUE"""),"Maxence PASCAL")</f>
        <v>Maxence PASCAL</v>
      </c>
      <c r="I94" s="67" t="str">
        <f>IFERROR(__xludf.DUMMYFUNCTION("""COMPUTED_VALUE"""),"Manette de console")</f>
        <v>Manette de console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</row>
    <row r="95">
      <c r="A95" s="101">
        <f t="shared" si="1"/>
        <v>94</v>
      </c>
      <c r="B95" s="95">
        <f>IFERROR(__xludf.DUMMYFUNCTION("filter(Famillesid!$22:$22,(Famillesid!$16:$16=A95)+(Famillesid!$17:$17=A95)+(Famillesid!$18:$18=A95)+(Famillesid!$19:$19=A95)+(Famillesid!$20:$20=A95)+(Famillesid!$21:$21=A95))"),111.0)</f>
        <v>111</v>
      </c>
      <c r="C95" s="105" t="str">
        <f>IFERROR(__xludf.DUMMYFUNCTION("""COMPUTED_VALUE"""),"Martin Fauchille-Martin")</f>
        <v>Martin Fauchille-Martin</v>
      </c>
      <c r="D95" s="106" t="str">
        <f>IFERROR(__xludf.DUMMYFUNCTION("filter('Réponses au formulaire 1'!T:T,'Réponses au formulaire 1'!B:B=C95)"),"Le petit Némo")</f>
        <v>Le petit Némo</v>
      </c>
      <c r="E95" s="110"/>
      <c r="F95" s="92"/>
      <c r="G95" s="18"/>
      <c r="H95" s="101" t="str">
        <f>IFERROR(__xludf.DUMMYFUNCTION("""COMPUTED_VALUE"""),"Lisa SAVARIEAU")</f>
        <v>Lisa SAVARIEAU</v>
      </c>
      <c r="I95" s="67" t="str">
        <f>IFERROR(__xludf.DUMMYFUNCTION("""COMPUTED_VALUE"""),"Tomates cerises")</f>
        <v>Tomates cerises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</row>
    <row r="96">
      <c r="A96" s="101">
        <f t="shared" si="1"/>
        <v>95</v>
      </c>
      <c r="B96" s="95">
        <f>IFERROR(__xludf.DUMMYFUNCTION("filter(Famillesid!$22:$22,(Famillesid!$16:$16=A96)+(Famillesid!$17:$17=A96)+(Famillesid!$18:$18=A96)+(Famillesid!$19:$19=A96)+(Famillesid!$20:$20=A96)+(Famillesid!$21:$21=A96))"),111.0)</f>
        <v>111</v>
      </c>
      <c r="C96" s="105" t="str">
        <f>IFERROR(__xludf.DUMMYFUNCTION("""COMPUTED_VALUE"""),"Nils Hornet")</f>
        <v>Nils Hornet</v>
      </c>
      <c r="D96" s="106" t="str">
        <f>IFERROR(__xludf.DUMMYFUNCTION("filter('Réponses au formulaire 1'!T:T,'Réponses au formulaire 1'!B:B=C96)"),"Une tongue ")</f>
        <v>Une tongue </v>
      </c>
      <c r="E96" s="110"/>
      <c r="F96" s="92"/>
      <c r="G96" s="18"/>
      <c r="H96" s="101" t="str">
        <f>IFERROR(__xludf.DUMMYFUNCTION("""COMPUTED_VALUE"""),"Ludivine LUXEY")</f>
        <v>Ludivine LUXEY</v>
      </c>
      <c r="I96" s="67" t="str">
        <f>IFERROR(__xludf.DUMMYFUNCTION("""COMPUTED_VALUE"""),"Drapeau rugby ")</f>
        <v>Drapeau rugby 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</row>
    <row r="97">
      <c r="A97" s="101">
        <f t="shared" si="1"/>
        <v>96</v>
      </c>
      <c r="B97" s="95">
        <f>IFERROR(__xludf.DUMMYFUNCTION("filter(Famillesid!$22:$22,(Famillesid!$16:$16=A97)+(Famillesid!$17:$17=A97)+(Famillesid!$18:$18=A97)+(Famillesid!$19:$19=A97)+(Famillesid!$20:$20=A97)+(Famillesid!$21:$21=A97))"),121.0)</f>
        <v>121</v>
      </c>
      <c r="C97" s="105" t="str">
        <f>IFERROR(__xludf.DUMMYFUNCTION("""COMPUTED_VALUE"""),"Thomas MEDORI")</f>
        <v>Thomas MEDORI</v>
      </c>
      <c r="D97" s="106" t="str">
        <f>IFERROR(__xludf.DUMMYFUNCTION("filter('Réponses au formulaire 1'!T:T,'Réponses au formulaire 1'!B:B=C97)"),"Aquarium")</f>
        <v>Aquarium</v>
      </c>
      <c r="E97" s="110"/>
      <c r="F97" s="92"/>
      <c r="G97" s="18"/>
      <c r="H97" s="101" t="str">
        <f>IFERROR(__xludf.DUMMYFUNCTION("""COMPUTED_VALUE"""),"Henrique MARTINEZ DE AZEVEDO")</f>
        <v>Henrique MARTINEZ DE AZEVEDO</v>
      </c>
      <c r="I97" s="67" t="str">
        <f>IFERROR(__xludf.DUMMYFUNCTION("""COMPUTED_VALUE"""),"une fausse canne a peche, peut-etre")</f>
        <v>une fausse canne a peche, peut-etre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</row>
    <row r="98">
      <c r="A98" s="101">
        <f t="shared" si="1"/>
        <v>97</v>
      </c>
      <c r="B98" s="95">
        <f>IFERROR(__xludf.DUMMYFUNCTION("filter(Famillesid!$22:$22,(Famillesid!$16:$16=A98)+(Famillesid!$17:$17=A98)+(Famillesid!$18:$18=A98)+(Famillesid!$19:$19=A98)+(Famillesid!$20:$20=A98)+(Famillesid!$21:$21=A98))"),121.0)</f>
        <v>121</v>
      </c>
      <c r="C98" s="105" t="str">
        <f>IFERROR(__xludf.DUMMYFUNCTION("""COMPUTED_VALUE"""),"Aurèle HAINAUT")</f>
        <v>Aurèle HAINAUT</v>
      </c>
      <c r="D98" s="106" t="str">
        <f>IFERROR(__xludf.DUMMYFUNCTION("filter('Réponses au formulaire 1'!T:T,'Réponses au formulaire 1'!B:B=C98)"),"Un flacon de poppy ")</f>
        <v>Un flacon de poppy </v>
      </c>
      <c r="E98" s="110"/>
      <c r="F98" s="92"/>
      <c r="G98" s="18"/>
      <c r="H98" s="101" t="str">
        <f>IFERROR(__xludf.DUMMYFUNCTION("""COMPUTED_VALUE"""),"Ariane BERGER")</f>
        <v>Ariane BERGER</v>
      </c>
      <c r="I98" s="67" t="str">
        <f>IFERROR(__xludf.DUMMYFUNCTION("""COMPUTED_VALUE"""),"Une bougie")</f>
        <v>Une bougie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</row>
    <row r="99">
      <c r="A99" s="101">
        <f t="shared" si="1"/>
        <v>98</v>
      </c>
      <c r="B99" s="95">
        <f>IFERROR(__xludf.DUMMYFUNCTION("filter(Famillesid!$22:$22,(Famillesid!$16:$16=A99)+(Famillesid!$17:$17=A99)+(Famillesid!$18:$18=A99)+(Famillesid!$19:$19=A99)+(Famillesid!$20:$20=A99)+(Famillesid!$21:$21=A99))"),121.0)</f>
        <v>121</v>
      </c>
      <c r="C99" s="105" t="str">
        <f>IFERROR(__xludf.DUMMYFUNCTION("""COMPUTED_VALUE"""),"Aurèle DALIBOT")</f>
        <v>Aurèle DALIBOT</v>
      </c>
      <c r="D99" s="106" t="str">
        <f>IFERROR(__xludf.DUMMYFUNCTION("filter('Réponses au formulaire 1'!T:T,'Réponses au formulaire 1'!B:B=C99)"),"Un chibros")</f>
        <v>Un chibros</v>
      </c>
      <c r="E99" s="110"/>
      <c r="F99" s="92"/>
      <c r="G99" s="18"/>
      <c r="H99" s="101" t="str">
        <f>IFERROR(__xludf.DUMMYFUNCTION("""COMPUTED_VALUE"""),"Alice Mennesson")</f>
        <v>Alice Mennesson</v>
      </c>
      <c r="I99" s="67" t="str">
        <f>IFERROR(__xludf.DUMMYFUNCTION("""COMPUTED_VALUE"""),"Une planche de snow")</f>
        <v>Une planche de snow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</row>
    <row r="100">
      <c r="A100" s="101">
        <f t="shared" si="1"/>
        <v>99</v>
      </c>
      <c r="B100" s="95">
        <f>IFERROR(__xludf.DUMMYFUNCTION("filter(Famillesid!$22:$22,(Famillesid!$16:$16=A100)+(Famillesid!$17:$17=A100)+(Famillesid!$18:$18=A100)+(Famillesid!$19:$19=A100)+(Famillesid!$20:$20=A100)+(Famillesid!$21:$21=A100))"),61.0)</f>
        <v>61</v>
      </c>
      <c r="C100" s="105" t="str">
        <f>IFERROR(__xludf.DUMMYFUNCTION("""COMPUTED_VALUE"""),"Quentin NIGRON")</f>
        <v>Quentin NIGRON</v>
      </c>
      <c r="D100" s="106" t="str">
        <f>IFERROR(__xludf.DUMMYFUNCTION("filter('Réponses au formulaire 1'!T:T,'Réponses au formulaire 1'!B:B=C100)"),"Une fiole ")</f>
        <v>Une fiole </v>
      </c>
      <c r="E100" s="110"/>
      <c r="F100" s="92"/>
      <c r="G100" s="18"/>
      <c r="H100" s="101" t="str">
        <f>IFERROR(__xludf.DUMMYFUNCTION("""COMPUTED_VALUE"""),"José Ronzel")</f>
        <v>José Ronzel</v>
      </c>
      <c r="I100" s="67" t="str">
        <f>IFERROR(__xludf.DUMMYFUNCTION("""COMPUTED_VALUE"""),"Feo le chat")</f>
        <v>Feo le chat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</row>
    <row r="101">
      <c r="A101" s="101">
        <f t="shared" si="1"/>
        <v>100</v>
      </c>
      <c r="B101" s="95">
        <f>IFERROR(__xludf.DUMMYFUNCTION("filter(Famillesid!$22:$22,(Famillesid!$16:$16=A101)+(Famillesid!$17:$17=A101)+(Famillesid!$18:$18=A101)+(Famillesid!$19:$19=A101)+(Famillesid!$20:$20=A101)+(Famillesid!$21:$21=A101))"),76.0)</f>
        <v>76</v>
      </c>
      <c r="C101" s="105" t="str">
        <f>IFERROR(__xludf.DUMMYFUNCTION("""COMPUTED_VALUE"""),"Alessandro MASI")</f>
        <v>Alessandro MASI</v>
      </c>
      <c r="D101" s="113" t="s">
        <v>116</v>
      </c>
      <c r="E101" s="110"/>
      <c r="F101" s="92"/>
      <c r="G101" s="18"/>
      <c r="H101" s="101" t="str">
        <f>IFERROR(__xludf.DUMMYFUNCTION("""COMPUTED_VALUE"""),"Léa SCETBUN")</f>
        <v>Léa SCETBUN</v>
      </c>
      <c r="I101" s="67" t="str">
        <f>IFERROR(__xludf.DUMMYFUNCTION("""COMPUTED_VALUE"""),"Un porte clé")</f>
        <v>Un porte clé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</row>
    <row r="102">
      <c r="A102" s="101">
        <f t="shared" si="1"/>
        <v>101</v>
      </c>
      <c r="B102" s="95">
        <f>IFERROR(__xludf.DUMMYFUNCTION("filter(Famillesid!$22:$22,(Famillesid!$16:$16=A102)+(Famillesid!$17:$17=A102)+(Famillesid!$18:$18=A102)+(Famillesid!$19:$19=A102)+(Famillesid!$20:$20=A102)+(Famillesid!$21:$21=A102))"),76.0)</f>
        <v>76</v>
      </c>
      <c r="C102" s="105" t="str">
        <f>IFERROR(__xludf.DUMMYFUNCTION("""COMPUTED_VALUE"""),"Robin Tanquerel")</f>
        <v>Robin Tanquerel</v>
      </c>
      <c r="D102" s="106" t="str">
        <f>IFERROR(__xludf.DUMMYFUNCTION("filter('Réponses au formulaire 1'!T:T,'Réponses au formulaire 1'!B:B=C102)"),"Du JDR et de l'alcool ")</f>
        <v>Du JDR et de l'alcool </v>
      </c>
      <c r="E102" s="110"/>
      <c r="F102" s="92"/>
      <c r="G102" s="18"/>
      <c r="H102" s="101" t="str">
        <f>IFERROR(__xludf.DUMMYFUNCTION("""COMPUTED_VALUE"""),"Théo DELOBEL")</f>
        <v>Théo DELOBEL</v>
      </c>
      <c r="I102" s="67" t="str">
        <f>IFERROR(__xludf.DUMMYFUNCTION("""COMPUTED_VALUE"""),"Le fleurs du mal/pin's Brio/autrechoselol")</f>
        <v>Le fleurs du mal/pin's Brio/autrechoselol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</row>
    <row r="103">
      <c r="A103" s="101">
        <f t="shared" si="1"/>
        <v>102</v>
      </c>
      <c r="B103" s="95" t="str">
        <f>IFERROR(__xludf.DUMMYFUNCTION("filter(Famillesid!$22:$22,(Famillesid!$16:$16=A103)+(Famillesid!$17:$17=A103)+(Famillesid!$18:$18=A103)+(Famillesid!$19:$19=A103)+(Famillesid!$20:$20=A103)+(Famillesid!$21:$21=A103))"),"#N/A")</f>
        <v>#N/A</v>
      </c>
      <c r="C103" s="105" t="str">
        <f>IFERROR(__xludf.DUMMYFUNCTION("""COMPUTED_VALUE"""),"Pauline AUBRY")</f>
        <v>Pauline AUBRY</v>
      </c>
      <c r="D103" s="106" t="str">
        <f>IFERROR(__xludf.DUMMYFUNCTION("filter('Réponses au formulaire 1'!T:T,'Réponses au formulaire 1'!B:B=C103)"),"Ma couronne")</f>
        <v>Ma couronne</v>
      </c>
      <c r="E103" s="111" t="s">
        <v>631</v>
      </c>
      <c r="F103" s="112" t="s">
        <v>1158</v>
      </c>
      <c r="G103" s="18"/>
      <c r="H103" s="101" t="str">
        <f>IFERROR(__xludf.DUMMYFUNCTION("""COMPUTED_VALUE"""),"Jérôme KAYSER")</f>
        <v>Jérôme KAYSER</v>
      </c>
      <c r="I103" s="67" t="str">
        <f>IFERROR(__xludf.DUMMYFUNCTION("""COMPUTED_VALUE"""),"Les Fleurs du mal/Un pins FA/autre chose lol")</f>
        <v>Les Fleurs du mal/Un pins FA/autre chose lol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</row>
    <row r="104">
      <c r="A104" s="101">
        <f t="shared" si="1"/>
        <v>103</v>
      </c>
      <c r="B104" s="95">
        <f>IFERROR(__xludf.DUMMYFUNCTION("filter(Famillesid!$22:$22,(Famillesid!$16:$16=A104)+(Famillesid!$17:$17=A104)+(Famillesid!$18:$18=A104)+(Famillesid!$19:$19=A104)+(Famillesid!$20:$20=A104)+(Famillesid!$21:$21=A104))"),146.0)</f>
        <v>146</v>
      </c>
      <c r="C104" s="105" t="str">
        <f>IFERROR(__xludf.DUMMYFUNCTION("""COMPUTED_VALUE"""),"Nicolas GUYONNEAU")</f>
        <v>Nicolas GUYONNEAU</v>
      </c>
      <c r="D104" s="106" t="str">
        <f>IFERROR(__xludf.DUMMYFUNCTION("filter('Réponses au formulaire 1'!T:T,'Réponses au formulaire 1'!B:B=C104)"),"Mon maillot de volley")</f>
        <v>Mon maillot de volley</v>
      </c>
      <c r="E104" s="107" t="s">
        <v>631</v>
      </c>
      <c r="F104" s="108" t="s">
        <v>1158</v>
      </c>
      <c r="G104" s="18"/>
      <c r="H104" s="101" t="str">
        <f>IFERROR(__xludf.DUMMYFUNCTION("""COMPUTED_VALUE"""),"Esteban LECOURT")</f>
        <v>Esteban LECOURT</v>
      </c>
      <c r="I104" s="67" t="str">
        <f>IFERROR(__xludf.DUMMYFUNCTION("""COMPUTED_VALUE"""),"Un sweat SKT")</f>
        <v>Un sweat SKT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</row>
    <row r="105">
      <c r="A105" s="101">
        <f t="shared" si="1"/>
        <v>104</v>
      </c>
      <c r="B105" s="95">
        <f>IFERROR(__xludf.DUMMYFUNCTION("filter(Famillesid!$22:$22,(Famillesid!$16:$16=A105)+(Famillesid!$17:$17=A105)+(Famillesid!$18:$18=A105)+(Famillesid!$19:$19=A105)+(Famillesid!$20:$20=A105)+(Famillesid!$21:$21=A105))"),31.0)</f>
        <v>31</v>
      </c>
      <c r="C105" s="105" t="str">
        <f>IFERROR(__xludf.DUMMYFUNCTION("""COMPUTED_VALUE"""),"Nathan Gérard")</f>
        <v>Nathan Gérard</v>
      </c>
      <c r="D105" s="106" t="str">
        <f>IFERROR(__xludf.DUMMYFUNCTION("filter('Réponses au formulaire 1'!T:T,'Réponses au formulaire 1'!B:B=C105)"),"Un calendrier Clara Morgane")</f>
        <v>Un calendrier Clara Morgane</v>
      </c>
      <c r="E105" s="110"/>
      <c r="F105" s="92"/>
      <c r="G105" s="18"/>
      <c r="H105" s="101" t="str">
        <f>IFERROR(__xludf.DUMMYFUNCTION("""COMPUTED_VALUE"""),"Luis FERNANDEZ")</f>
        <v>Luis FERNANDEZ</v>
      </c>
      <c r="I105" s="67" t="str">
        <f>IFERROR(__xludf.DUMMYFUNCTION("""COMPUTED_VALUE"""),"Chaussons escalade")</f>
        <v>Chaussons escalade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</row>
    <row r="106">
      <c r="A106" s="101">
        <f t="shared" si="1"/>
        <v>105</v>
      </c>
      <c r="B106" s="95" t="str">
        <f>IFERROR(__xludf.DUMMYFUNCTION("filter(Famillesid!$22:$22,(Famillesid!$16:$16=A106)+(Famillesid!$17:$17=A106)+(Famillesid!$18:$18=A106)+(Famillesid!$19:$19=A106)+(Famillesid!$20:$20=A106)+(Famillesid!$21:$21=A106))"),"#N/A")</f>
        <v>#N/A</v>
      </c>
      <c r="C106" s="105" t="str">
        <f>IFERROR(__xludf.DUMMYFUNCTION("""COMPUTED_VALUE"""),"Flora SOUSSAND")</f>
        <v>Flora SOUSSAND</v>
      </c>
      <c r="D106" s="106" t="str">
        <f>IFERROR(__xludf.DUMMYFUNCTION("filter('Réponses au formulaire 1'!T:T,'Réponses au formulaire 1'!B:B=C106)"),"ECNiouzes sur l'enfance")</f>
        <v>ECNiouzes sur l'enfance</v>
      </c>
      <c r="E106" s="107" t="s">
        <v>631</v>
      </c>
      <c r="F106" s="108" t="s">
        <v>1158</v>
      </c>
      <c r="G106" s="18"/>
      <c r="H106" s="101" t="str">
        <f>IFERROR(__xludf.DUMMYFUNCTION("""COMPUTED_VALUE"""),"Eugénie cotte")</f>
        <v>Eugénie cotte</v>
      </c>
      <c r="I106" s="67" t="str">
        <f>IFERROR(__xludf.DUMMYFUNCTION("""COMPUTED_VALUE"""),"Des oreilles de cochon")</f>
        <v>Des oreilles de cochon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</row>
    <row r="107">
      <c r="A107" s="101">
        <f t="shared" si="1"/>
        <v>106</v>
      </c>
      <c r="B107" s="95">
        <f>IFERROR(__xludf.DUMMYFUNCTION("filter(Famillesid!$22:$22,(Famillesid!$16:$16=A107)+(Famillesid!$17:$17=A107)+(Famillesid!$18:$18=A107)+(Famillesid!$19:$19=A107)+(Famillesid!$20:$20=A107)+(Famillesid!$21:$21=A107))"),71.0)</f>
        <v>71</v>
      </c>
      <c r="C107" s="105" t="str">
        <f>IFERROR(__xludf.DUMMYFUNCTION("""COMPUTED_VALUE"""),"Maxime Guldner")</f>
        <v>Maxime Guldner</v>
      </c>
      <c r="D107" s="106" t="str">
        <f>IFERROR(__xludf.DUMMYFUNCTION("filter('Réponses au formulaire 1'!T:T,'Réponses au formulaire 1'!B:B=C107)"),"album l'entourage ")</f>
        <v>album l'entourage </v>
      </c>
      <c r="E107" s="111" t="s">
        <v>631</v>
      </c>
      <c r="F107" s="112" t="s">
        <v>1160</v>
      </c>
      <c r="G107" s="18"/>
      <c r="H107" s="101" t="str">
        <f>IFERROR(__xludf.DUMMYFUNCTION("""COMPUTED_VALUE"""),"Samuel BISMUT")</f>
        <v>Samuel BISMUT</v>
      </c>
      <c r="I107" s="67" t="str">
        <f>IFERROR(__xludf.DUMMYFUNCTION("""COMPUTED_VALUE"""),"Chapeau Ricard ")</f>
        <v>Chapeau Ricard 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</row>
    <row r="108">
      <c r="A108" s="101">
        <f t="shared" si="1"/>
        <v>107</v>
      </c>
      <c r="B108" s="95">
        <f>IFERROR(__xludf.DUMMYFUNCTION("filter(Famillesid!$22:$22,(Famillesid!$16:$16=A108)+(Famillesid!$17:$17=A108)+(Famillesid!$18:$18=A108)+(Famillesid!$19:$19=A108)+(Famillesid!$20:$20=A108)+(Famillesid!$21:$21=A108))"),141.0)</f>
        <v>141</v>
      </c>
      <c r="C108" s="105" t="str">
        <f>IFERROR(__xludf.DUMMYFUNCTION("""COMPUTED_VALUE"""),"Alizée DIATCHENKO")</f>
        <v>Alizée DIATCHENKO</v>
      </c>
      <c r="D108" s="106" t="str">
        <f>IFERROR(__xludf.DUMMYFUNCTION("filter('Réponses au formulaire 1'!T:T,'Réponses au formulaire 1'!B:B=C108)"),"Une étoile")</f>
        <v>Une étoile</v>
      </c>
      <c r="E108" s="110"/>
      <c r="F108" s="92"/>
      <c r="G108" s="18"/>
      <c r="H108" s="101" t="str">
        <f>IFERROR(__xludf.DUMMYFUNCTION("""COMPUTED_VALUE"""),"Victor BLANCART")</f>
        <v>Victor BLANCART</v>
      </c>
      <c r="I108" s="67" t="str">
        <f>IFERROR(__xludf.DUMMYFUNCTION("""COMPUTED_VALUE"""),"Une gourde")</f>
        <v>Une gourde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</row>
    <row r="109">
      <c r="A109" s="101">
        <f t="shared" si="1"/>
        <v>108</v>
      </c>
      <c r="B109" s="95">
        <f>IFERROR(__xludf.DUMMYFUNCTION("filter(Famillesid!$22:$22,(Famillesid!$16:$16=A109)+(Famillesid!$17:$17=A109)+(Famillesid!$18:$18=A109)+(Famillesid!$19:$19=A109)+(Famillesid!$20:$20=A109)+(Famillesid!$21:$21=A109))"),71.0)</f>
        <v>71</v>
      </c>
      <c r="C109" s="105" t="str">
        <f>IFERROR(__xludf.DUMMYFUNCTION("""COMPUTED_VALUE"""),"Thibaut BERTHOMÉ")</f>
        <v>Thibaut BERTHOMÉ</v>
      </c>
      <c r="D109" s="106" t="str">
        <f>IFERROR(__xludf.DUMMYFUNCTION("filter('Réponses au formulaire 1'!T:T,'Réponses au formulaire 1'!B:B=C109)"),"Une maquette d'archi lol")</f>
        <v>Une maquette d'archi lol</v>
      </c>
      <c r="E109" s="110"/>
      <c r="F109" s="92"/>
      <c r="G109" s="18"/>
      <c r="H109" s="101" t="str">
        <f>IFERROR(__xludf.DUMMYFUNCTION("""COMPUTED_VALUE"""),"Tommy GEHENIAU")</f>
        <v>Tommy GEHENIAU</v>
      </c>
      <c r="I109" s="67" t="str">
        <f>IFERROR(__xludf.DUMMYFUNCTION("""COMPUTED_VALUE"""),"Aurèle")</f>
        <v>Aurèle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</row>
    <row r="110">
      <c r="A110" s="101">
        <f t="shared" si="1"/>
        <v>109</v>
      </c>
      <c r="B110" s="95" t="str">
        <f>IFERROR(__xludf.DUMMYFUNCTION("filter(Famillesid!$22:$22,(Famillesid!$16:$16=A110)+(Famillesid!$17:$17=A110)+(Famillesid!$18:$18=A110)+(Famillesid!$19:$19=A110)+(Famillesid!$20:$20=A110)+(Famillesid!$21:$21=A110))"),"#N/A")</f>
        <v>#N/A</v>
      </c>
      <c r="C110" s="105" t="str">
        <f>IFERROR(__xludf.DUMMYFUNCTION("""COMPUTED_VALUE"""),"Claire TRINQUET")</f>
        <v>Claire TRINQUET</v>
      </c>
      <c r="D110" s="106" t="str">
        <f>IFERROR(__xludf.DUMMYFUNCTION("filter('Réponses au formulaire 1'!T:T,'Réponses au formulaire 1'!B:B=C110)"),"Un domino")</f>
        <v>Un domino</v>
      </c>
      <c r="E110" s="110"/>
      <c r="F110" s="92"/>
      <c r="G110" s="18"/>
      <c r="H110" s="101" t="str">
        <f>IFERROR(__xludf.DUMMYFUNCTION("""COMPUTED_VALUE"""),"Léo HUREAU")</f>
        <v>Léo HUREAU</v>
      </c>
      <c r="I110" s="67" t="str">
        <f>IFERROR(__xludf.DUMMYFUNCTION("""COMPUTED_VALUE"""),"Une voiture ")</f>
        <v>Une voiture 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</row>
    <row r="111">
      <c r="A111" s="101">
        <f t="shared" si="1"/>
        <v>110</v>
      </c>
      <c r="B111" s="95">
        <f>IFERROR(__xludf.DUMMYFUNCTION("filter(Famillesid!$22:$22,(Famillesid!$16:$16=A111)+(Famillesid!$17:$17=A111)+(Famillesid!$18:$18=A111)+(Famillesid!$19:$19=A111)+(Famillesid!$20:$20=A111)+(Famillesid!$21:$21=A111))"),136.0)</f>
        <v>136</v>
      </c>
      <c r="C111" s="105" t="str">
        <f>IFERROR(__xludf.DUMMYFUNCTION("""COMPUTED_VALUE"""),"Sol VILLEGAS")</f>
        <v>Sol VILLEGAS</v>
      </c>
      <c r="D111" s="106" t="str">
        <f>IFERROR(__xludf.DUMMYFUNCTION("filter('Réponses au formulaire 1'!T:T,'Réponses au formulaire 1'!B:B=C111)"),"JAMONN")</f>
        <v>JAMONN</v>
      </c>
      <c r="E111" s="110"/>
      <c r="F111" s="92"/>
      <c r="G111" s="18"/>
      <c r="H111" s="101" t="str">
        <f>IFERROR(__xludf.DUMMYFUNCTION("""COMPUTED_VALUE"""),"Awen BRUNEAU")</f>
        <v>Awen BRUNEAU</v>
      </c>
      <c r="I111" s="67" t="str">
        <f>IFERROR(__xludf.DUMMYFUNCTION("""COMPUTED_VALUE"""),"Objet relatif aux vieilles charrues")</f>
        <v>Objet relatif aux vieilles charrues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</row>
    <row r="112">
      <c r="A112" s="101">
        <f t="shared" si="1"/>
        <v>111</v>
      </c>
      <c r="B112" s="95">
        <f>IFERROR(__xludf.DUMMYFUNCTION("filter(Famillesid!$22:$22,(Famillesid!$16:$16=A112)+(Famillesid!$17:$17=A112)+(Famillesid!$18:$18=A112)+(Famillesid!$19:$19=A112)+(Famillesid!$20:$20=A112)+(Famillesid!$21:$21=A112))"),136.0)</f>
        <v>136</v>
      </c>
      <c r="C112" s="105" t="str">
        <f>IFERROR(__xludf.DUMMYFUNCTION("""COMPUTED_VALUE"""),"Mario ALVAREZ-CASTRILLON")</f>
        <v>Mario ALVAREZ-CASTRILLON</v>
      </c>
      <c r="D112" s="106" t="str">
        <f>IFERROR(__xludf.DUMMYFUNCTION("filter('Réponses au formulaire 1'!T:T,'Réponses au formulaire 1'!B:B=C112)"),"Guitare")</f>
        <v>Guitare</v>
      </c>
      <c r="E112" s="110"/>
      <c r="F112" s="92"/>
      <c r="G112" s="18"/>
      <c r="H112" s="101" t="str">
        <f>IFERROR(__xludf.DUMMYFUNCTION("""COMPUTED_VALUE"""),"Maxime GRAS")</f>
        <v>Maxime GRAS</v>
      </c>
      <c r="I112" s="67" t="str">
        <f>IFERROR(__xludf.DUMMYFUNCTION("""COMPUTED_VALUE"""),"Sachet de meth/chapeau/silp/bouteille de Mr Propre/Truc de théâtre")</f>
        <v>Sachet de meth/chapeau/silp/bouteille de Mr Propre/Truc de théâtre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</row>
    <row r="113">
      <c r="A113" s="101">
        <f t="shared" si="1"/>
        <v>112</v>
      </c>
      <c r="B113" s="95" t="str">
        <f>IFERROR(__xludf.DUMMYFUNCTION("filter(Famillesid!$22:$22,(Famillesid!$16:$16=A113)+(Famillesid!$17:$17=A113)+(Famillesid!$18:$18=A113)+(Famillesid!$19:$19=A113)+(Famillesid!$20:$20=A113)+(Famillesid!$21:$21=A113))"),"#N/A")</f>
        <v>#N/A</v>
      </c>
      <c r="C113" s="105" t="str">
        <f>IFERROR(__xludf.DUMMYFUNCTION("""COMPUTED_VALUE"""),"Marie-Jeanne PAUL")</f>
        <v>Marie-Jeanne PAUL</v>
      </c>
      <c r="D113" s="106" t="str">
        <f>IFERROR(__xludf.DUMMYFUNCTION("filter('Réponses au formulaire 1'!T:T,'Réponses au formulaire 1'!B:B=C113)"),"Je sais pas")</f>
        <v>Je sais pas</v>
      </c>
      <c r="E113" s="110"/>
      <c r="F113" s="92"/>
      <c r="G113" s="18"/>
      <c r="H113" s="101" t="str">
        <f>IFERROR(__xludf.DUMMYFUNCTION("""COMPUTED_VALUE"""),"Chloé CANAVATE")</f>
        <v>Chloé CANAVATE</v>
      </c>
      <c r="I113" s="67" t="str">
        <f>IFERROR(__xludf.DUMMYFUNCTION("""COMPUTED_VALUE"""),"Une bouteille de jagger")</f>
        <v>Une bouteille de jagger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</row>
    <row r="114">
      <c r="A114" s="101">
        <f t="shared" si="1"/>
        <v>113</v>
      </c>
      <c r="B114" s="95">
        <f>IFERROR(__xludf.DUMMYFUNCTION("filter(Famillesid!$22:$22,(Famillesid!$16:$16=A114)+(Famillesid!$17:$17=A114)+(Famillesid!$18:$18=A114)+(Famillesid!$19:$19=A114)+(Famillesid!$20:$20=A114)+(Famillesid!$21:$21=A114))"),136.0)</f>
        <v>136</v>
      </c>
      <c r="C114" s="105" t="str">
        <f>IFERROR(__xludf.DUMMYFUNCTION("""COMPUTED_VALUE"""),"Vincent Maillou")</f>
        <v>Vincent Maillou</v>
      </c>
      <c r="D114" s="106" t="str">
        <f>IFERROR(__xludf.DUMMYFUNCTION("filter('Réponses au formulaire 1'!T:T,'Réponses au formulaire 1'!B:B=C114)"),"Un aviron (la rame)")</f>
        <v>Un aviron (la rame)</v>
      </c>
      <c r="E114" s="110"/>
      <c r="F114" s="92"/>
      <c r="G114" s="18"/>
      <c r="H114" s="101" t="str">
        <f>IFERROR(__xludf.DUMMYFUNCTION("""COMPUTED_VALUE"""),"Antoine TARDIVON")</f>
        <v>Antoine TARDIVON</v>
      </c>
      <c r="I114" s="67" t="str">
        <f>IFERROR(__xludf.DUMMYFUNCTION("""COMPUTED_VALUE"""),"No se")</f>
        <v>No se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</row>
    <row r="115">
      <c r="A115" s="101">
        <f t="shared" si="1"/>
        <v>114</v>
      </c>
      <c r="B115" s="95">
        <f>IFERROR(__xludf.DUMMYFUNCTION("filter(Famillesid!$22:$22,(Famillesid!$16:$16=A115)+(Famillesid!$17:$17=A115)+(Famillesid!$18:$18=A115)+(Famillesid!$19:$19=A115)+(Famillesid!$20:$20=A115)+(Famillesid!$21:$21=A115))"),126.0)</f>
        <v>126</v>
      </c>
      <c r="C115" s="105" t="str">
        <f>IFERROR(__xludf.DUMMYFUNCTION("""COMPUTED_VALUE"""),"Benjamin Martin")</f>
        <v>Benjamin Martin</v>
      </c>
      <c r="D115" s="106" t="str">
        <f>IFERROR(__xludf.DUMMYFUNCTION("filter('Réponses au formulaire 1'!T:T,'Réponses au formulaire 1'!B:B=C115)"),"Le parchemin magique du Sorcier")</f>
        <v>Le parchemin magique du Sorcier</v>
      </c>
      <c r="E115" s="107" t="s">
        <v>631</v>
      </c>
      <c r="F115" s="108" t="s">
        <v>1157</v>
      </c>
      <c r="G115" s="18"/>
      <c r="H115" s="101" t="str">
        <f>IFERROR(__xludf.DUMMYFUNCTION("""COMPUTED_VALUE"""),"Adrien Simonet")</f>
        <v>Adrien Simonet</v>
      </c>
      <c r="I115" s="67" t="str">
        <f>IFERROR(__xludf.DUMMYFUNCTION("""COMPUTED_VALUE"""),"Rien")</f>
        <v>Rien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</row>
    <row r="116">
      <c r="A116" s="101">
        <f t="shared" si="1"/>
        <v>115</v>
      </c>
      <c r="B116" s="95">
        <f>IFERROR(__xludf.DUMMYFUNCTION("filter(Famillesid!$22:$22,(Famillesid!$16:$16=A116)+(Famillesid!$17:$17=A116)+(Famillesid!$18:$18=A116)+(Famillesid!$19:$19=A116)+(Famillesid!$20:$20=A116)+(Famillesid!$21:$21=A116))"),126.0)</f>
        <v>126</v>
      </c>
      <c r="C116" s="105" t="str">
        <f>IFERROR(__xludf.DUMMYFUNCTION("""COMPUTED_VALUE"""),"Alix BOSSU")</f>
        <v>Alix BOSSU</v>
      </c>
      <c r="D116" s="106" t="str">
        <f>IFERROR(__xludf.DUMMYFUNCTION("filter('Réponses au formulaire 1'!T:T,'Réponses au formulaire 1'!B:B=C116)"),"une kro vide")</f>
        <v>une kro vide</v>
      </c>
      <c r="E116" s="111" t="s">
        <v>631</v>
      </c>
      <c r="F116" s="112" t="s">
        <v>1160</v>
      </c>
      <c r="G116" s="18"/>
      <c r="H116" s="101" t="str">
        <f>IFERROR(__xludf.DUMMYFUNCTION("""COMPUTED_VALUE"""),"Maena GALERON")</f>
        <v>Maena GALERON</v>
      </c>
      <c r="I116" s="67" t="str">
        <f>IFERROR(__xludf.DUMMYFUNCTION("""COMPUTED_VALUE"""),"Une étoile ")</f>
        <v>Une étoile 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</row>
    <row r="117">
      <c r="A117" s="101">
        <f t="shared" si="1"/>
        <v>116</v>
      </c>
      <c r="B117" s="95">
        <f>IFERROR(__xludf.DUMMYFUNCTION("filter(Famillesid!$22:$22,(Famillesid!$16:$16=A117)+(Famillesid!$17:$17=A117)+(Famillesid!$18:$18=A117)+(Famillesid!$19:$19=A117)+(Famillesid!$20:$20=A117)+(Famillesid!$21:$21=A117))"),126.0)</f>
        <v>126</v>
      </c>
      <c r="C117" s="105" t="str">
        <f>IFERROR(__xludf.DUMMYFUNCTION("""COMPUTED_VALUE"""),"Oscar JACINTHO")</f>
        <v>Oscar JACINTHO</v>
      </c>
      <c r="D117" s="106" t="str">
        <f>IFERROR(__xludf.DUMMYFUNCTION("filter('Réponses au formulaire 1'!T:T,'Réponses au formulaire 1'!B:B=C117)"),"De la sorcière")</f>
        <v>De la sorcière</v>
      </c>
      <c r="E117" s="111" t="s">
        <v>631</v>
      </c>
      <c r="F117" s="112" t="s">
        <v>1160</v>
      </c>
      <c r="G117" s="18"/>
      <c r="H117" s="101" t="str">
        <f>IFERROR(__xludf.DUMMYFUNCTION("""COMPUTED_VALUE"""),"Antoine LETOFFET")</f>
        <v>Antoine LETOFFET</v>
      </c>
      <c r="I117" s="67" t="str">
        <f>IFERROR(__xludf.DUMMYFUNCTION("""COMPUTED_VALUE"""),"je sais pas encore")</f>
        <v>je sais pas encore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</row>
    <row r="118">
      <c r="A118" s="101">
        <f t="shared" si="1"/>
        <v>117</v>
      </c>
      <c r="B118" s="95">
        <f>IFERROR(__xludf.DUMMYFUNCTION("filter(Famillesid!$22:$22,(Famillesid!$16:$16=A118)+(Famillesid!$17:$17=A118)+(Famillesid!$18:$18=A118)+(Famillesid!$19:$19=A118)+(Famillesid!$20:$20=A118)+(Famillesid!$21:$21=A118))"),106.0)</f>
        <v>106</v>
      </c>
      <c r="C118" s="105" t="str">
        <f>IFERROR(__xludf.DUMMYFUNCTION("""COMPUTED_VALUE"""),"Henri CHHOA")</f>
        <v>Henri CHHOA</v>
      </c>
      <c r="D118" s="106" t="str">
        <f>IFERROR(__xludf.DUMMYFUNCTION("filter('Réponses au formulaire 1'!T:T,'Réponses au formulaire 1'!B:B=C118)"),"Pshit pshit")</f>
        <v>Pshit pshit</v>
      </c>
      <c r="E118" s="111" t="s">
        <v>631</v>
      </c>
      <c r="F118" s="112" t="s">
        <v>1160</v>
      </c>
      <c r="G118" s="18"/>
      <c r="H118" s="101" t="str">
        <f>IFERROR(__xludf.DUMMYFUNCTION("""COMPUTED_VALUE"""),"Grégoire Turzo")</f>
        <v>Grégoire Turzo</v>
      </c>
      <c r="I118" s="67" t="str">
        <f>IFERROR(__xludf.DUMMYFUNCTION("""COMPUTED_VALUE"""),"Lunette de toilettes")</f>
        <v>Lunette de toilettes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</row>
    <row r="119">
      <c r="A119" s="101">
        <f t="shared" si="1"/>
        <v>118</v>
      </c>
      <c r="B119" s="95">
        <f>IFERROR(__xludf.DUMMYFUNCTION("filter(Famillesid!$22:$22,(Famillesid!$16:$16=A119)+(Famillesid!$17:$17=A119)+(Famillesid!$18:$18=A119)+(Famillesid!$19:$19=A119)+(Famillesid!$20:$20=A119)+(Famillesid!$21:$21=A119))"),151.0)</f>
        <v>151</v>
      </c>
      <c r="C119" s="105" t="str">
        <f>IFERROR(__xludf.DUMMYFUNCTION("""COMPUTED_VALUE"""),"Juan Felipe GÓMEZ ALFARO")</f>
        <v>Juan Felipe GÓMEZ ALFARO</v>
      </c>
      <c r="D119" s="106" t="str">
        <f>IFERROR(__xludf.DUMMYFUNCTION("filter('Réponses au formulaire 1'!T:T,'Réponses au formulaire 1'!B:B=C119)"),"Aucune idée")</f>
        <v>Aucune idée</v>
      </c>
      <c r="E119" s="107" t="s">
        <v>631</v>
      </c>
      <c r="F119" s="108" t="s">
        <v>1157</v>
      </c>
      <c r="G119" s="18"/>
      <c r="H119" s="101" t="str">
        <f>IFERROR(__xludf.DUMMYFUNCTION("""COMPUTED_VALUE"""),"Henri de Chanterac")</f>
        <v>Henri de Chanterac</v>
      </c>
      <c r="I119" s="67" t="str">
        <f>IFERROR(__xludf.DUMMYFUNCTION("""COMPUTED_VALUE"""),"un pochon de houblon")</f>
        <v>un pochon de houblon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</row>
    <row r="120">
      <c r="A120" s="101">
        <f t="shared" si="1"/>
        <v>119</v>
      </c>
      <c r="B120" s="95">
        <f>IFERROR(__xludf.DUMMYFUNCTION("filter(Famillesid!$22:$22,(Famillesid!$16:$16=A120)+(Famillesid!$17:$17=A120)+(Famillesid!$18:$18=A120)+(Famillesid!$19:$19=A120)+(Famillesid!$20:$20=A120)+(Famillesid!$21:$21=A120))"),151.0)</f>
        <v>151</v>
      </c>
      <c r="C120" s="105" t="str">
        <f>IFERROR(__xludf.DUMMYFUNCTION("""COMPUTED_VALUE"""),"Alfonso COLON DE CARVAJAL")</f>
        <v>Alfonso COLON DE CARVAJAL</v>
      </c>
      <c r="D120" s="106" t="str">
        <f>IFERROR(__xludf.DUMMYFUNCTION("filter('Réponses au formulaire 1'!T:T,'Réponses au formulaire 1'!B:B=C120)"),"Vêtements")</f>
        <v>Vêtements</v>
      </c>
      <c r="E120" s="110"/>
      <c r="F120" s="92"/>
      <c r="G120" s="18"/>
      <c r="H120" s="101" t="str">
        <f>IFERROR(__xludf.DUMMYFUNCTION("""COMPUTED_VALUE"""),"Elouan BARBEREAU")</f>
        <v>Elouan BARBEREAU</v>
      </c>
      <c r="I120" s="67" t="str">
        <f>IFERROR(__xludf.DUMMYFUNCTION("""COMPUTED_VALUE"""),"papier")</f>
        <v>papier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</row>
    <row r="121">
      <c r="A121" s="101">
        <f t="shared" si="1"/>
        <v>120</v>
      </c>
      <c r="B121" s="95">
        <f>IFERROR(__xludf.DUMMYFUNCTION("filter(Famillesid!$22:$22,(Famillesid!$16:$16=A121)+(Famillesid!$17:$17=A121)+(Famillesid!$18:$18=A121)+(Famillesid!$19:$19=A121)+(Famillesid!$20:$20=A121)+(Famillesid!$21:$21=A121))"),146.0)</f>
        <v>146</v>
      </c>
      <c r="C121" s="105" t="str">
        <f>IFERROR(__xludf.DUMMYFUNCTION("""COMPUTED_VALUE"""),"Sarah PETROCCHI")</f>
        <v>Sarah PETROCCHI</v>
      </c>
      <c r="D121" s="106" t="str">
        <f>IFERROR(__xludf.DUMMYFUNCTION("filter('Réponses au formulaire 1'!T:T,'Réponses au formulaire 1'!B:B=C121)"),"Une carte de salon de tatouage")</f>
        <v>Une carte de salon de tatouage</v>
      </c>
      <c r="E121" s="107" t="s">
        <v>631</v>
      </c>
      <c r="F121" s="108" t="s">
        <v>1157</v>
      </c>
      <c r="G121" s="18"/>
      <c r="H121" s="101" t="str">
        <f>IFERROR(__xludf.DUMMYFUNCTION("""COMPUTED_VALUE"""),"Moens Diego")</f>
        <v>Moens Diego</v>
      </c>
      <c r="I121" s="67" t="str">
        <f>IFERROR(__xludf.DUMMYFUNCTION("""COMPUTED_VALUE"""),"Grande feuille à rouler ")</f>
        <v>Grande feuille à rouler 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</row>
    <row r="122">
      <c r="A122" s="101">
        <f t="shared" si="1"/>
        <v>121</v>
      </c>
      <c r="B122" s="95">
        <f>IFERROR(__xludf.DUMMYFUNCTION("filter(Famillesid!$22:$22,(Famillesid!$16:$16=A122)+(Famillesid!$17:$17=A122)+(Famillesid!$18:$18=A122)+(Famillesid!$19:$19=A122)+(Famillesid!$20:$20=A122)+(Famillesid!$21:$21=A122))"),146.0)</f>
        <v>146</v>
      </c>
      <c r="C122" s="105" t="str">
        <f>IFERROR(__xludf.DUMMYFUNCTION("""COMPUTED_VALUE"""),"Constance PHILIPPE")</f>
        <v>Constance PHILIPPE</v>
      </c>
      <c r="D122" s="106" t="str">
        <f>IFERROR(__xludf.DUMMYFUNCTION("filter('Réponses au formulaire 1'!T:T,'Réponses au formulaire 1'!B:B=C122)"),"Pygama")</f>
        <v>Pygama</v>
      </c>
      <c r="E122" s="110"/>
      <c r="F122" s="92"/>
      <c r="G122" s="18"/>
      <c r="H122" s="101" t="str">
        <f>IFERROR(__xludf.DUMMYFUNCTION("""COMPUTED_VALUE"""),"Felipe Altamirano")</f>
        <v>Felipe Altamirano</v>
      </c>
      <c r="I122" s="67" t="str">
        <f>IFERROR(__xludf.DUMMYFUNCTION("""COMPUTED_VALUE"""),"Une bouteille de pisco vide")</f>
        <v>Une bouteille de pisco vide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</row>
    <row r="123">
      <c r="A123" s="101">
        <f t="shared" si="1"/>
        <v>122</v>
      </c>
      <c r="B123" s="95">
        <f>IFERROR(__xludf.DUMMYFUNCTION("filter(Famillesid!$22:$22,(Famillesid!$16:$16=A123)+(Famillesid!$17:$17=A123)+(Famillesid!$18:$18=A123)+(Famillesid!$19:$19=A123)+(Famillesid!$20:$20=A123)+(Famillesid!$21:$21=A123))"),156.0)</f>
        <v>156</v>
      </c>
      <c r="C123" s="105" t="str">
        <f>IFERROR(__xludf.DUMMYFUNCTION("""COMPUTED_VALUE"""),"Alban VILLEDIEU")</f>
        <v>Alban VILLEDIEU</v>
      </c>
      <c r="D123" s="106" t="str">
        <f>IFERROR(__xludf.DUMMYFUNCTION("filter('Réponses au formulaire 1'!T:T,'Réponses au formulaire 1'!B:B=C123)"),"Jsp wsh")</f>
        <v>Jsp wsh</v>
      </c>
      <c r="E123" s="110"/>
      <c r="F123" s="92"/>
      <c r="G123" s="18"/>
      <c r="H123" s="101" t="str">
        <f>IFERROR(__xludf.DUMMYFUNCTION("""COMPUTED_VALUE"""),"Alison ALIAGA")</f>
        <v>Alison ALIAGA</v>
      </c>
      <c r="I123" s="67" t="str">
        <f>IFERROR(__xludf.DUMMYFUNCTION("""COMPUTED_VALUE"""),"Mon nounou ")</f>
        <v>Mon nounou 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</row>
    <row r="124">
      <c r="A124" s="101">
        <f t="shared" si="1"/>
        <v>123</v>
      </c>
      <c r="B124" s="95">
        <f>IFERROR(__xludf.DUMMYFUNCTION("filter(Famillesid!$22:$22,(Famillesid!$16:$16=A124)+(Famillesid!$17:$17=A124)+(Famillesid!$18:$18=A124)+(Famillesid!$19:$19=A124)+(Famillesid!$20:$20=A124)+(Famillesid!$21:$21=A124))"),161.0)</f>
        <v>161</v>
      </c>
      <c r="C124" s="105" t="str">
        <f>IFERROR(__xludf.DUMMYFUNCTION("""COMPUTED_VALUE"""),"Marius DUVILLARD")</f>
        <v>Marius DUVILLARD</v>
      </c>
      <c r="D124" s="106" t="str">
        <f>IFERROR(__xludf.DUMMYFUNCTION("filter('Réponses au formulaire 1'!T:T,'Réponses au formulaire 1'!B:B=C124)"),"une fi'sel")</f>
        <v>une fi'sel</v>
      </c>
      <c r="E124" s="110"/>
      <c r="F124" s="92"/>
      <c r="G124" s="18"/>
      <c r="H124" s="101" t="str">
        <f>IFERROR(__xludf.DUMMYFUNCTION("""COMPUTED_VALUE"""),"Argueta Tamayo Emanuel")</f>
        <v>Argueta Tamayo Emanuel</v>
      </c>
      <c r="I124" s="67" t="str">
        <f>IFERROR(__xludf.DUMMYFUNCTION("""COMPUTED_VALUE"""),"Valentina (Salsa Picante) ")</f>
        <v>Valentina (Salsa Picante) 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</row>
    <row r="125">
      <c r="A125" s="101">
        <f t="shared" si="1"/>
        <v>124</v>
      </c>
      <c r="B125" s="95">
        <f>IFERROR(__xludf.DUMMYFUNCTION("filter(Famillesid!$22:$22,(Famillesid!$16:$16=A125)+(Famillesid!$17:$17=A125)+(Famillesid!$18:$18=A125)+(Famillesid!$19:$19=A125)+(Famillesid!$20:$20=A125)+(Famillesid!$21:$21=A125))"),156.0)</f>
        <v>156</v>
      </c>
      <c r="C125" s="105" t="str">
        <f>IFERROR(__xludf.DUMMYFUNCTION("""COMPUTED_VALUE"""),"Pierre Go")</f>
        <v>Pierre Go</v>
      </c>
      <c r="D125" s="106" t="str">
        <f>IFERROR(__xludf.DUMMYFUNCTION("filter('Réponses au formulaire 1'!T:T,'Réponses au formulaire 1'!B:B=C125)"),"Une machine à barbe a papa")</f>
        <v>Une machine à barbe a papa</v>
      </c>
      <c r="E125" s="110"/>
      <c r="F125" s="92"/>
      <c r="G125" s="18"/>
      <c r="H125" s="101" t="str">
        <f>IFERROR(__xludf.DUMMYFUNCTION("""COMPUTED_VALUE"""),"Marina THIEME PETERSEN")</f>
        <v>Marina THIEME PETERSEN</v>
      </c>
      <c r="I125" s="67" t="str">
        <f>IFERROR(__xludf.DUMMYFUNCTION("""COMPUTED_VALUE"""),"schoko bons")</f>
        <v>schoko bons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</row>
    <row r="126">
      <c r="A126" s="101">
        <f t="shared" si="1"/>
        <v>125</v>
      </c>
      <c r="B126" s="95">
        <f>IFERROR(__xludf.DUMMYFUNCTION("filter(Famillesid!$22:$22,(Famillesid!$16:$16=A126)+(Famillesid!$17:$17=A126)+(Famillesid!$18:$18=A126)+(Famillesid!$19:$19=A126)+(Famillesid!$20:$20=A126)+(Famillesid!$21:$21=A126))"),156.0)</f>
        <v>156</v>
      </c>
      <c r="C126" s="105" t="str">
        <f>IFERROR(__xludf.DUMMYFUNCTION("""COMPUTED_VALUE"""),"Mitsi R.")</f>
        <v>Mitsi R.</v>
      </c>
      <c r="D126" s="106" t="str">
        <f>IFERROR(__xludf.DUMMYFUNCTION("filter('Réponses au formulaire 1'!T:T,'Réponses au formulaire 1'!B:B=C126)"),"El sombrero")</f>
        <v>El sombrero</v>
      </c>
      <c r="E126" s="110"/>
      <c r="F126" s="92"/>
      <c r="G126" s="18"/>
      <c r="H126" s="101" t="str">
        <f>IFERROR(__xludf.DUMMYFUNCTION("""COMPUTED_VALUE"""),"Erwan Sauvage")</f>
        <v>Erwan Sauvage</v>
      </c>
      <c r="I126" s="67" t="str">
        <f>IFERROR(__xludf.DUMMYFUNCTION("""COMPUTED_VALUE"""),"Mon peignoir")</f>
        <v>Mon peignoir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</row>
    <row r="127">
      <c r="A127" s="101">
        <f t="shared" si="1"/>
        <v>126</v>
      </c>
      <c r="B127" s="95">
        <f>IFERROR(__xludf.DUMMYFUNCTION("filter(Famillesid!$22:$22,(Famillesid!$16:$16=A127)+(Famillesid!$17:$17=A127)+(Famillesid!$18:$18=A127)+(Famillesid!$19:$19=A127)+(Famillesid!$20:$20=A127)+(Famillesid!$21:$21=A127))"),106.0)</f>
        <v>106</v>
      </c>
      <c r="C127" s="105" t="str">
        <f>IFERROR(__xludf.DUMMYFUNCTION("""COMPUTED_VALUE"""),"Valentin Antonio")</f>
        <v>Valentin Antonio</v>
      </c>
      <c r="D127" s="106" t="str">
        <f>IFERROR(__xludf.DUMMYFUNCTION("filter('Réponses au formulaire 1'!T:T,'Réponses au formulaire 1'!B:B=C127)"),"une balle de hand")</f>
        <v>une balle de hand</v>
      </c>
      <c r="E127" s="110"/>
      <c r="F127" s="92"/>
      <c r="G127" s="18"/>
      <c r="H127" s="101" t="str">
        <f>IFERROR(__xludf.DUMMYFUNCTION("""COMPUTED_VALUE"""),"Manon VLIEGHE")</f>
        <v>Manon VLIEGHE</v>
      </c>
      <c r="I127" s="67" t="str">
        <f>IFERROR(__xludf.DUMMYFUNCTION("""COMPUTED_VALUE"""),"Une valise de matèriel à dessin")</f>
        <v>Une valise de matèriel à dessin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</row>
    <row r="128">
      <c r="A128" s="101">
        <f t="shared" si="1"/>
        <v>127</v>
      </c>
      <c r="B128" s="95">
        <f>IFERROR(__xludf.DUMMYFUNCTION("filter(Famillesid!$22:$22,(Famillesid!$16:$16=A128)+(Famillesid!$17:$17=A128)+(Famillesid!$18:$18=A128)+(Famillesid!$19:$19=A128)+(Famillesid!$20:$20=A128)+(Famillesid!$21:$21=A128))"),166.0)</f>
        <v>166</v>
      </c>
      <c r="C128" s="105" t="str">
        <f>IFERROR(__xludf.DUMMYFUNCTION("""COMPUTED_VALUE"""),"Juline CORNET-GOY")</f>
        <v>Juline CORNET-GOY</v>
      </c>
      <c r="D128" s="106" t="str">
        <f>IFERROR(__xludf.DUMMYFUNCTION("filter('Réponses au formulaire 1'!T:T,'Réponses au formulaire 1'!B:B=C128)"),"Don’t know yet")</f>
        <v>Don’t know yet</v>
      </c>
      <c r="E128" s="107" t="s">
        <v>631</v>
      </c>
      <c r="F128" s="108" t="s">
        <v>1157</v>
      </c>
      <c r="G128" s="18"/>
      <c r="H128" s="101" t="str">
        <f>IFERROR(__xludf.DUMMYFUNCTION("""COMPUTED_VALUE"""),"Miguel MORENO")</f>
        <v>Miguel MORENO</v>
      </c>
      <c r="I128" s="67" t="str">
        <f>IFERROR(__xludf.DUMMYFUNCTION("""COMPUTED_VALUE"""),"Conseills académiques et pour bien s'amuser pendant ses études dans la façon Latinoaméricaine ")</f>
        <v>Conseills académiques et pour bien s'amuser pendant ses études dans la façon Latinoaméricaine </v>
      </c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</row>
    <row r="129">
      <c r="A129" s="101">
        <f t="shared" si="1"/>
        <v>128</v>
      </c>
      <c r="B129" s="95">
        <f>IFERROR(__xludf.DUMMYFUNCTION("filter(Famillesid!$22:$22,(Famillesid!$16:$16=A129)+(Famillesid!$17:$17=A129)+(Famillesid!$18:$18=A129)+(Famillesid!$19:$19=A129)+(Famillesid!$20:$20=A129)+(Famillesid!$21:$21=A129))"),166.0)</f>
        <v>166</v>
      </c>
      <c r="C129" s="105" t="str">
        <f>IFERROR(__xludf.DUMMYFUNCTION("""COMPUTED_VALUE"""),"Lise GERMON")</f>
        <v>Lise GERMON</v>
      </c>
      <c r="D129" s="113" t="s">
        <v>1165</v>
      </c>
      <c r="E129" s="107" t="s">
        <v>631</v>
      </c>
      <c r="F129" s="108" t="s">
        <v>1166</v>
      </c>
      <c r="G129" s="18"/>
      <c r="H129" s="101" t="str">
        <f>IFERROR(__xludf.DUMMYFUNCTION("""COMPUTED_VALUE"""),"Baptiste Marlet")</f>
        <v>Baptiste Marlet</v>
      </c>
      <c r="I129" s="67" t="str">
        <f>IFERROR(__xludf.DUMMYFUNCTION("""COMPUTED_VALUE"""),"Le set de dés du JDR")</f>
        <v>Le set de dés du JDR</v>
      </c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  <c r="EJ129" s="18"/>
      <c r="EK129" s="18"/>
      <c r="EL129" s="18"/>
      <c r="EM129" s="18"/>
      <c r="EN129" s="18"/>
      <c r="EO129" s="18"/>
      <c r="EP129" s="18"/>
      <c r="EQ129" s="18"/>
      <c r="ER129" s="18"/>
      <c r="ES129" s="18"/>
      <c r="ET129" s="18"/>
      <c r="EU129" s="18"/>
      <c r="EV129" s="18"/>
      <c r="EW129" s="18"/>
      <c r="EX129" s="18"/>
    </row>
    <row r="130">
      <c r="A130" s="101">
        <f t="shared" si="1"/>
        <v>129</v>
      </c>
      <c r="B130" s="95">
        <f>IFERROR(__xludf.DUMMYFUNCTION("filter(Famillesid!$22:$22,(Famillesid!$16:$16=A130)+(Famillesid!$17:$17=A130)+(Famillesid!$18:$18=A130)+(Famillesid!$19:$19=A130)+(Famillesid!$20:$20=A130)+(Famillesid!$21:$21=A130))"),166.0)</f>
        <v>166</v>
      </c>
      <c r="C130" s="105" t="str">
        <f>IFERROR(__xludf.DUMMYFUNCTION("""COMPUTED_VALUE"""),"Alizée AMSLER")</f>
        <v>Alizée AMSLER</v>
      </c>
      <c r="D130" s="106" t="str">
        <f>IFERROR(__xludf.DUMMYFUNCTION("filter('Réponses au formulaire 1'!T:T,'Réponses au formulaire 1'!B:B=C130)"),"Jeu de wii ")</f>
        <v>Jeu de wii </v>
      </c>
      <c r="E130" s="110"/>
      <c r="F130" s="92"/>
      <c r="G130" s="18"/>
      <c r="H130" s="101" t="str">
        <f>IFERROR(__xludf.DUMMYFUNCTION("""COMPUTED_VALUE"""),"Nicolas Meniconi")</f>
        <v>Nicolas Meniconi</v>
      </c>
      <c r="I130" s="67" t="str">
        <f>IFERROR(__xludf.DUMMYFUNCTION("""COMPUTED_VALUE"""),"Noeud pap")</f>
        <v>Noeud pap</v>
      </c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  <c r="EJ130" s="18"/>
      <c r="EK130" s="18"/>
      <c r="EL130" s="18"/>
      <c r="EM130" s="18"/>
      <c r="EN130" s="18"/>
      <c r="EO130" s="18"/>
      <c r="EP130" s="18"/>
      <c r="EQ130" s="18"/>
      <c r="ER130" s="18"/>
      <c r="ES130" s="18"/>
      <c r="ET130" s="18"/>
      <c r="EU130" s="18"/>
      <c r="EV130" s="18"/>
      <c r="EW130" s="18"/>
      <c r="EX130" s="18"/>
    </row>
    <row r="131">
      <c r="A131" s="101">
        <f t="shared" si="1"/>
        <v>130</v>
      </c>
      <c r="B131" s="95">
        <f>IFERROR(__xludf.DUMMYFUNCTION("filter(Famillesid!$22:$22,(Famillesid!$16:$16=A131)+(Famillesid!$17:$17=A131)+(Famillesid!$18:$18=A131)+(Famillesid!$19:$19=A131)+(Famillesid!$20:$20=A131)+(Famillesid!$21:$21=A131))"),166.0)</f>
        <v>166</v>
      </c>
      <c r="C131" s="105" t="str">
        <f>IFERROR(__xludf.DUMMYFUNCTION("""COMPUTED_VALUE"""),"Mai-Vi VU")</f>
        <v>Mai-Vi VU</v>
      </c>
      <c r="D131" s="106" t="str">
        <f>IFERROR(__xludf.DUMMYFUNCTION("filter('Réponses au formulaire 1'!T:T,'Réponses au formulaire 1'!B:B=C131)"),"Une genouillère ")</f>
        <v>Une genouillère </v>
      </c>
      <c r="E131" s="110"/>
      <c r="F131" s="92"/>
      <c r="G131" s="18"/>
      <c r="H131" s="101" t="str">
        <f>IFERROR(__xludf.DUMMYFUNCTION("""COMPUTED_VALUE"""),"Romain THIMON")</f>
        <v>Romain THIMON</v>
      </c>
      <c r="I131" s="67" t="str">
        <f>IFERROR(__xludf.DUMMYFUNCTION("""COMPUTED_VALUE"""),"32 ecocups et deux balles de ping pong")</f>
        <v>32 ecocups et deux balles de ping pong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</row>
    <row r="132">
      <c r="A132" s="101">
        <f t="shared" si="1"/>
        <v>131</v>
      </c>
      <c r="B132" s="95">
        <f>IFERROR(__xludf.DUMMYFUNCTION("filter(Famillesid!$22:$22,(Famillesid!$16:$16=A132)+(Famillesid!$17:$17=A132)+(Famillesid!$18:$18=A132)+(Famillesid!$19:$19=A132)+(Famillesid!$20:$20=A132)+(Famillesid!$21:$21=A132))"),166.0)</f>
        <v>166</v>
      </c>
      <c r="C132" s="105" t="str">
        <f>IFERROR(__xludf.DUMMYFUNCTION("""COMPUTED_VALUE"""),"Perrine JUILLET")</f>
        <v>Perrine JUILLET</v>
      </c>
      <c r="D132" s="106" t="str">
        <f>IFERROR(__xludf.DUMMYFUNCTION("filter('Réponses au formulaire 1'!T:T,'Réponses au formulaire 1'!B:B=C132)"),"Mon diplome de bac littéraire")</f>
        <v>Mon diplome de bac littéraire</v>
      </c>
      <c r="E132" s="110"/>
      <c r="F132" s="92"/>
      <c r="G132" s="18"/>
      <c r="H132" s="101" t="str">
        <f>IFERROR(__xludf.DUMMYFUNCTION("""COMPUTED_VALUE"""),"Maximilien LESSAULT")</f>
        <v>Maximilien LESSAULT</v>
      </c>
      <c r="I132" s="67" t="str">
        <f>IFERROR(__xludf.DUMMYFUNCTION("""COMPUTED_VALUE"""),"Je sais pas encore")</f>
        <v>Je sais pas encore</v>
      </c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</row>
    <row r="133">
      <c r="A133" s="101">
        <f t="shared" si="1"/>
        <v>132</v>
      </c>
      <c r="B133" s="95">
        <f>IFERROR(__xludf.DUMMYFUNCTION("filter(Famillesid!$22:$22,(Famillesid!$16:$16=A133)+(Famillesid!$17:$17=A133)+(Famillesid!$18:$18=A133)+(Famillesid!$19:$19=A133)+(Famillesid!$20:$20=A133)+(Famillesid!$21:$21=A133))"),171.0)</f>
        <v>171</v>
      </c>
      <c r="C133" s="105" t="str">
        <f>IFERROR(__xludf.DUMMYFUNCTION("""COMPUTED_VALUE"""),"Maxence PASCAL")</f>
        <v>Maxence PASCAL</v>
      </c>
      <c r="D133" s="106" t="str">
        <f>IFERROR(__xludf.DUMMYFUNCTION("filter('Réponses au formulaire 1'!T:T,'Réponses au formulaire 1'!B:B=C133)"),"Manette de console")</f>
        <v>Manette de console</v>
      </c>
      <c r="E133" s="110"/>
      <c r="F133" s="92"/>
      <c r="G133" s="18"/>
      <c r="H133" s="101" t="str">
        <f>IFERROR(__xludf.DUMMYFUNCTION("""COMPUTED_VALUE"""),"Thomas oppmann")</f>
        <v>Thomas oppmann</v>
      </c>
      <c r="I133" s="67" t="str">
        <f>IFERROR(__xludf.DUMMYFUNCTION("""COMPUTED_VALUE"""),"Une manette GameCube ")</f>
        <v>Une manette GameCube </v>
      </c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  <c r="EJ133" s="18"/>
      <c r="EK133" s="18"/>
      <c r="EL133" s="18"/>
      <c r="EM133" s="18"/>
      <c r="EN133" s="18"/>
      <c r="EO133" s="18"/>
      <c r="EP133" s="18"/>
      <c r="EQ133" s="18"/>
      <c r="ER133" s="18"/>
      <c r="ES133" s="18"/>
      <c r="ET133" s="18"/>
      <c r="EU133" s="18"/>
      <c r="EV133" s="18"/>
      <c r="EW133" s="18"/>
      <c r="EX133" s="18"/>
    </row>
    <row r="134">
      <c r="A134" s="101">
        <f t="shared" si="1"/>
        <v>133</v>
      </c>
      <c r="B134" s="95">
        <f>IFERROR(__xludf.DUMMYFUNCTION("filter(Famillesid!$22:$22,(Famillesid!$16:$16=A134)+(Famillesid!$17:$17=A134)+(Famillesid!$18:$18=A134)+(Famillesid!$19:$19=A134)+(Famillesid!$20:$20=A134)+(Famillesid!$21:$21=A134))"),101.0)</f>
        <v>101</v>
      </c>
      <c r="C134" s="105" t="str">
        <f>IFERROR(__xludf.DUMMYFUNCTION("""COMPUTED_VALUE"""),"Lisa SAVARIEAU")</f>
        <v>Lisa SAVARIEAU</v>
      </c>
      <c r="D134" s="106" t="str">
        <f>IFERROR(__xludf.DUMMYFUNCTION("filter('Réponses au formulaire 1'!T:T,'Réponses au formulaire 1'!B:B=C134)"),"Tomates cerises")</f>
        <v>Tomates cerises</v>
      </c>
      <c r="E134" s="110"/>
      <c r="F134" s="92"/>
      <c r="G134" s="18"/>
      <c r="H134" s="101" t="str">
        <f>IFERROR(__xludf.DUMMYFUNCTION("""COMPUTED_VALUE"""),"Alexandre Ghannad")</f>
        <v>Alexandre Ghannad</v>
      </c>
      <c r="I134" s="67" t="str">
        <f>IFERROR(__xludf.DUMMYFUNCTION("""COMPUTED_VALUE"""),"je sais pas encore")</f>
        <v>je sais pas encore</v>
      </c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</row>
    <row r="135">
      <c r="A135" s="101">
        <f t="shared" si="1"/>
        <v>134</v>
      </c>
      <c r="B135" s="95">
        <f>IFERROR(__xludf.DUMMYFUNCTION("filter(Famillesid!$22:$22,(Famillesid!$16:$16=A135)+(Famillesid!$17:$17=A135)+(Famillesid!$18:$18=A135)+(Famillesid!$19:$19=A135)+(Famillesid!$20:$20=A135)+(Famillesid!$21:$21=A135))"),101.0)</f>
        <v>101</v>
      </c>
      <c r="C135" s="105" t="str">
        <f>IFERROR(__xludf.DUMMYFUNCTION("""COMPUTED_VALUE"""),"Ludivine LUXEY")</f>
        <v>Ludivine LUXEY</v>
      </c>
      <c r="D135" s="106" t="str">
        <f>IFERROR(__xludf.DUMMYFUNCTION("filter('Réponses au formulaire 1'!T:T,'Réponses au formulaire 1'!B:B=C135)"),"Drapeau rugby ")</f>
        <v>Drapeau rugby </v>
      </c>
      <c r="E135" s="110"/>
      <c r="F135" s="92"/>
      <c r="G135" s="18"/>
      <c r="H135" s="101" t="str">
        <f>IFERROR(__xludf.DUMMYFUNCTION("""COMPUTED_VALUE"""),"Christopher LESDALONS")</f>
        <v>Christopher LESDALONS</v>
      </c>
      <c r="I135" s="67" t="str">
        <f>IFERROR(__xludf.DUMMYFUNCTION("""COMPUTED_VALUE"""),"Je sais pas encore")</f>
        <v>Je sais pas encore</v>
      </c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</row>
    <row r="136">
      <c r="A136" s="101">
        <f t="shared" si="1"/>
        <v>135</v>
      </c>
      <c r="B136" s="95">
        <f>IFERROR(__xludf.DUMMYFUNCTION("filter(Famillesid!$22:$22,(Famillesid!$16:$16=A136)+(Famillesid!$17:$17=A136)+(Famillesid!$18:$18=A136)+(Famillesid!$19:$19=A136)+(Famillesid!$20:$20=A136)+(Famillesid!$21:$21=A136))"),171.0)</f>
        <v>171</v>
      </c>
      <c r="C136" s="105" t="str">
        <f>IFERROR(__xludf.DUMMYFUNCTION("""COMPUTED_VALUE"""),"Henrique MARTINEZ DE AZEVEDO")</f>
        <v>Henrique MARTINEZ DE AZEVEDO</v>
      </c>
      <c r="D136" s="106" t="str">
        <f>IFERROR(__xludf.DUMMYFUNCTION("filter('Réponses au formulaire 1'!T:T,'Réponses au formulaire 1'!B:B=C136)"),"une fausse canne a peche, peut-etre")</f>
        <v>une fausse canne a peche, peut-etre</v>
      </c>
      <c r="E136" s="110"/>
      <c r="F136" s="92"/>
      <c r="G136" s="18"/>
      <c r="H136" s="101" t="str">
        <f>IFERROR(__xludf.DUMMYFUNCTION("""COMPUTED_VALUE"""),"Amine BEDRANE")</f>
        <v>Amine BEDRANE</v>
      </c>
      <c r="I136" s="67" t="str">
        <f>IFERROR(__xludf.DUMMYFUNCTION("""COMPUTED_VALUE"""),"Sais pas encore")</f>
        <v>Sais pas encore</v>
      </c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  <c r="EJ136" s="18"/>
      <c r="EK136" s="18"/>
      <c r="EL136" s="18"/>
      <c r="EM136" s="18"/>
      <c r="EN136" s="18"/>
      <c r="EO136" s="18"/>
      <c r="EP136" s="18"/>
      <c r="EQ136" s="18"/>
      <c r="ER136" s="18"/>
      <c r="ES136" s="18"/>
      <c r="ET136" s="18"/>
      <c r="EU136" s="18"/>
      <c r="EV136" s="18"/>
      <c r="EW136" s="18"/>
      <c r="EX136" s="18"/>
    </row>
    <row r="137">
      <c r="A137" s="101">
        <f t="shared" si="1"/>
        <v>136</v>
      </c>
      <c r="B137" s="95">
        <f>IFERROR(__xludf.DUMMYFUNCTION("filter(Famillesid!$22:$22,(Famillesid!$16:$16=A137)+(Famillesid!$17:$17=A137)+(Famillesid!$18:$18=A137)+(Famillesid!$19:$19=A137)+(Famillesid!$20:$20=A137)+(Famillesid!$21:$21=A137))"),101.0)</f>
        <v>101</v>
      </c>
      <c r="C137" s="105" t="str">
        <f>IFERROR(__xludf.DUMMYFUNCTION("""COMPUTED_VALUE"""),"Ariane BERGER")</f>
        <v>Ariane BERGER</v>
      </c>
      <c r="D137" s="106" t="str">
        <f>IFERROR(__xludf.DUMMYFUNCTION("filter('Réponses au formulaire 1'!T:T,'Réponses au formulaire 1'!B:B=C137)"),"Une bougie")</f>
        <v>Une bougie</v>
      </c>
      <c r="E137" s="110"/>
      <c r="F137" s="92"/>
      <c r="G137" s="18"/>
      <c r="H137" s="101" t="str">
        <f>IFERROR(__xludf.DUMMYFUNCTION("""COMPUTED_VALUE"""),"Charles-Eole MARICHAL")</f>
        <v>Charles-Eole MARICHAL</v>
      </c>
      <c r="I137" s="67" t="str">
        <f>IFERROR(__xludf.DUMMYFUNCTION("""COMPUTED_VALUE"""),"La Salière d'Or")</f>
        <v>La Salière d'Or</v>
      </c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  <c r="EJ137" s="18"/>
      <c r="EK137" s="18"/>
      <c r="EL137" s="18"/>
      <c r="EM137" s="18"/>
      <c r="EN137" s="18"/>
      <c r="EO137" s="18"/>
      <c r="EP137" s="18"/>
      <c r="EQ137" s="18"/>
      <c r="ER137" s="18"/>
      <c r="ES137" s="18"/>
      <c r="ET137" s="18"/>
      <c r="EU137" s="18"/>
      <c r="EV137" s="18"/>
      <c r="EW137" s="18"/>
      <c r="EX137" s="18"/>
    </row>
    <row r="138">
      <c r="A138" s="101">
        <f t="shared" si="1"/>
        <v>137</v>
      </c>
      <c r="B138" s="95">
        <f>IFERROR(__xludf.DUMMYFUNCTION("filter(Famillesid!$22:$22,(Famillesid!$16:$16=A138)+(Famillesid!$17:$17=A138)+(Famillesid!$18:$18=A138)+(Famillesid!$19:$19=A138)+(Famillesid!$20:$20=A138)+(Famillesid!$21:$21=A138))"),101.0)</f>
        <v>101</v>
      </c>
      <c r="C138" s="105" t="str">
        <f>IFERROR(__xludf.DUMMYFUNCTION("""COMPUTED_VALUE"""),"Alice Mennesson")</f>
        <v>Alice Mennesson</v>
      </c>
      <c r="D138" s="106" t="str">
        <f>IFERROR(__xludf.DUMMYFUNCTION("filter('Réponses au formulaire 1'!T:T,'Réponses au formulaire 1'!B:B=C138)"),"Une planche de snow")</f>
        <v>Une planche de snow</v>
      </c>
      <c r="E138" s="110"/>
      <c r="F138" s="92"/>
      <c r="G138" s="18"/>
      <c r="H138" s="101" t="str">
        <f>IFERROR(__xludf.DUMMYFUNCTION("""COMPUTED_VALUE"""),"Pierre-Jean POLLOT")</f>
        <v>Pierre-Jean POLLOT</v>
      </c>
      <c r="I138" s="67" t="str">
        <f>IFERROR(__xludf.DUMMYFUNCTION("""COMPUTED_VALUE"""),"Un noeud papillon")</f>
        <v>Un noeud papillon</v>
      </c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</row>
    <row r="139">
      <c r="A139" s="101">
        <f t="shared" si="1"/>
        <v>138</v>
      </c>
      <c r="B139" s="95">
        <f>IFERROR(__xludf.DUMMYFUNCTION("filter(Famillesid!$22:$22,(Famillesid!$16:$16=A139)+(Famillesid!$17:$17=A139)+(Famillesid!$18:$18=A139)+(Famillesid!$19:$19=A139)+(Famillesid!$20:$20=A139)+(Famillesid!$21:$21=A139))"),171.0)</f>
        <v>171</v>
      </c>
      <c r="C139" s="105" t="str">
        <f>IFERROR(__xludf.DUMMYFUNCTION("""COMPUTED_VALUE"""),"José Ronzel")</f>
        <v>José Ronzel</v>
      </c>
      <c r="D139" s="106" t="str">
        <f>IFERROR(__xludf.DUMMYFUNCTION("filter('Réponses au formulaire 1'!T:T,'Réponses au formulaire 1'!B:B=C139)"),"Feo le chat")</f>
        <v>Feo le chat</v>
      </c>
      <c r="E139" s="110"/>
      <c r="F139" s="92"/>
      <c r="G139" s="18"/>
      <c r="H139" s="101" t="str">
        <f>IFERROR(__xludf.DUMMYFUNCTION("""COMPUTED_VALUE"""),"Judith LOUIS-ALEXANDRE")</f>
        <v>Judith LOUIS-ALEXANDRE</v>
      </c>
      <c r="I139" s="67" t="str">
        <f>IFERROR(__xludf.DUMMYFUNCTION("""COMPUTED_VALUE"""),".")</f>
        <v>.</v>
      </c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</row>
    <row r="140">
      <c r="A140" s="101">
        <f t="shared" si="1"/>
        <v>139</v>
      </c>
      <c r="B140" s="95">
        <f>IFERROR(__xludf.DUMMYFUNCTION("filter(Famillesid!$22:$22,(Famillesid!$16:$16=A140)+(Famillesid!$17:$17=A140)+(Famillesid!$18:$18=A140)+(Famillesid!$19:$19=A140)+(Famillesid!$20:$20=A140)+(Famillesid!$21:$21=A140))"),171.0)</f>
        <v>171</v>
      </c>
      <c r="C140" s="105" t="str">
        <f>IFERROR(__xludf.DUMMYFUNCTION("""COMPUTED_VALUE"""),"Exequiel")</f>
        <v>Exequiel</v>
      </c>
      <c r="D140" s="106" t="str">
        <f>IFERROR(__xludf.DUMMYFUNCTION("filter('Réponses au formulaire 1'!T:T,'Réponses au formulaire 1'!B:B=C140)"),"Une flute")</f>
        <v>Une flute</v>
      </c>
      <c r="E140" s="107" t="s">
        <v>631</v>
      </c>
      <c r="F140" s="108" t="s">
        <v>1167</v>
      </c>
      <c r="G140" s="18"/>
      <c r="H140" s="101" t="str">
        <f>IFERROR(__xludf.DUMMYFUNCTION("""COMPUTED_VALUE"""),"Alexandre MERASLI")</f>
        <v>Alexandre MERASLI</v>
      </c>
      <c r="I140" s="67" t="str">
        <f>IFERROR(__xludf.DUMMYFUNCTION("""COMPUTED_VALUE"""),"Une balle de ping pong")</f>
        <v>Une balle de ping pong</v>
      </c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</row>
    <row r="141">
      <c r="A141" s="101">
        <f t="shared" si="1"/>
        <v>140</v>
      </c>
      <c r="B141" s="95">
        <f>IFERROR(__xludf.DUMMYFUNCTION("filter(Famillesid!$22:$22,(Famillesid!$16:$16=A141)+(Famillesid!$17:$17=A141)+(Famillesid!$18:$18=A141)+(Famillesid!$19:$19=A141)+(Famillesid!$20:$20=A141)+(Famillesid!$21:$21=A141))"),176.0)</f>
        <v>176</v>
      </c>
      <c r="C141" s="105" t="str">
        <f>IFERROR(__xludf.DUMMYFUNCTION("""COMPUTED_VALUE"""),"Léa SCETBUN")</f>
        <v>Léa SCETBUN</v>
      </c>
      <c r="D141" s="106" t="str">
        <f>IFERROR(__xludf.DUMMYFUNCTION("filter('Réponses au formulaire 1'!T:T,'Réponses au formulaire 1'!B:B=C141)"),"Un porte clé")</f>
        <v>Un porte clé</v>
      </c>
      <c r="E141" s="110"/>
      <c r="F141" s="92"/>
      <c r="G141" s="18"/>
      <c r="H141" s="101" t="str">
        <f>IFERROR(__xludf.DUMMYFUNCTION("""COMPUTED_VALUE"""),"Charlotte BEAUNE")</f>
        <v>Charlotte BEAUNE</v>
      </c>
      <c r="I141" s="67" t="str">
        <f>IFERROR(__xludf.DUMMYFUNCTION("""COMPUTED_VALUE"""),"Mon attelle de genou flingué")</f>
        <v>Mon attelle de genou flingué</v>
      </c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</row>
    <row r="142">
      <c r="A142" s="101">
        <f t="shared" si="1"/>
        <v>141</v>
      </c>
      <c r="B142" s="95">
        <f>IFERROR(__xludf.DUMMYFUNCTION("filter(Famillesid!$22:$22,(Famillesid!$16:$16=A142)+(Famillesid!$17:$17=A142)+(Famillesid!$18:$18=A142)+(Famillesid!$19:$19=A142)+(Famillesid!$20:$20=A142)+(Famillesid!$21:$21=A142))"),176.0)</f>
        <v>176</v>
      </c>
      <c r="C142" s="105" t="str">
        <f>IFERROR(__xludf.DUMMYFUNCTION("""COMPUTED_VALUE"""),"Théo DELOBEL")</f>
        <v>Théo DELOBEL</v>
      </c>
      <c r="D142" s="106" t="str">
        <f>IFERROR(__xludf.DUMMYFUNCTION("filter('Réponses au formulaire 1'!T:T,'Réponses au formulaire 1'!B:B=C142)"),"Le fleurs du mal/pin's Brio/autrechoselol")</f>
        <v>Le fleurs du mal/pin's Brio/autrechoselol</v>
      </c>
      <c r="E142" s="110"/>
      <c r="F142" s="92"/>
      <c r="G142" s="18"/>
      <c r="H142" s="101" t="str">
        <f>IFERROR(__xludf.DUMMYFUNCTION("""COMPUTED_VALUE"""),"Helena Delmotte")</f>
        <v>Helena Delmotte</v>
      </c>
      <c r="I142" s="67" t="str">
        <f>IFERROR(__xludf.DUMMYFUNCTION("""COMPUTED_VALUE"""),"Une affiche de la COMU")</f>
        <v>Une affiche de la COMU</v>
      </c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</row>
    <row r="143">
      <c r="A143" s="101">
        <f t="shared" si="1"/>
        <v>142</v>
      </c>
      <c r="B143" s="95">
        <f>IFERROR(__xludf.DUMMYFUNCTION("filter(Famillesid!$22:$22,(Famillesid!$16:$16=A143)+(Famillesid!$17:$17=A143)+(Famillesid!$18:$18=A143)+(Famillesid!$19:$19=A143)+(Famillesid!$20:$20=A143)+(Famillesid!$21:$21=A143))"),176.0)</f>
        <v>176</v>
      </c>
      <c r="C143" s="105" t="str">
        <f>IFERROR(__xludf.DUMMYFUNCTION("""COMPUTED_VALUE"""),"Jérôme KAYSER")</f>
        <v>Jérôme KAYSER</v>
      </c>
      <c r="D143" s="106" t="str">
        <f>IFERROR(__xludf.DUMMYFUNCTION("filter('Réponses au formulaire 1'!T:T,'Réponses au formulaire 1'!B:B=C143)"),"Les Fleurs du mal/Un pins FA/autre chose lol")</f>
        <v>Les Fleurs du mal/Un pins FA/autre chose lol</v>
      </c>
      <c r="E143" s="110"/>
      <c r="F143" s="92"/>
      <c r="G143" s="18"/>
      <c r="H143" s="101" t="str">
        <f>IFERROR(__xludf.DUMMYFUNCTION("""COMPUTED_VALUE"""),"Marie COUPÉ")</f>
        <v>Marie COUPÉ</v>
      </c>
      <c r="I143" s="67" t="str">
        <f>IFERROR(__xludf.DUMMYFUNCTION("""COMPUTED_VALUE"""),"Une girafe en plastique")</f>
        <v>Une girafe en plastique</v>
      </c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  <c r="EJ143" s="18"/>
      <c r="EK143" s="18"/>
      <c r="EL143" s="18"/>
      <c r="EM143" s="18"/>
      <c r="EN143" s="18"/>
      <c r="EO143" s="18"/>
      <c r="EP143" s="18"/>
      <c r="EQ143" s="18"/>
      <c r="ER143" s="18"/>
      <c r="ES143" s="18"/>
      <c r="ET143" s="18"/>
      <c r="EU143" s="18"/>
      <c r="EV143" s="18"/>
      <c r="EW143" s="18"/>
      <c r="EX143" s="18"/>
    </row>
    <row r="144">
      <c r="A144" s="101">
        <f t="shared" si="1"/>
        <v>143</v>
      </c>
      <c r="B144" s="95">
        <f>IFERROR(__xludf.DUMMYFUNCTION("filter(Famillesid!$22:$22,(Famillesid!$16:$16=A144)+(Famillesid!$17:$17=A144)+(Famillesid!$18:$18=A144)+(Famillesid!$19:$19=A144)+(Famillesid!$20:$20=A144)+(Famillesid!$21:$21=A144))"),176.0)</f>
        <v>176</v>
      </c>
      <c r="C144" s="105" t="str">
        <f>IFERROR(__xludf.DUMMYFUNCTION("""COMPUTED_VALUE"""),"Esteban LECOURT")</f>
        <v>Esteban LECOURT</v>
      </c>
      <c r="D144" s="106" t="str">
        <f>IFERROR(__xludf.DUMMYFUNCTION("filter('Réponses au formulaire 1'!T:T,'Réponses au formulaire 1'!B:B=C144)"),"Un sweat SKT")</f>
        <v>Un sweat SKT</v>
      </c>
      <c r="E144" s="110"/>
      <c r="F144" s="92"/>
      <c r="G144" s="18"/>
      <c r="H144" s="101" t="str">
        <f>IFERROR(__xludf.DUMMYFUNCTION("""COMPUTED_VALUE"""),"Geoffroy LECONTE")</f>
        <v>Geoffroy LECONTE</v>
      </c>
      <c r="I144" s="67" t="str">
        <f>IFERROR(__xludf.DUMMYFUNCTION("""COMPUTED_VALUE"""),"Pas encore décidé")</f>
        <v>Pas encore décidé</v>
      </c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</row>
    <row r="145">
      <c r="A145" s="101">
        <f t="shared" si="1"/>
        <v>144</v>
      </c>
      <c r="B145" s="95">
        <f>IFERROR(__xludf.DUMMYFUNCTION("filter(Famillesid!$22:$22,(Famillesid!$16:$16=A145)+(Famillesid!$17:$17=A145)+(Famillesid!$18:$18=A145)+(Famillesid!$19:$19=A145)+(Famillesid!$20:$20=A145)+(Famillesid!$21:$21=A145))"),151.0)</f>
        <v>151</v>
      </c>
      <c r="C145" s="105" t="str">
        <f>IFERROR(__xludf.DUMMYFUNCTION("""COMPUTED_VALUE"""),"Luis FERNANDEZ")</f>
        <v>Luis FERNANDEZ</v>
      </c>
      <c r="D145" s="106" t="str">
        <f>IFERROR(__xludf.DUMMYFUNCTION("filter('Réponses au formulaire 1'!T:T,'Réponses au formulaire 1'!B:B=C145)"),"Chaussons escalade")</f>
        <v>Chaussons escalade</v>
      </c>
      <c r="E145" s="110"/>
      <c r="F145" s="92"/>
      <c r="G145" s="18"/>
      <c r="H145" s="101" t="str">
        <f>IFERROR(__xludf.DUMMYFUNCTION("""COMPUTED_VALUE"""),"Pierre BOURREAU")</f>
        <v>Pierre BOURREAU</v>
      </c>
      <c r="I145" s="67" t="str">
        <f>IFERROR(__xludf.DUMMYFUNCTION("""COMPUTED_VALUE"""),"Du vin")</f>
        <v>Du vin</v>
      </c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</row>
    <row r="146">
      <c r="A146" s="101">
        <f t="shared" si="1"/>
        <v>145</v>
      </c>
      <c r="B146" s="95">
        <f>IFERROR(__xludf.DUMMYFUNCTION("filter(Famillesid!$22:$22,(Famillesid!$16:$16=A146)+(Famillesid!$17:$17=A146)+(Famillesid!$18:$18=A146)+(Famillesid!$19:$19=A146)+(Famillesid!$20:$20=A146)+(Famillesid!$21:$21=A146))"),181.0)</f>
        <v>181</v>
      </c>
      <c r="C146" s="105" t="str">
        <f>IFERROR(__xludf.DUMMYFUNCTION("""COMPUTED_VALUE"""),"Solene LE FUR")</f>
        <v>Solene LE FUR</v>
      </c>
      <c r="D146" s="106" t="str">
        <f>IFERROR(__xludf.DUMMYFUNCTION("filter('Réponses au formulaire 1'!T:T,'Réponses au formulaire 1'!B:B=C146)"),"Je sais pas encore")</f>
        <v>Je sais pas encore</v>
      </c>
      <c r="E146" s="107" t="s">
        <v>631</v>
      </c>
      <c r="F146" s="108" t="s">
        <v>1157</v>
      </c>
      <c r="G146" s="18"/>
      <c r="H146" s="101" t="str">
        <f>IFERROR(__xludf.DUMMYFUNCTION("""COMPUTED_VALUE"""),"Antoine SENELLART")</f>
        <v>Antoine SENELLART</v>
      </c>
      <c r="I146" s="67" t="str">
        <f>IFERROR(__xludf.DUMMYFUNCTION("""COMPUTED_VALUE"""),"Un Khalot")</f>
        <v>Un Khalot</v>
      </c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</row>
    <row r="147">
      <c r="A147" s="101">
        <f t="shared" si="1"/>
        <v>146</v>
      </c>
      <c r="B147" s="95">
        <f>IFERROR(__xludf.DUMMYFUNCTION("filter(Famillesid!$22:$22,(Famillesid!$16:$16=A147)+(Famillesid!$17:$17=A147)+(Famillesid!$18:$18=A147)+(Famillesid!$19:$19=A147)+(Famillesid!$20:$20=A147)+(Famillesid!$21:$21=A147))"),181.0)</f>
        <v>181</v>
      </c>
      <c r="C147" s="105" t="str">
        <f>IFERROR(__xludf.DUMMYFUNCTION("""COMPUTED_VALUE"""),"Eugénie cotte")</f>
        <v>Eugénie cotte</v>
      </c>
      <c r="D147" s="106" t="str">
        <f>IFERROR(__xludf.DUMMYFUNCTION("filter('Réponses au formulaire 1'!T:T,'Réponses au formulaire 1'!B:B=C147)"),"Des oreilles de cochon")</f>
        <v>Des oreilles de cochon</v>
      </c>
      <c r="E147" s="110"/>
      <c r="F147" s="92"/>
      <c r="G147" s="18"/>
      <c r="H147" s="101" t="str">
        <f>IFERROR(__xludf.DUMMYFUNCTION("""COMPUTED_VALUE"""),"Louis LEQUES")</f>
        <v>Louis LEQUES</v>
      </c>
      <c r="I147" s="67" t="str">
        <f>IFERROR(__xludf.DUMMYFUNCTION("""COMPUTED_VALUE"""),"un oinj")</f>
        <v>un oinj</v>
      </c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</row>
    <row r="148">
      <c r="A148" s="101">
        <f t="shared" si="1"/>
        <v>147</v>
      </c>
      <c r="B148" s="95">
        <f>IFERROR(__xludf.DUMMYFUNCTION("filter(Famillesid!$22:$22,(Famillesid!$16:$16=A148)+(Famillesid!$17:$17=A148)+(Famillesid!$18:$18=A148)+(Famillesid!$19:$19=A148)+(Famillesid!$20:$20=A148)+(Famillesid!$21:$21=A148))"),181.0)</f>
        <v>181</v>
      </c>
      <c r="C148" s="105" t="str">
        <f>IFERROR(__xludf.DUMMYFUNCTION("""COMPUTED_VALUE"""),"Samuel BISMUT")</f>
        <v>Samuel BISMUT</v>
      </c>
      <c r="D148" s="106" t="str">
        <f>IFERROR(__xludf.DUMMYFUNCTION("filter('Réponses au formulaire 1'!T:T,'Réponses au formulaire 1'!B:B=C148)"),"Chapeau Ricard ")</f>
        <v>Chapeau Ricard </v>
      </c>
      <c r="E148" s="110"/>
      <c r="F148" s="92"/>
      <c r="G148" s="18"/>
      <c r="H148" s="101" t="str">
        <f>IFERROR(__xludf.DUMMYFUNCTION("""COMPUTED_VALUE"""),"Louis CLAUCE")</f>
        <v>Louis CLAUCE</v>
      </c>
      <c r="I148" s="67" t="str">
        <f>IFERROR(__xludf.DUMMYFUNCTION("""COMPUTED_VALUE"""),"un coupe cigare")</f>
        <v>un coupe cigare</v>
      </c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</row>
    <row r="149">
      <c r="A149" s="101">
        <f t="shared" si="1"/>
        <v>148</v>
      </c>
      <c r="B149" s="95">
        <f>IFERROR(__xludf.DUMMYFUNCTION("filter(Famillesid!$22:$22,(Famillesid!$16:$16=A149)+(Famillesid!$17:$17=A149)+(Famillesid!$18:$18=A149)+(Famillesid!$19:$19=A149)+(Famillesid!$20:$20=A149)+(Famillesid!$21:$21=A149))"),126.0)</f>
        <v>126</v>
      </c>
      <c r="C149" s="105" t="str">
        <f>IFERROR(__xludf.DUMMYFUNCTION("""COMPUTED_VALUE"""),"Victor BLANCART")</f>
        <v>Victor BLANCART</v>
      </c>
      <c r="D149" s="106" t="str">
        <f>IFERROR(__xludf.DUMMYFUNCTION("filter('Réponses au formulaire 1'!T:T,'Réponses au formulaire 1'!B:B=C149)"),"Une gourde")</f>
        <v>Une gourde</v>
      </c>
      <c r="E149" s="110"/>
      <c r="F149" s="92"/>
      <c r="G149" s="18"/>
      <c r="H149" s="101" t="str">
        <f>IFERROR(__xludf.DUMMYFUNCTION("""COMPUTED_VALUE"""),"Samir ZINA-RAGGOUA")</f>
        <v>Samir ZINA-RAGGOUA</v>
      </c>
      <c r="I149" s="67" t="str">
        <f>IFERROR(__xludf.DUMMYFUNCTION("""COMPUTED_VALUE"""),"Je ne sais pas")</f>
        <v>Je ne sais pas</v>
      </c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</row>
    <row r="150">
      <c r="A150" s="101">
        <f t="shared" si="1"/>
        <v>149</v>
      </c>
      <c r="B150" s="95">
        <f>IFERROR(__xludf.DUMMYFUNCTION("filter(Famillesid!$22:$22,(Famillesid!$16:$16=A150)+(Famillesid!$17:$17=A150)+(Famillesid!$18:$18=A150)+(Famillesid!$19:$19=A150)+(Famillesid!$20:$20=A150)+(Famillesid!$21:$21=A150))"),121.0)</f>
        <v>121</v>
      </c>
      <c r="C150" s="105" t="str">
        <f>IFERROR(__xludf.DUMMYFUNCTION("""COMPUTED_VALUE"""),"Tommy GEHENIAU")</f>
        <v>Tommy GEHENIAU</v>
      </c>
      <c r="D150" s="106" t="str">
        <f>IFERROR(__xludf.DUMMYFUNCTION("filter('Réponses au formulaire 1'!T:T,'Réponses au formulaire 1'!B:B=C150)"),"Aurèle")</f>
        <v>Aurèle</v>
      </c>
      <c r="E150" s="110"/>
      <c r="F150" s="92"/>
      <c r="G150" s="18"/>
      <c r="H150" s="101" t="str">
        <f>IFERROR(__xludf.DUMMYFUNCTION("""COMPUTED_VALUE"""),"Mikaël Farje")</f>
        <v>Mikaël Farje</v>
      </c>
      <c r="I150" s="67" t="str">
        <f>IFERROR(__xludf.DUMMYFUNCTION("""COMPUTED_VALUE"""),"Un maillot de foot ")</f>
        <v>Un maillot de foot </v>
      </c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</row>
    <row r="151">
      <c r="A151" s="101">
        <f t="shared" si="1"/>
        <v>150</v>
      </c>
      <c r="B151" s="95">
        <f>IFERROR(__xludf.DUMMYFUNCTION("filter(Famillesid!$22:$22,(Famillesid!$16:$16=A151)+(Famillesid!$17:$17=A151)+(Famillesid!$18:$18=A151)+(Famillesid!$19:$19=A151)+(Famillesid!$20:$20=A151)+(Famillesid!$21:$21=A151))"),186.0)</f>
        <v>186</v>
      </c>
      <c r="C151" s="105" t="str">
        <f>IFERROR(__xludf.DUMMYFUNCTION("""COMPUTED_VALUE"""),"Léo HUREAU")</f>
        <v>Léo HUREAU</v>
      </c>
      <c r="D151" s="106" t="str">
        <f>IFERROR(__xludf.DUMMYFUNCTION("filter('Réponses au formulaire 1'!T:T,'Réponses au formulaire 1'!B:B=C151)"),"Une voiture ")</f>
        <v>Une voiture </v>
      </c>
      <c r="E151" s="110"/>
      <c r="F151" s="92"/>
      <c r="G151" s="18"/>
      <c r="H151" s="101" t="str">
        <f>IFERROR(__xludf.DUMMYFUNCTION("""COMPUTED_VALUE"""),"Allouache")</f>
        <v>Allouache</v>
      </c>
      <c r="I151" s="67" t="str">
        <f>IFERROR(__xludf.DUMMYFUNCTION("""COMPUTED_VALUE"""),"Des ailes d’ange ")</f>
        <v>Des ailes d’ange </v>
      </c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</row>
    <row r="152">
      <c r="A152" s="101">
        <f t="shared" si="1"/>
        <v>151</v>
      </c>
      <c r="B152" s="95">
        <f>IFERROR(__xludf.DUMMYFUNCTION("filter(Famillesid!$22:$22,(Famillesid!$16:$16=A152)+(Famillesid!$17:$17=A152)+(Famillesid!$18:$18=A152)+(Famillesid!$19:$19=A152)+(Famillesid!$20:$20=A152)+(Famillesid!$21:$21=A152))"),186.0)</f>
        <v>186</v>
      </c>
      <c r="C152" s="105" t="str">
        <f>IFERROR(__xludf.DUMMYFUNCTION("""COMPUTED_VALUE"""),"Awen BRUNEAU")</f>
        <v>Awen BRUNEAU</v>
      </c>
      <c r="D152" s="106" t="str">
        <f>IFERROR(__xludf.DUMMYFUNCTION("filter('Réponses au formulaire 1'!T:T,'Réponses au formulaire 1'!B:B=C152)"),"Objet relatif aux vieilles charrues")</f>
        <v>Objet relatif aux vieilles charrues</v>
      </c>
      <c r="E152" s="110"/>
      <c r="F152" s="92"/>
      <c r="G152" s="18"/>
      <c r="H152" s="101" t="str">
        <f>IFERROR(__xludf.DUMMYFUNCTION("""COMPUTED_VALUE"""),"Jean Pichard")</f>
        <v>Jean Pichard</v>
      </c>
      <c r="I152" s="67" t="str">
        <f>IFERROR(__xludf.DUMMYFUNCTION("""COMPUTED_VALUE"""),"Pas choisi encore ")</f>
        <v>Pas choisi encore </v>
      </c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</row>
    <row r="153">
      <c r="A153" s="101">
        <f t="shared" si="1"/>
        <v>152</v>
      </c>
      <c r="B153" s="95">
        <f>IFERROR(__xludf.DUMMYFUNCTION("filter(Famillesid!$22:$22,(Famillesid!$16:$16=A153)+(Famillesid!$17:$17=A153)+(Famillesid!$18:$18=A153)+(Famillesid!$19:$19=A153)+(Famillesid!$20:$20=A153)+(Famillesid!$21:$21=A153))"),191.0)</f>
        <v>191</v>
      </c>
      <c r="C153" s="105" t="str">
        <f>IFERROR(__xludf.DUMMYFUNCTION("""COMPUTED_VALUE"""),"simeo Potiron")</f>
        <v>simeo Potiron</v>
      </c>
      <c r="D153" s="106" t="str">
        <f>IFERROR(__xludf.DUMMYFUNCTION("filter('Réponses au formulaire 1'!T:T,'Réponses au formulaire 1'!B:B=C153)"),"no se")</f>
        <v>no se</v>
      </c>
      <c r="E153" s="111" t="s">
        <v>631</v>
      </c>
      <c r="F153" s="112" t="s">
        <v>1160</v>
      </c>
      <c r="G153" s="18"/>
      <c r="H153" s="101" t="str">
        <f>IFERROR(__xludf.DUMMYFUNCTION("""COMPUTED_VALUE"""),"Mathis CELCE")</f>
        <v>Mathis CELCE</v>
      </c>
      <c r="I153" s="67" t="str">
        <f>IFERROR(__xludf.DUMMYFUNCTION("""COMPUTED_VALUE"""),"Ta mère")</f>
        <v>Ta mère</v>
      </c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</row>
    <row r="154">
      <c r="A154" s="101">
        <f t="shared" si="1"/>
        <v>153</v>
      </c>
      <c r="B154" s="95">
        <f>IFERROR(__xludf.DUMMYFUNCTION("filter(Famillesid!$22:$22,(Famillesid!$16:$16=A154)+(Famillesid!$17:$17=A154)+(Famillesid!$18:$18=A154)+(Famillesid!$19:$19=A154)+(Famillesid!$20:$20=A154)+(Famillesid!$21:$21=A154))"),186.0)</f>
        <v>186</v>
      </c>
      <c r="C154" s="105" t="str">
        <f>IFERROR(__xludf.DUMMYFUNCTION("""COMPUTED_VALUE"""),"Pierre MAQUET")</f>
        <v>Pierre MAQUET</v>
      </c>
      <c r="D154" s="106" t="str">
        <f>IFERROR(__xludf.DUMMYFUNCTION("filter('Réponses au formulaire 1'!T:T,'Réponses au formulaire 1'!B:B=C154)"),"Une partition")</f>
        <v>Une partition</v>
      </c>
      <c r="E154" s="107" t="s">
        <v>631</v>
      </c>
      <c r="F154" s="108" t="s">
        <v>1157</v>
      </c>
      <c r="G154" s="18"/>
      <c r="H154" s="101" t="str">
        <f>IFERROR(__xludf.DUMMYFUNCTION("""COMPUTED_VALUE"""),"Maxime Roy")</f>
        <v>Maxime Roy</v>
      </c>
      <c r="I154" s="67" t="str">
        <f>IFERROR(__xludf.DUMMYFUNCTION("""COMPUTED_VALUE"""),"jsais ap")</f>
        <v>jsais ap</v>
      </c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</row>
    <row r="155">
      <c r="A155" s="101">
        <f t="shared" si="1"/>
        <v>154</v>
      </c>
      <c r="B155" s="95">
        <f>IFERROR(__xludf.DUMMYFUNCTION("filter(Famillesid!$22:$22,(Famillesid!$16:$16=A155)+(Famillesid!$17:$17=A155)+(Famillesid!$18:$18=A155)+(Famillesid!$19:$19=A155)+(Famillesid!$20:$20=A155)+(Famillesid!$21:$21=A155))"),186.0)</f>
        <v>186</v>
      </c>
      <c r="C155" s="105" t="str">
        <f>IFERROR(__xludf.DUMMYFUNCTION("""COMPUTED_VALUE"""),"Céline FEREC")</f>
        <v>Céline FEREC</v>
      </c>
      <c r="D155" s="106" t="str">
        <f>IFERROR(__xludf.DUMMYFUNCTION("filter('Réponses au formulaire 1'!T:T,'Réponses au formulaire 1'!B:B=C155)"),"une feuille d'admission aux urgences ;)")</f>
        <v>une feuille d'admission aux urgences ;)</v>
      </c>
      <c r="E155" s="107" t="s">
        <v>631</v>
      </c>
      <c r="F155" s="108" t="s">
        <v>1158</v>
      </c>
      <c r="G155" s="18"/>
      <c r="H155" s="101" t="str">
        <f>IFERROR(__xludf.DUMMYFUNCTION("""COMPUTED_VALUE"""),"Gauthier PEZZOLI")</f>
        <v>Gauthier PEZZOLI</v>
      </c>
      <c r="I155" s="67" t="str">
        <f>IFERROR(__xludf.DUMMYFUNCTION("""COMPUTED_VALUE"""),"Un rubix cube ou bien un lien vers ma chaîne YT")</f>
        <v>Un rubix cube ou bien un lien vers ma chaîne YT</v>
      </c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</row>
    <row r="156">
      <c r="A156" s="101">
        <f t="shared" si="1"/>
        <v>155</v>
      </c>
      <c r="B156" s="95">
        <f>IFERROR(__xludf.DUMMYFUNCTION("filter(Famillesid!$22:$22,(Famillesid!$16:$16=A156)+(Famillesid!$17:$17=A156)+(Famillesid!$18:$18=A156)+(Famillesid!$19:$19=A156)+(Famillesid!$20:$20=A156)+(Famillesid!$21:$21=A156))"),161.0)</f>
        <v>161</v>
      </c>
      <c r="C156" s="105" t="str">
        <f>IFERROR(__xludf.DUMMYFUNCTION("""COMPUTED_VALUE"""),"Maxime GRAS")</f>
        <v>Maxime GRAS</v>
      </c>
      <c r="D156" s="106" t="str">
        <f>IFERROR(__xludf.DUMMYFUNCTION("filter('Réponses au formulaire 1'!T:T,'Réponses au formulaire 1'!B:B=C156)"),"Sachet de meth/chapeau/silp/bouteille de Mr Propre/Truc de théâtre")</f>
        <v>Sachet de meth/chapeau/silp/bouteille de Mr Propre/Truc de théâtre</v>
      </c>
      <c r="E156" s="110"/>
      <c r="F156" s="92"/>
      <c r="G156" s="18"/>
      <c r="H156" s="101" t="str">
        <f>IFERROR(__xludf.DUMMYFUNCTION("""COMPUTED_VALUE"""),"Clément Wozniak")</f>
        <v>Clément Wozniak</v>
      </c>
      <c r="I156" s="67" t="str">
        <f>IFERROR(__xludf.DUMMYFUNCTION("""COMPUTED_VALUE"""),"Oreiller")</f>
        <v>Oreiller</v>
      </c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</row>
    <row r="157">
      <c r="A157" s="101">
        <f t="shared" si="1"/>
        <v>156</v>
      </c>
      <c r="B157" s="95">
        <f>IFERROR(__xludf.DUMMYFUNCTION("filter(Famillesid!$22:$22,(Famillesid!$16:$16=A157)+(Famillesid!$17:$17=A157)+(Famillesid!$18:$18=A157)+(Famillesid!$19:$19=A157)+(Famillesid!$20:$20=A157)+(Famillesid!$21:$21=A157))"),161.0)</f>
        <v>161</v>
      </c>
      <c r="C157" s="105" t="str">
        <f>IFERROR(__xludf.DUMMYFUNCTION("""COMPUTED_VALUE"""),"Audrey BOYENVAL")</f>
        <v>Audrey BOYENVAL</v>
      </c>
      <c r="D157" s="106" t="str">
        <f>IFERROR(__xludf.DUMMYFUNCTION("filter('Réponses au formulaire 1'!T:T,'Réponses au formulaire 1'!B:B=C157)"),"Un trophée")</f>
        <v>Un trophée</v>
      </c>
      <c r="E157" s="111" t="s">
        <v>631</v>
      </c>
      <c r="F157" s="112" t="s">
        <v>1160</v>
      </c>
      <c r="G157" s="18"/>
      <c r="H157" s="101" t="str">
        <f>IFERROR(__xludf.DUMMYFUNCTION("""COMPUTED_VALUE"""),"Cyriane BIENVENUE")</f>
        <v>Cyriane BIENVENUE</v>
      </c>
      <c r="I157" s="67" t="str">
        <f>IFERROR(__xludf.DUMMYFUNCTION("""COMPUTED_VALUE"""),"Des gants de voile")</f>
        <v>Des gants de voile</v>
      </c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</row>
    <row r="158">
      <c r="A158" s="101">
        <f t="shared" si="1"/>
        <v>157</v>
      </c>
      <c r="B158" s="95">
        <f>IFERROR(__xludf.DUMMYFUNCTION("filter(Famillesid!$22:$22,(Famillesid!$16:$16=A158)+(Famillesid!$17:$17=A158)+(Famillesid!$18:$18=A158)+(Famillesid!$19:$19=A158)+(Famillesid!$20:$20=A158)+(Famillesid!$21:$21=A158))"),141.0)</f>
        <v>141</v>
      </c>
      <c r="C158" s="105" t="str">
        <f>IFERROR(__xludf.DUMMYFUNCTION("""COMPUTED_VALUE"""),"Chloé CANAVATE")</f>
        <v>Chloé CANAVATE</v>
      </c>
      <c r="D158" s="106" t="str">
        <f>IFERROR(__xludf.DUMMYFUNCTION("filter('Réponses au formulaire 1'!T:T,'Réponses au formulaire 1'!B:B=C158)"),"Une bouteille de jagger")</f>
        <v>Une bouteille de jagger</v>
      </c>
      <c r="E158" s="110"/>
      <c r="F158" s="92"/>
      <c r="G158" s="18"/>
      <c r="H158" s="101" t="str">
        <f>IFERROR(__xludf.DUMMYFUNCTION("""COMPUTED_VALUE"""),"Marius MENAULT")</f>
        <v>Marius MENAULT</v>
      </c>
      <c r="I158" s="67" t="str">
        <f>IFERROR(__xludf.DUMMYFUNCTION("""COMPUTED_VALUE"""),"Des chaussettes")</f>
        <v>Des chaussettes</v>
      </c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</row>
    <row r="159">
      <c r="A159" s="101">
        <f t="shared" si="1"/>
        <v>158</v>
      </c>
      <c r="B159" s="95">
        <f>IFERROR(__xludf.DUMMYFUNCTION("filter(Famillesid!$22:$22,(Famillesid!$16:$16=A159)+(Famillesid!$17:$17=A159)+(Famillesid!$18:$18=A159)+(Famillesid!$19:$19=A159)+(Famillesid!$20:$20=A159)+(Famillesid!$21:$21=A159))"),191.0)</f>
        <v>191</v>
      </c>
      <c r="C159" s="105" t="str">
        <f>IFERROR(__xludf.DUMMYFUNCTION("""COMPUTED_VALUE"""),"Antoine TARDIVON")</f>
        <v>Antoine TARDIVON</v>
      </c>
      <c r="D159" s="106" t="str">
        <f>IFERROR(__xludf.DUMMYFUNCTION("filter('Réponses au formulaire 1'!T:T,'Réponses au formulaire 1'!B:B=C159)"),"No se")</f>
        <v>No se</v>
      </c>
      <c r="E159" s="110"/>
      <c r="F159" s="92"/>
      <c r="G159" s="18"/>
      <c r="H159" s="101" t="str">
        <f>IFERROR(__xludf.DUMMYFUNCTION("""COMPUTED_VALUE"""),"Cyprien MARION")</f>
        <v>Cyprien MARION</v>
      </c>
      <c r="I159" s="67" t="str">
        <f>IFERROR(__xludf.DUMMYFUNCTION("""COMPUTED_VALUE"""),"Un démanilleur")</f>
        <v>Un démanilleur</v>
      </c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</row>
    <row r="160">
      <c r="A160" s="101">
        <f t="shared" si="1"/>
        <v>159</v>
      </c>
      <c r="B160" s="95">
        <f>IFERROR(__xludf.DUMMYFUNCTION("filter(Famillesid!$22:$22,(Famillesid!$16:$16=A160)+(Famillesid!$17:$17=A160)+(Famillesid!$18:$18=A160)+(Famillesid!$19:$19=A160)+(Famillesid!$20:$20=A160)+(Famillesid!$21:$21=A160))"),191.0)</f>
        <v>191</v>
      </c>
      <c r="C160" s="105" t="str">
        <f>IFERROR(__xludf.DUMMYFUNCTION("""COMPUTED_VALUE"""),"Adrien Simonet")</f>
        <v>Adrien Simonet</v>
      </c>
      <c r="D160" s="106" t="str">
        <f>IFERROR(__xludf.DUMMYFUNCTION("filter('Réponses au formulaire 1'!T:T,'Réponses au formulaire 1'!B:B=C160)"),"Rien")</f>
        <v>Rien</v>
      </c>
      <c r="E160" s="110"/>
      <c r="F160" s="92"/>
      <c r="G160" s="18"/>
      <c r="H160" s="101" t="str">
        <f>IFERROR(__xludf.DUMMYFUNCTION("""COMPUTED_VALUE"""),"Arthur LEMASSON")</f>
        <v>Arthur LEMASSON</v>
      </c>
      <c r="I160" s="67" t="str">
        <f>IFERROR(__xludf.DUMMYFUNCTION("""COMPUTED_VALUE"""),"Un chips")</f>
        <v>Un chips</v>
      </c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</row>
    <row r="161">
      <c r="A161" s="101">
        <f t="shared" si="1"/>
        <v>160</v>
      </c>
      <c r="B161" s="95">
        <f>IFERROR(__xludf.DUMMYFUNCTION("filter(Famillesid!$22:$22,(Famillesid!$16:$16=A161)+(Famillesid!$17:$17=A161)+(Famillesid!$18:$18=A161)+(Famillesid!$19:$19=A161)+(Famillesid!$20:$20=A161)+(Famillesid!$21:$21=A161))"),141.0)</f>
        <v>141</v>
      </c>
      <c r="C161" s="105" t="str">
        <f>IFERROR(__xludf.DUMMYFUNCTION("""COMPUTED_VALUE"""),"Maena GALERON")</f>
        <v>Maena GALERON</v>
      </c>
      <c r="D161" s="106" t="str">
        <f>IFERROR(__xludf.DUMMYFUNCTION("filter('Réponses au formulaire 1'!T:T,'Réponses au formulaire 1'!B:B=C161)"),"Une étoile ")</f>
        <v>Une étoile </v>
      </c>
      <c r="E161" s="110"/>
      <c r="F161" s="92"/>
      <c r="G161" s="18"/>
      <c r="H161" s="101" t="str">
        <f>IFERROR(__xludf.DUMMYFUNCTION("""COMPUTED_VALUE"""),"Vincent MESLIER")</f>
        <v>Vincent MESLIER</v>
      </c>
      <c r="I161" s="67" t="str">
        <f>IFERROR(__xludf.DUMMYFUNCTION("""COMPUTED_VALUE"""),"Une maximator")</f>
        <v>Une maximator</v>
      </c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</row>
    <row r="162">
      <c r="A162" s="101">
        <f t="shared" si="1"/>
        <v>161</v>
      </c>
      <c r="B162" s="95">
        <f>IFERROR(__xludf.DUMMYFUNCTION("filter(Famillesid!$22:$22,(Famillesid!$16:$16=A162)+(Famillesid!$17:$17=A162)+(Famillesid!$18:$18=A162)+(Famillesid!$19:$19=A162)+(Famillesid!$20:$20=A162)+(Famillesid!$21:$21=A162))"),181.0)</f>
        <v>181</v>
      </c>
      <c r="C162" s="105" t="str">
        <f>IFERROR(__xludf.DUMMYFUNCTION("""COMPUTED_VALUE"""),"Antoine LETOFFET")</f>
        <v>Antoine LETOFFET</v>
      </c>
      <c r="D162" s="106" t="str">
        <f>IFERROR(__xludf.DUMMYFUNCTION("filter('Réponses au formulaire 1'!T:T,'Réponses au formulaire 1'!B:B=C162)"),"je sais pas encore")</f>
        <v>je sais pas encore</v>
      </c>
      <c r="E162" s="110"/>
      <c r="F162" s="92"/>
      <c r="G162" s="18"/>
      <c r="H162" s="101" t="str">
        <f>IFERROR(__xludf.DUMMYFUNCTION("""COMPUTED_VALUE"""),"Tom OVISTE")</f>
        <v>Tom OVISTE</v>
      </c>
      <c r="I162" s="67" t="str">
        <f>IFERROR(__xludf.DUMMYFUNCTION("""COMPUTED_VALUE"""),"Beaucoup d'amour")</f>
        <v>Beaucoup d'amour</v>
      </c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</row>
    <row r="163">
      <c r="A163" s="101">
        <f t="shared" si="1"/>
        <v>162</v>
      </c>
      <c r="B163" s="95">
        <f>IFERROR(__xludf.DUMMYFUNCTION("filter(Famillesid!$22:$22,(Famillesid!$16:$16=A163)+(Famillesid!$17:$17=A163)+(Famillesid!$18:$18=A163)+(Famillesid!$19:$19=A163)+(Famillesid!$20:$20=A163)+(Famillesid!$21:$21=A163))"),196.0)</f>
        <v>196</v>
      </c>
      <c r="C163" s="105" t="str">
        <f>IFERROR(__xludf.DUMMYFUNCTION("""COMPUTED_VALUE"""),"Grégoire Turzo")</f>
        <v>Grégoire Turzo</v>
      </c>
      <c r="D163" s="106" t="str">
        <f>IFERROR(__xludf.DUMMYFUNCTION("filter('Réponses au formulaire 1'!T:T,'Réponses au formulaire 1'!B:B=C163)"),"Lunette de toilettes")</f>
        <v>Lunette de toilettes</v>
      </c>
      <c r="E163" s="110"/>
      <c r="F163" s="92"/>
      <c r="G163" s="18"/>
      <c r="H163" s="101" t="str">
        <f>IFERROR(__xludf.DUMMYFUNCTION("""COMPUTED_VALUE"""),"Léonce AUDIBERT")</f>
        <v>Léonce AUDIBERT</v>
      </c>
      <c r="I163" s="67" t="str">
        <f>IFERROR(__xludf.DUMMYFUNCTION("""COMPUTED_VALUE"""),"Désolé je sais pas du tout mon bon Adrien la mif et Lucas  la mif ")</f>
        <v>Désolé je sais pas du tout mon bon Adrien la mif et Lucas  la mif </v>
      </c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</row>
    <row r="164">
      <c r="A164" s="101">
        <f t="shared" si="1"/>
        <v>163</v>
      </c>
      <c r="B164" s="95">
        <f>IFERROR(__xludf.DUMMYFUNCTION("filter(Famillesid!$22:$22,(Famillesid!$16:$16=A164)+(Famillesid!$17:$17=A164)+(Famillesid!$18:$18=A164)+(Famillesid!$19:$19=A164)+(Famillesid!$20:$20=A164)+(Famillesid!$21:$21=A164))"),196.0)</f>
        <v>196</v>
      </c>
      <c r="C164" s="105" t="str">
        <f>IFERROR(__xludf.DUMMYFUNCTION("""COMPUTED_VALUE"""),"Henri de Chanterac")</f>
        <v>Henri de Chanterac</v>
      </c>
      <c r="D164" s="106" t="str">
        <f>IFERROR(__xludf.DUMMYFUNCTION("filter('Réponses au formulaire 1'!T:T,'Réponses au formulaire 1'!B:B=C164)"),"un pochon de houblon")</f>
        <v>un pochon de houblon</v>
      </c>
      <c r="E164" s="110"/>
      <c r="F164" s="92"/>
      <c r="G164" s="18"/>
      <c r="H164" s="101" t="str">
        <f>IFERROR(__xludf.DUMMYFUNCTION("""COMPUTED_VALUE"""),"Pm Guyot")</f>
        <v>Pm Guyot</v>
      </c>
      <c r="I164" s="67" t="str">
        <f>IFERROR(__xludf.DUMMYFUNCTION("""COMPUTED_VALUE"""),"Un masque de merde")</f>
        <v>Un masque de merde</v>
      </c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</row>
    <row r="165">
      <c r="A165" s="101">
        <f t="shared" si="1"/>
        <v>164</v>
      </c>
      <c r="B165" s="95">
        <f>IFERROR(__xludf.DUMMYFUNCTION("filter(Famillesid!$22:$22,(Famillesid!$16:$16=A165)+(Famillesid!$17:$17=A165)+(Famillesid!$18:$18=A165)+(Famillesid!$19:$19=A165)+(Famillesid!$20:$20=A165)+(Famillesid!$21:$21=A165))"),196.0)</f>
        <v>196</v>
      </c>
      <c r="C165" s="105" t="str">
        <f>IFERROR(__xludf.DUMMYFUNCTION("""COMPUTED_VALUE"""),"Elouan BARBEREAU")</f>
        <v>Elouan BARBEREAU</v>
      </c>
      <c r="D165" s="106" t="str">
        <f>IFERROR(__xludf.DUMMYFUNCTION("filter('Réponses au formulaire 1'!T:T,'Réponses au formulaire 1'!B:B=C165)"),"papier")</f>
        <v>papier</v>
      </c>
      <c r="E165" s="110"/>
      <c r="F165" s="92"/>
      <c r="G165" s="18"/>
      <c r="H165" s="101" t="str">
        <f>IFERROR(__xludf.DUMMYFUNCTION("""COMPUTED_VALUE"""),"Antoine Chillet")</f>
        <v>Antoine Chillet</v>
      </c>
      <c r="I165" s="67" t="str">
        <f>IFERROR(__xludf.DUMMYFUNCTION("""COMPUTED_VALUE"""),"Balle de ping avec le logo d'Enactus ")</f>
        <v>Balle de ping avec le logo d'Enactus </v>
      </c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</row>
    <row r="166">
      <c r="A166" s="101">
        <f t="shared" si="1"/>
        <v>165</v>
      </c>
      <c r="B166" s="95">
        <f>IFERROR(__xludf.DUMMYFUNCTION("filter(Famillesid!$22:$22,(Famillesid!$16:$16=A166)+(Famillesid!$17:$17=A166)+(Famillesid!$18:$18=A166)+(Famillesid!$19:$19=A166)+(Famillesid!$20:$20=A166)+(Famillesid!$21:$21=A166))"),201.0)</f>
        <v>201</v>
      </c>
      <c r="C166" s="105" t="str">
        <f>IFERROR(__xludf.DUMMYFUNCTION("""COMPUTED_VALUE"""),"Moens Diego")</f>
        <v>Moens Diego</v>
      </c>
      <c r="D166" s="106" t="str">
        <f>IFERROR(__xludf.DUMMYFUNCTION("filter('Réponses au formulaire 1'!T:T,'Réponses au formulaire 1'!B:B=C166)"),"Grande feuille à rouler ")</f>
        <v>Grande feuille à rouler </v>
      </c>
      <c r="E166" s="110"/>
      <c r="F166" s="92"/>
      <c r="G166" s="18"/>
      <c r="H166" s="101" t="str">
        <f>IFERROR(__xludf.DUMMYFUNCTION("""COMPUTED_VALUE"""),"Richard ARNAUD")</f>
        <v>Richard ARNAUD</v>
      </c>
      <c r="I166" s="67" t="str">
        <f>IFERROR(__xludf.DUMMYFUNCTION("""COMPUTED_VALUE"""),"J'improserai")</f>
        <v>J'improserai</v>
      </c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</row>
    <row r="167">
      <c r="A167" s="101">
        <f t="shared" si="1"/>
        <v>166</v>
      </c>
      <c r="B167" s="95">
        <f>IFERROR(__xludf.DUMMYFUNCTION("filter(Famillesid!$22:$22,(Famillesid!$16:$16=A167)+(Famillesid!$17:$17=A167)+(Famillesid!$18:$18=A167)+(Famillesid!$19:$19=A167)+(Famillesid!$20:$20=A167)+(Famillesid!$21:$21=A167))"),201.0)</f>
        <v>201</v>
      </c>
      <c r="C167" s="105" t="str">
        <f>IFERROR(__xludf.DUMMYFUNCTION("""COMPUTED_VALUE"""),"Felipe Altamirano")</f>
        <v>Felipe Altamirano</v>
      </c>
      <c r="D167" s="106" t="str">
        <f>IFERROR(__xludf.DUMMYFUNCTION("filter('Réponses au formulaire 1'!T:T,'Réponses au formulaire 1'!B:B=C167)"),"Une bouteille de pisco vide")</f>
        <v>Une bouteille de pisco vide</v>
      </c>
      <c r="E167" s="110"/>
      <c r="F167" s="92"/>
      <c r="G167" s="18"/>
      <c r="H167" s="101" t="str">
        <f>IFERROR(__xludf.DUMMYFUNCTION("""COMPUTED_VALUE"""),"Le Mintier Emmanuel")</f>
        <v>Le Mintier Emmanuel</v>
      </c>
      <c r="I167" s="67" t="str">
        <f>IFERROR(__xludf.DUMMYFUNCTION("""COMPUTED_VALUE"""),"Manivelle de Winch")</f>
        <v>Manivelle de Winch</v>
      </c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</row>
    <row r="168">
      <c r="A168" s="101">
        <f t="shared" si="1"/>
        <v>167</v>
      </c>
      <c r="B168" s="95">
        <f>IFERROR(__xludf.DUMMYFUNCTION("filter(Famillesid!$22:$22,(Famillesid!$16:$16=A168)+(Famillesid!$17:$17=A168)+(Famillesid!$18:$18=A168)+(Famillesid!$19:$19=A168)+(Famillesid!$20:$20=A168)+(Famillesid!$21:$21=A168))"),201.0)</f>
        <v>201</v>
      </c>
      <c r="C168" s="105" t="str">
        <f>IFERROR(__xludf.DUMMYFUNCTION("""COMPUTED_VALUE"""),"Alison ALIAGA")</f>
        <v>Alison ALIAGA</v>
      </c>
      <c r="D168" s="106" t="str">
        <f>IFERROR(__xludf.DUMMYFUNCTION("filter('Réponses au formulaire 1'!T:T,'Réponses au formulaire 1'!B:B=C168)"),"Mon nounou ")</f>
        <v>Mon nounou </v>
      </c>
      <c r="E168" s="110"/>
      <c r="F168" s="92"/>
      <c r="G168" s="18"/>
      <c r="H168" s="101" t="str">
        <f>IFERROR(__xludf.DUMMYFUNCTION("""COMPUTED_VALUE"""),"Lilie BOIZUMAULT")</f>
        <v>Lilie BOIZUMAULT</v>
      </c>
      <c r="I168" s="67" t="str">
        <f>IFERROR(__xludf.DUMMYFUNCTION("""COMPUTED_VALUE"""),"Pochtard avec du gazon dedans ")</f>
        <v>Pochtard avec du gazon dedans </v>
      </c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</row>
    <row r="169">
      <c r="A169" s="101">
        <f t="shared" si="1"/>
        <v>168</v>
      </c>
      <c r="B169" s="95">
        <f>IFERROR(__xludf.DUMMYFUNCTION("filter(Famillesid!$22:$22,(Famillesid!$16:$16=A169)+(Famillesid!$17:$17=A169)+(Famillesid!$18:$18=A169)+(Famillesid!$19:$19=A169)+(Famillesid!$20:$20=A169)+(Famillesid!$21:$21=A169))"),201.0)</f>
        <v>201</v>
      </c>
      <c r="C169" s="105" t="str">
        <f>IFERROR(__xludf.DUMMYFUNCTION("""COMPUTED_VALUE"""),"Argueta Tamayo Emanuel")</f>
        <v>Argueta Tamayo Emanuel</v>
      </c>
      <c r="D169" s="106" t="str">
        <f>IFERROR(__xludf.DUMMYFUNCTION("filter('Réponses au formulaire 1'!T:T,'Réponses au formulaire 1'!B:B=C169)"),"Valentina (Salsa Picante) ")</f>
        <v>Valentina (Salsa Picante) </v>
      </c>
      <c r="E169" s="110"/>
      <c r="F169" s="92"/>
      <c r="G169" s="18"/>
      <c r="H169" s="101" t="str">
        <f>IFERROR(__xludf.DUMMYFUNCTION("""COMPUTED_VALUE"""),"Adrien Jamelot")</f>
        <v>Adrien Jamelot</v>
      </c>
      <c r="I169" s="67" t="str">
        <f>IFERROR(__xludf.DUMMYFUNCTION("""COMPUTED_VALUE"""),"Une brosse à dents")</f>
        <v>Une brosse à dents</v>
      </c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</row>
    <row r="170">
      <c r="A170" s="101">
        <f t="shared" si="1"/>
        <v>169</v>
      </c>
      <c r="B170" s="95">
        <f>IFERROR(__xludf.DUMMYFUNCTION("filter(Famillesid!$22:$22,(Famillesid!$16:$16=A170)+(Famillesid!$17:$17=A170)+(Famillesid!$18:$18=A170)+(Famillesid!$19:$19=A170)+(Famillesid!$20:$20=A170)+(Famillesid!$21:$21=A170))"),171.0)</f>
        <v>171</v>
      </c>
      <c r="C170" s="105" t="str">
        <f>IFERROR(__xludf.DUMMYFUNCTION("""COMPUTED_VALUE"""),"Marina THIEME PETERSEN")</f>
        <v>Marina THIEME PETERSEN</v>
      </c>
      <c r="D170" s="106" t="str">
        <f>IFERROR(__xludf.DUMMYFUNCTION("filter('Réponses au formulaire 1'!T:T,'Réponses au formulaire 1'!B:B=C170)"),"schoko bons")</f>
        <v>schoko bons</v>
      </c>
      <c r="E170" s="110"/>
      <c r="F170" s="92"/>
      <c r="G170" s="18"/>
      <c r="H170" s="101" t="str">
        <f>IFERROR(__xludf.DUMMYFUNCTION("""COMPUTED_VALUE"""),"Eric Ali Mehenni")</f>
        <v>Eric Ali Mehenni</v>
      </c>
      <c r="I170" s="67" t="str">
        <f>IFERROR(__xludf.DUMMYFUNCTION("""COMPUTED_VALUE"""),"Une carte")</f>
        <v>Une carte</v>
      </c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</row>
    <row r="171">
      <c r="A171" s="101">
        <f t="shared" si="1"/>
        <v>170</v>
      </c>
      <c r="B171" s="95">
        <f>IFERROR(__xludf.DUMMYFUNCTION("filter(Famillesid!$22:$22,(Famillesid!$16:$16=A171)+(Famillesid!$17:$17=A171)+(Famillesid!$18:$18=A171)+(Famillesid!$19:$19=A171)+(Famillesid!$20:$20=A171)+(Famillesid!$21:$21=A171))"),81.0)</f>
        <v>81</v>
      </c>
      <c r="C171" s="105" t="str">
        <f>IFERROR(__xludf.DUMMYFUNCTION("""COMPUTED_VALUE"""),"Erwan Sauvage")</f>
        <v>Erwan Sauvage</v>
      </c>
      <c r="D171" s="106" t="str">
        <f>IFERROR(__xludf.DUMMYFUNCTION("filter('Réponses au formulaire 1'!T:T,'Réponses au formulaire 1'!B:B=C171)"),"Mon peignoir")</f>
        <v>Mon peignoir</v>
      </c>
      <c r="E171" s="110"/>
      <c r="F171" s="92"/>
      <c r="G171" s="18"/>
      <c r="H171" s="101" t="str">
        <f>IFERROR(__xludf.DUMMYFUNCTION("""COMPUTED_VALUE"""),"Anaïs BOUCHET")</f>
        <v>Anaïs BOUCHET</v>
      </c>
      <c r="I171" s="67" t="str">
        <f>IFERROR(__xludf.DUMMYFUNCTION("""COMPUTED_VALUE"""),"Un serre-tête médusé ")</f>
        <v>Un serre-tête médusé </v>
      </c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</row>
    <row r="172">
      <c r="A172" s="101">
        <f t="shared" si="1"/>
        <v>171</v>
      </c>
      <c r="B172" s="95">
        <f>IFERROR(__xludf.DUMMYFUNCTION("filter(Famillesid!$22:$22,(Famillesid!$16:$16=A172)+(Famillesid!$17:$17=A172)+(Famillesid!$18:$18=A172)+(Famillesid!$19:$19=A172)+(Famillesid!$20:$20=A172)+(Famillesid!$21:$21=A172))"),161.0)</f>
        <v>161</v>
      </c>
      <c r="C172" s="105" t="str">
        <f>IFERROR(__xludf.DUMMYFUNCTION("""COMPUTED_VALUE"""),"Mathieu Rey-Herme")</f>
        <v>Mathieu Rey-Herme</v>
      </c>
      <c r="D172" s="106" t="str">
        <f>IFERROR(__xludf.DUMMYFUNCTION("filter('Réponses au formulaire 1'!T:T,'Réponses au formulaire 1'!B:B=C172)"),"Veston du gouverneur (comu)")</f>
        <v>Veston du gouverneur (comu)</v>
      </c>
      <c r="E172" s="111" t="s">
        <v>631</v>
      </c>
      <c r="F172" s="112" t="s">
        <v>1160</v>
      </c>
      <c r="G172" s="18"/>
      <c r="H172" s="101" t="str">
        <f>IFERROR(__xludf.DUMMYFUNCTION("""COMPUTED_VALUE"""),"Antoine DAROUX")</f>
        <v>Antoine DAROUX</v>
      </c>
      <c r="I172" s="67" t="str">
        <f>IFERROR(__xludf.DUMMYFUNCTION("""COMPUTED_VALUE"""),"Un planning du BDE des Fox")</f>
        <v>Un planning du BDE des Fox</v>
      </c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</row>
    <row r="173">
      <c r="A173" s="101">
        <f t="shared" si="1"/>
        <v>172</v>
      </c>
      <c r="B173" s="95">
        <f>IFERROR(__xludf.DUMMYFUNCTION("filter(Famillesid!$22:$22,(Famillesid!$16:$16=A173)+(Famillesid!$17:$17=A173)+(Famillesid!$18:$18=A173)+(Famillesid!$19:$19=A173)+(Famillesid!$20:$20=A173)+(Famillesid!$21:$21=A173))"),201.0)</f>
        <v>201</v>
      </c>
      <c r="C173" s="105" t="str">
        <f>IFERROR(__xludf.DUMMYFUNCTION("""COMPUTED_VALUE"""),"Tapias")</f>
        <v>Tapias</v>
      </c>
      <c r="D173" s="106" t="str">
        <f>IFERROR(__xludf.DUMMYFUNCTION("filter('Réponses au formulaire 1'!T:T,'Réponses au formulaire 1'!B:B=C173)"),"Une banane vert ")</f>
        <v>Une banane vert </v>
      </c>
      <c r="E173" s="107" t="s">
        <v>631</v>
      </c>
      <c r="F173" s="108" t="s">
        <v>1157</v>
      </c>
      <c r="G173" s="18"/>
      <c r="H173" s="101" t="str">
        <f>IFERROR(__xludf.DUMMYFUNCTION("""COMPUTED_VALUE"""),"Lucas SANCIET--MUNIER")</f>
        <v>Lucas SANCIET--MUNIER</v>
      </c>
      <c r="I173" s="67" t="str">
        <f>IFERROR(__xludf.DUMMYFUNCTION("""COMPUTED_VALUE"""),"Un saucisson de Savoie")</f>
        <v>Un saucisson de Savoie</v>
      </c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</row>
    <row r="174">
      <c r="A174" s="101">
        <f t="shared" si="1"/>
        <v>173</v>
      </c>
      <c r="B174" s="95" t="str">
        <f>IFERROR(__xludf.DUMMYFUNCTION("filter(Famillesid!$22:$22,(Famillesid!$16:$16=A174)+(Famillesid!$17:$17=A174)+(Famillesid!$18:$18=A174)+(Famillesid!$19:$19=A174)+(Famillesid!$20:$20=A174)+(Famillesid!$21:$21=A174))"),"#N/A")</f>
        <v>#N/A</v>
      </c>
      <c r="C174" s="105" t="str">
        <f>IFERROR(__xludf.DUMMYFUNCTION("""COMPUTED_VALUE"""),"Manon VLIEGHE")</f>
        <v>Manon VLIEGHE</v>
      </c>
      <c r="D174" s="106" t="str">
        <f>IFERROR(__xludf.DUMMYFUNCTION("filter('Réponses au formulaire 1'!T:T,'Réponses au formulaire 1'!B:B=C174)"),"Une valise de matèriel à dessin")</f>
        <v>Une valise de matèriel à dessin</v>
      </c>
      <c r="E174" s="110"/>
      <c r="F174" s="92"/>
      <c r="G174" s="18"/>
      <c r="H174" s="101" t="str">
        <f>IFERROR(__xludf.DUMMYFUNCTION("""COMPUTED_VALUE"""),"Thomas LE BOURHIS")</f>
        <v>Thomas LE BOURHIS</v>
      </c>
      <c r="I174" s="67" t="str">
        <f>IFERROR(__xludf.DUMMYFUNCTION("""COMPUTED_VALUE"""),"Un paquet de cartes")</f>
        <v>Un paquet de cartes</v>
      </c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</row>
    <row r="175">
      <c r="A175" s="101">
        <f t="shared" si="1"/>
        <v>174</v>
      </c>
      <c r="B175" s="95">
        <f>IFERROR(__xludf.DUMMYFUNCTION("filter(Famillesid!$22:$22,(Famillesid!$16:$16=A175)+(Famillesid!$17:$17=A175)+(Famillesid!$18:$18=A175)+(Famillesid!$19:$19=A175)+(Famillesid!$20:$20=A175)+(Famillesid!$21:$21=A175))"),201.0)</f>
        <v>201</v>
      </c>
      <c r="C175" s="105" t="str">
        <f>IFERROR(__xludf.DUMMYFUNCTION("""COMPUTED_VALUE"""),"Miguel MORENO")</f>
        <v>Miguel MORENO</v>
      </c>
      <c r="D175" s="106" t="str">
        <f>IFERROR(__xludf.DUMMYFUNCTION("filter('Réponses au formulaire 1'!T:T,'Réponses au formulaire 1'!B:B=C175)"),"Conseills académiques et pour bien s'amuser pendant ses études dans la façon Latinoaméricaine ")</f>
        <v>Conseills académiques et pour bien s'amuser pendant ses études dans la façon Latinoaméricaine </v>
      </c>
      <c r="E175" s="110"/>
      <c r="F175" s="92"/>
      <c r="G175" s="18"/>
      <c r="H175" s="101" t="str">
        <f>IFERROR(__xludf.DUMMYFUNCTION("""COMPUTED_VALUE"""),"Hugo GAYRARD")</f>
        <v>Hugo GAYRARD</v>
      </c>
      <c r="I175" s="67" t="str">
        <f>IFERROR(__xludf.DUMMYFUNCTION("""COMPUTED_VALUE"""),"Un déguisement")</f>
        <v>Un déguisement</v>
      </c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</row>
    <row r="176">
      <c r="A176" s="101">
        <f t="shared" si="1"/>
        <v>175</v>
      </c>
      <c r="B176" s="95">
        <f>IFERROR(__xludf.DUMMYFUNCTION("filter(Famillesid!$22:$22,(Famillesid!$16:$16=A176)+(Famillesid!$17:$17=A176)+(Famillesid!$18:$18=A176)+(Famillesid!$19:$19=A176)+(Famillesid!$20:$20=A176)+(Famillesid!$21:$21=A176))"),206.0)</f>
        <v>206</v>
      </c>
      <c r="C176" s="105" t="str">
        <f>IFERROR(__xludf.DUMMYFUNCTION("""COMPUTED_VALUE"""),"Baptiste Marlet")</f>
        <v>Baptiste Marlet</v>
      </c>
      <c r="D176" s="106" t="str">
        <f>IFERROR(__xludf.DUMMYFUNCTION("filter('Réponses au formulaire 1'!T:T,'Réponses au formulaire 1'!B:B=C176)"),"Le set de dés du JDR")</f>
        <v>Le set de dés du JDR</v>
      </c>
      <c r="E176" s="110"/>
      <c r="F176" s="92"/>
      <c r="G176" s="18"/>
      <c r="H176" s="101" t="str">
        <f>IFERROR(__xludf.DUMMYFUNCTION("""COMPUTED_VALUE"""),"Loïc")</f>
        <v>Loïc</v>
      </c>
      <c r="I176" s="67" t="str">
        <f>IFERROR(__xludf.DUMMYFUNCTION("""COMPUTED_VALUE"""),"Toute ma bienveillance")</f>
        <v>Toute ma bienveillance</v>
      </c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</row>
    <row r="177">
      <c r="A177" s="101">
        <f t="shared" si="1"/>
        <v>176</v>
      </c>
      <c r="B177" s="95">
        <f>IFERROR(__xludf.DUMMYFUNCTION("filter(Famillesid!$22:$22,(Famillesid!$16:$16=A177)+(Famillesid!$17:$17=A177)+(Famillesid!$18:$18=A177)+(Famillesid!$19:$19=A177)+(Famillesid!$20:$20=A177)+(Famillesid!$21:$21=A177))"),136.0)</f>
        <v>136</v>
      </c>
      <c r="C177" s="105" t="str">
        <f>IFERROR(__xludf.DUMMYFUNCTION("""COMPUTED_VALUE"""),"Hugo SEMPÉ")</f>
        <v>Hugo SEMPÉ</v>
      </c>
      <c r="D177" s="106" t="str">
        <f>IFERROR(__xludf.DUMMYFUNCTION("filter('Réponses au formulaire 1'!T:T,'Réponses au formulaire 1'!B:B=C177)"),"Un arrêt de bus")</f>
        <v>Un arrêt de bus</v>
      </c>
      <c r="E177" s="111" t="s">
        <v>631</v>
      </c>
      <c r="F177" s="112" t="s">
        <v>1160</v>
      </c>
      <c r="G177" s="18"/>
      <c r="H177" s="101" t="str">
        <f>IFERROR(__xludf.DUMMYFUNCTION("""COMPUTED_VALUE"""),"Pierre Veillard")</f>
        <v>Pierre Veillard</v>
      </c>
      <c r="I177" s="67" t="str">
        <f>IFERROR(__xludf.DUMMYFUNCTION("""COMPUTED_VALUE"""),"Un poney")</f>
        <v>Un poney</v>
      </c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</row>
    <row r="178">
      <c r="A178" s="101">
        <f t="shared" si="1"/>
        <v>177</v>
      </c>
      <c r="B178" s="95">
        <f>IFERROR(__xludf.DUMMYFUNCTION("filter(Famillesid!$22:$22,(Famillesid!$16:$16=A178)+(Famillesid!$17:$17=A178)+(Famillesid!$18:$18=A178)+(Famillesid!$19:$19=A178)+(Famillesid!$20:$20=A178)+(Famillesid!$21:$21=A178))"),206.0)</f>
        <v>206</v>
      </c>
      <c r="C178" s="105" t="str">
        <f>IFERROR(__xludf.DUMMYFUNCTION("""COMPUTED_VALUE"""),"Nicolas Meniconi")</f>
        <v>Nicolas Meniconi</v>
      </c>
      <c r="D178" s="106" t="str">
        <f>IFERROR(__xludf.DUMMYFUNCTION("filter('Réponses au formulaire 1'!T:T,'Réponses au formulaire 1'!B:B=C178)"),"Noeud pap")</f>
        <v>Noeud pap</v>
      </c>
      <c r="E178" s="110"/>
      <c r="F178" s="92"/>
      <c r="G178" s="18"/>
      <c r="H178" s="101" t="str">
        <f>IFERROR(__xludf.DUMMYFUNCTION("""COMPUTED_VALUE"""),"Ruben MATONDZI")</f>
        <v>Ruben MATONDZI</v>
      </c>
      <c r="I178" s="67" t="str">
        <f>IFERROR(__xludf.DUMMYFUNCTION("""COMPUTED_VALUE"""),"Un oreiller ")</f>
        <v>Un oreiller </v>
      </c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</row>
    <row r="179">
      <c r="A179" s="101">
        <f t="shared" si="1"/>
        <v>178</v>
      </c>
      <c r="B179" s="95">
        <f>IFERROR(__xludf.DUMMYFUNCTION("filter(Famillesid!$22:$22,(Famillesid!$16:$16=A179)+(Famillesid!$17:$17=A179)+(Famillesid!$18:$18=A179)+(Famillesid!$19:$19=A179)+(Famillesid!$20:$20=A179)+(Famillesid!$21:$21=A179))"),186.0)</f>
        <v>186</v>
      </c>
      <c r="C179" s="105" t="str">
        <f>IFERROR(__xludf.DUMMYFUNCTION("""COMPUTED_VALUE"""),"Romain THIMON")</f>
        <v>Romain THIMON</v>
      </c>
      <c r="D179" s="106" t="str">
        <f>IFERROR(__xludf.DUMMYFUNCTION("filter('Réponses au formulaire 1'!T:T,'Réponses au formulaire 1'!B:B=C179)"),"32 ecocups et deux balles de ping pong")</f>
        <v>32 ecocups et deux balles de ping pong</v>
      </c>
      <c r="E179" s="110"/>
      <c r="F179" s="92"/>
      <c r="G179" s="18"/>
      <c r="H179" s="101" t="str">
        <f>IFERROR(__xludf.DUMMYFUNCTION("""COMPUTED_VALUE"""),"Manon DUBREIL")</f>
        <v>Manon DUBREIL</v>
      </c>
      <c r="I179" s="67" t="str">
        <f>IFERROR(__xludf.DUMMYFUNCTION("""COMPUTED_VALUE"""),"ADUNNO")</f>
        <v>ADUNNO</v>
      </c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</row>
    <row r="180">
      <c r="A180" s="101">
        <f t="shared" si="1"/>
        <v>179</v>
      </c>
      <c r="B180" s="95">
        <f>IFERROR(__xludf.DUMMYFUNCTION("filter(Famillesid!$22:$22,(Famillesid!$16:$16=A180)+(Famillesid!$17:$17=A180)+(Famillesid!$18:$18=A180)+(Famillesid!$19:$19=A180)+(Famillesid!$20:$20=A180)+(Famillesid!$21:$21=A180))"),211.0)</f>
        <v>211</v>
      </c>
      <c r="C180" s="105" t="str">
        <f>IFERROR(__xludf.DUMMYFUNCTION("""COMPUTED_VALUE"""),"Maximilien LESSAULT")</f>
        <v>Maximilien LESSAULT</v>
      </c>
      <c r="D180" s="106" t="str">
        <f>IFERROR(__xludf.DUMMYFUNCTION("filter('Réponses au formulaire 1'!T:T,'Réponses au formulaire 1'!B:B=C180)"),"Je sais pas encore")</f>
        <v>Je sais pas encore</v>
      </c>
      <c r="E180" s="110"/>
      <c r="F180" s="92"/>
      <c r="G180" s="18"/>
      <c r="H180" s="101" t="str">
        <f>IFERROR(__xludf.DUMMYFUNCTION("""COMPUTED_VALUE"""),"Maëlenn COLSON")</f>
        <v>Maëlenn COLSON</v>
      </c>
      <c r="I180" s="67" t="str">
        <f>IFERROR(__xludf.DUMMYFUNCTION("""COMPUTED_VALUE"""),"Des paillettes &lt;3")</f>
        <v>Des paillettes &lt;3</v>
      </c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</row>
    <row r="181">
      <c r="A181" s="101">
        <f t="shared" si="1"/>
        <v>180</v>
      </c>
      <c r="B181" s="95">
        <f>IFERROR(__xludf.DUMMYFUNCTION("filter(Famillesid!$22:$22,(Famillesid!$16:$16=A181)+(Famillesid!$17:$17=A181)+(Famillesid!$18:$18=A181)+(Famillesid!$19:$19=A181)+(Famillesid!$20:$20=A181)+(Famillesid!$21:$21=A181))"),211.0)</f>
        <v>211</v>
      </c>
      <c r="C181" s="105" t="str">
        <f>IFERROR(__xludf.DUMMYFUNCTION("""COMPUTED_VALUE"""),"Thomas oppmann")</f>
        <v>Thomas oppmann</v>
      </c>
      <c r="D181" s="106" t="str">
        <f>IFERROR(__xludf.DUMMYFUNCTION("filter('Réponses au formulaire 1'!T:T,'Réponses au formulaire 1'!B:B=C181)"),"Une manette GameCube ")</f>
        <v>Une manette GameCube </v>
      </c>
      <c r="E181" s="110"/>
      <c r="F181" s="92"/>
      <c r="G181" s="18"/>
      <c r="H181" s="101" t="str">
        <f>IFERROR(__xludf.DUMMYFUNCTION("""COMPUTED_VALUE"""),"Rémy MAIGE")</f>
        <v>Rémy MAIGE</v>
      </c>
      <c r="I181" s="67" t="str">
        <f>IFERROR(__xludf.DUMMYFUNCTION("""COMPUTED_VALUE"""),"¯\_(ツ)_/¯")</f>
        <v>¯\_(ツ)_/¯</v>
      </c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</row>
    <row r="182">
      <c r="A182" s="101">
        <f t="shared" si="1"/>
        <v>181</v>
      </c>
      <c r="B182" s="95">
        <f>IFERROR(__xludf.DUMMYFUNCTION("filter(Famillesid!$22:$22,(Famillesid!$16:$16=A182)+(Famillesid!$17:$17=A182)+(Famillesid!$18:$18=A182)+(Famillesid!$19:$19=A182)+(Famillesid!$20:$20=A182)+(Famillesid!$21:$21=A182))"),211.0)</f>
        <v>211</v>
      </c>
      <c r="C182" s="105" t="str">
        <f>IFERROR(__xludf.DUMMYFUNCTION("""COMPUTED_VALUE"""),"Alexandre Ghannad")</f>
        <v>Alexandre Ghannad</v>
      </c>
      <c r="D182" s="106" t="str">
        <f>IFERROR(__xludf.DUMMYFUNCTION("filter('Réponses au formulaire 1'!T:T,'Réponses au formulaire 1'!B:B=C182)"),"je sais pas encore")</f>
        <v>je sais pas encore</v>
      </c>
      <c r="E182" s="110"/>
      <c r="F182" s="92"/>
      <c r="G182" s="18"/>
      <c r="H182" s="101" t="str">
        <f>IFERROR(__xludf.DUMMYFUNCTION("""COMPUTED_VALUE"""),"Ramy SLIM")</f>
        <v>Ramy SLIM</v>
      </c>
      <c r="I182" s="67" t="str">
        <f>IFERROR(__xludf.DUMMYFUNCTION("""COMPUTED_VALUE"""),"Un bandana")</f>
        <v>Un bandana</v>
      </c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</row>
    <row r="183">
      <c r="A183" s="101">
        <f t="shared" si="1"/>
        <v>182</v>
      </c>
      <c r="B183" s="95">
        <f>IFERROR(__xludf.DUMMYFUNCTION("filter(Famillesid!$22:$22,(Famillesid!$16:$16=A183)+(Famillesid!$17:$17=A183)+(Famillesid!$18:$18=A183)+(Famillesid!$19:$19=A183)+(Famillesid!$20:$20=A183)+(Famillesid!$21:$21=A183))"),211.0)</f>
        <v>211</v>
      </c>
      <c r="C183" s="105" t="str">
        <f>IFERROR(__xludf.DUMMYFUNCTION("""COMPUTED_VALUE"""),"Christopher LESDALONS")</f>
        <v>Christopher LESDALONS</v>
      </c>
      <c r="D183" s="106" t="str">
        <f>IFERROR(__xludf.DUMMYFUNCTION("filter('Réponses au formulaire 1'!T:T,'Réponses au formulaire 1'!B:B=C183)"),"Je sais pas encore")</f>
        <v>Je sais pas encore</v>
      </c>
      <c r="E183" s="110"/>
      <c r="F183" s="92"/>
      <c r="G183" s="18"/>
      <c r="H183" s="101" t="str">
        <f>IFERROR(__xludf.DUMMYFUNCTION("""COMPUTED_VALUE"""),"TOMAZ AMORIM")</f>
        <v>TOMAZ AMORIM</v>
      </c>
      <c r="I183" s="67" t="str">
        <f>IFERROR(__xludf.DUMMYFUNCTION("""COMPUTED_VALUE"""),"Une tasse de café")</f>
        <v>Une tasse de café</v>
      </c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</row>
    <row r="184">
      <c r="A184" s="101">
        <f t="shared" si="1"/>
        <v>183</v>
      </c>
      <c r="B184" s="95">
        <f>IFERROR(__xludf.DUMMYFUNCTION("filter(Famillesid!$22:$22,(Famillesid!$16:$16=A184)+(Famillesid!$17:$17=A184)+(Famillesid!$18:$18=A184)+(Famillesid!$19:$19=A184)+(Famillesid!$20:$20=A184)+(Famillesid!$21:$21=A184))"),211.0)</f>
        <v>211</v>
      </c>
      <c r="C184" s="105" t="str">
        <f>IFERROR(__xludf.DUMMYFUNCTION("""COMPUTED_VALUE"""),"Amine BEDRANE")</f>
        <v>Amine BEDRANE</v>
      </c>
      <c r="D184" s="106" t="str">
        <f>IFERROR(__xludf.DUMMYFUNCTION("filter('Réponses au formulaire 1'!T:T,'Réponses au formulaire 1'!B:B=C184)"),"Sais pas encore")</f>
        <v>Sais pas encore</v>
      </c>
      <c r="E184" s="110"/>
      <c r="F184" s="92"/>
      <c r="G184" s="18"/>
      <c r="H184" s="101" t="str">
        <f>IFERROR(__xludf.DUMMYFUNCTION("""COMPUTED_VALUE"""),"Maxime Canard")</f>
        <v>Maxime Canard</v>
      </c>
      <c r="I184" s="67" t="str">
        <f>IFERROR(__xludf.DUMMYFUNCTION("""COMPUTED_VALUE"""),"Je sais pas encore")</f>
        <v>Je sais pas encore</v>
      </c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</row>
    <row r="185">
      <c r="A185" s="101">
        <f t="shared" si="1"/>
        <v>184</v>
      </c>
      <c r="B185" s="95">
        <f>IFERROR(__xludf.DUMMYFUNCTION("filter(Famillesid!$22:$22,(Famillesid!$16:$16=A185)+(Famillesid!$17:$17=A185)+(Famillesid!$18:$18=A185)+(Famillesid!$19:$19=A185)+(Famillesid!$20:$20=A185)+(Famillesid!$21:$21=A185))"),81.0)</f>
        <v>81</v>
      </c>
      <c r="C185" s="105" t="str">
        <f>IFERROR(__xludf.DUMMYFUNCTION("""COMPUTED_VALUE"""),"Charles-Eole MARICHAL")</f>
        <v>Charles-Eole MARICHAL</v>
      </c>
      <c r="D185" s="106" t="str">
        <f>IFERROR(__xludf.DUMMYFUNCTION("filter('Réponses au formulaire 1'!T:T,'Réponses au formulaire 1'!B:B=C185)"),"La Salière d'Or")</f>
        <v>La Salière d'Or</v>
      </c>
      <c r="E185" s="110"/>
      <c r="F185" s="92"/>
      <c r="G185" s="18"/>
      <c r="H185" s="101" t="str">
        <f>IFERROR(__xludf.DUMMYFUNCTION("""COMPUTED_VALUE"""),"Corentin GILBERT")</f>
        <v>Corentin GILBERT</v>
      </c>
      <c r="I185" s="67" t="str">
        <f>IFERROR(__xludf.DUMMYFUNCTION("""COMPUTED_VALUE"""),"boite a musique / partition")</f>
        <v>boite a musique / partition</v>
      </c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</row>
    <row r="186">
      <c r="A186" s="101">
        <f t="shared" si="1"/>
        <v>185</v>
      </c>
      <c r="B186" s="95">
        <f>IFERROR(__xludf.DUMMYFUNCTION("filter(Famillesid!$22:$22,(Famillesid!$16:$16=A186)+(Famillesid!$17:$17=A186)+(Famillesid!$18:$18=A186)+(Famillesid!$19:$19=A186)+(Famillesid!$20:$20=A186)+(Famillesid!$21:$21=A186))"),76.0)</f>
        <v>76</v>
      </c>
      <c r="C186" s="105" t="str">
        <f>IFERROR(__xludf.DUMMYFUNCTION("""COMPUTED_VALUE"""),"Justin Becker")</f>
        <v>Justin Becker</v>
      </c>
      <c r="D186" s="106" t="str">
        <f>IFERROR(__xludf.DUMMYFUNCTION("filter('Réponses au formulaire 1'!T:T,'Réponses au formulaire 1'!B:B=C186)"),"Porte clé")</f>
        <v>Porte clé</v>
      </c>
      <c r="E186" s="107" t="s">
        <v>631</v>
      </c>
      <c r="F186" s="108" t="s">
        <v>1158</v>
      </c>
      <c r="G186" s="18"/>
      <c r="H186" s="101" t="str">
        <f>IFERROR(__xludf.DUMMYFUNCTION("""COMPUTED_VALUE"""),"Sergio MORENO LÓPEZ")</f>
        <v>Sergio MORENO LÓPEZ</v>
      </c>
      <c r="I186" s="67" t="str">
        <f>IFERROR(__xludf.DUMMYFUNCTION("""COMPUTED_VALUE"""),"Acune idée encore ")</f>
        <v>Acune idée encore </v>
      </c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</row>
    <row r="187">
      <c r="A187" s="101">
        <f t="shared" si="1"/>
        <v>186</v>
      </c>
      <c r="B187" s="95">
        <f>IFERROR(__xludf.DUMMYFUNCTION("filter(Famillesid!$22:$22,(Famillesid!$16:$16=A187)+(Famillesid!$17:$17=A187)+(Famillesid!$18:$18=A187)+(Famillesid!$19:$19=A187)+(Famillesid!$20:$20=A187)+(Famillesid!$21:$21=A187))"),206.0)</f>
        <v>206</v>
      </c>
      <c r="C187" s="105" t="str">
        <f>IFERROR(__xludf.DUMMYFUNCTION("""COMPUTED_VALUE"""),"Pierre-Jean POLLOT")</f>
        <v>Pierre-Jean POLLOT</v>
      </c>
      <c r="D187" s="106" t="str">
        <f>IFERROR(__xludf.DUMMYFUNCTION("filter('Réponses au formulaire 1'!T:T,'Réponses au formulaire 1'!B:B=C187)"),"Un noeud papillon")</f>
        <v>Un noeud papillon</v>
      </c>
      <c r="E187" s="110"/>
      <c r="F187" s="92"/>
      <c r="G187" s="18"/>
      <c r="H187" s="101" t="str">
        <f>IFERROR(__xludf.DUMMYFUNCTION("""COMPUTED_VALUE"""),"Jose Luís RIVERA BLANCO")</f>
        <v>Jose Luís RIVERA BLANCO</v>
      </c>
      <c r="I187" s="67" t="str">
        <f>IFERROR(__xludf.DUMMYFUNCTION("""COMPUTED_VALUE"""),"Je sais pas ")</f>
        <v>Je sais pas </v>
      </c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</row>
    <row r="188">
      <c r="A188" s="101">
        <f t="shared" si="1"/>
        <v>187</v>
      </c>
      <c r="B188" s="95">
        <f>IFERROR(__xludf.DUMMYFUNCTION("filter(Famillesid!$22:$22,(Famillesid!$16:$16=A188)+(Famillesid!$17:$17=A188)+(Famillesid!$18:$18=A188)+(Famillesid!$19:$19=A188)+(Famillesid!$20:$20=A188)+(Famillesid!$21:$21=A188))"),71.0)</f>
        <v>71</v>
      </c>
      <c r="C188" s="105" t="str">
        <f>IFERROR(__xludf.DUMMYFUNCTION("""COMPUTED_VALUE"""),"Judith LOUIS-ALEXANDRE")</f>
        <v>Judith LOUIS-ALEXANDRE</v>
      </c>
      <c r="D188" s="106" t="str">
        <f>IFERROR(__xludf.DUMMYFUNCTION("filter('Réponses au formulaire 1'!T:T,'Réponses au formulaire 1'!B:B=C188)"),".")</f>
        <v>.</v>
      </c>
      <c r="E188" s="110"/>
      <c r="F188" s="92"/>
      <c r="G188" s="18"/>
      <c r="H188" s="101" t="str">
        <f>IFERROR(__xludf.DUMMYFUNCTION("""COMPUTED_VALUE"""),"Yinzheng ZHOU")</f>
        <v>Yinzheng ZHOU</v>
      </c>
      <c r="I188" s="67" t="str">
        <f>IFERROR(__xludf.DUMMYFUNCTION("""COMPUTED_VALUE"""),"Sais pas trop, des bières?")</f>
        <v>Sais pas trop, des bières?</v>
      </c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</row>
    <row r="189">
      <c r="A189" s="101">
        <f t="shared" si="1"/>
        <v>188</v>
      </c>
      <c r="B189" s="95">
        <f>IFERROR(__xludf.DUMMYFUNCTION("filter(Famillesid!$22:$22,(Famillesid!$16:$16=A189)+(Famillesid!$17:$17=A189)+(Famillesid!$18:$18=A189)+(Famillesid!$19:$19=A189)+(Famillesid!$20:$20=A189)+(Famillesid!$21:$21=A189))"),156.0)</f>
        <v>156</v>
      </c>
      <c r="C189" s="105" t="str">
        <f>IFERROR(__xludf.DUMMYFUNCTION("""COMPUTED_VALUE"""),"Alexandre MERASLI")</f>
        <v>Alexandre MERASLI</v>
      </c>
      <c r="D189" s="106" t="str">
        <f>IFERROR(__xludf.DUMMYFUNCTION("filter('Réponses au formulaire 1'!T:T,'Réponses au formulaire 1'!B:B=C189)"),"Une balle de ping pong")</f>
        <v>Une balle de ping pong</v>
      </c>
      <c r="E189" s="110"/>
      <c r="F189" s="92"/>
      <c r="G189" s="18"/>
      <c r="H189" s="101" t="str">
        <f>IFERROR(__xludf.DUMMYFUNCTION("""COMPUTED_VALUE"""),"Alexandre Bryk")</f>
        <v>Alexandre Bryk</v>
      </c>
      <c r="I189" s="67" t="str">
        <f>IFERROR(__xludf.DUMMYFUNCTION("""COMPUTED_VALUE"""),"Aucune idée")</f>
        <v>Aucune idée</v>
      </c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</row>
    <row r="190">
      <c r="A190" s="101">
        <f t="shared" si="1"/>
        <v>189</v>
      </c>
      <c r="B190" s="95">
        <f>IFERROR(__xludf.DUMMYFUNCTION("filter(Famillesid!$22:$22,(Famillesid!$16:$16=A190)+(Famillesid!$17:$17=A190)+(Famillesid!$18:$18=A190)+(Famillesid!$19:$19=A190)+(Famillesid!$20:$20=A190)+(Famillesid!$21:$21=A190))"),221.0)</f>
        <v>221</v>
      </c>
      <c r="C190" s="105" t="str">
        <f>IFERROR(__xludf.DUMMYFUNCTION("""COMPUTED_VALUE"""),"Charlotte BEAUNE")</f>
        <v>Charlotte BEAUNE</v>
      </c>
      <c r="D190" s="106" t="str">
        <f>IFERROR(__xludf.DUMMYFUNCTION("filter('Réponses au formulaire 1'!T:T,'Réponses au formulaire 1'!B:B=C190)"),"Mon attelle de genou flingué")</f>
        <v>Mon attelle de genou flingué</v>
      </c>
      <c r="E190" s="110"/>
      <c r="F190" s="92"/>
      <c r="G190" s="18"/>
      <c r="H190" s="101" t="str">
        <f>IFERROR(__xludf.DUMMYFUNCTION("""COMPUTED_VALUE"""),"Sebastian CEPEDA")</f>
        <v>Sebastian CEPEDA</v>
      </c>
      <c r="I190" s="67" t="str">
        <f>IFERROR(__xludf.DUMMYFUNCTION("""COMPUTED_VALUE"""),"un bout de papier ")</f>
        <v>un bout de papier </v>
      </c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</row>
    <row r="191">
      <c r="A191" s="101">
        <f t="shared" si="1"/>
        <v>190</v>
      </c>
      <c r="B191" s="95">
        <f>IFERROR(__xludf.DUMMYFUNCTION("filter(Famillesid!$22:$22,(Famillesid!$16:$16=A191)+(Famillesid!$17:$17=A191)+(Famillesid!$18:$18=A191)+(Famillesid!$19:$19=A191)+(Famillesid!$20:$20=A191)+(Famillesid!$21:$21=A191))"),221.0)</f>
        <v>221</v>
      </c>
      <c r="C191" s="105" t="str">
        <f>IFERROR(__xludf.DUMMYFUNCTION("""COMPUTED_VALUE"""),"Helena Delmotte")</f>
        <v>Helena Delmotte</v>
      </c>
      <c r="D191" s="106" t="str">
        <f>IFERROR(__xludf.DUMMYFUNCTION("filter('Réponses au formulaire 1'!T:T,'Réponses au formulaire 1'!B:B=C191)"),"Une affiche de la COMU")</f>
        <v>Une affiche de la COMU</v>
      </c>
      <c r="E191" s="110"/>
      <c r="F191" s="92"/>
      <c r="G191" s="18"/>
      <c r="H191" s="101" t="str">
        <f>IFERROR(__xludf.DUMMYFUNCTION("""COMPUTED_VALUE"""),"Sébastien VILLA")</f>
        <v>Sébastien VILLA</v>
      </c>
      <c r="I191" s="67" t="str">
        <f>IFERROR(__xludf.DUMMYFUNCTION("""COMPUTED_VALUE"""),"un aviron")</f>
        <v>un aviron</v>
      </c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</row>
    <row r="192">
      <c r="A192" s="101">
        <f t="shared" si="1"/>
        <v>191</v>
      </c>
      <c r="B192" s="95">
        <f>IFERROR(__xludf.DUMMYFUNCTION("filter(Famillesid!$22:$22,(Famillesid!$16:$16=A192)+(Famillesid!$17:$17=A192)+(Famillesid!$18:$18=A192)+(Famillesid!$19:$19=A192)+(Famillesid!$20:$20=A192)+(Famillesid!$21:$21=A192))"),221.0)</f>
        <v>221</v>
      </c>
      <c r="C192" s="105" t="str">
        <f>IFERROR(__xludf.DUMMYFUNCTION("""COMPUTED_VALUE"""),"Anis KHEZNADJI")</f>
        <v>Anis KHEZNADJI</v>
      </c>
      <c r="D192" s="106" t="str">
        <f>IFERROR(__xludf.DUMMYFUNCTION("filter('Réponses au formulaire 1'!T:T,'Réponses au formulaire 1'!B:B=C192)"),"Un kebab")</f>
        <v>Un kebab</v>
      </c>
      <c r="E192" s="107" t="s">
        <v>631</v>
      </c>
      <c r="F192" s="108" t="s">
        <v>1157</v>
      </c>
      <c r="G192" s="18"/>
      <c r="H192" s="101" t="str">
        <f>IFERROR(__xludf.DUMMYFUNCTION("""COMPUTED_VALUE"""),"Pierre Libault")</f>
        <v>Pierre Libault</v>
      </c>
      <c r="I192" s="67" t="str">
        <f>IFERROR(__xludf.DUMMYFUNCTION("""COMPUTED_VALUE"""),"En réflexion ")</f>
        <v>En réflexion </v>
      </c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</row>
    <row r="193">
      <c r="A193" s="101">
        <f t="shared" si="1"/>
        <v>192</v>
      </c>
      <c r="B193" s="95">
        <f>IFERROR(__xludf.DUMMYFUNCTION("filter(Famillesid!$22:$22,(Famillesid!$16:$16=A193)+(Famillesid!$17:$17=A193)+(Famillesid!$18:$18=A193)+(Famillesid!$19:$19=A193)+(Famillesid!$20:$20=A193)+(Famillesid!$21:$21=A193))"),156.0)</f>
        <v>156</v>
      </c>
      <c r="C193" s="105" t="str">
        <f>IFERROR(__xludf.DUMMYFUNCTION("""COMPUTED_VALUE"""),"Marie COUPÉ")</f>
        <v>Marie COUPÉ</v>
      </c>
      <c r="D193" s="106" t="str">
        <f>IFERROR(__xludf.DUMMYFUNCTION("filter('Réponses au formulaire 1'!T:T,'Réponses au formulaire 1'!B:B=C193)"),"Une girafe en plastique")</f>
        <v>Une girafe en plastique</v>
      </c>
      <c r="E193" s="110"/>
      <c r="F193" s="92"/>
      <c r="G193" s="18"/>
      <c r="H193" s="101" t="str">
        <f>IFERROR(__xludf.DUMMYFUNCTION("""COMPUTED_VALUE"""),"Félix-Olivier Ngangue Nseke")</f>
        <v>Félix-Olivier Ngangue Nseke</v>
      </c>
      <c r="I193" s="67" t="str">
        <f>IFERROR(__xludf.DUMMYFUNCTION("""COMPUTED_VALUE"""),"maillot de foot")</f>
        <v>maillot de foot</v>
      </c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</row>
    <row r="194">
      <c r="A194" s="101">
        <f t="shared" si="1"/>
        <v>193</v>
      </c>
      <c r="B194" s="95">
        <f>IFERROR(__xludf.DUMMYFUNCTION("filter(Famillesid!$22:$22,(Famillesid!$16:$16=A194)+(Famillesid!$17:$17=A194)+(Famillesid!$18:$18=A194)+(Famillesid!$19:$19=A194)+(Famillesid!$20:$20=A194)+(Famillesid!$21:$21=A194))"),156.0)</f>
        <v>156</v>
      </c>
      <c r="C194" s="105" t="str">
        <f>IFERROR(__xludf.DUMMYFUNCTION("""COMPUTED_VALUE"""),"Geoffroy LECONTE")</f>
        <v>Geoffroy LECONTE</v>
      </c>
      <c r="D194" s="106" t="str">
        <f>IFERROR(__xludf.DUMMYFUNCTION("filter('Réponses au formulaire 1'!T:T,'Réponses au formulaire 1'!B:B=C194)"),"Pas encore décidé")</f>
        <v>Pas encore décidé</v>
      </c>
      <c r="E194" s="110"/>
      <c r="F194" s="92"/>
      <c r="G194" s="18"/>
      <c r="H194" s="101" t="str">
        <f>IFERROR(__xludf.DUMMYFUNCTION("""COMPUTED_VALUE"""),"Laurène THILLIER")</f>
        <v>Laurène THILLIER</v>
      </c>
      <c r="I194" s="67" t="str">
        <f>IFERROR(__xludf.DUMMYFUNCTION("""COMPUTED_VALUE"""),"oreilles de cochon")</f>
        <v>oreilles de cochon</v>
      </c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</row>
    <row r="195">
      <c r="A195" s="101">
        <f t="shared" si="1"/>
        <v>194</v>
      </c>
      <c r="B195" s="95">
        <f>IFERROR(__xludf.DUMMYFUNCTION("filter(Famillesid!$22:$22,(Famillesid!$16:$16=A195)+(Famillesid!$17:$17=A195)+(Famillesid!$18:$18=A195)+(Famillesid!$19:$19=A195)+(Famillesid!$20:$20=A195)+(Famillesid!$21:$21=A195))"),216.0)</f>
        <v>216</v>
      </c>
      <c r="C195" s="105" t="str">
        <f>IFERROR(__xludf.DUMMYFUNCTION("""COMPUTED_VALUE"""),"Pierre BOURREAU")</f>
        <v>Pierre BOURREAU</v>
      </c>
      <c r="D195" s="106" t="str">
        <f>IFERROR(__xludf.DUMMYFUNCTION("filter('Réponses au formulaire 1'!T:T,'Réponses au formulaire 1'!B:B=C195)"),"Du vin")</f>
        <v>Du vin</v>
      </c>
      <c r="E195" s="110"/>
      <c r="F195" s="92"/>
      <c r="G195" s="18"/>
      <c r="H195" s="101" t="str">
        <f>IFERROR(__xludf.DUMMYFUNCTION("""COMPUTED_VALUE"""),"Tanguy CABARET")</f>
        <v>Tanguy CABARET</v>
      </c>
      <c r="I195" s="67" t="str">
        <f>IFERROR(__xludf.DUMMYFUNCTION("""COMPUTED_VALUE"""),"Une piece de bagnole mais je sais pas encore quoi ")</f>
        <v>Une piece de bagnole mais je sais pas encore quoi </v>
      </c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</row>
    <row r="196">
      <c r="A196" s="101">
        <f t="shared" si="1"/>
        <v>195</v>
      </c>
      <c r="B196" s="95">
        <f>IFERROR(__xludf.DUMMYFUNCTION("filter(Famillesid!$22:$22,(Famillesid!$16:$16=A196)+(Famillesid!$17:$17=A196)+(Famillesid!$18:$18=A196)+(Famillesid!$19:$19=A196)+(Famillesid!$20:$20=A196)+(Famillesid!$21:$21=A196))"),216.0)</f>
        <v>216</v>
      </c>
      <c r="C196" s="105" t="str">
        <f>IFERROR(__xludf.DUMMYFUNCTION("""COMPUTED_VALUE"""),"Antoine SENELLART")</f>
        <v>Antoine SENELLART</v>
      </c>
      <c r="D196" s="106" t="str">
        <f>IFERROR(__xludf.DUMMYFUNCTION("filter('Réponses au formulaire 1'!T:T,'Réponses au formulaire 1'!B:B=C196)"),"Un Khalot")</f>
        <v>Un Khalot</v>
      </c>
      <c r="E196" s="110"/>
      <c r="F196" s="92"/>
      <c r="G196" s="18"/>
      <c r="H196" s="101" t="str">
        <f>IFERROR(__xludf.DUMMYFUNCTION("""COMPUTED_VALUE"""),"Romane CARIOU")</f>
        <v>Romane CARIOU</v>
      </c>
      <c r="I196" s="67" t="str">
        <f>IFERROR(__xludf.DUMMYFUNCTION("""COMPUTED_VALUE"""),"une corde de harpe ")</f>
        <v>une corde de harpe </v>
      </c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</row>
    <row r="197">
      <c r="A197" s="101">
        <f t="shared" si="1"/>
        <v>196</v>
      </c>
      <c r="B197" s="95">
        <f>IFERROR(__xludf.DUMMYFUNCTION("filter(Famillesid!$22:$22,(Famillesid!$16:$16=A197)+(Famillesid!$17:$17=A197)+(Famillesid!$18:$18=A197)+(Famillesid!$19:$19=A197)+(Famillesid!$20:$20=A197)+(Famillesid!$21:$21=A197))"),226.0)</f>
        <v>226</v>
      </c>
      <c r="C197" s="105" t="str">
        <f>IFERROR(__xludf.DUMMYFUNCTION("""COMPUTED_VALUE"""),"Louis LEQUES")</f>
        <v>Louis LEQUES</v>
      </c>
      <c r="D197" s="106" t="str">
        <f>IFERROR(__xludf.DUMMYFUNCTION("filter('Réponses au formulaire 1'!T:T,'Réponses au formulaire 1'!B:B=C197)"),"un oinj")</f>
        <v>un oinj</v>
      </c>
      <c r="E197" s="110"/>
      <c r="F197" s="92"/>
      <c r="G197" s="18"/>
      <c r="H197" s="101" t="str">
        <f>IFERROR(__xludf.DUMMYFUNCTION("""COMPUTED_VALUE"""),"Romain SUCCHE")</f>
        <v>Romain SUCCHE</v>
      </c>
      <c r="I197" s="67" t="str">
        <f>IFERROR(__xludf.DUMMYFUNCTION("""COMPUTED_VALUE"""),"Lunettes cassées ")</f>
        <v>Lunettes cassées </v>
      </c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</row>
    <row r="198">
      <c r="A198" s="101">
        <f t="shared" si="1"/>
        <v>197</v>
      </c>
      <c r="B198" s="95">
        <f>IFERROR(__xludf.DUMMYFUNCTION("filter(Famillesid!$22:$22,(Famillesid!$16:$16=A198)+(Famillesid!$17:$17=A198)+(Famillesid!$18:$18=A198)+(Famillesid!$19:$19=A198)+(Famillesid!$20:$20=A198)+(Famillesid!$21:$21=A198))"),216.0)</f>
        <v>216</v>
      </c>
      <c r="C198" s="105" t="str">
        <f>IFERROR(__xludf.DUMMYFUNCTION("""COMPUTED_VALUE"""),"Louis CLAUCE")</f>
        <v>Louis CLAUCE</v>
      </c>
      <c r="D198" s="106" t="str">
        <f>IFERROR(__xludf.DUMMYFUNCTION("filter('Réponses au formulaire 1'!T:T,'Réponses au formulaire 1'!B:B=C198)"),"un coupe cigare")</f>
        <v>un coupe cigare</v>
      </c>
      <c r="E198" s="110"/>
      <c r="F198" s="92"/>
      <c r="G198" s="18"/>
      <c r="H198" s="101" t="str">
        <f>IFERROR(__xludf.DUMMYFUNCTION("""COMPUTED_VALUE"""),"Nicolas ROGER")</f>
        <v>Nicolas ROGER</v>
      </c>
      <c r="I198" s="67" t="str">
        <f>IFERROR(__xludf.DUMMYFUNCTION("""COMPUTED_VALUE"""),"Une gamelle de chat ")</f>
        <v>Une gamelle de chat </v>
      </c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</row>
    <row r="199">
      <c r="A199" s="101">
        <f t="shared" si="1"/>
        <v>198</v>
      </c>
      <c r="B199" s="95">
        <f>IFERROR(__xludf.DUMMYFUNCTION("filter(Famillesid!$22:$22,(Famillesid!$16:$16=A199)+(Famillesid!$17:$17=A199)+(Famillesid!$18:$18=A199)+(Famillesid!$19:$19=A199)+(Famillesid!$20:$20=A199)+(Famillesid!$21:$21=A199))"),226.0)</f>
        <v>226</v>
      </c>
      <c r="C199" s="105" t="str">
        <f>IFERROR(__xludf.DUMMYFUNCTION("""COMPUTED_VALUE"""),"Samir ZINA-RAGGOUA")</f>
        <v>Samir ZINA-RAGGOUA</v>
      </c>
      <c r="D199" s="106" t="str">
        <f>IFERROR(__xludf.DUMMYFUNCTION("filter('Réponses au formulaire 1'!T:T,'Réponses au formulaire 1'!B:B=C199)"),"Je ne sais pas")</f>
        <v>Je ne sais pas</v>
      </c>
      <c r="E199" s="110"/>
      <c r="F199" s="92"/>
      <c r="G199" s="18"/>
      <c r="H199" s="101" t="str">
        <f>IFERROR(__xludf.DUMMYFUNCTION("""COMPUTED_VALUE"""),"Emmanuel COLLIGNAN")</f>
        <v>Emmanuel COLLIGNAN</v>
      </c>
      <c r="I199" s="67" t="str">
        <f>IFERROR(__xludf.DUMMYFUNCTION("""COMPUTED_VALUE"""),"Ballon?")</f>
        <v>Ballon?</v>
      </c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</row>
    <row r="200">
      <c r="A200" s="101">
        <f t="shared" si="1"/>
        <v>199</v>
      </c>
      <c r="B200" s="95">
        <f>IFERROR(__xludf.DUMMYFUNCTION("filter(Famillesid!$22:$22,(Famillesid!$16:$16=A200)+(Famillesid!$17:$17=A200)+(Famillesid!$18:$18=A200)+(Famillesid!$19:$19=A200)+(Famillesid!$20:$20=A200)+(Famillesid!$21:$21=A200))"),226.0)</f>
        <v>226</v>
      </c>
      <c r="C200" s="105" t="str">
        <f>IFERROR(__xludf.DUMMYFUNCTION("""COMPUTED_VALUE"""),"Mikaël Farje")</f>
        <v>Mikaël Farje</v>
      </c>
      <c r="D200" s="106" t="str">
        <f>IFERROR(__xludf.DUMMYFUNCTION("filter('Réponses au formulaire 1'!T:T,'Réponses au formulaire 1'!B:B=C200)"),"Un maillot de foot ")</f>
        <v>Un maillot de foot </v>
      </c>
      <c r="E200" s="110"/>
      <c r="F200" s="92"/>
      <c r="G200" s="18"/>
      <c r="H200" s="101" t="str">
        <f>IFERROR(__xludf.DUMMYFUNCTION("""COMPUTED_VALUE"""),"Raúl VILLAFUERTE")</f>
        <v>Raúl VILLAFUERTE</v>
      </c>
      <c r="I200" s="67" t="str">
        <f>IFERROR(__xludf.DUMMYFUNCTION("""COMPUTED_VALUE"""),"Tequila")</f>
        <v>Tequila</v>
      </c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</row>
    <row r="201">
      <c r="A201" s="101">
        <f t="shared" si="1"/>
        <v>200</v>
      </c>
      <c r="B201" s="95">
        <f>IFERROR(__xludf.DUMMYFUNCTION("filter(Famillesid!$22:$22,(Famillesid!$16:$16=A201)+(Famillesid!$17:$17=A201)+(Famillesid!$18:$18=A201)+(Famillesid!$19:$19=A201)+(Famillesid!$20:$20=A201)+(Famillesid!$21:$21=A201))"),216.0)</f>
        <v>216</v>
      </c>
      <c r="C201" s="105" t="str">
        <f>IFERROR(__xludf.DUMMYFUNCTION("""COMPUTED_VALUE"""),"Allouache")</f>
        <v>Allouache</v>
      </c>
      <c r="D201" s="106" t="str">
        <f>IFERROR(__xludf.DUMMYFUNCTION("filter('Réponses au formulaire 1'!T:T,'Réponses au formulaire 1'!B:B=C201)"),"Des ailes d’ange ")</f>
        <v>Des ailes d’ange </v>
      </c>
      <c r="E201" s="110"/>
      <c r="F201" s="92"/>
      <c r="G201" s="18"/>
      <c r="H201" s="101" t="str">
        <f>IFERROR(__xludf.DUMMYFUNCTION("""COMPUTED_VALUE"""),"Paul SAUBION")</f>
        <v>Paul SAUBION</v>
      </c>
      <c r="I201" s="67" t="str">
        <f>IFERROR(__xludf.DUMMYFUNCTION("""COMPUTED_VALUE"""),"Une porte")</f>
        <v>Une porte</v>
      </c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</row>
    <row r="202">
      <c r="A202" s="101">
        <f t="shared" si="1"/>
        <v>201</v>
      </c>
      <c r="B202" s="95">
        <f>IFERROR(__xludf.DUMMYFUNCTION("filter(Famillesid!$22:$22,(Famillesid!$16:$16=A202)+(Famillesid!$17:$17=A202)+(Famillesid!$18:$18=A202)+(Famillesid!$19:$19=A202)+(Famillesid!$20:$20=A202)+(Famillesid!$21:$21=A202))"),221.0)</f>
        <v>221</v>
      </c>
      <c r="C202" s="105" t="str">
        <f>IFERROR(__xludf.DUMMYFUNCTION("""COMPUTED_VALUE"""),"Noémie RABILLOUD")</f>
        <v>Noémie RABILLOUD</v>
      </c>
      <c r="D202" s="106" t="str">
        <f>IFERROR(__xludf.DUMMYFUNCTION("filter('Réponses au formulaire 1'!T:T,'Réponses au formulaire 1'!B:B=C202)"),"Un ras du cou (collier)")</f>
        <v>Un ras du cou (collier)</v>
      </c>
      <c r="E202" s="107" t="s">
        <v>631</v>
      </c>
      <c r="F202" s="108" t="s">
        <v>1158</v>
      </c>
      <c r="G202" s="18"/>
      <c r="H202" s="101" t="str">
        <f>IFERROR(__xludf.DUMMYFUNCTION("""COMPUTED_VALUE"""),"Florian BARTOCCI")</f>
        <v>Florian BARTOCCI</v>
      </c>
      <c r="I202" s="67" t="str">
        <f>IFERROR(__xludf.DUMMYFUNCTION("""COMPUTED_VALUE"""),"Album de Gims")</f>
        <v>Album de Gims</v>
      </c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</row>
    <row r="203">
      <c r="A203" s="101">
        <f t="shared" si="1"/>
        <v>202</v>
      </c>
      <c r="B203" s="95">
        <f>IFERROR(__xludf.DUMMYFUNCTION("filter(Famillesid!$22:$22,(Famillesid!$16:$16=A203)+(Famillesid!$17:$17=A203)+(Famillesid!$18:$18=A203)+(Famillesid!$19:$19=A203)+(Famillesid!$20:$20=A203)+(Famillesid!$21:$21=A203))"),196.0)</f>
        <v>196</v>
      </c>
      <c r="C203" s="105" t="str">
        <f>IFERROR(__xludf.DUMMYFUNCTION("""COMPUTED_VALUE"""),"Jean Pichard")</f>
        <v>Jean Pichard</v>
      </c>
      <c r="D203" s="106" t="str">
        <f>IFERROR(__xludf.DUMMYFUNCTION("filter('Réponses au formulaire 1'!T:T,'Réponses au formulaire 1'!B:B=C203)"),"Pas choisi encore ")</f>
        <v>Pas choisi encore </v>
      </c>
      <c r="E203" s="110"/>
      <c r="F203" s="92"/>
      <c r="G203" s="18"/>
      <c r="H203" s="101" t="str">
        <f>IFERROR(__xludf.DUMMYFUNCTION("""COMPUTED_VALUE"""),"Jean-Baptiste de BECO")</f>
        <v>Jean-Baptiste de BECO</v>
      </c>
      <c r="I203" s="67" t="str">
        <f>IFERROR(__xludf.DUMMYFUNCTION("""COMPUTED_VALUE"""),"Bouteille de picon")</f>
        <v>Bouteille de picon</v>
      </c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</row>
    <row r="204">
      <c r="A204" s="101">
        <f t="shared" si="1"/>
        <v>203</v>
      </c>
      <c r="B204" s="95">
        <f>IFERROR(__xludf.DUMMYFUNCTION("filter(Famillesid!$22:$22,(Famillesid!$16:$16=A204)+(Famillesid!$17:$17=A204)+(Famillesid!$18:$18=A204)+(Famillesid!$19:$19=A204)+(Famillesid!$20:$20=A204)+(Famillesid!$21:$21=A204))"),231.0)</f>
        <v>231</v>
      </c>
      <c r="C204" s="105" t="str">
        <f>IFERROR(__xludf.DUMMYFUNCTION("""COMPUTED_VALUE"""),"Mathis CELCE")</f>
        <v>Mathis CELCE</v>
      </c>
      <c r="D204" s="106" t="str">
        <f>IFERROR(__xludf.DUMMYFUNCTION("filter('Réponses au formulaire 1'!T:T,'Réponses au formulaire 1'!B:B=C204)"),"Ta mère")</f>
        <v>Ta mère</v>
      </c>
      <c r="E204" s="110"/>
      <c r="F204" s="92"/>
      <c r="G204" s="18"/>
      <c r="H204" s="101" t="str">
        <f>IFERROR(__xludf.DUMMYFUNCTION("""COMPUTED_VALUE"""),"Matthieu LAMIELLE")</f>
        <v>Matthieu LAMIELLE</v>
      </c>
      <c r="I204" s="67" t="str">
        <f>IFERROR(__xludf.DUMMYFUNCTION("""COMPUTED_VALUE"""),"Une corde")</f>
        <v>Une corde</v>
      </c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</row>
    <row r="205">
      <c r="A205" s="101">
        <f t="shared" si="1"/>
        <v>204</v>
      </c>
      <c r="B205" s="95">
        <f>IFERROR(__xludf.DUMMYFUNCTION("filter(Famillesid!$22:$22,(Famillesid!$16:$16=A205)+(Famillesid!$17:$17=A205)+(Famillesid!$18:$18=A205)+(Famillesid!$19:$19=A205)+(Famillesid!$20:$20=A205)+(Famillesid!$21:$21=A205))"),231.0)</f>
        <v>231</v>
      </c>
      <c r="C205" s="105" t="str">
        <f>IFERROR(__xludf.DUMMYFUNCTION("""COMPUTED_VALUE"""),"Maxime Roy")</f>
        <v>Maxime Roy</v>
      </c>
      <c r="D205" s="106" t="str">
        <f>IFERROR(__xludf.DUMMYFUNCTION("filter('Réponses au formulaire 1'!T:T,'Réponses au formulaire 1'!B:B=C205)"),"jsais ap")</f>
        <v>jsais ap</v>
      </c>
      <c r="E205" s="110"/>
      <c r="F205" s="92"/>
      <c r="G205" s="18"/>
      <c r="H205" s="101" t="str">
        <f>IFERROR(__xludf.DUMMYFUNCTION("""COMPUTED_VALUE"""),"Adrien BERSIER")</f>
        <v>Adrien BERSIER</v>
      </c>
      <c r="I205" s="67" t="str">
        <f>IFERROR(__xludf.DUMMYFUNCTION("""COMPUTED_VALUE"""),"Un diadème ")</f>
        <v>Un diadème </v>
      </c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</row>
    <row r="206">
      <c r="A206" s="101">
        <f t="shared" si="1"/>
        <v>205</v>
      </c>
      <c r="B206" s="95">
        <f>IFERROR(__xludf.DUMMYFUNCTION("filter(Famillesid!$22:$22,(Famillesid!$16:$16=A206)+(Famillesid!$17:$17=A206)+(Famillesid!$18:$18=A206)+(Famillesid!$19:$19=A206)+(Famillesid!$20:$20=A206)+(Famillesid!$21:$21=A206))"),231.0)</f>
        <v>231</v>
      </c>
      <c r="C206" s="105" t="str">
        <f>IFERROR(__xludf.DUMMYFUNCTION("""COMPUTED_VALUE"""),"Gauthier PEZZOLI")</f>
        <v>Gauthier PEZZOLI</v>
      </c>
      <c r="D206" s="106" t="str">
        <f>IFERROR(__xludf.DUMMYFUNCTION("filter('Réponses au formulaire 1'!T:T,'Réponses au formulaire 1'!B:B=C206)"),"Un rubix cube ou bien un lien vers ma chaîne YT")</f>
        <v>Un rubix cube ou bien un lien vers ma chaîne YT</v>
      </c>
      <c r="E206" s="110"/>
      <c r="F206" s="92"/>
      <c r="G206" s="18"/>
      <c r="H206" s="101" t="str">
        <f>IFERROR(__xludf.DUMMYFUNCTION("""COMPUTED_VALUE"""),"Aygalic JARA")</f>
        <v>Aygalic JARA</v>
      </c>
      <c r="I206" s="67" t="str">
        <f>IFERROR(__xludf.DUMMYFUNCTION("""COMPUTED_VALUE"""),"Une ecocup ")</f>
        <v>Une ecocup </v>
      </c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</row>
    <row r="207">
      <c r="A207" s="101">
        <f t="shared" si="1"/>
        <v>206</v>
      </c>
      <c r="B207" s="95">
        <f>IFERROR(__xludf.DUMMYFUNCTION("filter(Famillesid!$22:$22,(Famillesid!$16:$16=A207)+(Famillesid!$17:$17=A207)+(Famillesid!$18:$18=A207)+(Famillesid!$19:$19=A207)+(Famillesid!$20:$20=A207)+(Famillesid!$21:$21=A207))"),236.0)</f>
        <v>236</v>
      </c>
      <c r="C207" s="105" t="str">
        <f>IFERROR(__xludf.DUMMYFUNCTION("""COMPUTED_VALUE"""),"Théo Hennion")</f>
        <v>Théo Hennion</v>
      </c>
      <c r="D207" s="106" t="str">
        <f>IFERROR(__xludf.DUMMYFUNCTION("filter('Réponses au formulaire 1'!T:T,'Réponses au formulaire 1'!B:B=C207)"),"Un truc de boxe ou un truc de switch")</f>
        <v>Un truc de boxe ou un truc de switch</v>
      </c>
      <c r="E207" s="107" t="s">
        <v>631</v>
      </c>
      <c r="F207" s="108" t="s">
        <v>1162</v>
      </c>
      <c r="G207" s="18"/>
      <c r="H207" s="101" t="str">
        <f>IFERROR(__xludf.DUMMYFUNCTION("""COMPUTED_VALUE"""),"Thomas HERRBACH")</f>
        <v>Thomas HERRBACH</v>
      </c>
      <c r="I207" s="67" t="str">
        <f>IFERROR(__xludf.DUMMYFUNCTION("""COMPUTED_VALUE"""),"Une bouture de romarin")</f>
        <v>Une bouture de romarin</v>
      </c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</row>
    <row r="208">
      <c r="A208" s="101">
        <f t="shared" si="1"/>
        <v>207</v>
      </c>
      <c r="B208" s="95">
        <f>IFERROR(__xludf.DUMMYFUNCTION("filter(Famillesid!$22:$22,(Famillesid!$16:$16=A208)+(Famillesid!$17:$17=A208)+(Famillesid!$18:$18=A208)+(Famillesid!$19:$19=A208)+(Famillesid!$20:$20=A208)+(Famillesid!$21:$21=A208))"),236.0)</f>
        <v>236</v>
      </c>
      <c r="C208" s="105" t="str">
        <f>IFERROR(__xludf.DUMMYFUNCTION("""COMPUTED_VALUE"""),"Clément Wozniak")</f>
        <v>Clément Wozniak</v>
      </c>
      <c r="D208" s="106" t="str">
        <f>IFERROR(__xludf.DUMMYFUNCTION("filter('Réponses au formulaire 1'!T:T,'Réponses au formulaire 1'!B:B=C208)"),"Oreiller")</f>
        <v>Oreiller</v>
      </c>
      <c r="E208" s="110"/>
      <c r="F208" s="92"/>
      <c r="G208" s="18"/>
      <c r="H208" s="101" t="str">
        <f>IFERROR(__xludf.DUMMYFUNCTION("""COMPUTED_VALUE"""),"Adrien BOUVIER")</f>
        <v>Adrien BOUVIER</v>
      </c>
      <c r="I208" s="67" t="str">
        <f>IFERROR(__xludf.DUMMYFUNCTION("""COMPUTED_VALUE"""),"Un poids pour barre olympique ")</f>
        <v>Un poids pour barre olympique </v>
      </c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</row>
    <row r="209">
      <c r="A209" s="101">
        <f t="shared" si="1"/>
        <v>208</v>
      </c>
      <c r="B209" s="95">
        <f>IFERROR(__xludf.DUMMYFUNCTION("filter(Famillesid!$22:$22,(Famillesid!$16:$16=A209)+(Famillesid!$17:$17=A209)+(Famillesid!$18:$18=A209)+(Famillesid!$19:$19=A209)+(Famillesid!$20:$20=A209)+(Famillesid!$21:$21=A209))"),241.0)</f>
        <v>241</v>
      </c>
      <c r="C209" s="105" t="str">
        <f>IFERROR(__xludf.DUMMYFUNCTION("""COMPUTED_VALUE"""),"Cyriane BIENVENUE")</f>
        <v>Cyriane BIENVENUE</v>
      </c>
      <c r="D209" s="106" t="str">
        <f>IFERROR(__xludf.DUMMYFUNCTION("filter('Réponses au formulaire 1'!T:T,'Réponses au formulaire 1'!B:B=C209)"),"Des gants de voile")</f>
        <v>Des gants de voile</v>
      </c>
      <c r="E209" s="110"/>
      <c r="F209" s="92"/>
      <c r="G209" s="18"/>
      <c r="H209" s="101" t="str">
        <f>IFERROR(__xludf.DUMMYFUNCTION("""COMPUTED_VALUE"""),"Hugo Weiss")</f>
        <v>Hugo Weiss</v>
      </c>
      <c r="I209" s="67" t="str">
        <f>IFERROR(__xludf.DUMMYFUNCTION("""COMPUTED_VALUE"""),"Une photo de Gaël Monfils")</f>
        <v>Une photo de Gaël Monfils</v>
      </c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  <c r="EX209" s="18"/>
    </row>
    <row r="210">
      <c r="A210" s="101">
        <f t="shared" si="1"/>
        <v>209</v>
      </c>
      <c r="B210" s="95">
        <f>IFERROR(__xludf.DUMMYFUNCTION("filter(Famillesid!$22:$22,(Famillesid!$16:$16=A210)+(Famillesid!$17:$17=A210)+(Famillesid!$18:$18=A210)+(Famillesid!$19:$19=A210)+(Famillesid!$20:$20=A210)+(Famillesid!$21:$21=A210))"),116.0)</f>
        <v>116</v>
      </c>
      <c r="C210" s="105" t="str">
        <f>IFERROR(__xludf.DUMMYFUNCTION("""COMPUTED_VALUE"""),"Marius MENAULT")</f>
        <v>Marius MENAULT</v>
      </c>
      <c r="D210" s="106" t="str">
        <f>IFERROR(__xludf.DUMMYFUNCTION("filter('Réponses au formulaire 1'!T:T,'Réponses au formulaire 1'!B:B=C210)"),"Des chaussettes")</f>
        <v>Des chaussettes</v>
      </c>
      <c r="E210" s="110"/>
      <c r="F210" s="92"/>
      <c r="G210" s="18"/>
      <c r="H210" s="101" t="str">
        <f>IFERROR(__xludf.DUMMYFUNCTION("""COMPUTED_VALUE"""),"Adele ONDARCUHU")</f>
        <v>Adele ONDARCUHU</v>
      </c>
      <c r="I210" s="67" t="str">
        <f>IFERROR(__xludf.DUMMYFUNCTION("""COMPUTED_VALUE"""),"Pas encore choisi")</f>
        <v>Pas encore choisi</v>
      </c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</row>
    <row r="211">
      <c r="A211" s="101">
        <f t="shared" si="1"/>
        <v>210</v>
      </c>
      <c r="B211" s="95">
        <f>IFERROR(__xludf.DUMMYFUNCTION("filter(Famillesid!$22:$22,(Famillesid!$16:$16=A211)+(Famillesid!$17:$17=A211)+(Famillesid!$18:$18=A211)+(Famillesid!$19:$19=A211)+(Famillesid!$20:$20=A211)+(Famillesid!$21:$21=A211))"),246.0)</f>
        <v>246</v>
      </c>
      <c r="C211" s="105" t="str">
        <f>IFERROR(__xludf.DUMMYFUNCTION("""COMPUTED_VALUE"""),"Amine CHEKROUD")</f>
        <v>Amine CHEKROUD</v>
      </c>
      <c r="D211" s="106" t="str">
        <f>IFERROR(__xludf.DUMMYFUNCTION("filter('Réponses au formulaire 1'!T:T,'Réponses au formulaire 1'!B:B=C211)"),"Je sais pas")</f>
        <v>Je sais pas</v>
      </c>
      <c r="E211" s="107" t="s">
        <v>631</v>
      </c>
      <c r="F211" s="108" t="s">
        <v>1157</v>
      </c>
      <c r="G211" s="18"/>
      <c r="H211" s="101" t="str">
        <f>IFERROR(__xludf.DUMMYFUNCTION("""COMPUTED_VALUE"""),"Vire")</f>
        <v>Vire</v>
      </c>
      <c r="I211" s="67" t="str">
        <f>IFERROR(__xludf.DUMMYFUNCTION("""COMPUTED_VALUE"""),"Raquette cassée")</f>
        <v>Raquette cassée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</row>
    <row r="212">
      <c r="A212" s="101">
        <f t="shared" si="1"/>
        <v>211</v>
      </c>
      <c r="B212" s="95">
        <f>IFERROR(__xludf.DUMMYFUNCTION("filter(Famillesid!$22:$22,(Famillesid!$16:$16=A212)+(Famillesid!$17:$17=A212)+(Famillesid!$18:$18=A212)+(Famillesid!$19:$19=A212)+(Famillesid!$20:$20=A212)+(Famillesid!$21:$21=A212))"),241.0)</f>
        <v>241</v>
      </c>
      <c r="C212" s="105" t="str">
        <f>IFERROR(__xludf.DUMMYFUNCTION("""COMPUTED_VALUE"""),"Cyprien MARION")</f>
        <v>Cyprien MARION</v>
      </c>
      <c r="D212" s="106" t="str">
        <f>IFERROR(__xludf.DUMMYFUNCTION("filter('Réponses au formulaire 1'!T:T,'Réponses au formulaire 1'!B:B=C212)"),"Un démanilleur")</f>
        <v>Un démanilleur</v>
      </c>
      <c r="E212" s="110"/>
      <c r="F212" s="92"/>
      <c r="G212" s="18"/>
      <c r="H212" s="101" t="str">
        <f>IFERROR(__xludf.DUMMYFUNCTION("""COMPUTED_VALUE"""),"Fabien RAVET")</f>
        <v>Fabien RAVET</v>
      </c>
      <c r="I212" s="67" t="str">
        <f>IFERROR(__xludf.DUMMYFUNCTION("""COMPUTED_VALUE"""),"Une partition")</f>
        <v>Une partition</v>
      </c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</row>
    <row r="213">
      <c r="A213" s="101">
        <f t="shared" si="1"/>
        <v>212</v>
      </c>
      <c r="B213" s="95">
        <f>IFERROR(__xludf.DUMMYFUNCTION("filter(Famillesid!$22:$22,(Famillesid!$16:$16=A213)+(Famillesid!$17:$17=A213)+(Famillesid!$18:$18=A213)+(Famillesid!$19:$19=A213)+(Famillesid!$20:$20=A213)+(Famillesid!$21:$21=A213))"),251.0)</f>
        <v>251</v>
      </c>
      <c r="C213" s="105" t="str">
        <f>IFERROR(__xludf.DUMMYFUNCTION("""COMPUTED_VALUE"""),"Arthur LEMASSON")</f>
        <v>Arthur LEMASSON</v>
      </c>
      <c r="D213" s="106" t="str">
        <f>IFERROR(__xludf.DUMMYFUNCTION("filter('Réponses au formulaire 1'!T:T,'Réponses au formulaire 1'!B:B=C213)"),"Un chips")</f>
        <v>Un chips</v>
      </c>
      <c r="E213" s="110"/>
      <c r="F213" s="92"/>
      <c r="G213" s="18"/>
      <c r="H213" s="101" t="str">
        <f>IFERROR(__xludf.DUMMYFUNCTION("""COMPUTED_VALUE"""),"Bastien")</f>
        <v>Bastien</v>
      </c>
      <c r="I213" s="67" t="str">
        <f>IFERROR(__xludf.DUMMYFUNCTION("""COMPUTED_VALUE"""),"Pique de brochette")</f>
        <v>Pique de brochette</v>
      </c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</row>
    <row r="214">
      <c r="A214" s="101">
        <f t="shared" si="1"/>
        <v>213</v>
      </c>
      <c r="B214" s="95">
        <f>IFERROR(__xludf.DUMMYFUNCTION("filter(Famillesid!$22:$22,(Famillesid!$16:$16=A214)+(Famillesid!$17:$17=A214)+(Famillesid!$18:$18=A214)+(Famillesid!$19:$19=A214)+(Famillesid!$20:$20=A214)+(Famillesid!$21:$21=A214))"),251.0)</f>
        <v>251</v>
      </c>
      <c r="C214" s="105" t="str">
        <f>IFERROR(__xludf.DUMMYFUNCTION("""COMPUTED_VALUE"""),"Vincent MESLIER")</f>
        <v>Vincent MESLIER</v>
      </c>
      <c r="D214" s="106" t="str">
        <f>IFERROR(__xludf.DUMMYFUNCTION("filter('Réponses au formulaire 1'!T:T,'Réponses au formulaire 1'!B:B=C214)"),"Une maximator")</f>
        <v>Une maximator</v>
      </c>
      <c r="E214" s="110"/>
      <c r="F214" s="92"/>
      <c r="G214" s="18"/>
      <c r="H214" s="101" t="str">
        <f>IFERROR(__xludf.DUMMYFUNCTION("""COMPUTED_VALUE"""),"Audric BALSSA")</f>
        <v>Audric BALSSA</v>
      </c>
      <c r="I214" s="67" t="str">
        <f>IFERROR(__xludf.DUMMYFUNCTION("""COMPUTED_VALUE"""),"Ce choix n'est pas définitif")</f>
        <v>Ce choix n'est pas définitif</v>
      </c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</row>
    <row r="215">
      <c r="A215" s="101">
        <f t="shared" si="1"/>
        <v>214</v>
      </c>
      <c r="B215" s="95">
        <f>IFERROR(__xludf.DUMMYFUNCTION("filter(Famillesid!$22:$22,(Famillesid!$16:$16=A215)+(Famillesid!$17:$17=A215)+(Famillesid!$18:$18=A215)+(Famillesid!$19:$19=A215)+(Famillesid!$20:$20=A215)+(Famillesid!$21:$21=A215))"),251.0)</f>
        <v>251</v>
      </c>
      <c r="C215" s="105" t="str">
        <f>IFERROR(__xludf.DUMMYFUNCTION("""COMPUTED_VALUE"""),"Tom OVISTE")</f>
        <v>Tom OVISTE</v>
      </c>
      <c r="D215" s="106" t="str">
        <f>IFERROR(__xludf.DUMMYFUNCTION("filter('Réponses au formulaire 1'!T:T,'Réponses au formulaire 1'!B:B=C215)"),"Beaucoup d'amour")</f>
        <v>Beaucoup d'amour</v>
      </c>
      <c r="E215" s="110"/>
      <c r="F215" s="92"/>
      <c r="G215" s="18"/>
      <c r="H215" s="101" t="str">
        <f>IFERROR(__xludf.DUMMYFUNCTION("""COMPUTED_VALUE"""),"Alexandre SEVENO")</f>
        <v>Alexandre SEVENO</v>
      </c>
      <c r="I215" s="67" t="str">
        <f>IFERROR(__xludf.DUMMYFUNCTION("""COMPUTED_VALUE"""),"Un gant de moto")</f>
        <v>Un gant de moto</v>
      </c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</row>
    <row r="216">
      <c r="A216" s="101">
        <f t="shared" si="1"/>
        <v>215</v>
      </c>
      <c r="B216" s="95">
        <f>IFERROR(__xludf.DUMMYFUNCTION("filter(Famillesid!$22:$22,(Famillesid!$16:$16=A216)+(Famillesid!$17:$17=A216)+(Famillesid!$18:$18=A216)+(Famillesid!$19:$19=A216)+(Famillesid!$20:$20=A216)+(Famillesid!$21:$21=A216))"),116.0)</f>
        <v>116</v>
      </c>
      <c r="C216" s="105" t="str">
        <f>IFERROR(__xludf.DUMMYFUNCTION("""COMPUTED_VALUE"""),"Léonce AUDIBERT")</f>
        <v>Léonce AUDIBERT</v>
      </c>
      <c r="D216" s="106" t="str">
        <f>IFERROR(__xludf.DUMMYFUNCTION("filter('Réponses au formulaire 1'!T:T,'Réponses au formulaire 1'!B:B=C216)"),"Désolé je sais pas du tout mon bon Adrien la mif et Lucas  la mif ")</f>
        <v>Désolé je sais pas du tout mon bon Adrien la mif et Lucas  la mif </v>
      </c>
      <c r="E216" s="110"/>
      <c r="F216" s="92"/>
      <c r="G216" s="18"/>
      <c r="H216" s="101" t="str">
        <f>IFERROR(__xludf.DUMMYFUNCTION("""COMPUTED_VALUE"""),"Arthur")</f>
        <v>Arthur</v>
      </c>
      <c r="I216" s="67" t="str">
        <f>IFERROR(__xludf.DUMMYFUNCTION("""COMPUTED_VALUE"""),"Une banane")</f>
        <v>Une banane</v>
      </c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</row>
    <row r="217">
      <c r="A217" s="101">
        <f t="shared" si="1"/>
        <v>216</v>
      </c>
      <c r="B217" s="95">
        <f>IFERROR(__xludf.DUMMYFUNCTION("filter(Famillesid!$22:$22,(Famillesid!$16:$16=A217)+(Famillesid!$17:$17=A217)+(Famillesid!$18:$18=A217)+(Famillesid!$19:$19=A217)+(Famillesid!$20:$20=A217)+(Famillesid!$21:$21=A217))"),246.0)</f>
        <v>246</v>
      </c>
      <c r="C217" s="105" t="str">
        <f>IFERROR(__xludf.DUMMYFUNCTION("""COMPUTED_VALUE"""),"Pm Guyot")</f>
        <v>Pm Guyot</v>
      </c>
      <c r="D217" s="106" t="str">
        <f>IFERROR(__xludf.DUMMYFUNCTION("filter('Réponses au formulaire 1'!T:T,'Réponses au formulaire 1'!B:B=C217)"),"Un masque de merde")</f>
        <v>Un masque de merde</v>
      </c>
      <c r="E217" s="110"/>
      <c r="F217" s="92"/>
      <c r="G217" s="18"/>
      <c r="H217" s="101" t="str">
        <f>IFERROR(__xludf.DUMMYFUNCTION("""COMPUTED_VALUE"""),"Mathurin Schneider")</f>
        <v>Mathurin Schneider</v>
      </c>
      <c r="I217" s="67" t="str">
        <f>IFERROR(__xludf.DUMMYFUNCTION("""COMPUTED_VALUE"""),"Un truc en rapport avec les graffitis, une bombe ou un truc du genre !")</f>
        <v>Un truc en rapport avec les graffitis, une bombe ou un truc du genre !</v>
      </c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</row>
    <row r="218">
      <c r="A218" s="101">
        <f t="shared" si="1"/>
        <v>217</v>
      </c>
      <c r="B218" s="95">
        <f>IFERROR(__xludf.DUMMYFUNCTION("filter(Famillesid!$22:$22,(Famillesid!$16:$16=A218)+(Famillesid!$17:$17=A218)+(Famillesid!$18:$18=A218)+(Famillesid!$19:$19=A218)+(Famillesid!$20:$20=A218)+(Famillesid!$21:$21=A218))"),116.0)</f>
        <v>116</v>
      </c>
      <c r="C218" s="105" t="str">
        <f>IFERROR(__xludf.DUMMYFUNCTION("""COMPUTED_VALUE"""),"Antoine Chillet")</f>
        <v>Antoine Chillet</v>
      </c>
      <c r="D218" s="106" t="str">
        <f>IFERROR(__xludf.DUMMYFUNCTION("filter('Réponses au formulaire 1'!T:T,'Réponses au formulaire 1'!B:B=C218)"),"Balle de ping avec le logo d'Enactus ")</f>
        <v>Balle de ping avec le logo d'Enactus </v>
      </c>
      <c r="E218" s="110"/>
      <c r="F218" s="92"/>
      <c r="G218" s="18"/>
      <c r="H218" s="101" t="str">
        <f>IFERROR(__xludf.DUMMYFUNCTION("""COMPUTED_VALUE"""),"KONATE")</f>
        <v>KONATE</v>
      </c>
      <c r="I218" s="67" t="str">
        <f>IFERROR(__xludf.DUMMYFUNCTION("""COMPUTED_VALUE"""),"Une bouteille de monbazillac")</f>
        <v>Une bouteille de monbazillac</v>
      </c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  <c r="EJ218" s="18"/>
      <c r="EK218" s="18"/>
      <c r="EL218" s="18"/>
      <c r="EM218" s="18"/>
      <c r="EN218" s="18"/>
      <c r="EO218" s="18"/>
      <c r="EP218" s="18"/>
      <c r="EQ218" s="18"/>
      <c r="ER218" s="18"/>
      <c r="ES218" s="18"/>
      <c r="ET218" s="18"/>
      <c r="EU218" s="18"/>
      <c r="EV218" s="18"/>
      <c r="EW218" s="18"/>
      <c r="EX218" s="18"/>
    </row>
    <row r="219">
      <c r="A219" s="101">
        <f t="shared" si="1"/>
        <v>218</v>
      </c>
      <c r="B219" s="95">
        <f>IFERROR(__xludf.DUMMYFUNCTION("filter(Famillesid!$22:$22,(Famillesid!$16:$16=A219)+(Famillesid!$17:$17=A219)+(Famillesid!$18:$18=A219)+(Famillesid!$19:$19=A219)+(Famillesid!$20:$20=A219)+(Famillesid!$21:$21=A219))"),241.0)</f>
        <v>241</v>
      </c>
      <c r="C219" s="105" t="str">
        <f>IFERROR(__xludf.DUMMYFUNCTION("""COMPUTED_VALUE"""),"Louis COGAN")</f>
        <v>Louis COGAN</v>
      </c>
      <c r="D219" s="106" t="str">
        <f>IFERROR(__xludf.DUMMYFUNCTION("filter('Réponses au formulaire 1'!T:T,'Réponses au formulaire 1'!B:B=C219)"),"Un gant de voile solitaire cherchant sa moitié au fond de la baie de Pornic (merci Cyriane)")</f>
        <v>Un gant de voile solitaire cherchant sa moitié au fond de la baie de Pornic (merci Cyriane)</v>
      </c>
      <c r="E219" s="107" t="s">
        <v>631</v>
      </c>
      <c r="F219" s="108" t="s">
        <v>1162</v>
      </c>
      <c r="G219" s="18"/>
      <c r="H219" s="101" t="str">
        <f>IFERROR(__xludf.DUMMYFUNCTION("""COMPUTED_VALUE"""),"Alexandre FOSSORIER")</f>
        <v>Alexandre FOSSORIER</v>
      </c>
      <c r="I219" s="67" t="str">
        <f>IFERROR(__xludf.DUMMYFUNCTION("""COMPUTED_VALUE"""),"Mystère ")</f>
        <v>Mystère </v>
      </c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</row>
    <row r="220">
      <c r="A220" s="101">
        <f t="shared" si="1"/>
        <v>219</v>
      </c>
      <c r="B220" s="95">
        <f>IFERROR(__xludf.DUMMYFUNCTION("filter(Famillesid!$22:$22,(Famillesid!$16:$16=A220)+(Famillesid!$17:$17=A220)+(Famillesid!$18:$18=A220)+(Famillesid!$19:$19=A220)+(Famillesid!$20:$20=A220)+(Famillesid!$21:$21=A220))"),246.0)</f>
        <v>246</v>
      </c>
      <c r="C220" s="105" t="str">
        <f>IFERROR(__xludf.DUMMYFUNCTION("""COMPUTED_VALUE"""),"Richard ARNAUD")</f>
        <v>Richard ARNAUD</v>
      </c>
      <c r="D220" s="106" t="str">
        <f>IFERROR(__xludf.DUMMYFUNCTION("filter('Réponses au formulaire 1'!T:T,'Réponses au formulaire 1'!B:B=C220)"),"J'improserai")</f>
        <v>J'improserai</v>
      </c>
      <c r="E220" s="110"/>
      <c r="F220" s="92"/>
      <c r="G220" s="18"/>
      <c r="H220" s="101" t="str">
        <f>IFERROR(__xludf.DUMMYFUNCTION("""COMPUTED_VALUE"""),"Werner")</f>
        <v>Werner</v>
      </c>
      <c r="I220" s="67" t="str">
        <f>IFERROR(__xludf.DUMMYFUNCTION("""COMPUTED_VALUE"""),"un cheveu de Poitou :o ")</f>
        <v>un cheveu de Poitou :o </v>
      </c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  <c r="EJ220" s="18"/>
      <c r="EK220" s="18"/>
      <c r="EL220" s="18"/>
      <c r="EM220" s="18"/>
      <c r="EN220" s="18"/>
      <c r="EO220" s="18"/>
      <c r="EP220" s="18"/>
      <c r="EQ220" s="18"/>
      <c r="ER220" s="18"/>
      <c r="ES220" s="18"/>
      <c r="ET220" s="18"/>
      <c r="EU220" s="18"/>
      <c r="EV220" s="18"/>
      <c r="EW220" s="18"/>
      <c r="EX220" s="18"/>
    </row>
    <row r="221">
      <c r="A221" s="101">
        <f t="shared" si="1"/>
        <v>220</v>
      </c>
      <c r="B221" s="95">
        <f>IFERROR(__xludf.DUMMYFUNCTION("filter(Famillesid!$22:$22,(Famillesid!$16:$16=A221)+(Famillesid!$17:$17=A221)+(Famillesid!$18:$18=A221)+(Famillesid!$19:$19=A221)+(Famillesid!$20:$20=A221)+(Famillesid!$21:$21=A221))"),241.0)</f>
        <v>241</v>
      </c>
      <c r="C221" s="105" t="str">
        <f>IFERROR(__xludf.DUMMYFUNCTION("""COMPUTED_VALUE"""),"Le Mintier Emmanuel")</f>
        <v>Le Mintier Emmanuel</v>
      </c>
      <c r="D221" s="106" t="str">
        <f>IFERROR(__xludf.DUMMYFUNCTION("filter('Réponses au formulaire 1'!T:T,'Réponses au formulaire 1'!B:B=C221)"),"Manivelle de Winch")</f>
        <v>Manivelle de Winch</v>
      </c>
      <c r="E221" s="110"/>
      <c r="F221" s="92"/>
      <c r="G221" s="18"/>
      <c r="H221" s="101" t="str">
        <f>IFERROR(__xludf.DUMMYFUNCTION("""COMPUTED_VALUE"""),"Paniez")</f>
        <v>Paniez</v>
      </c>
      <c r="I221" s="67" t="str">
        <f>IFERROR(__xludf.DUMMYFUNCTION("""COMPUTED_VALUE"""),"Une table")</f>
        <v>Une table</v>
      </c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  <c r="EJ221" s="18"/>
      <c r="EK221" s="18"/>
      <c r="EL221" s="18"/>
      <c r="EM221" s="18"/>
      <c r="EN221" s="18"/>
      <c r="EO221" s="18"/>
      <c r="EP221" s="18"/>
      <c r="EQ221" s="18"/>
      <c r="ER221" s="18"/>
      <c r="ES221" s="18"/>
      <c r="ET221" s="18"/>
      <c r="EU221" s="18"/>
      <c r="EV221" s="18"/>
      <c r="EW221" s="18"/>
      <c r="EX221" s="18"/>
    </row>
    <row r="222">
      <c r="A222" s="101">
        <f t="shared" si="1"/>
        <v>221</v>
      </c>
      <c r="B222" s="95">
        <f>IFERROR(__xludf.DUMMYFUNCTION("filter(Famillesid!$22:$22,(Famillesid!$16:$16=A222)+(Famillesid!$17:$17=A222)+(Famillesid!$18:$18=A222)+(Famillesid!$19:$19=A222)+(Famillesid!$20:$20=A222)+(Famillesid!$21:$21=A222))"),116.0)</f>
        <v>116</v>
      </c>
      <c r="C222" s="105" t="str">
        <f>IFERROR(__xludf.DUMMYFUNCTION("""COMPUTED_VALUE"""),"Lilie BOIZUMAULT")</f>
        <v>Lilie BOIZUMAULT</v>
      </c>
      <c r="D222" s="106" t="str">
        <f>IFERROR(__xludf.DUMMYFUNCTION("filter('Réponses au formulaire 1'!T:T,'Réponses au formulaire 1'!B:B=C222)"),"Pochtard avec du gazon dedans ")</f>
        <v>Pochtard avec du gazon dedans </v>
      </c>
      <c r="E222" s="110"/>
      <c r="F222" s="92"/>
      <c r="G222" s="18"/>
      <c r="H222" s="101" t="str">
        <f>IFERROR(__xludf.DUMMYFUNCTION("""COMPUTED_VALUE"""),"Adrien HALLARD")</f>
        <v>Adrien HALLARD</v>
      </c>
      <c r="I222" s="67" t="str">
        <f>IFERROR(__xludf.DUMMYFUNCTION("""COMPUTED_VALUE"""),"?")</f>
        <v>?</v>
      </c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</row>
    <row r="223">
      <c r="A223" s="101">
        <f t="shared" si="1"/>
        <v>222</v>
      </c>
      <c r="B223" s="95">
        <f>IFERROR(__xludf.DUMMYFUNCTION("filter(Famillesid!$22:$22,(Famillesid!$16:$16=A223)+(Famillesid!$17:$17=A223)+(Famillesid!$18:$18=A223)+(Famillesid!$19:$19=A223)+(Famillesid!$20:$20=A223)+(Famillesid!$21:$21=A223))"),221.0)</f>
        <v>221</v>
      </c>
      <c r="C223" s="105" t="str">
        <f>IFERROR(__xludf.DUMMYFUNCTION("""COMPUTED_VALUE"""),"Amine MEHMOUDEN")</f>
        <v>Amine MEHMOUDEN</v>
      </c>
      <c r="D223" s="106" t="str">
        <f>IFERROR(__xludf.DUMMYFUNCTION("filter('Réponses au formulaire 1'!T:T,'Réponses au formulaire 1'!B:B=C223)"),"je sais pas encore")</f>
        <v>je sais pas encore</v>
      </c>
      <c r="E223" s="107" t="s">
        <v>631</v>
      </c>
      <c r="F223" s="108" t="s">
        <v>1157</v>
      </c>
      <c r="G223" s="18"/>
      <c r="H223" s="101" t="str">
        <f>IFERROR(__xludf.DUMMYFUNCTION("""COMPUTED_VALUE"""),"Aurélio Catel")</f>
        <v>Aurélio Catel</v>
      </c>
      <c r="I223" s="67" t="str">
        <f>IFERROR(__xludf.DUMMYFUNCTION("""COMPUTED_VALUE"""),"Médaille ")</f>
        <v>Médaille </v>
      </c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  <c r="EJ223" s="18"/>
      <c r="EK223" s="18"/>
      <c r="EL223" s="18"/>
      <c r="EM223" s="18"/>
      <c r="EN223" s="18"/>
      <c r="EO223" s="18"/>
      <c r="EP223" s="18"/>
      <c r="EQ223" s="18"/>
      <c r="ER223" s="18"/>
      <c r="ES223" s="18"/>
      <c r="ET223" s="18"/>
      <c r="EU223" s="18"/>
      <c r="EV223" s="18"/>
      <c r="EW223" s="18"/>
      <c r="EX223" s="18"/>
    </row>
    <row r="224">
      <c r="A224" s="101">
        <f t="shared" si="1"/>
        <v>223</v>
      </c>
      <c r="B224" s="95">
        <f>IFERROR(__xludf.DUMMYFUNCTION("filter(Famillesid!$22:$22,(Famillesid!$16:$16=A224)+(Famillesid!$17:$17=A224)+(Famillesid!$18:$18=A224)+(Famillesid!$19:$19=A224)+(Famillesid!$20:$20=A224)+(Famillesid!$21:$21=A224))"),231.0)</f>
        <v>231</v>
      </c>
      <c r="C224" s="105" t="str">
        <f>IFERROR(__xludf.DUMMYFUNCTION("""COMPUTED_VALUE"""),"Adrien Jamelot")</f>
        <v>Adrien Jamelot</v>
      </c>
      <c r="D224" s="106" t="str">
        <f>IFERROR(__xludf.DUMMYFUNCTION("filter('Réponses au formulaire 1'!T:T,'Réponses au formulaire 1'!B:B=C224)"),"Une brosse à dents")</f>
        <v>Une brosse à dents</v>
      </c>
      <c r="E224" s="110"/>
      <c r="F224" s="92"/>
      <c r="G224" s="18"/>
      <c r="H224" s="101" t="str">
        <f>IFERROR(__xludf.DUMMYFUNCTION("""COMPUTED_VALUE"""),"Yuna Landais")</f>
        <v>Yuna Landais</v>
      </c>
      <c r="I224" s="67" t="str">
        <f>IFERROR(__xludf.DUMMYFUNCTION("""COMPUTED_VALUE"""),"Drapeau breton ")</f>
        <v>Drapeau breton </v>
      </c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  <c r="EJ224" s="18"/>
      <c r="EK224" s="18"/>
      <c r="EL224" s="18"/>
      <c r="EM224" s="18"/>
      <c r="EN224" s="18"/>
      <c r="EO224" s="18"/>
      <c r="EP224" s="18"/>
      <c r="EQ224" s="18"/>
      <c r="ER224" s="18"/>
      <c r="ES224" s="18"/>
      <c r="ET224" s="18"/>
      <c r="EU224" s="18"/>
      <c r="EV224" s="18"/>
      <c r="EW224" s="18"/>
      <c r="EX224" s="18"/>
    </row>
    <row r="225">
      <c r="A225" s="101">
        <f t="shared" si="1"/>
        <v>224</v>
      </c>
      <c r="B225" s="95">
        <f>IFERROR(__xludf.DUMMYFUNCTION("filter(Famillesid!$22:$22,(Famillesid!$16:$16=A225)+(Famillesid!$17:$17=A225)+(Famillesid!$18:$18=A225)+(Famillesid!$19:$19=A225)+(Famillesid!$20:$20=A225)+(Famillesid!$21:$21=A225))"),261.0)</f>
        <v>261</v>
      </c>
      <c r="C225" s="105" t="str">
        <f>IFERROR(__xludf.DUMMYFUNCTION("""COMPUTED_VALUE"""),"Eric Ali Mehenni")</f>
        <v>Eric Ali Mehenni</v>
      </c>
      <c r="D225" s="106" t="str">
        <f>IFERROR(__xludf.DUMMYFUNCTION("filter('Réponses au formulaire 1'!T:T,'Réponses au formulaire 1'!B:B=C225)"),"Une carte")</f>
        <v>Une carte</v>
      </c>
      <c r="E225" s="110"/>
      <c r="F225" s="92"/>
      <c r="G225" s="18"/>
      <c r="H225" s="101" t="str">
        <f>IFERROR(__xludf.DUMMYFUNCTION("""COMPUTED_VALUE"""),"")</f>
        <v/>
      </c>
      <c r="I225" s="67" t="str">
        <f>IFERROR(__xludf.DUMMYFUNCTION("""COMPUTED_VALUE"""),"#REF!")</f>
        <v>#REF!</v>
      </c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8"/>
      <c r="DV225" s="18"/>
      <c r="DW225" s="18"/>
      <c r="DX225" s="18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</row>
    <row r="226">
      <c r="A226" s="101">
        <f t="shared" si="1"/>
        <v>225</v>
      </c>
      <c r="B226" s="95">
        <f>IFERROR(__xludf.DUMMYFUNCTION("filter(Famillesid!$22:$22,(Famillesid!$16:$16=A226)+(Famillesid!$17:$17=A226)+(Famillesid!$18:$18=A226)+(Famillesid!$19:$19=A226)+(Famillesid!$20:$20=A226)+(Famillesid!$21:$21=A226))"),246.0)</f>
        <v>246</v>
      </c>
      <c r="C226" s="105" t="str">
        <f>IFERROR(__xludf.DUMMYFUNCTION("""COMPUTED_VALUE"""),"Anaïs BOUCHET")</f>
        <v>Anaïs BOUCHET</v>
      </c>
      <c r="D226" s="106" t="str">
        <f>IFERROR(__xludf.DUMMYFUNCTION("filter('Réponses au formulaire 1'!T:T,'Réponses au formulaire 1'!B:B=C226)"),"Un serre-tête médusé ")</f>
        <v>Un serre-tête médusé </v>
      </c>
      <c r="E226" s="110"/>
      <c r="F226" s="92"/>
      <c r="G226" s="18"/>
      <c r="H226" s="101" t="str">
        <f>IFERROR(__xludf.DUMMYFUNCTION("""COMPUTED_VALUE"""),"")</f>
        <v/>
      </c>
      <c r="I226" s="67" t="str">
        <f>IFERROR(__xludf.DUMMYFUNCTION("""COMPUTED_VALUE"""),"#REF!")</f>
        <v>#REF!</v>
      </c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/>
      <c r="DN226" s="18"/>
      <c r="DO226" s="18"/>
      <c r="DP226" s="18"/>
      <c r="DQ226" s="18"/>
      <c r="DR226" s="18"/>
      <c r="DS226" s="18"/>
      <c r="DT226" s="18"/>
      <c r="DU226" s="18"/>
      <c r="DV226" s="18"/>
      <c r="DW226" s="18"/>
      <c r="DX226" s="18"/>
      <c r="DY226" s="18"/>
      <c r="DZ226" s="18"/>
      <c r="EA226" s="18"/>
      <c r="EB226" s="18"/>
      <c r="EC226" s="18"/>
      <c r="ED226" s="18"/>
      <c r="EE226" s="18"/>
      <c r="EF226" s="18"/>
      <c r="EG226" s="18"/>
      <c r="EH226" s="18"/>
      <c r="EI226" s="18"/>
      <c r="EJ226" s="18"/>
      <c r="EK226" s="18"/>
      <c r="EL226" s="18"/>
      <c r="EM226" s="18"/>
      <c r="EN226" s="18"/>
      <c r="EO226" s="18"/>
      <c r="EP226" s="18"/>
      <c r="EQ226" s="18"/>
      <c r="ER226" s="18"/>
      <c r="ES226" s="18"/>
      <c r="ET226" s="18"/>
      <c r="EU226" s="18"/>
      <c r="EV226" s="18"/>
      <c r="EW226" s="18"/>
      <c r="EX226" s="18"/>
    </row>
    <row r="227">
      <c r="A227" s="101">
        <f t="shared" si="1"/>
        <v>226</v>
      </c>
      <c r="B227" s="95">
        <f>IFERROR(__xludf.DUMMYFUNCTION("filter(Famillesid!$22:$22,(Famillesid!$16:$16=A227)+(Famillesid!$17:$17=A227)+(Famillesid!$18:$18=A227)+(Famillesid!$19:$19=A227)+(Famillesid!$20:$20=A227)+(Famillesid!$21:$21=A227))"),256.0)</f>
        <v>256</v>
      </c>
      <c r="C227" s="105" t="str">
        <f>IFERROR(__xludf.DUMMYFUNCTION("""COMPUTED_VALUE"""),"Antoine DAROUX")</f>
        <v>Antoine DAROUX</v>
      </c>
      <c r="D227" s="106" t="str">
        <f>IFERROR(__xludf.DUMMYFUNCTION("filter('Réponses au formulaire 1'!T:T,'Réponses au formulaire 1'!B:B=C227)"),"Un planning du BDE des Fox")</f>
        <v>Un planning du BDE des Fox</v>
      </c>
      <c r="E227" s="110"/>
      <c r="F227" s="92"/>
      <c r="G227" s="18"/>
      <c r="H227" s="101" t="str">
        <f>IFERROR(__xludf.DUMMYFUNCTION("""COMPUTED_VALUE"""),"")</f>
        <v/>
      </c>
      <c r="I227" s="67" t="str">
        <f>IFERROR(__xludf.DUMMYFUNCTION("""COMPUTED_VALUE"""),"#REF!")</f>
        <v>#REF!</v>
      </c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/>
      <c r="DN227" s="18"/>
      <c r="DO227" s="18"/>
      <c r="DP227" s="18"/>
      <c r="DQ227" s="18"/>
      <c r="DR227" s="18"/>
      <c r="DS227" s="18"/>
      <c r="DT227" s="18"/>
      <c r="DU227" s="18"/>
      <c r="DV227" s="18"/>
      <c r="DW227" s="18"/>
      <c r="DX227" s="18"/>
      <c r="DY227" s="18"/>
      <c r="DZ227" s="18"/>
      <c r="EA227" s="18"/>
      <c r="EB227" s="18"/>
      <c r="EC227" s="18"/>
      <c r="ED227" s="18"/>
      <c r="EE227" s="18"/>
      <c r="EF227" s="18"/>
      <c r="EG227" s="18"/>
      <c r="EH227" s="18"/>
      <c r="EI227" s="18"/>
      <c r="EJ227" s="18"/>
      <c r="EK227" s="18"/>
      <c r="EL227" s="18"/>
      <c r="EM227" s="18"/>
      <c r="EN227" s="18"/>
      <c r="EO227" s="18"/>
      <c r="EP227" s="18"/>
      <c r="EQ227" s="18"/>
      <c r="ER227" s="18"/>
      <c r="ES227" s="18"/>
      <c r="ET227" s="18"/>
      <c r="EU227" s="18"/>
      <c r="EV227" s="18"/>
      <c r="EW227" s="18"/>
      <c r="EX227" s="18"/>
    </row>
    <row r="228">
      <c r="A228" s="101">
        <f t="shared" si="1"/>
        <v>227</v>
      </c>
      <c r="B228" s="95">
        <f>IFERROR(__xludf.DUMMYFUNCTION("filter(Famillesid!$22:$22,(Famillesid!$16:$16=A228)+(Famillesid!$17:$17=A228)+(Famillesid!$18:$18=A228)+(Famillesid!$19:$19=A228)+(Famillesid!$20:$20=A228)+(Famillesid!$21:$21=A228))"),256.0)</f>
        <v>256</v>
      </c>
      <c r="C228" s="105" t="str">
        <f>IFERROR(__xludf.DUMMYFUNCTION("""COMPUTED_VALUE"""),"Lucas SANCIET--MUNIER")</f>
        <v>Lucas SANCIET--MUNIER</v>
      </c>
      <c r="D228" s="106" t="str">
        <f>IFERROR(__xludf.DUMMYFUNCTION("filter('Réponses au formulaire 1'!T:T,'Réponses au formulaire 1'!B:B=C228)"),"Un saucisson de Savoie")</f>
        <v>Un saucisson de Savoie</v>
      </c>
      <c r="E228" s="110"/>
      <c r="F228" s="92"/>
      <c r="G228" s="18"/>
      <c r="H228" s="101" t="str">
        <f>IFERROR(__xludf.DUMMYFUNCTION("""COMPUTED_VALUE"""),"")</f>
        <v/>
      </c>
      <c r="I228" s="67" t="str">
        <f>IFERROR(__xludf.DUMMYFUNCTION("""COMPUTED_VALUE"""),"#REF!")</f>
        <v>#REF!</v>
      </c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/>
      <c r="DN228" s="18"/>
      <c r="DO228" s="18"/>
      <c r="DP228" s="18"/>
      <c r="DQ228" s="18"/>
      <c r="DR228" s="18"/>
      <c r="DS228" s="18"/>
      <c r="DT228" s="18"/>
      <c r="DU228" s="18"/>
      <c r="DV228" s="18"/>
      <c r="DW228" s="18"/>
      <c r="DX228" s="18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8"/>
      <c r="EP228" s="18"/>
      <c r="EQ228" s="18"/>
      <c r="ER228" s="18"/>
      <c r="ES228" s="18"/>
      <c r="ET228" s="18"/>
      <c r="EU228" s="18"/>
      <c r="EV228" s="18"/>
      <c r="EW228" s="18"/>
      <c r="EX228" s="18"/>
    </row>
    <row r="229">
      <c r="A229" s="101">
        <f t="shared" si="1"/>
        <v>228</v>
      </c>
      <c r="B229" s="95">
        <f>IFERROR(__xludf.DUMMYFUNCTION("filter(Famillesid!$22:$22,(Famillesid!$16:$16=A229)+(Famillesid!$17:$17=A229)+(Famillesid!$18:$18=A229)+(Famillesid!$19:$19=A229)+(Famillesid!$20:$20=A229)+(Famillesid!$21:$21=A229))"),261.0)</f>
        <v>261</v>
      </c>
      <c r="C229" s="105" t="str">
        <f>IFERROR(__xludf.DUMMYFUNCTION("""COMPUTED_VALUE"""),"Thomas LE BOURHIS")</f>
        <v>Thomas LE BOURHIS</v>
      </c>
      <c r="D229" s="106" t="str">
        <f>IFERROR(__xludf.DUMMYFUNCTION("filter('Réponses au formulaire 1'!T:T,'Réponses au formulaire 1'!B:B=C229)"),"Un paquet de cartes")</f>
        <v>Un paquet de cartes</v>
      </c>
      <c r="E229" s="110"/>
      <c r="F229" s="92"/>
      <c r="G229" s="18"/>
      <c r="H229" s="101" t="str">
        <f>IFERROR(__xludf.DUMMYFUNCTION("""COMPUTED_VALUE"""),"")</f>
        <v/>
      </c>
      <c r="I229" s="67" t="str">
        <f>IFERROR(__xludf.DUMMYFUNCTION("""COMPUTED_VALUE"""),"#REF!")</f>
        <v>#REF!</v>
      </c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</row>
    <row r="230">
      <c r="A230" s="101">
        <f t="shared" si="1"/>
        <v>229</v>
      </c>
      <c r="B230" s="95">
        <f>IFERROR(__xludf.DUMMYFUNCTION("filter(Famillesid!$22:$22,(Famillesid!$16:$16=A230)+(Famillesid!$17:$17=A230)+(Famillesid!$18:$18=A230)+(Famillesid!$19:$19=A230)+(Famillesid!$20:$20=A230)+(Famillesid!$21:$21=A230))"),256.0)</f>
        <v>256</v>
      </c>
      <c r="C230" s="105" t="str">
        <f>IFERROR(__xludf.DUMMYFUNCTION("""COMPUTED_VALUE"""),"Hugo GAYRARD")</f>
        <v>Hugo GAYRARD</v>
      </c>
      <c r="D230" s="106" t="str">
        <f>IFERROR(__xludf.DUMMYFUNCTION("filter('Réponses au formulaire 1'!T:T,'Réponses au formulaire 1'!B:B=C230)"),"Un déguisement")</f>
        <v>Un déguisement</v>
      </c>
      <c r="E230" s="110"/>
      <c r="F230" s="92"/>
      <c r="G230" s="18"/>
      <c r="H230" s="101" t="str">
        <f>IFERROR(__xludf.DUMMYFUNCTION("""COMPUTED_VALUE"""),"")</f>
        <v/>
      </c>
      <c r="I230" s="67" t="str">
        <f>IFERROR(__xludf.DUMMYFUNCTION("""COMPUTED_VALUE"""),"#REF!")</f>
        <v>#REF!</v>
      </c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/>
      <c r="DN230" s="18"/>
      <c r="DO230" s="18"/>
      <c r="DP230" s="18"/>
      <c r="DQ230" s="18"/>
      <c r="DR230" s="18"/>
      <c r="DS230" s="18"/>
      <c r="DT230" s="18"/>
      <c r="DU230" s="18"/>
      <c r="DV230" s="18"/>
      <c r="DW230" s="18"/>
      <c r="DX230" s="18"/>
      <c r="DY230" s="18"/>
      <c r="DZ230" s="18"/>
      <c r="EA230" s="18"/>
      <c r="EB230" s="18"/>
      <c r="EC230" s="18"/>
      <c r="ED230" s="18"/>
      <c r="EE230" s="18"/>
      <c r="EF230" s="18"/>
      <c r="EG230" s="18"/>
      <c r="EH230" s="18"/>
      <c r="EI230" s="18"/>
      <c r="EJ230" s="18"/>
      <c r="EK230" s="18"/>
      <c r="EL230" s="18"/>
      <c r="EM230" s="18"/>
      <c r="EN230" s="18"/>
      <c r="EO230" s="18"/>
      <c r="EP230" s="18"/>
      <c r="EQ230" s="18"/>
      <c r="ER230" s="18"/>
      <c r="ES230" s="18"/>
      <c r="ET230" s="18"/>
      <c r="EU230" s="18"/>
      <c r="EV230" s="18"/>
      <c r="EW230" s="18"/>
      <c r="EX230" s="18"/>
    </row>
    <row r="231">
      <c r="A231" s="101">
        <f t="shared" si="1"/>
        <v>230</v>
      </c>
      <c r="B231" s="95">
        <f>IFERROR(__xludf.DUMMYFUNCTION("filter(Famillesid!$22:$22,(Famillesid!$16:$16=A231)+(Famillesid!$17:$17=A231)+(Famillesid!$18:$18=A231)+(Famillesid!$19:$19=A231)+(Famillesid!$20:$20=A231)+(Famillesid!$21:$21=A231))"),256.0)</f>
        <v>256</v>
      </c>
      <c r="C231" s="105" t="str">
        <f>IFERROR(__xludf.DUMMYFUNCTION("""COMPUTED_VALUE"""),"Loïc")</f>
        <v>Loïc</v>
      </c>
      <c r="D231" s="106" t="str">
        <f>IFERROR(__xludf.DUMMYFUNCTION("filter('Réponses au formulaire 1'!T:T,'Réponses au formulaire 1'!B:B=C231)"),"Toute ma bienveillance")</f>
        <v>Toute ma bienveillance</v>
      </c>
      <c r="E231" s="110"/>
      <c r="F231" s="92"/>
      <c r="G231" s="18"/>
      <c r="H231" s="101" t="str">
        <f>IFERROR(__xludf.DUMMYFUNCTION("""COMPUTED_VALUE"""),"")</f>
        <v/>
      </c>
      <c r="I231" s="67" t="str">
        <f>IFERROR(__xludf.DUMMYFUNCTION("""COMPUTED_VALUE"""),"#REF!")</f>
        <v>#REF!</v>
      </c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/>
      <c r="DN231" s="18"/>
      <c r="DO231" s="18"/>
      <c r="DP231" s="18"/>
      <c r="DQ231" s="18"/>
      <c r="DR231" s="18"/>
      <c r="DS231" s="18"/>
      <c r="DT231" s="18"/>
      <c r="DU231" s="18"/>
      <c r="DV231" s="18"/>
      <c r="DW231" s="18"/>
      <c r="DX231" s="18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</row>
    <row r="232">
      <c r="A232" s="101">
        <f t="shared" si="1"/>
        <v>231</v>
      </c>
      <c r="B232" s="95">
        <f>IFERROR(__xludf.DUMMYFUNCTION("filter(Famillesid!$22:$22,(Famillesid!$16:$16=A232)+(Famillesid!$17:$17=A232)+(Famillesid!$18:$18=A232)+(Famillesid!$19:$19=A232)+(Famillesid!$20:$20=A232)+(Famillesid!$21:$21=A232))"),256.0)</f>
        <v>256</v>
      </c>
      <c r="C232" s="105" t="str">
        <f>IFERROR(__xludf.DUMMYFUNCTION("""COMPUTED_VALUE"""),"Pierre Veillard")</f>
        <v>Pierre Veillard</v>
      </c>
      <c r="D232" s="106" t="str">
        <f>IFERROR(__xludf.DUMMYFUNCTION("filter('Réponses au formulaire 1'!T:T,'Réponses au formulaire 1'!B:B=C232)"),"Un poney")</f>
        <v>Un poney</v>
      </c>
      <c r="E232" s="110"/>
      <c r="F232" s="92"/>
      <c r="G232" s="18"/>
      <c r="H232" s="101" t="str">
        <f>IFERROR(__xludf.DUMMYFUNCTION("""COMPUTED_VALUE"""),"")</f>
        <v/>
      </c>
      <c r="I232" s="67" t="str">
        <f>IFERROR(__xludf.DUMMYFUNCTION("""COMPUTED_VALUE"""),"#REF!")</f>
        <v>#REF!</v>
      </c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/>
      <c r="DN232" s="18"/>
      <c r="DO232" s="18"/>
      <c r="DP232" s="18"/>
      <c r="DQ232" s="18"/>
      <c r="DR232" s="18"/>
      <c r="DS232" s="18"/>
      <c r="DT232" s="18"/>
      <c r="DU232" s="18"/>
      <c r="DV232" s="18"/>
      <c r="DW232" s="18"/>
      <c r="DX232" s="18"/>
      <c r="DY232" s="18"/>
      <c r="DZ232" s="18"/>
      <c r="EA232" s="18"/>
      <c r="EB232" s="18"/>
      <c r="EC232" s="18"/>
      <c r="ED232" s="18"/>
      <c r="EE232" s="18"/>
      <c r="EF232" s="18"/>
      <c r="EG232" s="18"/>
      <c r="EH232" s="18"/>
      <c r="EI232" s="18"/>
      <c r="EJ232" s="18"/>
      <c r="EK232" s="18"/>
      <c r="EL232" s="18"/>
      <c r="EM232" s="18"/>
      <c r="EN232" s="18"/>
      <c r="EO232" s="18"/>
      <c r="EP232" s="18"/>
      <c r="EQ232" s="18"/>
      <c r="ER232" s="18"/>
      <c r="ES232" s="18"/>
      <c r="ET232" s="18"/>
      <c r="EU232" s="18"/>
      <c r="EV232" s="18"/>
      <c r="EW232" s="18"/>
      <c r="EX232" s="18"/>
    </row>
    <row r="233">
      <c r="A233" s="101">
        <f t="shared" si="1"/>
        <v>232</v>
      </c>
      <c r="B233" s="95">
        <f>IFERROR(__xludf.DUMMYFUNCTION("filter(Famillesid!$22:$22,(Famillesid!$16:$16=A233)+(Famillesid!$17:$17=A233)+(Famillesid!$18:$18=A233)+(Famillesid!$19:$19=A233)+(Famillesid!$20:$20=A233)+(Famillesid!$21:$21=A233))"),266.0)</f>
        <v>266</v>
      </c>
      <c r="C233" s="105" t="str">
        <f>IFERROR(__xludf.DUMMYFUNCTION("""COMPUTED_VALUE"""),"Ruben MATONDZI")</f>
        <v>Ruben MATONDZI</v>
      </c>
      <c r="D233" s="106" t="str">
        <f>IFERROR(__xludf.DUMMYFUNCTION("filter('Réponses au formulaire 1'!T:T,'Réponses au formulaire 1'!B:B=C233)"),"Un oreiller ")</f>
        <v>Un oreiller </v>
      </c>
      <c r="E233" s="110"/>
      <c r="F233" s="92"/>
      <c r="G233" s="18"/>
      <c r="H233" s="101" t="str">
        <f>IFERROR(__xludf.DUMMYFUNCTION("""COMPUTED_VALUE"""),"")</f>
        <v/>
      </c>
      <c r="I233" s="67" t="str">
        <f>IFERROR(__xludf.DUMMYFUNCTION("""COMPUTED_VALUE"""),"#REF!")</f>
        <v>#REF!</v>
      </c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/>
      <c r="DN233" s="18"/>
      <c r="DO233" s="18"/>
      <c r="DP233" s="18"/>
      <c r="DQ233" s="18"/>
      <c r="DR233" s="18"/>
      <c r="DS233" s="18"/>
      <c r="DT233" s="18"/>
      <c r="DU233" s="18"/>
      <c r="DV233" s="18"/>
      <c r="DW233" s="18"/>
      <c r="DX233" s="18"/>
      <c r="DY233" s="18"/>
      <c r="DZ233" s="18"/>
      <c r="EA233" s="18"/>
      <c r="EB233" s="18"/>
      <c r="EC233" s="18"/>
      <c r="ED233" s="18"/>
      <c r="EE233" s="18"/>
      <c r="EF233" s="18"/>
      <c r="EG233" s="18"/>
      <c r="EH233" s="18"/>
      <c r="EI233" s="18"/>
      <c r="EJ233" s="18"/>
      <c r="EK233" s="18"/>
      <c r="EL233" s="18"/>
      <c r="EM233" s="18"/>
      <c r="EN233" s="18"/>
      <c r="EO233" s="18"/>
      <c r="EP233" s="18"/>
      <c r="EQ233" s="18"/>
      <c r="ER233" s="18"/>
      <c r="ES233" s="18"/>
      <c r="ET233" s="18"/>
      <c r="EU233" s="18"/>
      <c r="EV233" s="18"/>
      <c r="EW233" s="18"/>
      <c r="EX233" s="18"/>
    </row>
    <row r="234">
      <c r="A234" s="101">
        <f t="shared" si="1"/>
        <v>233</v>
      </c>
      <c r="B234" s="95">
        <f>IFERROR(__xludf.DUMMYFUNCTION("filter(Famillesid!$22:$22,(Famillesid!$16:$16=A234)+(Famillesid!$17:$17=A234)+(Famillesid!$18:$18=A234)+(Famillesid!$19:$19=A234)+(Famillesid!$20:$20=A234)+(Famillesid!$21:$21=A234))"),266.0)</f>
        <v>266</v>
      </c>
      <c r="C234" s="105" t="str">
        <f>IFERROR(__xludf.DUMMYFUNCTION("""COMPUTED_VALUE"""),"Manon DUBREIL")</f>
        <v>Manon DUBREIL</v>
      </c>
      <c r="D234" s="106" t="str">
        <f>IFERROR(__xludf.DUMMYFUNCTION("filter('Réponses au formulaire 1'!T:T,'Réponses au formulaire 1'!B:B=C234)"),"ADUNNO")</f>
        <v>ADUNNO</v>
      </c>
      <c r="E234" s="110"/>
      <c r="F234" s="92"/>
      <c r="G234" s="18"/>
      <c r="H234" s="101" t="str">
        <f>IFERROR(__xludf.DUMMYFUNCTION("""COMPUTED_VALUE"""),"")</f>
        <v/>
      </c>
      <c r="I234" s="67" t="str">
        <f>IFERROR(__xludf.DUMMYFUNCTION("""COMPUTED_VALUE"""),"#REF!")</f>
        <v>#REF!</v>
      </c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/>
      <c r="DN234" s="18"/>
      <c r="DO234" s="18"/>
      <c r="DP234" s="18"/>
      <c r="DQ234" s="18"/>
      <c r="DR234" s="18"/>
      <c r="DS234" s="18"/>
      <c r="DT234" s="18"/>
      <c r="DU234" s="18"/>
      <c r="DV234" s="18"/>
      <c r="DW234" s="18"/>
      <c r="DX234" s="18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</row>
    <row r="235">
      <c r="A235" s="101">
        <f t="shared" si="1"/>
        <v>234</v>
      </c>
      <c r="B235" s="95">
        <f>IFERROR(__xludf.DUMMYFUNCTION("filter(Famillesid!$22:$22,(Famillesid!$16:$16=A235)+(Famillesid!$17:$17=A235)+(Famillesid!$18:$18=A235)+(Famillesid!$19:$19=A235)+(Famillesid!$20:$20=A235)+(Famillesid!$21:$21=A235))"),266.0)</f>
        <v>266</v>
      </c>
      <c r="C235" s="105" t="str">
        <f>IFERROR(__xludf.DUMMYFUNCTION("""COMPUTED_VALUE"""),"Maëlenn COLSON")</f>
        <v>Maëlenn COLSON</v>
      </c>
      <c r="D235" s="106" t="str">
        <f>IFERROR(__xludf.DUMMYFUNCTION("filter('Réponses au formulaire 1'!T:T,'Réponses au formulaire 1'!B:B=C235)"),"Des paillettes &lt;3")</f>
        <v>Des paillettes &lt;3</v>
      </c>
      <c r="E235" s="110"/>
      <c r="F235" s="92"/>
      <c r="G235" s="18"/>
      <c r="H235" s="101" t="str">
        <f>IFERROR(__xludf.DUMMYFUNCTION("""COMPUTED_VALUE"""),"")</f>
        <v/>
      </c>
      <c r="I235" s="67" t="str">
        <f>IFERROR(__xludf.DUMMYFUNCTION("""COMPUTED_VALUE"""),"#REF!")</f>
        <v>#REF!</v>
      </c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/>
      <c r="DN235" s="18"/>
      <c r="DO235" s="18"/>
      <c r="DP235" s="18"/>
      <c r="DQ235" s="18"/>
      <c r="DR235" s="18"/>
      <c r="DS235" s="18"/>
      <c r="DT235" s="18"/>
      <c r="DU235" s="18"/>
      <c r="DV235" s="18"/>
      <c r="DW235" s="18"/>
      <c r="DX235" s="18"/>
      <c r="DY235" s="18"/>
      <c r="DZ235" s="18"/>
      <c r="EA235" s="18"/>
      <c r="EB235" s="18"/>
      <c r="EC235" s="18"/>
      <c r="ED235" s="18"/>
      <c r="EE235" s="18"/>
      <c r="EF235" s="18"/>
      <c r="EG235" s="18"/>
      <c r="EH235" s="18"/>
      <c r="EI235" s="18"/>
      <c r="EJ235" s="18"/>
      <c r="EK235" s="18"/>
      <c r="EL235" s="18"/>
      <c r="EM235" s="18"/>
      <c r="EN235" s="18"/>
      <c r="EO235" s="18"/>
      <c r="EP235" s="18"/>
      <c r="EQ235" s="18"/>
      <c r="ER235" s="18"/>
      <c r="ES235" s="18"/>
      <c r="ET235" s="18"/>
      <c r="EU235" s="18"/>
      <c r="EV235" s="18"/>
      <c r="EW235" s="18"/>
      <c r="EX235" s="18"/>
    </row>
    <row r="236">
      <c r="A236" s="101">
        <f t="shared" si="1"/>
        <v>235</v>
      </c>
      <c r="B236" s="95">
        <f>IFERROR(__xludf.DUMMYFUNCTION("filter(Famillesid!$22:$22,(Famillesid!$16:$16=A236)+(Famillesid!$17:$17=A236)+(Famillesid!$18:$18=A236)+(Famillesid!$19:$19=A236)+(Famillesid!$20:$20=A236)+(Famillesid!$21:$21=A236))"),81.0)</f>
        <v>81</v>
      </c>
      <c r="C236" s="105" t="str">
        <f>IFERROR(__xludf.DUMMYFUNCTION("""COMPUTED_VALUE"""),"Rémy MAIGE")</f>
        <v>Rémy MAIGE</v>
      </c>
      <c r="D236" s="106" t="str">
        <f>IFERROR(__xludf.DUMMYFUNCTION("filter('Réponses au formulaire 1'!T:T,'Réponses au formulaire 1'!B:B=C236)"),"¯\_(ツ)_/¯")</f>
        <v>¯\_(ツ)_/¯</v>
      </c>
      <c r="E236" s="110"/>
      <c r="F236" s="92"/>
      <c r="G236" s="18"/>
      <c r="H236" s="101" t="str">
        <f>IFERROR(__xludf.DUMMYFUNCTION("""COMPUTED_VALUE"""),"")</f>
        <v/>
      </c>
      <c r="I236" s="67" t="str">
        <f>IFERROR(__xludf.DUMMYFUNCTION("""COMPUTED_VALUE"""),"#REF!")</f>
        <v>#REF!</v>
      </c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/>
      <c r="DN236" s="18"/>
      <c r="DO236" s="18"/>
      <c r="DP236" s="18"/>
      <c r="DQ236" s="18"/>
      <c r="DR236" s="18"/>
      <c r="DS236" s="18"/>
      <c r="DT236" s="18"/>
      <c r="DU236" s="18"/>
      <c r="DV236" s="18"/>
      <c r="DW236" s="18"/>
      <c r="DX236" s="18"/>
      <c r="DY236" s="18"/>
      <c r="DZ236" s="18"/>
      <c r="EA236" s="18"/>
      <c r="EB236" s="18"/>
      <c r="EC236" s="18"/>
      <c r="ED236" s="18"/>
      <c r="EE236" s="18"/>
      <c r="EF236" s="18"/>
      <c r="EG236" s="18"/>
      <c r="EH236" s="18"/>
      <c r="EI236" s="18"/>
      <c r="EJ236" s="18"/>
      <c r="EK236" s="18"/>
      <c r="EL236" s="18"/>
      <c r="EM236" s="18"/>
      <c r="EN236" s="18"/>
      <c r="EO236" s="18"/>
      <c r="EP236" s="18"/>
      <c r="EQ236" s="18"/>
      <c r="ER236" s="18"/>
      <c r="ES236" s="18"/>
      <c r="ET236" s="18"/>
      <c r="EU236" s="18"/>
      <c r="EV236" s="18"/>
      <c r="EW236" s="18"/>
      <c r="EX236" s="18"/>
    </row>
    <row r="237">
      <c r="A237" s="101">
        <f t="shared" si="1"/>
        <v>236</v>
      </c>
      <c r="B237" s="95">
        <f>IFERROR(__xludf.DUMMYFUNCTION("filter(Famillesid!$22:$22,(Famillesid!$16:$16=A237)+(Famillesid!$17:$17=A237)+(Famillesid!$18:$18=A237)+(Famillesid!$19:$19=A237)+(Famillesid!$20:$20=A237)+(Famillesid!$21:$21=A237))"),261.0)</f>
        <v>261</v>
      </c>
      <c r="C237" s="105" t="str">
        <f>IFERROR(__xludf.DUMMYFUNCTION("""COMPUTED_VALUE"""),"Ramy SLIM")</f>
        <v>Ramy SLIM</v>
      </c>
      <c r="D237" s="106" t="str">
        <f>IFERROR(__xludf.DUMMYFUNCTION("filter('Réponses au formulaire 1'!T:T,'Réponses au formulaire 1'!B:B=C237)"),"Un bandana")</f>
        <v>Un bandana</v>
      </c>
      <c r="E237" s="110"/>
      <c r="F237" s="92"/>
      <c r="G237" s="18"/>
      <c r="H237" s="101" t="str">
        <f>IFERROR(__xludf.DUMMYFUNCTION("""COMPUTED_VALUE"""),"")</f>
        <v/>
      </c>
      <c r="I237" s="67" t="str">
        <f>IFERROR(__xludf.DUMMYFUNCTION("""COMPUTED_VALUE"""),"#REF!")</f>
        <v>#REF!</v>
      </c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/>
      <c r="DN237" s="18"/>
      <c r="DO237" s="18"/>
      <c r="DP237" s="18"/>
      <c r="DQ237" s="18"/>
      <c r="DR237" s="18"/>
      <c r="DS237" s="18"/>
      <c r="DT237" s="18"/>
      <c r="DU237" s="18"/>
      <c r="DV237" s="18"/>
      <c r="DW237" s="18"/>
      <c r="DX237" s="18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</row>
    <row r="238">
      <c r="A238" s="101">
        <f t="shared" si="1"/>
        <v>237</v>
      </c>
      <c r="B238" s="95">
        <f>IFERROR(__xludf.DUMMYFUNCTION("filter(Famillesid!$22:$22,(Famillesid!$16:$16=A238)+(Famillesid!$17:$17=A238)+(Famillesid!$18:$18=A238)+(Famillesid!$19:$19=A238)+(Famillesid!$20:$20=A238)+(Famillesid!$21:$21=A238))"),271.0)</f>
        <v>271</v>
      </c>
      <c r="C238" s="105" t="str">
        <f>IFERROR(__xludf.DUMMYFUNCTION("""COMPUTED_VALUE"""),"TOMAZ AMORIM")</f>
        <v>TOMAZ AMORIM</v>
      </c>
      <c r="D238" s="106" t="str">
        <f>IFERROR(__xludf.DUMMYFUNCTION("filter('Réponses au formulaire 1'!T:T,'Réponses au formulaire 1'!B:B=C238)"),"Une tasse de café")</f>
        <v>Une tasse de café</v>
      </c>
      <c r="E238" s="110"/>
      <c r="F238" s="92"/>
      <c r="G238" s="18"/>
      <c r="H238" s="101" t="str">
        <f>IFERROR(__xludf.DUMMYFUNCTION("""COMPUTED_VALUE"""),"")</f>
        <v/>
      </c>
      <c r="I238" s="67" t="str">
        <f>IFERROR(__xludf.DUMMYFUNCTION("""COMPUTED_VALUE"""),"")</f>
        <v/>
      </c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</row>
    <row r="239">
      <c r="A239" s="101">
        <f t="shared" si="1"/>
        <v>238</v>
      </c>
      <c r="B239" s="95">
        <f>IFERROR(__xludf.DUMMYFUNCTION("filter(Famillesid!$22:$22,(Famillesid!$16:$16=A239)+(Famillesid!$17:$17=A239)+(Famillesid!$18:$18=A239)+(Famillesid!$19:$19=A239)+(Famillesid!$20:$20=A239)+(Famillesid!$21:$21=A239))"),256.0)</f>
        <v>256</v>
      </c>
      <c r="C239" s="105" t="str">
        <f>IFERROR(__xludf.DUMMYFUNCTION("""COMPUTED_VALUE"""),"Maxime Canard")</f>
        <v>Maxime Canard</v>
      </c>
      <c r="D239" s="106" t="str">
        <f>IFERROR(__xludf.DUMMYFUNCTION("filter('Réponses au formulaire 1'!T:T,'Réponses au formulaire 1'!B:B=C239)"),"Je sais pas encore")</f>
        <v>Je sais pas encore</v>
      </c>
      <c r="E239" s="110"/>
      <c r="F239" s="92"/>
      <c r="G239" s="18"/>
      <c r="H239" s="101" t="str">
        <f>IFERROR(__xludf.DUMMYFUNCTION("""COMPUTED_VALUE"""),"")</f>
        <v/>
      </c>
      <c r="I239" s="67" t="str">
        <f>IFERROR(__xludf.DUMMYFUNCTION("""COMPUTED_VALUE"""),"")</f>
        <v/>
      </c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</row>
    <row r="240">
      <c r="A240" s="101">
        <f t="shared" si="1"/>
        <v>239</v>
      </c>
      <c r="B240" s="95">
        <f>IFERROR(__xludf.DUMMYFUNCTION("filter(Famillesid!$22:$22,(Famillesid!$16:$16=A240)+(Famillesid!$17:$17=A240)+(Famillesid!$18:$18=A240)+(Famillesid!$19:$19=A240)+(Famillesid!$20:$20=A240)+(Famillesid!$21:$21=A240))"),276.0)</f>
        <v>276</v>
      </c>
      <c r="C240" s="105" t="str">
        <f>IFERROR(__xludf.DUMMYFUNCTION("""COMPUTED_VALUE"""),"Corentin GILBERT")</f>
        <v>Corentin GILBERT</v>
      </c>
      <c r="D240" s="106" t="str">
        <f>IFERROR(__xludf.DUMMYFUNCTION("filter('Réponses au formulaire 1'!T:T,'Réponses au formulaire 1'!B:B=C240)"),"boite a musique / partition")</f>
        <v>boite a musique / partition</v>
      </c>
      <c r="E240" s="110"/>
      <c r="F240" s="92"/>
      <c r="G240" s="18"/>
      <c r="H240" s="101" t="str">
        <f>IFERROR(__xludf.DUMMYFUNCTION("""COMPUTED_VALUE"""),"")</f>
        <v/>
      </c>
      <c r="I240" s="67" t="str">
        <f>IFERROR(__xludf.DUMMYFUNCTION("""COMPUTED_VALUE"""),"")</f>
        <v/>
      </c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</row>
    <row r="241">
      <c r="A241" s="101">
        <f t="shared" si="1"/>
        <v>240</v>
      </c>
      <c r="B241" s="95">
        <f>IFERROR(__xludf.DUMMYFUNCTION("filter(Famillesid!$22:$22,(Famillesid!$16:$16=A241)+(Famillesid!$17:$17=A241)+(Famillesid!$18:$18=A241)+(Famillesid!$19:$19=A241)+(Famillesid!$20:$20=A241)+(Famillesid!$21:$21=A241))"),281.0)</f>
        <v>281</v>
      </c>
      <c r="C241" s="105" t="str">
        <f>IFERROR(__xludf.DUMMYFUNCTION("""COMPUTED_VALUE"""),"Sergio MORENO LÓPEZ")</f>
        <v>Sergio MORENO LÓPEZ</v>
      </c>
      <c r="D241" s="106" t="str">
        <f>IFERROR(__xludf.DUMMYFUNCTION("filter('Réponses au formulaire 1'!T:T,'Réponses au formulaire 1'!B:B=C241)"),"Acune idée encore ")</f>
        <v>Acune idée encore </v>
      </c>
      <c r="E241" s="110"/>
      <c r="F241" s="92"/>
      <c r="G241" s="18"/>
      <c r="H241" s="101" t="str">
        <f>IFERROR(__xludf.DUMMYFUNCTION("""COMPUTED_VALUE"""),"")</f>
        <v/>
      </c>
      <c r="I241" s="67" t="str">
        <f>IFERROR(__xludf.DUMMYFUNCTION("""COMPUTED_VALUE"""),"")</f>
        <v/>
      </c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</row>
    <row r="242">
      <c r="A242" s="101">
        <f t="shared" si="1"/>
        <v>241</v>
      </c>
      <c r="B242" s="95">
        <f>IFERROR(__xludf.DUMMYFUNCTION("filter(Famillesid!$22:$22,(Famillesid!$16:$16=A242)+(Famillesid!$17:$17=A242)+(Famillesid!$18:$18=A242)+(Famillesid!$19:$19=A242)+(Famillesid!$20:$20=A242)+(Famillesid!$21:$21=A242))"),281.0)</f>
        <v>281</v>
      </c>
      <c r="C242" s="105" t="str">
        <f>IFERROR(__xludf.DUMMYFUNCTION("""COMPUTED_VALUE"""),"Adán REYES REYES")</f>
        <v>Adán REYES REYES</v>
      </c>
      <c r="D242" s="106" t="str">
        <f>IFERROR(__xludf.DUMMYFUNCTION("filter('Réponses au formulaire 1'!T:T,'Réponses au formulaire 1'!B:B=C242)"),"Je sais pas encore ")</f>
        <v>Je sais pas encore </v>
      </c>
      <c r="E242" s="107" t="s">
        <v>631</v>
      </c>
      <c r="F242" s="108" t="s">
        <v>1158</v>
      </c>
      <c r="G242" s="18"/>
      <c r="H242" s="101" t="str">
        <f>IFERROR(__xludf.DUMMYFUNCTION("""COMPUTED_VALUE"""),"")</f>
        <v/>
      </c>
      <c r="I242" s="67" t="str">
        <f>IFERROR(__xludf.DUMMYFUNCTION("""COMPUTED_VALUE"""),"")</f>
        <v/>
      </c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</row>
    <row r="243">
      <c r="A243" s="101">
        <f t="shared" si="1"/>
        <v>242</v>
      </c>
      <c r="B243" s="95">
        <f>IFERROR(__xludf.DUMMYFUNCTION("filter(Famillesid!$22:$22,(Famillesid!$16:$16=A243)+(Famillesid!$17:$17=A243)+(Famillesid!$18:$18=A243)+(Famillesid!$19:$19=A243)+(Famillesid!$20:$20=A243)+(Famillesid!$21:$21=A243))"),281.0)</f>
        <v>281</v>
      </c>
      <c r="C243" s="105" t="str">
        <f>IFERROR(__xludf.DUMMYFUNCTION("""COMPUTED_VALUE"""),"Jose Luís RIVERA BLANCO")</f>
        <v>Jose Luís RIVERA BLANCO</v>
      </c>
      <c r="D243" s="106" t="str">
        <f>IFERROR(__xludf.DUMMYFUNCTION("filter('Réponses au formulaire 1'!T:T,'Réponses au formulaire 1'!B:B=C243)"),"Je sais pas ")</f>
        <v>Je sais pas </v>
      </c>
      <c r="E243" s="110"/>
      <c r="F243" s="92"/>
      <c r="G243" s="18"/>
      <c r="H243" s="101" t="str">
        <f>IFERROR(__xludf.DUMMYFUNCTION("""COMPUTED_VALUE"""),"")</f>
        <v/>
      </c>
      <c r="I243" s="67" t="str">
        <f>IFERROR(__xludf.DUMMYFUNCTION("""COMPUTED_VALUE"""),"")</f>
        <v/>
      </c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</row>
    <row r="244">
      <c r="A244" s="101">
        <f t="shared" si="1"/>
        <v>243</v>
      </c>
      <c r="B244" s="95">
        <f>IFERROR(__xludf.DUMMYFUNCTION("filter(Famillesid!$22:$22,(Famillesid!$16:$16=A244)+(Famillesid!$17:$17=A244)+(Famillesid!$18:$18=A244)+(Famillesid!$19:$19=A244)+(Famillesid!$20:$20=A244)+(Famillesid!$21:$21=A244))"),281.0)</f>
        <v>281</v>
      </c>
      <c r="C244" s="105" t="str">
        <f>IFERROR(__xludf.DUMMYFUNCTION("""COMPUTED_VALUE"""),"Yinzheng ZHOU")</f>
        <v>Yinzheng ZHOU</v>
      </c>
      <c r="D244" s="106" t="str">
        <f>IFERROR(__xludf.DUMMYFUNCTION("filter('Réponses au formulaire 1'!T:T,'Réponses au formulaire 1'!B:B=C244)"),"Sais pas trop, des bières?")</f>
        <v>Sais pas trop, des bières?</v>
      </c>
      <c r="E244" s="110"/>
      <c r="F244" s="92"/>
      <c r="G244" s="18"/>
      <c r="H244" s="101" t="str">
        <f>IFERROR(__xludf.DUMMYFUNCTION("""COMPUTED_VALUE"""),"")</f>
        <v/>
      </c>
      <c r="I244" s="67" t="str">
        <f>IFERROR(__xludf.DUMMYFUNCTION("""COMPUTED_VALUE"""),"")</f>
        <v/>
      </c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</row>
    <row r="245">
      <c r="A245" s="101">
        <f t="shared" si="1"/>
        <v>244</v>
      </c>
      <c r="B245" s="95">
        <f>IFERROR(__xludf.DUMMYFUNCTION("filter(Famillesid!$22:$22,(Famillesid!$16:$16=A245)+(Famillesid!$17:$17=A245)+(Famillesid!$18:$18=A245)+(Famillesid!$19:$19=A245)+(Famillesid!$20:$20=A245)+(Famillesid!$21:$21=A245))"),276.0)</f>
        <v>276</v>
      </c>
      <c r="C245" s="105" t="str">
        <f>IFERROR(__xludf.DUMMYFUNCTION("""COMPUTED_VALUE"""),"Alexandre Bryk")</f>
        <v>Alexandre Bryk</v>
      </c>
      <c r="D245" s="106" t="str">
        <f>IFERROR(__xludf.DUMMYFUNCTION("filter('Réponses au formulaire 1'!T:T,'Réponses au formulaire 1'!B:B=C245)"),"Aucune idée")</f>
        <v>Aucune idée</v>
      </c>
      <c r="E245" s="110"/>
      <c r="F245" s="92"/>
      <c r="G245" s="18"/>
      <c r="H245" s="101" t="str">
        <f>IFERROR(__xludf.DUMMYFUNCTION("""COMPUTED_VALUE"""),"")</f>
        <v/>
      </c>
      <c r="I245" s="67" t="str">
        <f>IFERROR(__xludf.DUMMYFUNCTION("""COMPUTED_VALUE"""),"")</f>
        <v/>
      </c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</row>
    <row r="246">
      <c r="A246" s="101">
        <f t="shared" si="1"/>
        <v>245</v>
      </c>
      <c r="B246" s="95">
        <f>IFERROR(__xludf.DUMMYFUNCTION("filter(Famillesid!$22:$22,(Famillesid!$16:$16=A246)+(Famillesid!$17:$17=A246)+(Famillesid!$18:$18=A246)+(Famillesid!$19:$19=A246)+(Famillesid!$20:$20=A246)+(Famillesid!$21:$21=A246))"),281.0)</f>
        <v>281</v>
      </c>
      <c r="C246" s="105" t="str">
        <f>IFERROR(__xludf.DUMMYFUNCTION("""COMPUTED_VALUE"""),"Sebastian CEPEDA")</f>
        <v>Sebastian CEPEDA</v>
      </c>
      <c r="D246" s="106" t="str">
        <f>IFERROR(__xludf.DUMMYFUNCTION("filter('Réponses au formulaire 1'!T:T,'Réponses au formulaire 1'!B:B=C246)"),"un bout de papier ")</f>
        <v>un bout de papier </v>
      </c>
      <c r="E246" s="110"/>
      <c r="F246" s="92"/>
      <c r="G246" s="18"/>
      <c r="H246" s="101" t="str">
        <f>IFERROR(__xludf.DUMMYFUNCTION("""COMPUTED_VALUE"""),"")</f>
        <v/>
      </c>
      <c r="I246" s="67" t="str">
        <f>IFERROR(__xludf.DUMMYFUNCTION("""COMPUTED_VALUE"""),"")</f>
        <v/>
      </c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</row>
    <row r="247">
      <c r="A247" s="101">
        <f t="shared" si="1"/>
        <v>246</v>
      </c>
      <c r="B247" s="95">
        <f>IFERROR(__xludf.DUMMYFUNCTION("filter(Famillesid!$22:$22,(Famillesid!$16:$16=A247)+(Famillesid!$17:$17=A247)+(Famillesid!$18:$18=A247)+(Famillesid!$19:$19=A247)+(Famillesid!$20:$20=A247)+(Famillesid!$21:$21=A247))"),281.0)</f>
        <v>281</v>
      </c>
      <c r="C247" s="105" t="str">
        <f>IFERROR(__xludf.DUMMYFUNCTION("""COMPUTED_VALUE"""),"Julián David HERNÁNDEZ TOVAR")</f>
        <v>Julián David HERNÁNDEZ TOVAR</v>
      </c>
      <c r="D247" s="106" t="str">
        <f>IFERROR(__xludf.DUMMYFUNCTION("filter('Réponses au formulaire 1'!T:T,'Réponses au formulaire 1'!B:B=C247)"),"""molinillo"" colombien, truc pour mélanger le cacao colombien :)")</f>
        <v>"molinillo" colombien, truc pour mélanger le cacao colombien :)</v>
      </c>
      <c r="E247" s="107" t="s">
        <v>631</v>
      </c>
      <c r="F247" s="108" t="s">
        <v>1158</v>
      </c>
      <c r="G247" s="18"/>
      <c r="H247" s="101" t="str">
        <f>IFERROR(__xludf.DUMMYFUNCTION("""COMPUTED_VALUE"""),"")</f>
        <v/>
      </c>
      <c r="I247" s="67" t="str">
        <f>IFERROR(__xludf.DUMMYFUNCTION("""COMPUTED_VALUE"""),"")</f>
        <v/>
      </c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  <c r="EX247" s="18"/>
    </row>
    <row r="248">
      <c r="A248" s="101">
        <f t="shared" si="1"/>
        <v>247</v>
      </c>
      <c r="B248" s="95">
        <f>IFERROR(__xludf.DUMMYFUNCTION("filter(Famillesid!$22:$22,(Famillesid!$16:$16=A248)+(Famillesid!$17:$17=A248)+(Famillesid!$18:$18=A248)+(Famillesid!$19:$19=A248)+(Famillesid!$20:$20=A248)+(Famillesid!$21:$21=A248))"),271.0)</f>
        <v>271</v>
      </c>
      <c r="C248" s="105" t="str">
        <f>IFERROR(__xludf.DUMMYFUNCTION("""COMPUTED_VALUE"""),"Ananda VANDERWEGEN")</f>
        <v>Ananda VANDERWEGEN</v>
      </c>
      <c r="D248" s="106" t="str">
        <f>IFERROR(__xludf.DUMMYFUNCTION("filter('Réponses au formulaire 1'!T:T,'Réponses au formulaire 1'!B:B=C248)"),"T shirt ")</f>
        <v>T shirt </v>
      </c>
      <c r="E248" s="107" t="s">
        <v>631</v>
      </c>
      <c r="F248" s="108" t="s">
        <v>1158</v>
      </c>
      <c r="G248" s="18"/>
      <c r="H248" s="101" t="str">
        <f>IFERROR(__xludf.DUMMYFUNCTION("""COMPUTED_VALUE"""),"")</f>
        <v/>
      </c>
      <c r="I248" s="67" t="str">
        <f>IFERROR(__xludf.DUMMYFUNCTION("""COMPUTED_VALUE"""),"")</f>
        <v/>
      </c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</row>
    <row r="249">
      <c r="A249" s="101">
        <f t="shared" si="1"/>
        <v>248</v>
      </c>
      <c r="B249" s="95">
        <f>IFERROR(__xludf.DUMMYFUNCTION("filter(Famillesid!$22:$22,(Famillesid!$16:$16=A249)+(Famillesid!$17:$17=A249)+(Famillesid!$18:$18=A249)+(Famillesid!$19:$19=A249)+(Famillesid!$20:$20=A249)+(Famillesid!$21:$21=A249))"),11.0)</f>
        <v>11</v>
      </c>
      <c r="C249" s="105" t="str">
        <f>IFERROR(__xludf.DUMMYFUNCTION("""COMPUTED_VALUE"""),"Sébastien VILLA")</f>
        <v>Sébastien VILLA</v>
      </c>
      <c r="D249" s="106" t="str">
        <f>IFERROR(__xludf.DUMMYFUNCTION("filter('Réponses au formulaire 1'!T:T,'Réponses au formulaire 1'!B:B=C249)"),"un aviron")</f>
        <v>un aviron</v>
      </c>
      <c r="E249" s="110"/>
      <c r="F249" s="92"/>
      <c r="G249" s="18"/>
      <c r="H249" s="101" t="str">
        <f>IFERROR(__xludf.DUMMYFUNCTION("""COMPUTED_VALUE"""),"")</f>
        <v/>
      </c>
      <c r="I249" s="67" t="str">
        <f>IFERROR(__xludf.DUMMYFUNCTION("""COMPUTED_VALUE"""),"")</f>
        <v/>
      </c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  <c r="EX249" s="18"/>
    </row>
    <row r="250">
      <c r="A250" s="101">
        <f t="shared" si="1"/>
        <v>249</v>
      </c>
      <c r="B250" s="95">
        <f>IFERROR(__xludf.DUMMYFUNCTION("filter(Famillesid!$22:$22,(Famillesid!$16:$16=A250)+(Famillesid!$17:$17=A250)+(Famillesid!$18:$18=A250)+(Famillesid!$19:$19=A250)+(Famillesid!$20:$20=A250)+(Famillesid!$21:$21=A250))"),286.0)</f>
        <v>286</v>
      </c>
      <c r="C250" s="105" t="str">
        <f>IFERROR(__xludf.DUMMYFUNCTION("""COMPUTED_VALUE"""),"Pierre Libault")</f>
        <v>Pierre Libault</v>
      </c>
      <c r="D250" s="106" t="str">
        <f>IFERROR(__xludf.DUMMYFUNCTION("filter('Réponses au formulaire 1'!T:T,'Réponses au formulaire 1'!B:B=C250)"),"En réflexion ")</f>
        <v>En réflexion </v>
      </c>
      <c r="E250" s="110"/>
      <c r="F250" s="92"/>
      <c r="G250" s="18"/>
      <c r="H250" s="101" t="str">
        <f>IFERROR(__xludf.DUMMYFUNCTION("""COMPUTED_VALUE"""),"")</f>
        <v/>
      </c>
      <c r="I250" s="67" t="str">
        <f>IFERROR(__xludf.DUMMYFUNCTION("""COMPUTED_VALUE"""),"")</f>
        <v/>
      </c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  <c r="EX250" s="18"/>
    </row>
    <row r="251">
      <c r="A251" s="101">
        <f t="shared" si="1"/>
        <v>250</v>
      </c>
      <c r="B251" s="95">
        <f>IFERROR(__xludf.DUMMYFUNCTION("filter(Famillesid!$22:$22,(Famillesid!$16:$16=A251)+(Famillesid!$17:$17=A251)+(Famillesid!$18:$18=A251)+(Famillesid!$19:$19=A251)+(Famillesid!$20:$20=A251)+(Famillesid!$21:$21=A251))"),236.0)</f>
        <v>236</v>
      </c>
      <c r="C251" s="105" t="str">
        <f>IFERROR(__xludf.DUMMYFUNCTION("""COMPUTED_VALUE"""),"Adam EL YOUMI")</f>
        <v>Adam EL YOUMI</v>
      </c>
      <c r="D251" s="106" t="str">
        <f>IFERROR(__xludf.DUMMYFUNCTION("filter('Réponses au formulaire 1'!T:T,'Réponses au formulaire 1'!B:B=C251)"),"un cornichon")</f>
        <v>un cornichon</v>
      </c>
      <c r="E251" s="107" t="s">
        <v>631</v>
      </c>
      <c r="F251" s="108" t="s">
        <v>1157</v>
      </c>
      <c r="G251" s="18"/>
      <c r="H251" s="101" t="str">
        <f>IFERROR(__xludf.DUMMYFUNCTION("""COMPUTED_VALUE"""),"")</f>
        <v/>
      </c>
      <c r="I251" s="67" t="str">
        <f>IFERROR(__xludf.DUMMYFUNCTION("""COMPUTED_VALUE"""),"")</f>
        <v/>
      </c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/>
      <c r="DN251" s="18"/>
      <c r="DO251" s="18"/>
      <c r="DP251" s="18"/>
      <c r="DQ251" s="18"/>
      <c r="DR251" s="18"/>
      <c r="DS251" s="18"/>
      <c r="DT251" s="18"/>
      <c r="DU251" s="18"/>
      <c r="DV251" s="18"/>
      <c r="DW251" s="18"/>
      <c r="DX251" s="18"/>
      <c r="DY251" s="18"/>
      <c r="DZ251" s="18"/>
      <c r="EA251" s="18"/>
      <c r="EB251" s="18"/>
      <c r="EC251" s="18"/>
      <c r="ED251" s="18"/>
      <c r="EE251" s="18"/>
      <c r="EF251" s="18"/>
      <c r="EG251" s="18"/>
      <c r="EH251" s="18"/>
      <c r="EI251" s="18"/>
      <c r="EJ251" s="18"/>
      <c r="EK251" s="18"/>
      <c r="EL251" s="18"/>
      <c r="EM251" s="18"/>
      <c r="EN251" s="18"/>
      <c r="EO251" s="18"/>
      <c r="EP251" s="18"/>
      <c r="EQ251" s="18"/>
      <c r="ER251" s="18"/>
      <c r="ES251" s="18"/>
      <c r="ET251" s="18"/>
      <c r="EU251" s="18"/>
      <c r="EV251" s="18"/>
      <c r="EW251" s="18"/>
      <c r="EX251" s="18"/>
    </row>
    <row r="252">
      <c r="A252" s="101">
        <f t="shared" si="1"/>
        <v>251</v>
      </c>
      <c r="B252" s="95">
        <f>IFERROR(__xludf.DUMMYFUNCTION("filter(Famillesid!$22:$22,(Famillesid!$16:$16=A252)+(Famillesid!$17:$17=A252)+(Famillesid!$18:$18=A252)+(Famillesid!$19:$19=A252)+(Famillesid!$20:$20=A252)+(Famillesid!$21:$21=A252))"),76.0)</f>
        <v>76</v>
      </c>
      <c r="C252" s="105" t="str">
        <f>IFERROR(__xludf.DUMMYFUNCTION("""COMPUTED_VALUE"""),"Vincent ESPINASSE")</f>
        <v>Vincent ESPINASSE</v>
      </c>
      <c r="D252" s="106" t="str">
        <f>IFERROR(__xludf.DUMMYFUNCTION("filter('Réponses au formulaire 1'!T:T,'Réponses au formulaire 1'!B:B=C252)"),"un masque de lapin")</f>
        <v>un masque de lapin</v>
      </c>
      <c r="E252" s="107" t="s">
        <v>631</v>
      </c>
      <c r="F252" s="108" t="s">
        <v>1158</v>
      </c>
      <c r="G252" s="18"/>
      <c r="H252" s="101" t="str">
        <f>IFERROR(__xludf.DUMMYFUNCTION("""COMPUTED_VALUE"""),"")</f>
        <v/>
      </c>
      <c r="I252" s="67" t="str">
        <f>IFERROR(__xludf.DUMMYFUNCTION("""COMPUTED_VALUE"""),"")</f>
        <v/>
      </c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/>
      <c r="DN252" s="18"/>
      <c r="DO252" s="18"/>
      <c r="DP252" s="18"/>
      <c r="DQ252" s="18"/>
      <c r="DR252" s="18"/>
      <c r="DS252" s="18"/>
      <c r="DT252" s="18"/>
      <c r="DU252" s="18"/>
      <c r="DV252" s="18"/>
      <c r="DW252" s="18"/>
      <c r="DX252" s="18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</row>
    <row r="253">
      <c r="A253" s="101">
        <f t="shared" si="1"/>
        <v>252</v>
      </c>
      <c r="B253" s="95">
        <f>IFERROR(__xludf.DUMMYFUNCTION("filter(Famillesid!$22:$22,(Famillesid!$16:$16=A253)+(Famillesid!$17:$17=A253)+(Famillesid!$18:$18=A253)+(Famillesid!$19:$19=A253)+(Famillesid!$20:$20=A253)+(Famillesid!$21:$21=A253))"),286.0)</f>
        <v>286</v>
      </c>
      <c r="C253" s="105" t="str">
        <f>IFERROR(__xludf.DUMMYFUNCTION("""COMPUTED_VALUE"""),"Félix-Olivier Ngangue Nseke")</f>
        <v>Félix-Olivier Ngangue Nseke</v>
      </c>
      <c r="D253" s="106" t="str">
        <f>IFERROR(__xludf.DUMMYFUNCTION("filter('Réponses au formulaire 1'!T:T,'Réponses au formulaire 1'!B:B=C253)"),"maillot de foot")</f>
        <v>maillot de foot</v>
      </c>
      <c r="E253" s="110"/>
      <c r="F253" s="92"/>
      <c r="G253" s="18"/>
      <c r="H253" s="101" t="str">
        <f>IFERROR(__xludf.DUMMYFUNCTION("""COMPUTED_VALUE"""),"")</f>
        <v/>
      </c>
      <c r="I253" s="67" t="str">
        <f>IFERROR(__xludf.DUMMYFUNCTION("""COMPUTED_VALUE"""),"")</f>
        <v/>
      </c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</row>
    <row r="254">
      <c r="A254" s="101">
        <f t="shared" si="1"/>
        <v>253</v>
      </c>
      <c r="B254" s="95">
        <f>IFERROR(__xludf.DUMMYFUNCTION("filter(Famillesid!$22:$22,(Famillesid!$16:$16=A254)+(Famillesid!$17:$17=A254)+(Famillesid!$18:$18=A254)+(Famillesid!$19:$19=A254)+(Famillesid!$20:$20=A254)+(Famillesid!$21:$21=A254))"),286.0)</f>
        <v>286</v>
      </c>
      <c r="C254" s="105" t="str">
        <f>IFERROR(__xludf.DUMMYFUNCTION("""COMPUTED_VALUE"""),"Laurène THILLIER")</f>
        <v>Laurène THILLIER</v>
      </c>
      <c r="D254" s="106" t="str">
        <f>IFERROR(__xludf.DUMMYFUNCTION("filter('Réponses au formulaire 1'!T:T,'Réponses au formulaire 1'!B:B=C254)"),"oreilles de cochon")</f>
        <v>oreilles de cochon</v>
      </c>
      <c r="E254" s="110"/>
      <c r="F254" s="92"/>
      <c r="G254" s="18"/>
      <c r="H254" s="101" t="str">
        <f>IFERROR(__xludf.DUMMYFUNCTION("""COMPUTED_VALUE"""),"")</f>
        <v/>
      </c>
      <c r="I254" s="67" t="str">
        <f>IFERROR(__xludf.DUMMYFUNCTION("""COMPUTED_VALUE"""),"")</f>
        <v/>
      </c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/>
      <c r="DN254" s="18"/>
      <c r="DO254" s="18"/>
      <c r="DP254" s="18"/>
      <c r="DQ254" s="18"/>
      <c r="DR254" s="18"/>
      <c r="DS254" s="18"/>
      <c r="DT254" s="18"/>
      <c r="DU254" s="18"/>
      <c r="DV254" s="18"/>
      <c r="DW254" s="18"/>
      <c r="DX254" s="18"/>
      <c r="DY254" s="18"/>
      <c r="DZ254" s="18"/>
      <c r="EA254" s="18"/>
      <c r="EB254" s="18"/>
      <c r="EC254" s="18"/>
      <c r="ED254" s="18"/>
      <c r="EE254" s="18"/>
      <c r="EF254" s="18"/>
      <c r="EG254" s="18"/>
      <c r="EH254" s="18"/>
      <c r="EI254" s="18"/>
      <c r="EJ254" s="18"/>
      <c r="EK254" s="18"/>
      <c r="EL254" s="18"/>
      <c r="EM254" s="18"/>
      <c r="EN254" s="18"/>
      <c r="EO254" s="18"/>
      <c r="EP254" s="18"/>
      <c r="EQ254" s="18"/>
      <c r="ER254" s="18"/>
      <c r="ES254" s="18"/>
      <c r="ET254" s="18"/>
      <c r="EU254" s="18"/>
      <c r="EV254" s="18"/>
      <c r="EW254" s="18"/>
      <c r="EX254" s="18"/>
    </row>
    <row r="255">
      <c r="A255" s="101">
        <f t="shared" si="1"/>
        <v>254</v>
      </c>
      <c r="B255" s="95">
        <f>IFERROR(__xludf.DUMMYFUNCTION("filter(Famillesid!$22:$22,(Famillesid!$16:$16=A255)+(Famillesid!$17:$17=A255)+(Famillesid!$18:$18=A255)+(Famillesid!$19:$19=A255)+(Famillesid!$20:$20=A255)+(Famillesid!$21:$21=A255))"),286.0)</f>
        <v>286</v>
      </c>
      <c r="C255" s="105" t="str">
        <f>IFERROR(__xludf.DUMMYFUNCTION("""COMPUTED_VALUE"""),"Tanguy CABARET")</f>
        <v>Tanguy CABARET</v>
      </c>
      <c r="D255" s="106" t="str">
        <f>IFERROR(__xludf.DUMMYFUNCTION("filter('Réponses au formulaire 1'!T:T,'Réponses au formulaire 1'!B:B=C255)"),"Une piece de bagnole mais je sais pas encore quoi ")</f>
        <v>Une piece de bagnole mais je sais pas encore quoi </v>
      </c>
      <c r="E255" s="110"/>
      <c r="F255" s="92"/>
      <c r="G255" s="18"/>
      <c r="H255" s="101" t="str">
        <f>IFERROR(__xludf.DUMMYFUNCTION("""COMPUTED_VALUE"""),"")</f>
        <v/>
      </c>
      <c r="I255" s="67" t="str">
        <f>IFERROR(__xludf.DUMMYFUNCTION("""COMPUTED_VALUE"""),"")</f>
        <v/>
      </c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/>
      <c r="DN255" s="18"/>
      <c r="DO255" s="18"/>
      <c r="DP255" s="18"/>
      <c r="DQ255" s="18"/>
      <c r="DR255" s="18"/>
      <c r="DS255" s="18"/>
      <c r="DT255" s="18"/>
      <c r="DU255" s="18"/>
      <c r="DV255" s="18"/>
      <c r="DW255" s="18"/>
      <c r="DX255" s="18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  <c r="ER255" s="18"/>
      <c r="ES255" s="18"/>
      <c r="ET255" s="18"/>
      <c r="EU255" s="18"/>
      <c r="EV255" s="18"/>
      <c r="EW255" s="18"/>
      <c r="EX255" s="18"/>
    </row>
    <row r="256">
      <c r="A256" s="101">
        <f t="shared" si="1"/>
        <v>255</v>
      </c>
      <c r="B256" s="95">
        <f>IFERROR(__xludf.DUMMYFUNCTION("filter(Famillesid!$22:$22,(Famillesid!$16:$16=A256)+(Famillesid!$17:$17=A256)+(Famillesid!$18:$18=A256)+(Famillesid!$19:$19=A256)+(Famillesid!$20:$20=A256)+(Famillesid!$21:$21=A256))"),161.0)</f>
        <v>161</v>
      </c>
      <c r="C256" s="105" t="str">
        <f>IFERROR(__xludf.DUMMYFUNCTION("""COMPUTED_VALUE"""),"Romane CARIOU")</f>
        <v>Romane CARIOU</v>
      </c>
      <c r="D256" s="106" t="str">
        <f>IFERROR(__xludf.DUMMYFUNCTION("filter('Réponses au formulaire 1'!T:T,'Réponses au formulaire 1'!B:B=C256)"),"une corde de harpe ")</f>
        <v>une corde de harpe </v>
      </c>
      <c r="E256" s="110"/>
      <c r="F256" s="92"/>
      <c r="G256" s="18"/>
      <c r="H256" s="101" t="str">
        <f>IFERROR(__xludf.DUMMYFUNCTION("""COMPUTED_VALUE"""),"")</f>
        <v/>
      </c>
      <c r="I256" s="67" t="str">
        <f>IFERROR(__xludf.DUMMYFUNCTION("""COMPUTED_VALUE"""),"")</f>
        <v/>
      </c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  <c r="EX256" s="18"/>
    </row>
    <row r="257">
      <c r="A257" s="101">
        <f t="shared" si="1"/>
        <v>256</v>
      </c>
      <c r="B257" s="95">
        <f>IFERROR(__xludf.DUMMYFUNCTION("filter(Famillesid!$22:$22,(Famillesid!$16:$16=A257)+(Famillesid!$17:$17=A257)+(Famillesid!$18:$18=A257)+(Famillesid!$19:$19=A257)+(Famillesid!$20:$20=A257)+(Famillesid!$21:$21=A257))"),291.0)</f>
        <v>291</v>
      </c>
      <c r="C257" s="105" t="str">
        <f>IFERROR(__xludf.DUMMYFUNCTION("""COMPUTED_VALUE"""),"Romain SUCCHE")</f>
        <v>Romain SUCCHE</v>
      </c>
      <c r="D257" s="106" t="str">
        <f>IFERROR(__xludf.DUMMYFUNCTION("filter('Réponses au formulaire 1'!T:T,'Réponses au formulaire 1'!B:B=C257)"),"Lunettes cassées ")</f>
        <v>Lunettes cassées </v>
      </c>
      <c r="E257" s="110"/>
      <c r="F257" s="92"/>
      <c r="G257" s="18"/>
      <c r="H257" s="101" t="str">
        <f>IFERROR(__xludf.DUMMYFUNCTION("""COMPUTED_VALUE"""),"")</f>
        <v/>
      </c>
      <c r="I257" s="67" t="str">
        <f>IFERROR(__xludf.DUMMYFUNCTION("""COMPUTED_VALUE"""),"")</f>
        <v/>
      </c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/>
      <c r="DN257" s="18"/>
      <c r="DO257" s="18"/>
      <c r="DP257" s="18"/>
      <c r="DQ257" s="18"/>
      <c r="DR257" s="18"/>
      <c r="DS257" s="18"/>
      <c r="DT257" s="18"/>
      <c r="DU257" s="18"/>
      <c r="DV257" s="18"/>
      <c r="DW257" s="18"/>
      <c r="DX257" s="18"/>
      <c r="DY257" s="18"/>
      <c r="DZ257" s="18"/>
      <c r="EA257" s="18"/>
      <c r="EB257" s="18"/>
      <c r="EC257" s="18"/>
      <c r="ED257" s="18"/>
      <c r="EE257" s="18"/>
      <c r="EF257" s="18"/>
      <c r="EG257" s="18"/>
      <c r="EH257" s="18"/>
      <c r="EI257" s="18"/>
      <c r="EJ257" s="18"/>
      <c r="EK257" s="18"/>
      <c r="EL257" s="18"/>
      <c r="EM257" s="18"/>
      <c r="EN257" s="18"/>
      <c r="EO257" s="18"/>
      <c r="EP257" s="18"/>
      <c r="EQ257" s="18"/>
      <c r="ER257" s="18"/>
      <c r="ES257" s="18"/>
      <c r="ET257" s="18"/>
      <c r="EU257" s="18"/>
      <c r="EV257" s="18"/>
      <c r="EW257" s="18"/>
      <c r="EX257" s="18"/>
    </row>
    <row r="258">
      <c r="A258" s="101">
        <f t="shared" si="1"/>
        <v>257</v>
      </c>
      <c r="B258" s="95">
        <f>IFERROR(__xludf.DUMMYFUNCTION("filter(Famillesid!$22:$22,(Famillesid!$16:$16=A258)+(Famillesid!$17:$17=A258)+(Famillesid!$18:$18=A258)+(Famillesid!$19:$19=A258)+(Famillesid!$20:$20=A258)+(Famillesid!$21:$21=A258))"),291.0)</f>
        <v>291</v>
      </c>
      <c r="C258" s="105" t="str">
        <f>IFERROR(__xludf.DUMMYFUNCTION("""COMPUTED_VALUE"""),"Nicolas ROGER")</f>
        <v>Nicolas ROGER</v>
      </c>
      <c r="D258" s="106" t="str">
        <f>IFERROR(__xludf.DUMMYFUNCTION("filter('Réponses au formulaire 1'!T:T,'Réponses au formulaire 1'!B:B=C258)"),"Une gamelle de chat ")</f>
        <v>Une gamelle de chat </v>
      </c>
      <c r="E258" s="110"/>
      <c r="F258" s="92"/>
      <c r="G258" s="18"/>
      <c r="H258" s="101" t="str">
        <f>IFERROR(__xludf.DUMMYFUNCTION("""COMPUTED_VALUE"""),"")</f>
        <v/>
      </c>
      <c r="I258" s="67" t="str">
        <f>IFERROR(__xludf.DUMMYFUNCTION("""COMPUTED_VALUE"""),"")</f>
        <v/>
      </c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/>
      <c r="DN258" s="18"/>
      <c r="DO258" s="18"/>
      <c r="DP258" s="18"/>
      <c r="DQ258" s="18"/>
      <c r="DR258" s="18"/>
      <c r="DS258" s="18"/>
      <c r="DT258" s="18"/>
      <c r="DU258" s="18"/>
      <c r="DV258" s="18"/>
      <c r="DW258" s="18"/>
      <c r="DX258" s="18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</row>
    <row r="259">
      <c r="A259" s="101">
        <f t="shared" si="1"/>
        <v>258</v>
      </c>
      <c r="B259" s="95">
        <f>IFERROR(__xludf.DUMMYFUNCTION("filter(Famillesid!$22:$22,(Famillesid!$16:$16=A259)+(Famillesid!$17:$17=A259)+(Famillesid!$18:$18=A259)+(Famillesid!$19:$19=A259)+(Famillesid!$20:$20=A259)+(Famillesid!$21:$21=A259))"),291.0)</f>
        <v>291</v>
      </c>
      <c r="C259" s="105" t="str">
        <f>IFERROR(__xludf.DUMMYFUNCTION("""COMPUTED_VALUE"""),"Emmanuel COLLIGNAN")</f>
        <v>Emmanuel COLLIGNAN</v>
      </c>
      <c r="D259" s="106" t="str">
        <f>IFERROR(__xludf.DUMMYFUNCTION("filter('Réponses au formulaire 1'!T:T,'Réponses au formulaire 1'!B:B=C259)"),"Ballon?")</f>
        <v>Ballon?</v>
      </c>
      <c r="E259" s="110"/>
      <c r="F259" s="92"/>
      <c r="G259" s="18"/>
      <c r="H259" s="101" t="str">
        <f>IFERROR(__xludf.DUMMYFUNCTION("""COMPUTED_VALUE"""),"")</f>
        <v/>
      </c>
      <c r="I259" s="67" t="str">
        <f>IFERROR(__xludf.DUMMYFUNCTION("""COMPUTED_VALUE"""),"")</f>
        <v/>
      </c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  <c r="ER259" s="18"/>
      <c r="ES259" s="18"/>
      <c r="ET259" s="18"/>
      <c r="EU259" s="18"/>
      <c r="EV259" s="18"/>
      <c r="EW259" s="18"/>
      <c r="EX259" s="18"/>
    </row>
    <row r="260">
      <c r="A260" s="101">
        <f t="shared" si="1"/>
        <v>259</v>
      </c>
      <c r="B260" s="95">
        <f>IFERROR(__xludf.DUMMYFUNCTION("filter(Famillesid!$22:$22,(Famillesid!$16:$16=A260)+(Famillesid!$17:$17=A260)+(Famillesid!$18:$18=A260)+(Famillesid!$19:$19=A260)+(Famillesid!$20:$20=A260)+(Famillesid!$21:$21=A260))"),291.0)</f>
        <v>291</v>
      </c>
      <c r="C260" s="105" t="str">
        <f>IFERROR(__xludf.DUMMYFUNCTION("""COMPUTED_VALUE"""),"Jérôme VILLEROT")</f>
        <v>Jérôme VILLEROT</v>
      </c>
      <c r="D260" s="106" t="str">
        <f>IFERROR(__xludf.DUMMYFUNCTION("filter('Réponses au formulaire 1'!T:T,'Réponses au formulaire 1'!B:B=C260)"),"Un billet")</f>
        <v>Un billet</v>
      </c>
      <c r="E260" s="107" t="s">
        <v>631</v>
      </c>
      <c r="F260" s="108" t="s">
        <v>1157</v>
      </c>
      <c r="G260" s="18"/>
      <c r="H260" s="101" t="str">
        <f>IFERROR(__xludf.DUMMYFUNCTION("""COMPUTED_VALUE"""),"")</f>
        <v/>
      </c>
      <c r="I260" s="67" t="str">
        <f>IFERROR(__xludf.DUMMYFUNCTION("""COMPUTED_VALUE"""),"")</f>
        <v/>
      </c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/>
      <c r="DN260" s="18"/>
      <c r="DO260" s="18"/>
      <c r="DP260" s="18"/>
      <c r="DQ260" s="18"/>
      <c r="DR260" s="18"/>
      <c r="DS260" s="18"/>
      <c r="DT260" s="18"/>
      <c r="DU260" s="18"/>
      <c r="DV260" s="18"/>
      <c r="DW260" s="18"/>
      <c r="DX260" s="18"/>
      <c r="DY260" s="18"/>
      <c r="DZ260" s="18"/>
      <c r="EA260" s="18"/>
      <c r="EB260" s="18"/>
      <c r="EC260" s="18"/>
      <c r="ED260" s="18"/>
      <c r="EE260" s="18"/>
      <c r="EF260" s="18"/>
      <c r="EG260" s="18"/>
      <c r="EH260" s="18"/>
      <c r="EI260" s="18"/>
      <c r="EJ260" s="18"/>
      <c r="EK260" s="18"/>
      <c r="EL260" s="18"/>
      <c r="EM260" s="18"/>
      <c r="EN260" s="18"/>
      <c r="EO260" s="18"/>
      <c r="EP260" s="18"/>
      <c r="EQ260" s="18"/>
      <c r="ER260" s="18"/>
      <c r="ES260" s="18"/>
      <c r="ET260" s="18"/>
      <c r="EU260" s="18"/>
      <c r="EV260" s="18"/>
      <c r="EW260" s="18"/>
      <c r="EX260" s="18"/>
    </row>
    <row r="261">
      <c r="A261" s="101">
        <f t="shared" si="1"/>
        <v>260</v>
      </c>
      <c r="B261" s="95">
        <f>IFERROR(__xludf.DUMMYFUNCTION("filter(Famillesid!$22:$22,(Famillesid!$16:$16=A261)+(Famillesid!$17:$17=A261)+(Famillesid!$18:$18=A261)+(Famillesid!$19:$19=A261)+(Famillesid!$20:$20=A261)+(Famillesid!$21:$21=A261))"),181.0)</f>
        <v>181</v>
      </c>
      <c r="C261" s="105" t="str">
        <f>IFERROR(__xludf.DUMMYFUNCTION("""COMPUTED_VALUE"""),"Borget")</f>
        <v>Borget</v>
      </c>
      <c r="D261" s="106" t="str">
        <f>IFERROR(__xludf.DUMMYFUNCTION("filter('Réponses au formulaire 1'!T:T,'Réponses au formulaire 1'!B:B=C261)"),"Un cochon")</f>
        <v>Un cochon</v>
      </c>
      <c r="E261" s="107" t="s">
        <v>631</v>
      </c>
      <c r="F261" s="108" t="s">
        <v>1157</v>
      </c>
      <c r="G261" s="18"/>
      <c r="H261" s="101" t="str">
        <f>IFERROR(__xludf.DUMMYFUNCTION("""COMPUTED_VALUE"""),"")</f>
        <v/>
      </c>
      <c r="I261" s="67" t="str">
        <f>IFERROR(__xludf.DUMMYFUNCTION("""COMPUTED_VALUE"""),"")</f>
        <v/>
      </c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/>
      <c r="DN261" s="18"/>
      <c r="DO261" s="18"/>
      <c r="DP261" s="18"/>
      <c r="DQ261" s="18"/>
      <c r="DR261" s="18"/>
      <c r="DS261" s="18"/>
      <c r="DT261" s="18"/>
      <c r="DU261" s="18"/>
      <c r="DV261" s="18"/>
      <c r="DW261" s="18"/>
      <c r="DX261" s="18"/>
      <c r="DY261" s="18"/>
      <c r="DZ261" s="18"/>
      <c r="EA261" s="18"/>
      <c r="EB261" s="18"/>
      <c r="EC261" s="18"/>
      <c r="ED261" s="18"/>
      <c r="EE261" s="18"/>
      <c r="EF261" s="18"/>
      <c r="EG261" s="18"/>
      <c r="EH261" s="18"/>
      <c r="EI261" s="18"/>
      <c r="EJ261" s="18"/>
      <c r="EK261" s="18"/>
      <c r="EL261" s="18"/>
      <c r="EM261" s="18"/>
      <c r="EN261" s="18"/>
      <c r="EO261" s="18"/>
      <c r="EP261" s="18"/>
      <c r="EQ261" s="18"/>
      <c r="ER261" s="18"/>
      <c r="ES261" s="18"/>
      <c r="ET261" s="18"/>
      <c r="EU261" s="18"/>
      <c r="EV261" s="18"/>
      <c r="EW261" s="18"/>
      <c r="EX261" s="18"/>
    </row>
    <row r="262">
      <c r="A262" s="101">
        <f t="shared" si="1"/>
        <v>261</v>
      </c>
      <c r="B262" s="95">
        <f>IFERROR(__xludf.DUMMYFUNCTION("filter(Famillesid!$22:$22,(Famillesid!$16:$16=A262)+(Famillesid!$17:$17=A262)+(Famillesid!$18:$18=A262)+(Famillesid!$19:$19=A262)+(Famillesid!$20:$20=A262)+(Famillesid!$21:$21=A262))"),151.0)</f>
        <v>151</v>
      </c>
      <c r="C262" s="105" t="str">
        <f>IFERROR(__xludf.DUMMYFUNCTION("""COMPUTED_VALUE"""),"Raúl VILLAFUERTE")</f>
        <v>Raúl VILLAFUERTE</v>
      </c>
      <c r="D262" s="106" t="str">
        <f>IFERROR(__xludf.DUMMYFUNCTION("filter('Réponses au formulaire 1'!T:T,'Réponses au formulaire 1'!B:B=C262)"),"Tequila")</f>
        <v>Tequila</v>
      </c>
      <c r="E262" s="110"/>
      <c r="F262" s="92"/>
      <c r="G262" s="18"/>
      <c r="H262" s="101" t="str">
        <f>IFERROR(__xludf.DUMMYFUNCTION("""COMPUTED_VALUE"""),"")</f>
        <v/>
      </c>
      <c r="I262" s="67" t="str">
        <f>IFERROR(__xludf.DUMMYFUNCTION("""COMPUTED_VALUE"""),"")</f>
        <v/>
      </c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  <c r="EX262" s="18"/>
    </row>
    <row r="263">
      <c r="A263" s="101">
        <f t="shared" si="1"/>
        <v>262</v>
      </c>
      <c r="B263" s="95">
        <f>IFERROR(__xludf.DUMMYFUNCTION("filter(Famillesid!$22:$22,(Famillesid!$16:$16=A263)+(Famillesid!$17:$17=A263)+(Famillesid!$18:$18=A263)+(Famillesid!$19:$19=A263)+(Famillesid!$20:$20=A263)+(Famillesid!$21:$21=A263))"),296.0)</f>
        <v>296</v>
      </c>
      <c r="C263" s="105" t="str">
        <f>IFERROR(__xludf.DUMMYFUNCTION("""COMPUTED_VALUE"""),"Paul SAUBION")</f>
        <v>Paul SAUBION</v>
      </c>
      <c r="D263" s="106" t="str">
        <f>IFERROR(__xludf.DUMMYFUNCTION("filter('Réponses au formulaire 1'!T:T,'Réponses au formulaire 1'!B:B=C263)"),"Une porte")</f>
        <v>Une porte</v>
      </c>
      <c r="E263" s="110"/>
      <c r="F263" s="92"/>
      <c r="G263" s="18"/>
      <c r="H263" s="101" t="str">
        <f>IFERROR(__xludf.DUMMYFUNCTION("""COMPUTED_VALUE"""),"")</f>
        <v/>
      </c>
      <c r="I263" s="67" t="str">
        <f>IFERROR(__xludf.DUMMYFUNCTION("""COMPUTED_VALUE"""),"")</f>
        <v/>
      </c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/>
      <c r="DN263" s="18"/>
      <c r="DO263" s="18"/>
      <c r="DP263" s="18"/>
      <c r="DQ263" s="18"/>
      <c r="DR263" s="18"/>
      <c r="DS263" s="18"/>
      <c r="DT263" s="18"/>
      <c r="DU263" s="18"/>
      <c r="DV263" s="18"/>
      <c r="DW263" s="18"/>
      <c r="DX263" s="18"/>
      <c r="DY263" s="18"/>
      <c r="DZ263" s="18"/>
      <c r="EA263" s="18"/>
      <c r="EB263" s="18"/>
      <c r="EC263" s="18"/>
      <c r="ED263" s="18"/>
      <c r="EE263" s="18"/>
      <c r="EF263" s="18"/>
      <c r="EG263" s="18"/>
      <c r="EH263" s="18"/>
      <c r="EI263" s="18"/>
      <c r="EJ263" s="18"/>
      <c r="EK263" s="18"/>
      <c r="EL263" s="18"/>
      <c r="EM263" s="18"/>
      <c r="EN263" s="18"/>
      <c r="EO263" s="18"/>
      <c r="EP263" s="18"/>
      <c r="EQ263" s="18"/>
      <c r="ER263" s="18"/>
      <c r="ES263" s="18"/>
      <c r="ET263" s="18"/>
      <c r="EU263" s="18"/>
      <c r="EV263" s="18"/>
      <c r="EW263" s="18"/>
      <c r="EX263" s="18"/>
    </row>
    <row r="264">
      <c r="A264" s="101">
        <f t="shared" si="1"/>
        <v>263</v>
      </c>
      <c r="B264" s="95">
        <f>IFERROR(__xludf.DUMMYFUNCTION("filter(Famillesid!$22:$22,(Famillesid!$16:$16=A264)+(Famillesid!$17:$17=A264)+(Famillesid!$18:$18=A264)+(Famillesid!$19:$19=A264)+(Famillesid!$20:$20=A264)+(Famillesid!$21:$21=A264))"),296.0)</f>
        <v>296</v>
      </c>
      <c r="C264" s="105" t="str">
        <f>IFERROR(__xludf.DUMMYFUNCTION("""COMPUTED_VALUE"""),"Florian BARTOCCI")</f>
        <v>Florian BARTOCCI</v>
      </c>
      <c r="D264" s="106" t="str">
        <f>IFERROR(__xludf.DUMMYFUNCTION("filter('Réponses au formulaire 1'!T:T,'Réponses au formulaire 1'!B:B=C264)"),"Album de Gims")</f>
        <v>Album de Gims</v>
      </c>
      <c r="E264" s="110"/>
      <c r="F264" s="92"/>
      <c r="G264" s="18"/>
      <c r="H264" s="101" t="str">
        <f>IFERROR(__xludf.DUMMYFUNCTION("""COMPUTED_VALUE"""),"")</f>
        <v/>
      </c>
      <c r="I264" s="67" t="str">
        <f>IFERROR(__xludf.DUMMYFUNCTION("""COMPUTED_VALUE"""),"")</f>
        <v/>
      </c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  <c r="ER264" s="18"/>
      <c r="ES264" s="18"/>
      <c r="ET264" s="18"/>
      <c r="EU264" s="18"/>
      <c r="EV264" s="18"/>
      <c r="EW264" s="18"/>
      <c r="EX264" s="18"/>
    </row>
    <row r="265">
      <c r="A265" s="101">
        <f t="shared" si="1"/>
        <v>264</v>
      </c>
      <c r="B265" s="95">
        <f>IFERROR(__xludf.DUMMYFUNCTION("filter(Famillesid!$22:$22,(Famillesid!$16:$16=A265)+(Famillesid!$17:$17=A265)+(Famillesid!$18:$18=A265)+(Famillesid!$19:$19=A265)+(Famillesid!$20:$20=A265)+(Famillesid!$21:$21=A265))"),296.0)</f>
        <v>296</v>
      </c>
      <c r="C265" s="105" t="str">
        <f>IFERROR(__xludf.DUMMYFUNCTION("""COMPUTED_VALUE"""),"Jean-Baptiste de BECO")</f>
        <v>Jean-Baptiste de BECO</v>
      </c>
      <c r="D265" s="106" t="str">
        <f>IFERROR(__xludf.DUMMYFUNCTION("filter('Réponses au formulaire 1'!T:T,'Réponses au formulaire 1'!B:B=C265)"),"Bouteille de picon")</f>
        <v>Bouteille de picon</v>
      </c>
      <c r="E265" s="110"/>
      <c r="F265" s="92"/>
      <c r="G265" s="18"/>
      <c r="H265" s="101" t="str">
        <f>IFERROR(__xludf.DUMMYFUNCTION("""COMPUTED_VALUE"""),"")</f>
        <v/>
      </c>
      <c r="I265" s="67" t="str">
        <f>IFERROR(__xludf.DUMMYFUNCTION("""COMPUTED_VALUE"""),"")</f>
        <v/>
      </c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/>
      <c r="DN265" s="18"/>
      <c r="DO265" s="18"/>
      <c r="DP265" s="18"/>
      <c r="DQ265" s="18"/>
      <c r="DR265" s="18"/>
      <c r="DS265" s="18"/>
      <c r="DT265" s="18"/>
      <c r="DU265" s="18"/>
      <c r="DV265" s="18"/>
      <c r="DW265" s="18"/>
      <c r="DX265" s="18"/>
      <c r="DY265" s="18"/>
      <c r="DZ265" s="18"/>
      <c r="EA265" s="18"/>
      <c r="EB265" s="18"/>
      <c r="EC265" s="18"/>
      <c r="ED265" s="18"/>
      <c r="EE265" s="18"/>
      <c r="EF265" s="18"/>
      <c r="EG265" s="18"/>
      <c r="EH265" s="18"/>
      <c r="EI265" s="18"/>
      <c r="EJ265" s="18"/>
      <c r="EK265" s="18"/>
      <c r="EL265" s="18"/>
      <c r="EM265" s="18"/>
      <c r="EN265" s="18"/>
      <c r="EO265" s="18"/>
      <c r="EP265" s="18"/>
      <c r="EQ265" s="18"/>
      <c r="ER265" s="18"/>
      <c r="ES265" s="18"/>
      <c r="ET265" s="18"/>
      <c r="EU265" s="18"/>
      <c r="EV265" s="18"/>
      <c r="EW265" s="18"/>
      <c r="EX265" s="18"/>
    </row>
    <row r="266">
      <c r="A266" s="101">
        <f t="shared" si="1"/>
        <v>265</v>
      </c>
      <c r="B266" s="95">
        <f>IFERROR(__xludf.DUMMYFUNCTION("filter(Famillesid!$22:$22,(Famillesid!$16:$16=A266)+(Famillesid!$17:$17=A266)+(Famillesid!$18:$18=A266)+(Famillesid!$19:$19=A266)+(Famillesid!$20:$20=A266)+(Famillesid!$21:$21=A266))"),296.0)</f>
        <v>296</v>
      </c>
      <c r="C266" s="105" t="str">
        <f>IFERROR(__xludf.DUMMYFUNCTION("""COMPUTED_VALUE"""),"Matthieu LAMIELLE")</f>
        <v>Matthieu LAMIELLE</v>
      </c>
      <c r="D266" s="106" t="str">
        <f>IFERROR(__xludf.DUMMYFUNCTION("filter('Réponses au formulaire 1'!T:T,'Réponses au formulaire 1'!B:B=C266)"),"Une corde")</f>
        <v>Une corde</v>
      </c>
      <c r="E266" s="110"/>
      <c r="F266" s="92"/>
      <c r="G266" s="18"/>
      <c r="H266" s="101" t="str">
        <f>IFERROR(__xludf.DUMMYFUNCTION("""COMPUTED_VALUE"""),"")</f>
        <v/>
      </c>
      <c r="I266" s="67" t="str">
        <f>IFERROR(__xludf.DUMMYFUNCTION("""COMPUTED_VALUE"""),"")</f>
        <v/>
      </c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/>
      <c r="DN266" s="18"/>
      <c r="DO266" s="18"/>
      <c r="DP266" s="18"/>
      <c r="DQ266" s="18"/>
      <c r="DR266" s="18"/>
      <c r="DS266" s="18"/>
      <c r="DT266" s="18"/>
      <c r="DU266" s="18"/>
      <c r="DV266" s="18"/>
      <c r="DW266" s="18"/>
      <c r="DX266" s="18"/>
      <c r="DY266" s="18"/>
      <c r="DZ266" s="18"/>
      <c r="EA266" s="18"/>
      <c r="EB266" s="18"/>
      <c r="EC266" s="18"/>
      <c r="ED266" s="18"/>
      <c r="EE266" s="18"/>
      <c r="EF266" s="18"/>
      <c r="EG266" s="18"/>
      <c r="EH266" s="18"/>
      <c r="EI266" s="18"/>
      <c r="EJ266" s="18"/>
      <c r="EK266" s="18"/>
      <c r="EL266" s="18"/>
      <c r="EM266" s="18"/>
      <c r="EN266" s="18"/>
      <c r="EO266" s="18"/>
      <c r="EP266" s="18"/>
      <c r="EQ266" s="18"/>
      <c r="ER266" s="18"/>
      <c r="ES266" s="18"/>
      <c r="ET266" s="18"/>
      <c r="EU266" s="18"/>
      <c r="EV266" s="18"/>
      <c r="EW266" s="18"/>
      <c r="EX266" s="18"/>
    </row>
    <row r="267">
      <c r="A267" s="101">
        <f t="shared" si="1"/>
        <v>266</v>
      </c>
      <c r="B267" s="95">
        <f>IFERROR(__xludf.DUMMYFUNCTION("filter(Famillesid!$22:$22,(Famillesid!$16:$16=A267)+(Famillesid!$17:$17=A267)+(Famillesid!$18:$18=A267)+(Famillesid!$19:$19=A267)+(Famillesid!$20:$20=A267)+(Famillesid!$21:$21=A267))"),296.0)</f>
        <v>296</v>
      </c>
      <c r="C267" s="105" t="str">
        <f>IFERROR(__xludf.DUMMYFUNCTION("""COMPUTED_VALUE"""),"Adrien BERSIER")</f>
        <v>Adrien BERSIER</v>
      </c>
      <c r="D267" s="106" t="str">
        <f>IFERROR(__xludf.DUMMYFUNCTION("filter('Réponses au formulaire 1'!T:T,'Réponses au formulaire 1'!B:B=C267)"),"Un diadème ")</f>
        <v>Un diadème </v>
      </c>
      <c r="E267" s="110"/>
      <c r="F267" s="92"/>
      <c r="G267" s="18"/>
      <c r="H267" s="101" t="str">
        <f>IFERROR(__xludf.DUMMYFUNCTION("""COMPUTED_VALUE"""),"")</f>
        <v/>
      </c>
      <c r="I267" s="67" t="str">
        <f>IFERROR(__xludf.DUMMYFUNCTION("""COMPUTED_VALUE"""),"")</f>
        <v/>
      </c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</row>
    <row r="268">
      <c r="A268" s="101">
        <f t="shared" si="1"/>
        <v>267</v>
      </c>
      <c r="B268" s="95">
        <f>IFERROR(__xludf.DUMMYFUNCTION("filter(Famillesid!$22:$22,(Famillesid!$16:$16=A268)+(Famillesid!$17:$17=A268)+(Famillesid!$18:$18=A268)+(Famillesid!$19:$19=A268)+(Famillesid!$20:$20=A268)+(Famillesid!$21:$21=A268))"),221.0)</f>
        <v>221</v>
      </c>
      <c r="C268" s="105" t="str">
        <f>IFERROR(__xludf.DUMMYFUNCTION("""COMPUTED_VALUE"""),"Aygalic JARA")</f>
        <v>Aygalic JARA</v>
      </c>
      <c r="D268" s="106" t="str">
        <f>IFERROR(__xludf.DUMMYFUNCTION("filter('Réponses au formulaire 1'!T:T,'Réponses au formulaire 1'!B:B=C268)"),"Une ecocup ")</f>
        <v>Une ecocup </v>
      </c>
      <c r="E268" s="110"/>
      <c r="F268" s="92"/>
      <c r="G268" s="18"/>
      <c r="H268" s="101" t="str">
        <f>IFERROR(__xludf.DUMMYFUNCTION("""COMPUTED_VALUE"""),"")</f>
        <v/>
      </c>
      <c r="I268" s="67" t="str">
        <f>IFERROR(__xludf.DUMMYFUNCTION("""COMPUTED_VALUE"""),"")</f>
        <v/>
      </c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/>
      <c r="DN268" s="18"/>
      <c r="DO268" s="18"/>
      <c r="DP268" s="18"/>
      <c r="DQ268" s="18"/>
      <c r="DR268" s="18"/>
      <c r="DS268" s="18"/>
      <c r="DT268" s="18"/>
      <c r="DU268" s="18"/>
      <c r="DV268" s="18"/>
      <c r="DW268" s="18"/>
      <c r="DX268" s="18"/>
      <c r="DY268" s="18"/>
      <c r="DZ268" s="18"/>
      <c r="EA268" s="18"/>
      <c r="EB268" s="18"/>
      <c r="EC268" s="18"/>
      <c r="ED268" s="18"/>
      <c r="EE268" s="18"/>
      <c r="EF268" s="18"/>
      <c r="EG268" s="18"/>
      <c r="EH268" s="18"/>
      <c r="EI268" s="18"/>
      <c r="EJ268" s="18"/>
      <c r="EK268" s="18"/>
      <c r="EL268" s="18"/>
      <c r="EM268" s="18"/>
      <c r="EN268" s="18"/>
      <c r="EO268" s="18"/>
      <c r="EP268" s="18"/>
      <c r="EQ268" s="18"/>
      <c r="ER268" s="18"/>
      <c r="ES268" s="18"/>
      <c r="ET268" s="18"/>
      <c r="EU268" s="18"/>
      <c r="EV268" s="18"/>
      <c r="EW268" s="18"/>
      <c r="EX268" s="18"/>
    </row>
    <row r="269">
      <c r="A269" s="101">
        <f t="shared" si="1"/>
        <v>268</v>
      </c>
      <c r="B269" s="95">
        <f>IFERROR(__xludf.DUMMYFUNCTION("filter(Famillesid!$22:$22,(Famillesid!$16:$16=A269)+(Famillesid!$17:$17=A269)+(Famillesid!$18:$18=A269)+(Famillesid!$19:$19=A269)+(Famillesid!$20:$20=A269)+(Famillesid!$21:$21=A269))"),276.0)</f>
        <v>276</v>
      </c>
      <c r="C269" s="105" t="str">
        <f>IFERROR(__xludf.DUMMYFUNCTION("""COMPUTED_VALUE"""),"Thomas HERRBACH")</f>
        <v>Thomas HERRBACH</v>
      </c>
      <c r="D269" s="106" t="str">
        <f>IFERROR(__xludf.DUMMYFUNCTION("filter('Réponses au formulaire 1'!T:T,'Réponses au formulaire 1'!B:B=C269)"),"Une bouture de romarin")</f>
        <v>Une bouture de romarin</v>
      </c>
      <c r="E269" s="110"/>
      <c r="F269" s="92"/>
      <c r="G269" s="18"/>
      <c r="H269" s="101" t="str">
        <f>IFERROR(__xludf.DUMMYFUNCTION("""COMPUTED_VALUE"""),"")</f>
        <v/>
      </c>
      <c r="I269" s="67" t="str">
        <f>IFERROR(__xludf.DUMMYFUNCTION("""COMPUTED_VALUE"""),"")</f>
        <v/>
      </c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/>
      <c r="DN269" s="18"/>
      <c r="DO269" s="18"/>
      <c r="DP269" s="18"/>
      <c r="DQ269" s="18"/>
      <c r="DR269" s="18"/>
      <c r="DS269" s="18"/>
      <c r="DT269" s="18"/>
      <c r="DU269" s="18"/>
      <c r="DV269" s="18"/>
      <c r="DW269" s="18"/>
      <c r="DX269" s="18"/>
      <c r="DY269" s="18"/>
      <c r="DZ269" s="18"/>
      <c r="EA269" s="18"/>
      <c r="EB269" s="18"/>
      <c r="EC269" s="18"/>
      <c r="ED269" s="18"/>
      <c r="EE269" s="18"/>
      <c r="EF269" s="18"/>
      <c r="EG269" s="18"/>
      <c r="EH269" s="18"/>
      <c r="EI269" s="18"/>
      <c r="EJ269" s="18"/>
      <c r="EK269" s="18"/>
      <c r="EL269" s="18"/>
      <c r="EM269" s="18"/>
      <c r="EN269" s="18"/>
      <c r="EO269" s="18"/>
      <c r="EP269" s="18"/>
      <c r="EQ269" s="18"/>
      <c r="ER269" s="18"/>
      <c r="ES269" s="18"/>
      <c r="ET269" s="18"/>
      <c r="EU269" s="18"/>
      <c r="EV269" s="18"/>
      <c r="EW269" s="18"/>
      <c r="EX269" s="18"/>
    </row>
    <row r="270">
      <c r="A270" s="101">
        <f t="shared" si="1"/>
        <v>269</v>
      </c>
      <c r="B270" s="95">
        <f>IFERROR(__xludf.DUMMYFUNCTION("filter(Famillesid!$22:$22,(Famillesid!$16:$16=A270)+(Famillesid!$17:$17=A270)+(Famillesid!$18:$18=A270)+(Famillesid!$19:$19=A270)+(Famillesid!$20:$20=A270)+(Famillesid!$21:$21=A270))"),271.0)</f>
        <v>271</v>
      </c>
      <c r="C270" s="105" t="str">
        <f>IFERROR(__xludf.DUMMYFUNCTION("""COMPUTED_VALUE"""),"Márcio Bruno DOS SANTOS CORREIA")</f>
        <v>Márcio Bruno DOS SANTOS CORREIA</v>
      </c>
      <c r="D270" s="106" t="str">
        <f>IFERROR(__xludf.DUMMYFUNCTION("filter('Réponses au formulaire 1'!T:T,'Réponses au formulaire 1'!B:B=C270)"),"Livre")</f>
        <v>Livre</v>
      </c>
      <c r="E270" s="107" t="s">
        <v>631</v>
      </c>
      <c r="F270" s="108" t="s">
        <v>1157</v>
      </c>
      <c r="G270" s="18"/>
      <c r="H270" s="101" t="str">
        <f>IFERROR(__xludf.DUMMYFUNCTION("""COMPUTED_VALUE"""),"")</f>
        <v/>
      </c>
      <c r="I270" s="67" t="str">
        <f>IFERROR(__xludf.DUMMYFUNCTION("""COMPUTED_VALUE"""),"")</f>
        <v/>
      </c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/>
      <c r="DN270" s="18"/>
      <c r="DO270" s="18"/>
      <c r="DP270" s="18"/>
      <c r="DQ270" s="18"/>
      <c r="DR270" s="18"/>
      <c r="DS270" s="18"/>
      <c r="DT270" s="18"/>
      <c r="DU270" s="18"/>
      <c r="DV270" s="18"/>
      <c r="DW270" s="18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</row>
    <row r="271">
      <c r="A271" s="101">
        <f t="shared" si="1"/>
        <v>270</v>
      </c>
      <c r="B271" s="95">
        <f>IFERROR(__xludf.DUMMYFUNCTION("filter(Famillesid!$22:$22,(Famillesid!$16:$16=A271)+(Famillesid!$17:$17=A271)+(Famillesid!$18:$18=A271)+(Famillesid!$19:$19=A271)+(Famillesid!$20:$20=A271)+(Famillesid!$21:$21=A271))"),136.0)</f>
        <v>136</v>
      </c>
      <c r="C271" s="105" t="str">
        <f>IFERROR(__xludf.DUMMYFUNCTION("""COMPUTED_VALUE"""),"Adrien BOUVIER")</f>
        <v>Adrien BOUVIER</v>
      </c>
      <c r="D271" s="106" t="str">
        <f>IFERROR(__xludf.DUMMYFUNCTION("filter('Réponses au formulaire 1'!T:T,'Réponses au formulaire 1'!B:B=C271)"),"Un poids pour barre olympique ")</f>
        <v>Un poids pour barre olympique </v>
      </c>
      <c r="E271" s="110"/>
      <c r="F271" s="92"/>
      <c r="G271" s="18"/>
      <c r="H271" s="101" t="str">
        <f>IFERROR(__xludf.DUMMYFUNCTION("""COMPUTED_VALUE"""),"")</f>
        <v/>
      </c>
      <c r="I271" s="67" t="str">
        <f>IFERROR(__xludf.DUMMYFUNCTION("""COMPUTED_VALUE"""),"")</f>
        <v/>
      </c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/>
      <c r="DN271" s="18"/>
      <c r="DO271" s="18"/>
      <c r="DP271" s="18"/>
      <c r="DQ271" s="18"/>
      <c r="DR271" s="18"/>
      <c r="DS271" s="18"/>
      <c r="DT271" s="18"/>
      <c r="DU271" s="18"/>
      <c r="DV271" s="18"/>
      <c r="DW271" s="18"/>
      <c r="DX271" s="18"/>
      <c r="DY271" s="18"/>
      <c r="DZ271" s="18"/>
      <c r="EA271" s="18"/>
      <c r="EB271" s="18"/>
      <c r="EC271" s="18"/>
      <c r="ED271" s="18"/>
      <c r="EE271" s="18"/>
      <c r="EF271" s="18"/>
      <c r="EG271" s="18"/>
      <c r="EH271" s="18"/>
      <c r="EI271" s="18"/>
      <c r="EJ271" s="18"/>
      <c r="EK271" s="18"/>
      <c r="EL271" s="18"/>
      <c r="EM271" s="18"/>
      <c r="EN271" s="18"/>
      <c r="EO271" s="18"/>
      <c r="EP271" s="18"/>
      <c r="EQ271" s="18"/>
      <c r="ER271" s="18"/>
      <c r="ES271" s="18"/>
      <c r="ET271" s="18"/>
      <c r="EU271" s="18"/>
      <c r="EV271" s="18"/>
      <c r="EW271" s="18"/>
      <c r="EX271" s="18"/>
    </row>
    <row r="272">
      <c r="A272" s="101">
        <f t="shared" si="1"/>
        <v>271</v>
      </c>
      <c r="B272" s="95">
        <f>IFERROR(__xludf.DUMMYFUNCTION("filter(Famillesid!$22:$22,(Famillesid!$16:$16=A272)+(Famillesid!$17:$17=A272)+(Famillesid!$18:$18=A272)+(Famillesid!$19:$19=A272)+(Famillesid!$20:$20=A272)+(Famillesid!$21:$21=A272))"),66.0)</f>
        <v>66</v>
      </c>
      <c r="C272" s="105" t="str">
        <f>IFERROR(__xludf.DUMMYFUNCTION("""COMPUTED_VALUE"""),"Hugo Weiss")</f>
        <v>Hugo Weiss</v>
      </c>
      <c r="D272" s="106" t="str">
        <f>IFERROR(__xludf.DUMMYFUNCTION("filter('Réponses au formulaire 1'!T:T,'Réponses au formulaire 1'!B:B=C272)"),"Une photo de Gaël Monfils")</f>
        <v>Une photo de Gaël Monfils</v>
      </c>
      <c r="E272" s="110"/>
      <c r="F272" s="92"/>
      <c r="G272" s="18"/>
      <c r="H272" s="101" t="str">
        <f>IFERROR(__xludf.DUMMYFUNCTION("""COMPUTED_VALUE"""),"")</f>
        <v/>
      </c>
      <c r="I272" s="67" t="str">
        <f>IFERROR(__xludf.DUMMYFUNCTION("""COMPUTED_VALUE"""),"")</f>
        <v/>
      </c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/>
      <c r="DN272" s="18"/>
      <c r="DO272" s="18"/>
      <c r="DP272" s="18"/>
      <c r="DQ272" s="18"/>
      <c r="DR272" s="18"/>
      <c r="DS272" s="18"/>
      <c r="DT272" s="18"/>
      <c r="DU272" s="18"/>
      <c r="DV272" s="18"/>
      <c r="DW272" s="18"/>
      <c r="DX272" s="18"/>
      <c r="DY272" s="18"/>
      <c r="DZ272" s="18"/>
      <c r="EA272" s="18"/>
      <c r="EB272" s="18"/>
      <c r="EC272" s="18"/>
      <c r="ED272" s="18"/>
      <c r="EE272" s="18"/>
      <c r="EF272" s="18"/>
      <c r="EG272" s="18"/>
      <c r="EH272" s="18"/>
      <c r="EI272" s="18"/>
      <c r="EJ272" s="18"/>
      <c r="EK272" s="18"/>
      <c r="EL272" s="18"/>
      <c r="EM272" s="18"/>
      <c r="EN272" s="18"/>
      <c r="EO272" s="18"/>
      <c r="EP272" s="18"/>
      <c r="EQ272" s="18"/>
      <c r="ER272" s="18"/>
      <c r="ES272" s="18"/>
      <c r="ET272" s="18"/>
      <c r="EU272" s="18"/>
      <c r="EV272" s="18"/>
      <c r="EW272" s="18"/>
      <c r="EX272" s="18"/>
    </row>
    <row r="273">
      <c r="A273" s="101">
        <f t="shared" si="1"/>
        <v>272</v>
      </c>
      <c r="B273" s="95">
        <f>IFERROR(__xludf.DUMMYFUNCTION("filter(Famillesid!$22:$22,(Famillesid!$16:$16=A273)+(Famillesid!$17:$17=A273)+(Famillesid!$18:$18=A273)+(Famillesid!$19:$19=A273)+(Famillesid!$20:$20=A273)+(Famillesid!$21:$21=A273))"),66.0)</f>
        <v>66</v>
      </c>
      <c r="C273" s="105" t="str">
        <f>IFERROR(__xludf.DUMMYFUNCTION("""COMPUTED_VALUE"""),"Adele ONDARCUHU")</f>
        <v>Adele ONDARCUHU</v>
      </c>
      <c r="D273" s="106" t="str">
        <f>IFERROR(__xludf.DUMMYFUNCTION("filter('Réponses au formulaire 1'!T:T,'Réponses au formulaire 1'!B:B=C273)"),"Pas encore choisi")</f>
        <v>Pas encore choisi</v>
      </c>
      <c r="E273" s="110"/>
      <c r="F273" s="92"/>
      <c r="G273" s="18"/>
      <c r="H273" s="101" t="str">
        <f>IFERROR(__xludf.DUMMYFUNCTION("""COMPUTED_VALUE"""),"")</f>
        <v/>
      </c>
      <c r="I273" s="67" t="str">
        <f>IFERROR(__xludf.DUMMYFUNCTION("""COMPUTED_VALUE"""),"")</f>
        <v/>
      </c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/>
      <c r="DN273" s="18"/>
      <c r="DO273" s="18"/>
      <c r="DP273" s="18"/>
      <c r="DQ273" s="18"/>
      <c r="DR273" s="18"/>
      <c r="DS273" s="18"/>
      <c r="DT273" s="18"/>
      <c r="DU273" s="18"/>
      <c r="DV273" s="18"/>
      <c r="DW273" s="18"/>
      <c r="DX273" s="18"/>
      <c r="DY273" s="18"/>
      <c r="DZ273" s="18"/>
      <c r="EA273" s="18"/>
      <c r="EB273" s="18"/>
      <c r="EC273" s="18"/>
      <c r="ED273" s="18"/>
      <c r="EE273" s="18"/>
      <c r="EF273" s="18"/>
      <c r="EG273" s="18"/>
      <c r="EH273" s="18"/>
      <c r="EI273" s="18"/>
      <c r="EJ273" s="18"/>
      <c r="EK273" s="18"/>
      <c r="EL273" s="18"/>
      <c r="EM273" s="18"/>
      <c r="EN273" s="18"/>
      <c r="EO273" s="18"/>
      <c r="EP273" s="18"/>
      <c r="EQ273" s="18"/>
      <c r="ER273" s="18"/>
      <c r="ES273" s="18"/>
      <c r="ET273" s="18"/>
      <c r="EU273" s="18"/>
      <c r="EV273" s="18"/>
      <c r="EW273" s="18"/>
      <c r="EX273" s="18"/>
    </row>
    <row r="274">
      <c r="A274" s="101">
        <f t="shared" si="1"/>
        <v>273</v>
      </c>
      <c r="B274" s="95">
        <f>IFERROR(__xludf.DUMMYFUNCTION("filter(Famillesid!$22:$22,(Famillesid!$16:$16=A274)+(Famillesid!$17:$17=A274)+(Famillesid!$18:$18=A274)+(Famillesid!$19:$19=A274)+(Famillesid!$20:$20=A274)+(Famillesid!$21:$21=A274))"),66.0)</f>
        <v>66</v>
      </c>
      <c r="C274" s="105" t="str">
        <f>IFERROR(__xludf.DUMMYFUNCTION("""COMPUTED_VALUE"""),"Vire")</f>
        <v>Vire</v>
      </c>
      <c r="D274" s="106" t="str">
        <f>IFERROR(__xludf.DUMMYFUNCTION("filter('Réponses au formulaire 1'!T:T,'Réponses au formulaire 1'!B:B=C274)"),"Raquette cassée")</f>
        <v>Raquette cassée</v>
      </c>
      <c r="E274" s="110"/>
      <c r="F274" s="92"/>
      <c r="G274" s="18"/>
      <c r="H274" s="101" t="str">
        <f>IFERROR(__xludf.DUMMYFUNCTION("""COMPUTED_VALUE"""),"")</f>
        <v/>
      </c>
      <c r="I274" s="67" t="str">
        <f>IFERROR(__xludf.DUMMYFUNCTION("""COMPUTED_VALUE"""),"")</f>
        <v/>
      </c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/>
      <c r="DN274" s="18"/>
      <c r="DO274" s="18"/>
      <c r="DP274" s="18"/>
      <c r="DQ274" s="18"/>
      <c r="DR274" s="18"/>
      <c r="DS274" s="18"/>
      <c r="DT274" s="18"/>
      <c r="DU274" s="18"/>
      <c r="DV274" s="18"/>
      <c r="DW274" s="18"/>
      <c r="DX274" s="18"/>
      <c r="DY274" s="18"/>
      <c r="DZ274" s="18"/>
      <c r="EA274" s="18"/>
      <c r="EB274" s="18"/>
      <c r="EC274" s="18"/>
      <c r="ED274" s="18"/>
      <c r="EE274" s="18"/>
      <c r="EF274" s="18"/>
      <c r="EG274" s="18"/>
      <c r="EH274" s="18"/>
      <c r="EI274" s="18"/>
      <c r="EJ274" s="18"/>
      <c r="EK274" s="18"/>
      <c r="EL274" s="18"/>
      <c r="EM274" s="18"/>
      <c r="EN274" s="18"/>
      <c r="EO274" s="18"/>
      <c r="EP274" s="18"/>
      <c r="EQ274" s="18"/>
      <c r="ER274" s="18"/>
      <c r="ES274" s="18"/>
      <c r="ET274" s="18"/>
      <c r="EU274" s="18"/>
      <c r="EV274" s="18"/>
      <c r="EW274" s="18"/>
      <c r="EX274" s="18"/>
    </row>
    <row r="275">
      <c r="A275" s="101">
        <f t="shared" si="1"/>
        <v>274</v>
      </c>
      <c r="B275" s="95">
        <f>IFERROR(__xludf.DUMMYFUNCTION("filter(Famillesid!$22:$22,(Famillesid!$16:$16=A275)+(Famillesid!$17:$17=A275)+(Famillesid!$18:$18=A275)+(Famillesid!$19:$19=A275)+(Famillesid!$20:$20=A275)+(Famillesid!$21:$21=A275))"),236.0)</f>
        <v>236</v>
      </c>
      <c r="C275" s="105" t="str">
        <f>IFERROR(__xludf.DUMMYFUNCTION("""COMPUTED_VALUE"""),"Valentin Pibernus")</f>
        <v>Valentin Pibernus</v>
      </c>
      <c r="D275" s="106" t="str">
        <f>IFERROR(__xludf.DUMMYFUNCTION("filter('Réponses au formulaire 1'!T:T,'Réponses au formulaire 1'!B:B=C275)"),"Surprise ")</f>
        <v>Surprise </v>
      </c>
      <c r="E275" s="107" t="s">
        <v>1151</v>
      </c>
      <c r="F275" s="108" t="s">
        <v>1166</v>
      </c>
      <c r="G275" s="18"/>
      <c r="H275" s="101" t="str">
        <f>IFERROR(__xludf.DUMMYFUNCTION("""COMPUTED_VALUE"""),"")</f>
        <v/>
      </c>
      <c r="I275" s="67" t="str">
        <f>IFERROR(__xludf.DUMMYFUNCTION("""COMPUTED_VALUE"""),"")</f>
        <v/>
      </c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/>
      <c r="DN275" s="18"/>
      <c r="DO275" s="18"/>
      <c r="DP275" s="18"/>
      <c r="DQ275" s="18"/>
      <c r="DR275" s="18"/>
      <c r="DS275" s="18"/>
      <c r="DT275" s="18"/>
      <c r="DU275" s="18"/>
      <c r="DV275" s="18"/>
      <c r="DW275" s="18"/>
      <c r="DX275" s="18"/>
      <c r="DY275" s="18"/>
      <c r="DZ275" s="18"/>
      <c r="EA275" s="18"/>
      <c r="EB275" s="18"/>
      <c r="EC275" s="18"/>
      <c r="ED275" s="18"/>
      <c r="EE275" s="18"/>
      <c r="EF275" s="18"/>
      <c r="EG275" s="18"/>
      <c r="EH275" s="18"/>
      <c r="EI275" s="18"/>
      <c r="EJ275" s="18"/>
      <c r="EK275" s="18"/>
      <c r="EL275" s="18"/>
      <c r="EM275" s="18"/>
      <c r="EN275" s="18"/>
      <c r="EO275" s="18"/>
      <c r="EP275" s="18"/>
      <c r="EQ275" s="18"/>
      <c r="ER275" s="18"/>
      <c r="ES275" s="18"/>
      <c r="ET275" s="18"/>
      <c r="EU275" s="18"/>
      <c r="EV275" s="18"/>
      <c r="EW275" s="18"/>
      <c r="EX275" s="18"/>
    </row>
    <row r="276">
      <c r="A276" s="101">
        <f t="shared" si="1"/>
        <v>275</v>
      </c>
      <c r="B276" s="95">
        <f>IFERROR(__xludf.DUMMYFUNCTION("filter(Famillesid!$22:$22,(Famillesid!$16:$16=A276)+(Famillesid!$17:$17=A276)+(Famillesid!$18:$18=A276)+(Famillesid!$19:$19=A276)+(Famillesid!$20:$20=A276)+(Famillesid!$21:$21=A276))"),276.0)</f>
        <v>276</v>
      </c>
      <c r="C276" s="105" t="str">
        <f>IFERROR(__xludf.DUMMYFUNCTION("""COMPUTED_VALUE"""),"Fabien RAVET")</f>
        <v>Fabien RAVET</v>
      </c>
      <c r="D276" s="106" t="str">
        <f>IFERROR(__xludf.DUMMYFUNCTION("filter('Réponses au formulaire 1'!T:T,'Réponses au formulaire 1'!B:B=C276)"),"Une partition")</f>
        <v>Une partition</v>
      </c>
      <c r="E276" s="110"/>
      <c r="F276" s="92"/>
      <c r="G276" s="18"/>
      <c r="H276" s="101" t="str">
        <f>IFERROR(__xludf.DUMMYFUNCTION("""COMPUTED_VALUE"""),"")</f>
        <v/>
      </c>
      <c r="I276" s="67" t="str">
        <f>IFERROR(__xludf.DUMMYFUNCTION("""COMPUTED_VALUE"""),"")</f>
        <v/>
      </c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/>
      <c r="DN276" s="18"/>
      <c r="DO276" s="18"/>
      <c r="DP276" s="18"/>
      <c r="DQ276" s="18"/>
      <c r="DR276" s="18"/>
      <c r="DS276" s="18"/>
      <c r="DT276" s="18"/>
      <c r="DU276" s="18"/>
      <c r="DV276" s="18"/>
      <c r="DW276" s="18"/>
      <c r="DX276" s="18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</row>
    <row r="277">
      <c r="A277" s="101">
        <f t="shared" si="1"/>
        <v>276</v>
      </c>
      <c r="B277" s="95">
        <f>IFERROR(__xludf.DUMMYFUNCTION("filter(Famillesid!$22:$22,(Famillesid!$16:$16=A277)+(Famillesid!$17:$17=A277)+(Famillesid!$18:$18=A277)+(Famillesid!$19:$19=A277)+(Famillesid!$20:$20=A277)+(Famillesid!$21:$21=A277))"),116.0)</f>
        <v>116</v>
      </c>
      <c r="C277" s="105" t="str">
        <f>IFERROR(__xludf.DUMMYFUNCTION("""COMPUTED_VALUE"""),"Bastien")</f>
        <v>Bastien</v>
      </c>
      <c r="D277" s="106" t="str">
        <f>IFERROR(__xludf.DUMMYFUNCTION("filter('Réponses au formulaire 1'!T:T,'Réponses au formulaire 1'!B:B=C277)"),"Pique de brochette")</f>
        <v>Pique de brochette</v>
      </c>
      <c r="E277" s="110"/>
      <c r="F277" s="92"/>
      <c r="G277" s="18"/>
      <c r="H277" s="101" t="str">
        <f>IFERROR(__xludf.DUMMYFUNCTION("""COMPUTED_VALUE"""),"")</f>
        <v/>
      </c>
      <c r="I277" s="67" t="str">
        <f>IFERROR(__xludf.DUMMYFUNCTION("""COMPUTED_VALUE"""),"")</f>
        <v/>
      </c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/>
      <c r="DN277" s="18"/>
      <c r="DO277" s="18"/>
      <c r="DP277" s="18"/>
      <c r="DQ277" s="18"/>
      <c r="DR277" s="18"/>
      <c r="DS277" s="18"/>
      <c r="DT277" s="18"/>
      <c r="DU277" s="18"/>
      <c r="DV277" s="18"/>
      <c r="DW277" s="18"/>
      <c r="DX277" s="18"/>
      <c r="DY277" s="18"/>
      <c r="DZ277" s="18"/>
      <c r="EA277" s="18"/>
      <c r="EB277" s="18"/>
      <c r="EC277" s="18"/>
      <c r="ED277" s="18"/>
      <c r="EE277" s="18"/>
      <c r="EF277" s="18"/>
      <c r="EG277" s="18"/>
      <c r="EH277" s="18"/>
      <c r="EI277" s="18"/>
      <c r="EJ277" s="18"/>
      <c r="EK277" s="18"/>
      <c r="EL277" s="18"/>
      <c r="EM277" s="18"/>
      <c r="EN277" s="18"/>
      <c r="EO277" s="18"/>
      <c r="EP277" s="18"/>
      <c r="EQ277" s="18"/>
      <c r="ER277" s="18"/>
      <c r="ES277" s="18"/>
      <c r="ET277" s="18"/>
      <c r="EU277" s="18"/>
      <c r="EV277" s="18"/>
      <c r="EW277" s="18"/>
      <c r="EX277" s="18"/>
    </row>
    <row r="278">
      <c r="A278" s="101">
        <f t="shared" si="1"/>
        <v>277</v>
      </c>
      <c r="B278" s="95">
        <f>IFERROR(__xludf.DUMMYFUNCTION("filter(Famillesid!$22:$22,(Famillesid!$16:$16=A278)+(Famillesid!$17:$17=A278)+(Famillesid!$18:$18=A278)+(Famillesid!$19:$19=A278)+(Famillesid!$20:$20=A278)+(Famillesid!$21:$21=A278))"),51.0)</f>
        <v>51</v>
      </c>
      <c r="C278" s="105" t="str">
        <f>IFERROR(__xludf.DUMMYFUNCTION("""COMPUTED_VALUE"""),"Audric BALSSA")</f>
        <v>Audric BALSSA</v>
      </c>
      <c r="D278" s="106" t="str">
        <f>IFERROR(__xludf.DUMMYFUNCTION("filter('Réponses au formulaire 1'!T:T,'Réponses au formulaire 1'!B:B=C278)"),"Ce choix n'est pas définitif")</f>
        <v>Ce choix n'est pas définitif</v>
      </c>
      <c r="E278" s="110"/>
      <c r="F278" s="92"/>
      <c r="G278" s="18"/>
      <c r="H278" s="101" t="str">
        <f>IFERROR(__xludf.DUMMYFUNCTION("""COMPUTED_VALUE"""),"")</f>
        <v/>
      </c>
      <c r="I278" s="67" t="str">
        <f>IFERROR(__xludf.DUMMYFUNCTION("""COMPUTED_VALUE"""),"")</f>
        <v/>
      </c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/>
      <c r="DN278" s="18"/>
      <c r="DO278" s="18"/>
      <c r="DP278" s="18"/>
      <c r="DQ278" s="18"/>
      <c r="DR278" s="18"/>
      <c r="DS278" s="18"/>
      <c r="DT278" s="18"/>
      <c r="DU278" s="18"/>
      <c r="DV278" s="18"/>
      <c r="DW278" s="18"/>
      <c r="DX278" s="18"/>
      <c r="DY278" s="18"/>
      <c r="DZ278" s="18"/>
      <c r="EA278" s="18"/>
      <c r="EB278" s="18"/>
      <c r="EC278" s="18"/>
      <c r="ED278" s="18"/>
      <c r="EE278" s="18"/>
      <c r="EF278" s="18"/>
      <c r="EG278" s="18"/>
      <c r="EH278" s="18"/>
      <c r="EI278" s="18"/>
      <c r="EJ278" s="18"/>
      <c r="EK278" s="18"/>
      <c r="EL278" s="18"/>
      <c r="EM278" s="18"/>
      <c r="EN278" s="18"/>
      <c r="EO278" s="18"/>
      <c r="EP278" s="18"/>
      <c r="EQ278" s="18"/>
      <c r="ER278" s="18"/>
      <c r="ES278" s="18"/>
      <c r="ET278" s="18"/>
      <c r="EU278" s="18"/>
      <c r="EV278" s="18"/>
      <c r="EW278" s="18"/>
      <c r="EX278" s="18"/>
    </row>
    <row r="279">
      <c r="A279" s="101">
        <f t="shared" si="1"/>
        <v>278</v>
      </c>
      <c r="B279" s="95">
        <f>IFERROR(__xludf.DUMMYFUNCTION("filter(Famillesid!$22:$22,(Famillesid!$16:$16=A279)+(Famillesid!$17:$17=A279)+(Famillesid!$18:$18=A279)+(Famillesid!$19:$19=A279)+(Famillesid!$20:$20=A279)+(Famillesid!$21:$21=A279))"),146.0)</f>
        <v>146</v>
      </c>
      <c r="C279" s="105" t="str">
        <f>IFERROR(__xludf.DUMMYFUNCTION("""COMPUTED_VALUE"""),"Alexandre SEVENO")</f>
        <v>Alexandre SEVENO</v>
      </c>
      <c r="D279" s="106" t="str">
        <f>IFERROR(__xludf.DUMMYFUNCTION("filter('Réponses au formulaire 1'!T:T,'Réponses au formulaire 1'!B:B=C279)"),"Un gant de moto")</f>
        <v>Un gant de moto</v>
      </c>
      <c r="E279" s="110"/>
      <c r="F279" s="92"/>
      <c r="G279" s="18"/>
      <c r="H279" s="101" t="str">
        <f>IFERROR(__xludf.DUMMYFUNCTION("""COMPUTED_VALUE"""),"")</f>
        <v/>
      </c>
      <c r="I279" s="67" t="str">
        <f>IFERROR(__xludf.DUMMYFUNCTION("""COMPUTED_VALUE"""),"")</f>
        <v/>
      </c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</row>
    <row r="280">
      <c r="A280" s="101">
        <f t="shared" si="1"/>
        <v>279</v>
      </c>
      <c r="B280" s="95">
        <f>IFERROR(__xludf.DUMMYFUNCTION("filter(Famillesid!$22:$22,(Famillesid!$16:$16=A280)+(Famillesid!$17:$17=A280)+(Famillesid!$18:$18=A280)+(Famillesid!$19:$19=A280)+(Famillesid!$20:$20=A280)+(Famillesid!$21:$21=A280))"),146.0)</f>
        <v>146</v>
      </c>
      <c r="C280" s="105" t="str">
        <f>IFERROR(__xludf.DUMMYFUNCTION("""COMPUTED_VALUE"""),"Maxime PATRY")</f>
        <v>Maxime PATRY</v>
      </c>
      <c r="D280" s="106" t="str">
        <f>IFERROR(__xludf.DUMMYFUNCTION("filter('Réponses au formulaire 1'!T:T,'Réponses au formulaire 1'!B:B=C280)"),"Un chien mélange entre Trump et Thanos imprimé en 3d")</f>
        <v>Un chien mélange entre Trump et Thanos imprimé en 3d</v>
      </c>
      <c r="E280" s="107" t="s">
        <v>631</v>
      </c>
      <c r="F280" s="108" t="s">
        <v>1158</v>
      </c>
      <c r="G280" s="18"/>
      <c r="H280" s="101" t="str">
        <f>IFERROR(__xludf.DUMMYFUNCTION("""COMPUTED_VALUE"""),"")</f>
        <v/>
      </c>
      <c r="I280" s="67" t="str">
        <f>IFERROR(__xludf.DUMMYFUNCTION("""COMPUTED_VALUE"""),"")</f>
        <v/>
      </c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</row>
    <row r="281">
      <c r="A281" s="101">
        <f t="shared" si="1"/>
        <v>280</v>
      </c>
      <c r="B281" s="95">
        <f>IFERROR(__xludf.DUMMYFUNCTION("filter(Famillesid!$22:$22,(Famillesid!$16:$16=A281)+(Famillesid!$17:$17=A281)+(Famillesid!$18:$18=A281)+(Famillesid!$19:$19=A281)+(Famillesid!$20:$20=A281)+(Famillesid!$21:$21=A281))"),266.0)</f>
        <v>266</v>
      </c>
      <c r="C281" s="105" t="str">
        <f>IFERROR(__xludf.DUMMYFUNCTION("""COMPUTED_VALUE"""),"Selim Autones")</f>
        <v>Selim Autones</v>
      </c>
      <c r="D281" s="106" t="str">
        <f>IFERROR(__xludf.DUMMYFUNCTION("filter('Réponses au formulaire 1'!T:T,'Réponses au formulaire 1'!B:B=C281)"),"Pull sporla")</f>
        <v>Pull sporla</v>
      </c>
      <c r="E281" s="107" t="s">
        <v>631</v>
      </c>
      <c r="F281" s="108" t="s">
        <v>1162</v>
      </c>
      <c r="G281" s="18"/>
      <c r="H281" s="101" t="str">
        <f>IFERROR(__xludf.DUMMYFUNCTION("""COMPUTED_VALUE"""),"")</f>
        <v/>
      </c>
      <c r="I281" s="67" t="str">
        <f>IFERROR(__xludf.DUMMYFUNCTION("""COMPUTED_VALUE"""),"")</f>
        <v/>
      </c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  <c r="EX281" s="18"/>
    </row>
    <row r="282">
      <c r="A282" s="101">
        <f t="shared" si="1"/>
        <v>281</v>
      </c>
      <c r="B282" s="95">
        <f>IFERROR(__xludf.DUMMYFUNCTION("filter(Famillesid!$22:$22,(Famillesid!$16:$16=A282)+(Famillesid!$17:$17=A282)+(Famillesid!$18:$18=A282)+(Famillesid!$19:$19=A282)+(Famillesid!$20:$20=A282)+(Famillesid!$21:$21=A282))"),136.0)</f>
        <v>136</v>
      </c>
      <c r="C282" s="105" t="str">
        <f>IFERROR(__xludf.DUMMYFUNCTION("""COMPUTED_VALUE"""),"Arthur")</f>
        <v>Arthur</v>
      </c>
      <c r="D282" s="106" t="str">
        <f>IFERROR(__xludf.DUMMYFUNCTION("filter('Réponses au formulaire 1'!T:T,'Réponses au formulaire 1'!B:B=C282)"),"Une banane")</f>
        <v>Une banane</v>
      </c>
      <c r="E282" s="110"/>
      <c r="F282" s="92"/>
      <c r="G282" s="18"/>
      <c r="H282" s="101" t="str">
        <f>IFERROR(__xludf.DUMMYFUNCTION("""COMPUTED_VALUE"""),"")</f>
        <v/>
      </c>
      <c r="I282" s="67" t="str">
        <f>IFERROR(__xludf.DUMMYFUNCTION("""COMPUTED_VALUE"""),"")</f>
        <v/>
      </c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</row>
    <row r="283">
      <c r="A283" s="101">
        <f t="shared" si="1"/>
        <v>282</v>
      </c>
      <c r="B283" s="95">
        <f>IFERROR(__xludf.DUMMYFUNCTION("filter(Famillesid!$22:$22,(Famillesid!$16:$16=A283)+(Famillesid!$17:$17=A283)+(Famillesid!$18:$18=A283)+(Famillesid!$19:$19=A283)+(Famillesid!$20:$20=A283)+(Famillesid!$21:$21=A283))"),196.0)</f>
        <v>196</v>
      </c>
      <c r="C283" s="105" t="str">
        <f>IFERROR(__xludf.DUMMYFUNCTION("""COMPUTED_VALUE"""),"Mathurin Schneider")</f>
        <v>Mathurin Schneider</v>
      </c>
      <c r="D283" s="106" t="str">
        <f>IFERROR(__xludf.DUMMYFUNCTION("filter('Réponses au formulaire 1'!T:T,'Réponses au formulaire 1'!B:B=C283)"),"Un truc en rapport avec les graffitis, une bombe ou un truc du genre !")</f>
        <v>Un truc en rapport avec les graffitis, une bombe ou un truc du genre !</v>
      </c>
      <c r="E283" s="110"/>
      <c r="F283" s="92"/>
      <c r="G283" s="18"/>
      <c r="H283" s="101" t="str">
        <f>IFERROR(__xludf.DUMMYFUNCTION("""COMPUTED_VALUE"""),"")</f>
        <v/>
      </c>
      <c r="I283" s="67" t="str">
        <f>IFERROR(__xludf.DUMMYFUNCTION("""COMPUTED_VALUE"""),"")</f>
        <v/>
      </c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</row>
    <row r="284">
      <c r="A284" s="101">
        <f t="shared" si="1"/>
        <v>283</v>
      </c>
      <c r="B284" s="95">
        <f>IFERROR(__xludf.DUMMYFUNCTION("filter(Famillesid!$22:$22,(Famillesid!$16:$16=A284)+(Famillesid!$17:$17=A284)+(Famillesid!$18:$18=A284)+(Famillesid!$19:$19=A284)+(Famillesid!$20:$20=A284)+(Famillesid!$21:$21=A284))"),141.0)</f>
        <v>141</v>
      </c>
      <c r="C284" s="105" t="str">
        <f>IFERROR(__xludf.DUMMYFUNCTION("""COMPUTED_VALUE"""),"KONATE")</f>
        <v>KONATE</v>
      </c>
      <c r="D284" s="106" t="str">
        <f>IFERROR(__xludf.DUMMYFUNCTION("filter('Réponses au formulaire 1'!T:T,'Réponses au formulaire 1'!B:B=C284)"),"Une bouteille de monbazillac")</f>
        <v>Une bouteille de monbazillac</v>
      </c>
      <c r="E284" s="110"/>
      <c r="F284" s="92"/>
      <c r="G284" s="18"/>
      <c r="H284" s="101" t="str">
        <f>IFERROR(__xludf.DUMMYFUNCTION("""COMPUTED_VALUE"""),"")</f>
        <v/>
      </c>
      <c r="I284" s="67" t="str">
        <f>IFERROR(__xludf.DUMMYFUNCTION("""COMPUTED_VALUE"""),"")</f>
        <v/>
      </c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</row>
    <row r="285">
      <c r="A285" s="101">
        <f t="shared" si="1"/>
        <v>284</v>
      </c>
      <c r="B285" s="95">
        <f>IFERROR(__xludf.DUMMYFUNCTION("filter(Famillesid!$22:$22,(Famillesid!$16:$16=A285)+(Famillesid!$17:$17=A285)+(Famillesid!$18:$18=A285)+(Famillesid!$19:$19=A285)+(Famillesid!$20:$20=A285)+(Famillesid!$21:$21=A285))"),286.0)</f>
        <v>286</v>
      </c>
      <c r="C285" s="105" t="str">
        <f>IFERROR(__xludf.DUMMYFUNCTION("""COMPUTED_VALUE"""),"Alexandre FOSSORIER")</f>
        <v>Alexandre FOSSORIER</v>
      </c>
      <c r="D285" s="106" t="str">
        <f>IFERROR(__xludf.DUMMYFUNCTION("filter('Réponses au formulaire 1'!T:T,'Réponses au formulaire 1'!B:B=C285)"),"Mystère ")</f>
        <v>Mystère </v>
      </c>
      <c r="E285" s="110"/>
      <c r="F285" s="92"/>
      <c r="G285" s="18"/>
      <c r="H285" s="101" t="str">
        <f>IFERROR(__xludf.DUMMYFUNCTION("""COMPUTED_VALUE"""),"")</f>
        <v/>
      </c>
      <c r="I285" s="67" t="str">
        <f>IFERROR(__xludf.DUMMYFUNCTION("""COMPUTED_VALUE"""),"")</f>
        <v/>
      </c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</row>
    <row r="286">
      <c r="A286" s="101">
        <f t="shared" si="1"/>
        <v>285</v>
      </c>
      <c r="B286" s="95">
        <f>IFERROR(__xludf.DUMMYFUNCTION("filter(Famillesid!$22:$22,(Famillesid!$16:$16=A286)+(Famillesid!$17:$17=A286)+(Famillesid!$18:$18=A286)+(Famillesid!$19:$19=A286)+(Famillesid!$20:$20=A286)+(Famillesid!$21:$21=A286))"),266.0)</f>
        <v>266</v>
      </c>
      <c r="C286" s="105" t="str">
        <f>IFERROR(__xludf.DUMMYFUNCTION("""COMPUTED_VALUE"""),"Werner")</f>
        <v>Werner</v>
      </c>
      <c r="D286" s="106" t="str">
        <f>IFERROR(__xludf.DUMMYFUNCTION("filter('Réponses au formulaire 1'!T:T,'Réponses au formulaire 1'!B:B=C286)"),"un cheveu de Poitou :o ")</f>
        <v>un cheveu de Poitou :o </v>
      </c>
      <c r="E286" s="110"/>
      <c r="F286" s="92"/>
      <c r="G286" s="18"/>
      <c r="H286" s="101" t="str">
        <f>IFERROR(__xludf.DUMMYFUNCTION("""COMPUTED_VALUE"""),"")</f>
        <v/>
      </c>
      <c r="I286" s="67" t="str">
        <f>IFERROR(__xludf.DUMMYFUNCTION("""COMPUTED_VALUE"""),"")</f>
        <v/>
      </c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  <c r="EX286" s="18"/>
    </row>
    <row r="287">
      <c r="A287" s="101">
        <f t="shared" si="1"/>
        <v>286</v>
      </c>
      <c r="B287" s="95">
        <f>IFERROR(__xludf.DUMMYFUNCTION("filter(Famillesid!$22:$22,(Famillesid!$16:$16=A287)+(Famillesid!$17:$17=A287)+(Famillesid!$18:$18=A287)+(Famillesid!$19:$19=A287)+(Famillesid!$20:$20=A287)+(Famillesid!$21:$21=A287))"),236.0)</f>
        <v>236</v>
      </c>
      <c r="C287" s="105" t="str">
        <f>IFERROR(__xludf.DUMMYFUNCTION("""COMPUTED_VALUE"""),"Paniez")</f>
        <v>Paniez</v>
      </c>
      <c r="D287" s="106" t="str">
        <f>IFERROR(__xludf.DUMMYFUNCTION("filter('Réponses au formulaire 1'!T:T,'Réponses au formulaire 1'!B:B=C287)"),"Une table")</f>
        <v>Une table</v>
      </c>
      <c r="E287" s="110"/>
      <c r="F287" s="92"/>
      <c r="G287" s="18"/>
      <c r="H287" s="101" t="str">
        <f>IFERROR(__xludf.DUMMYFUNCTION("""COMPUTED_VALUE"""),"")</f>
        <v/>
      </c>
      <c r="I287" s="67" t="str">
        <f>IFERROR(__xludf.DUMMYFUNCTION("""COMPUTED_VALUE"""),"")</f>
        <v/>
      </c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</row>
    <row r="288">
      <c r="A288" s="101">
        <f t="shared" si="1"/>
        <v>287</v>
      </c>
      <c r="B288" s="95">
        <f>IFERROR(__xludf.DUMMYFUNCTION("filter(Famillesid!$22:$22,(Famillesid!$16:$16=A288)+(Famillesid!$17:$17=A288)+(Famillesid!$18:$18=A288)+(Famillesid!$19:$19=A288)+(Famillesid!$20:$20=A288)+(Famillesid!$21:$21=A288))"),241.0)</f>
        <v>241</v>
      </c>
      <c r="C288" s="105" t="str">
        <f>IFERROR(__xludf.DUMMYFUNCTION("""COMPUTED_VALUE"""),"Adrien HALLARD")</f>
        <v>Adrien HALLARD</v>
      </c>
      <c r="D288" s="106" t="str">
        <f>IFERROR(__xludf.DUMMYFUNCTION("filter('Réponses au formulaire 1'!T:T,'Réponses au formulaire 1'!B:B=C288)"),"?")</f>
        <v>?</v>
      </c>
      <c r="E288" s="110"/>
      <c r="F288" s="92"/>
      <c r="G288" s="18"/>
      <c r="H288" s="101" t="str">
        <f>IFERROR(__xludf.DUMMYFUNCTION("""COMPUTED_VALUE"""),"")</f>
        <v/>
      </c>
      <c r="I288" s="67" t="str">
        <f>IFERROR(__xludf.DUMMYFUNCTION("""COMPUTED_VALUE"""),"")</f>
        <v/>
      </c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</row>
    <row r="289">
      <c r="A289" s="101">
        <f t="shared" si="1"/>
        <v>288</v>
      </c>
      <c r="B289" s="95">
        <f>IFERROR(__xludf.DUMMYFUNCTION("filter(Famillesid!$22:$22,(Famillesid!$16:$16=A289)+(Famillesid!$17:$17=A289)+(Famillesid!$18:$18=A289)+(Famillesid!$19:$19=A289)+(Famillesid!$20:$20=A289)+(Famillesid!$21:$21=A289))"),191.0)</f>
        <v>191</v>
      </c>
      <c r="C289" s="105" t="str">
        <f>IFERROR(__xludf.DUMMYFUNCTION("""COMPUTED_VALUE"""),"Timothée Corlay")</f>
        <v>Timothée Corlay</v>
      </c>
      <c r="D289" s="106" t="str">
        <f>IFERROR(__xludf.DUMMYFUNCTION("filter('Réponses au formulaire 1'!T:T,'Réponses au formulaire 1'!B:B=C289)"),"Raquette de squash")</f>
        <v>Raquette de squash</v>
      </c>
      <c r="E289" s="107" t="s">
        <v>631</v>
      </c>
      <c r="F289" s="108" t="s">
        <v>1158</v>
      </c>
      <c r="G289" s="18"/>
      <c r="H289" s="101" t="str">
        <f>IFERROR(__xludf.DUMMYFUNCTION("""COMPUTED_VALUE"""),"")</f>
        <v/>
      </c>
      <c r="I289" s="67" t="str">
        <f>IFERROR(__xludf.DUMMYFUNCTION("""COMPUTED_VALUE"""),"")</f>
        <v/>
      </c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  <c r="EX289" s="18"/>
    </row>
    <row r="290">
      <c r="A290" s="101">
        <f t="shared" si="1"/>
        <v>289</v>
      </c>
      <c r="B290" s="95">
        <f>IFERROR(__xludf.DUMMYFUNCTION("filter(Famillesid!$22:$22,(Famillesid!$16:$16=A290)+(Famillesid!$17:$17=A290)+(Famillesid!$18:$18=A290)+(Famillesid!$19:$19=A290)+(Famillesid!$20:$20=A290)+(Famillesid!$21:$21=A290))"),171.0)</f>
        <v>171</v>
      </c>
      <c r="C290" s="105" t="str">
        <f>IFERROR(__xludf.DUMMYFUNCTION("""COMPUTED_VALUE"""),"Aurélio Catel")</f>
        <v>Aurélio Catel</v>
      </c>
      <c r="D290" s="106" t="str">
        <f>IFERROR(__xludf.DUMMYFUNCTION("filter('Réponses au formulaire 1'!T:T,'Réponses au formulaire 1'!B:B=C290)"),"Médaille ")</f>
        <v>Médaille </v>
      </c>
      <c r="E290" s="110"/>
      <c r="F290" s="92"/>
      <c r="G290" s="18"/>
      <c r="H290" s="101" t="str">
        <f>IFERROR(__xludf.DUMMYFUNCTION("""COMPUTED_VALUE"""),"")</f>
        <v/>
      </c>
      <c r="I290" s="67" t="str">
        <f>IFERROR(__xludf.DUMMYFUNCTION("""COMPUTED_VALUE"""),"")</f>
        <v/>
      </c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  <c r="EX290" s="18"/>
    </row>
    <row r="291">
      <c r="A291" s="101">
        <f t="shared" si="1"/>
        <v>290</v>
      </c>
      <c r="B291" s="95" t="str">
        <f>IFERROR(__xludf.DUMMYFUNCTION("filter(Famillesid!$22:$22,(Famillesid!$16:$16=A291)+(Famillesid!$17:$17=A291)+(Famillesid!$18:$18=A291)+(Famillesid!$19:$19=A291)+(Famillesid!$20:$20=A291)+(Famillesid!$21:$21=A291))"),"#N/A")</f>
        <v>#N/A</v>
      </c>
      <c r="C291" s="105" t="str">
        <f>IFERROR(__xludf.DUMMYFUNCTION("""COMPUTED_VALUE"""),"Yuna Landais")</f>
        <v>Yuna Landais</v>
      </c>
      <c r="D291" s="106" t="str">
        <f>IFERROR(__xludf.DUMMYFUNCTION("filter('Réponses au formulaire 1'!T:T,'Réponses au formulaire 1'!B:B=C291)"),"Drapeau breton ")</f>
        <v>Drapeau breton </v>
      </c>
      <c r="E291" s="110"/>
      <c r="F291" s="92"/>
      <c r="G291" s="18"/>
      <c r="H291" s="101" t="str">
        <f>IFERROR(__xludf.DUMMYFUNCTION("""COMPUTED_VALUE"""),"")</f>
        <v/>
      </c>
      <c r="I291" s="67" t="str">
        <f>IFERROR(__xludf.DUMMYFUNCTION("""COMPUTED_VALUE"""),"")</f>
        <v/>
      </c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</row>
    <row r="292">
      <c r="A292" s="101">
        <f t="shared" si="1"/>
        <v>291</v>
      </c>
      <c r="B292" s="95" t="str">
        <f>IFERROR(__xludf.DUMMYFUNCTION("filter(Famillesid!$22:$22,(Famillesid!$16:$16=A292)+(Famillesid!$17:$17=A292)+(Famillesid!$18:$18=A292)+(Famillesid!$19:$19=A292)+(Famillesid!$20:$20=A292)+(Famillesid!$21:$21=A292))"),"#N/A")</f>
        <v>#N/A</v>
      </c>
      <c r="C292" s="105"/>
      <c r="D292" s="106" t="str">
        <f>IFERROR(__xludf.DUMMYFUNCTION("filter('Réponses au formulaire 1'!T:T,'Réponses au formulaire 1'!B:B=C292)"),"#REF!")</f>
        <v>#REF!</v>
      </c>
      <c r="E292" s="110"/>
      <c r="F292" s="92"/>
      <c r="G292" s="18"/>
      <c r="H292" s="101" t="str">
        <f>IFERROR(__xludf.DUMMYFUNCTION("""COMPUTED_VALUE"""),"")</f>
        <v/>
      </c>
      <c r="I292" s="67" t="str">
        <f>IFERROR(__xludf.DUMMYFUNCTION("""COMPUTED_VALUE"""),"")</f>
        <v/>
      </c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</row>
    <row r="293">
      <c r="A293" s="101">
        <f t="shared" si="1"/>
        <v>292</v>
      </c>
      <c r="B293" s="95" t="str">
        <f>IFERROR(__xludf.DUMMYFUNCTION("filter(Famillesid!$22:$22,(Famillesid!$16:$16=A293)+(Famillesid!$17:$17=A293)+(Famillesid!$18:$18=A293)+(Famillesid!$19:$19=A293)+(Famillesid!$20:$20=A293)+(Famillesid!$21:$21=A293))"),"#N/A")</f>
        <v>#N/A</v>
      </c>
      <c r="C293" s="105"/>
      <c r="D293" s="106" t="str">
        <f>IFERROR(__xludf.DUMMYFUNCTION("filter('Réponses au formulaire 1'!T:T,'Réponses au formulaire 1'!B:B=C293)"),"#REF!")</f>
        <v>#REF!</v>
      </c>
      <c r="E293" s="110"/>
      <c r="F293" s="92"/>
      <c r="G293" s="18"/>
      <c r="H293" s="101" t="str">
        <f>IFERROR(__xludf.DUMMYFUNCTION("""COMPUTED_VALUE"""),"")</f>
        <v/>
      </c>
      <c r="I293" s="67" t="str">
        <f>IFERROR(__xludf.DUMMYFUNCTION("""COMPUTED_VALUE"""),"")</f>
        <v/>
      </c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</row>
    <row r="294">
      <c r="A294" s="101">
        <f t="shared" si="1"/>
        <v>293</v>
      </c>
      <c r="B294" s="95" t="str">
        <f>IFERROR(__xludf.DUMMYFUNCTION("filter(Famillesid!$22:$22,(Famillesid!$16:$16=A294)+(Famillesid!$17:$17=A294)+(Famillesid!$18:$18=A294)+(Famillesid!$19:$19=A294)+(Famillesid!$20:$20=A294)+(Famillesid!$21:$21=A294))"),"#N/A")</f>
        <v>#N/A</v>
      </c>
      <c r="C294" s="105"/>
      <c r="D294" s="106" t="str">
        <f>IFERROR(__xludf.DUMMYFUNCTION("filter('Réponses au formulaire 1'!T:T,'Réponses au formulaire 1'!B:B=C294)"),"#REF!")</f>
        <v>#REF!</v>
      </c>
      <c r="E294" s="110"/>
      <c r="F294" s="92"/>
      <c r="G294" s="18"/>
      <c r="H294" s="101" t="str">
        <f>IFERROR(__xludf.DUMMYFUNCTION("""COMPUTED_VALUE"""),"")</f>
        <v/>
      </c>
      <c r="I294" s="67" t="str">
        <f>IFERROR(__xludf.DUMMYFUNCTION("""COMPUTED_VALUE"""),"")</f>
        <v/>
      </c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</row>
    <row r="295">
      <c r="A295" s="101">
        <f t="shared" si="1"/>
        <v>294</v>
      </c>
      <c r="B295" s="95" t="str">
        <f>IFERROR(__xludf.DUMMYFUNCTION("filter(Famillesid!$22:$22,(Famillesid!$16:$16=A295)+(Famillesid!$17:$17=A295)+(Famillesid!$18:$18=A295)+(Famillesid!$19:$19=A295)+(Famillesid!$20:$20=A295)+(Famillesid!$21:$21=A295))"),"#N/A")</f>
        <v>#N/A</v>
      </c>
      <c r="C295" s="105"/>
      <c r="D295" s="106" t="str">
        <f>IFERROR(__xludf.DUMMYFUNCTION("filter('Réponses au formulaire 1'!T:T,'Réponses au formulaire 1'!B:B=C295)"),"#REF!")</f>
        <v>#REF!</v>
      </c>
      <c r="E295" s="110"/>
      <c r="F295" s="92"/>
      <c r="G295" s="18"/>
      <c r="H295" s="101" t="str">
        <f>IFERROR(__xludf.DUMMYFUNCTION("""COMPUTED_VALUE"""),"")</f>
        <v/>
      </c>
      <c r="I295" s="67" t="str">
        <f>IFERROR(__xludf.DUMMYFUNCTION("""COMPUTED_VALUE"""),"")</f>
        <v/>
      </c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</row>
    <row r="296">
      <c r="A296" s="101">
        <f t="shared" si="1"/>
        <v>295</v>
      </c>
      <c r="B296" s="95" t="str">
        <f>IFERROR(__xludf.DUMMYFUNCTION("filter(Famillesid!$22:$22,(Famillesid!$16:$16=A296)+(Famillesid!$17:$17=A296)+(Famillesid!$18:$18=A296)+(Famillesid!$19:$19=A296)+(Famillesid!$20:$20=A296)+(Famillesid!$21:$21=A296))"),"#N/A")</f>
        <v>#N/A</v>
      </c>
      <c r="C296" s="105"/>
      <c r="D296" s="106" t="str">
        <f>IFERROR(__xludf.DUMMYFUNCTION("filter('Réponses au formulaire 1'!T:T,'Réponses au formulaire 1'!B:B=C296)"),"#REF!")</f>
        <v>#REF!</v>
      </c>
      <c r="E296" s="110"/>
      <c r="F296" s="92"/>
      <c r="G296" s="18"/>
      <c r="H296" s="101" t="str">
        <f>IFERROR(__xludf.DUMMYFUNCTION("""COMPUTED_VALUE"""),"")</f>
        <v/>
      </c>
      <c r="I296" s="67" t="str">
        <f>IFERROR(__xludf.DUMMYFUNCTION("""COMPUTED_VALUE"""),"")</f>
        <v/>
      </c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  <c r="EX296" s="18"/>
    </row>
    <row r="297">
      <c r="A297" s="101">
        <f t="shared" si="1"/>
        <v>296</v>
      </c>
      <c r="B297" s="95" t="str">
        <f>IFERROR(__xludf.DUMMYFUNCTION("filter(Famillesid!$22:$22,(Famillesid!$16:$16=A297)+(Famillesid!$17:$17=A297)+(Famillesid!$18:$18=A297)+(Famillesid!$19:$19=A297)+(Famillesid!$20:$20=A297)+(Famillesid!$21:$21=A297))"),"#N/A")</f>
        <v>#N/A</v>
      </c>
      <c r="C297" s="105"/>
      <c r="D297" s="106" t="str">
        <f>IFERROR(__xludf.DUMMYFUNCTION("filter('Réponses au formulaire 1'!T:T,'Réponses au formulaire 1'!B:B=C297)"),"#REF!")</f>
        <v>#REF!</v>
      </c>
      <c r="E297" s="110"/>
      <c r="F297" s="92"/>
      <c r="G297" s="18"/>
      <c r="H297" s="101" t="str">
        <f>IFERROR(__xludf.DUMMYFUNCTION("""COMPUTED_VALUE"""),"")</f>
        <v/>
      </c>
      <c r="I297" s="67" t="str">
        <f>IFERROR(__xludf.DUMMYFUNCTION("""COMPUTED_VALUE"""),"")</f>
        <v/>
      </c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</row>
    <row r="298">
      <c r="A298" s="101">
        <f t="shared" si="1"/>
        <v>297</v>
      </c>
      <c r="B298" s="95" t="str">
        <f>IFERROR(__xludf.DUMMYFUNCTION("filter(Famillesid!$22:$22,(Famillesid!$16:$16=A298)+(Famillesid!$17:$17=A298)+(Famillesid!$18:$18=A298)+(Famillesid!$19:$19=A298)+(Famillesid!$20:$20=A298)+(Famillesid!$21:$21=A298))"),"#N/A")</f>
        <v>#N/A</v>
      </c>
      <c r="C298" s="105"/>
      <c r="D298" s="106" t="str">
        <f>IFERROR(__xludf.DUMMYFUNCTION("filter('Réponses au formulaire 1'!T:T,'Réponses au formulaire 1'!B:B=C298)"),"#REF!")</f>
        <v>#REF!</v>
      </c>
      <c r="E298" s="110"/>
      <c r="F298" s="92"/>
      <c r="G298" s="18"/>
      <c r="H298" s="101" t="str">
        <f>IFERROR(__xludf.DUMMYFUNCTION("""COMPUTED_VALUE"""),"")</f>
        <v/>
      </c>
      <c r="I298" s="67" t="str">
        <f>IFERROR(__xludf.DUMMYFUNCTION("""COMPUTED_VALUE"""),"")</f>
        <v/>
      </c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  <c r="EX298" s="18"/>
    </row>
    <row r="299">
      <c r="A299" s="101">
        <f t="shared" si="1"/>
        <v>298</v>
      </c>
      <c r="B299" s="95" t="str">
        <f>IFERROR(__xludf.DUMMYFUNCTION("filter(Famillesid!$22:$22,(Famillesid!$16:$16=A299)+(Famillesid!$17:$17=A299)+(Famillesid!$18:$18=A299)+(Famillesid!$19:$19=A299)+(Famillesid!$20:$20=A299)+(Famillesid!$21:$21=A299))"),"#N/A")</f>
        <v>#N/A</v>
      </c>
      <c r="C299" s="105"/>
      <c r="D299" s="106" t="str">
        <f>IFERROR(__xludf.DUMMYFUNCTION("filter('Réponses au formulaire 1'!T:T,'Réponses au formulaire 1'!B:B=C299)"),"#REF!")</f>
        <v>#REF!</v>
      </c>
      <c r="E299" s="110"/>
      <c r="F299" s="92"/>
      <c r="G299" s="18"/>
      <c r="H299" s="101" t="str">
        <f>IFERROR(__xludf.DUMMYFUNCTION("""COMPUTED_VALUE"""),"")</f>
        <v/>
      </c>
      <c r="I299" s="67" t="str">
        <f>IFERROR(__xludf.DUMMYFUNCTION("""COMPUTED_VALUE"""),"")</f>
        <v/>
      </c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8"/>
      <c r="EX299" s="18"/>
    </row>
    <row r="300">
      <c r="A300" s="101">
        <f t="shared" si="1"/>
        <v>299</v>
      </c>
      <c r="B300" s="95" t="str">
        <f>IFERROR(__xludf.DUMMYFUNCTION("filter(Famillesid!$22:$22,(Famillesid!$16:$16=A300)+(Famillesid!$17:$17=A300)+(Famillesid!$18:$18=A300)+(Famillesid!$19:$19=A300)+(Famillesid!$20:$20=A300)+(Famillesid!$21:$21=A300))"),"#N/A")</f>
        <v>#N/A</v>
      </c>
      <c r="C300" s="105"/>
      <c r="D300" s="106" t="str">
        <f>IFERROR(__xludf.DUMMYFUNCTION("filter('Réponses au formulaire 1'!T:T,'Réponses au formulaire 1'!B:B=C300)"),"#REF!")</f>
        <v>#REF!</v>
      </c>
      <c r="E300" s="110"/>
      <c r="F300" s="92"/>
      <c r="G300" s="18"/>
      <c r="H300" s="101" t="str">
        <f>IFERROR(__xludf.DUMMYFUNCTION("""COMPUTED_VALUE"""),"")</f>
        <v/>
      </c>
      <c r="I300" s="67" t="str">
        <f>IFERROR(__xludf.DUMMYFUNCTION("""COMPUTED_VALUE"""),"")</f>
        <v/>
      </c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  <c r="EX300" s="18"/>
    </row>
    <row r="301">
      <c r="A301" s="101">
        <f t="shared" si="1"/>
        <v>300</v>
      </c>
      <c r="B301" s="95" t="str">
        <f>IFERROR(__xludf.DUMMYFUNCTION("filter(Famillesid!$22:$22,(Famillesid!$16:$16=A301)+(Famillesid!$17:$17=A301)+(Famillesid!$18:$18=A301)+(Famillesid!$19:$19=A301)+(Famillesid!$20:$20=A301)+(Famillesid!$21:$21=A301))"),"#N/A")</f>
        <v>#N/A</v>
      </c>
      <c r="C301" s="105"/>
      <c r="D301" s="106" t="str">
        <f>IFERROR(__xludf.DUMMYFUNCTION("filter('Réponses au formulaire 1'!T:T,'Réponses au formulaire 1'!B:B=C301)"),"#REF!")</f>
        <v>#REF!</v>
      </c>
      <c r="E301" s="110"/>
      <c r="F301" s="92"/>
      <c r="G301" s="18"/>
      <c r="H301" s="101" t="str">
        <f>IFERROR(__xludf.DUMMYFUNCTION("""COMPUTED_VALUE"""),"")</f>
        <v/>
      </c>
      <c r="I301" s="67" t="str">
        <f>IFERROR(__xludf.DUMMYFUNCTION("""COMPUTED_VALUE"""),"")</f>
        <v/>
      </c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  <c r="EX301" s="18"/>
    </row>
    <row r="302">
      <c r="A302" s="101">
        <f t="shared" si="1"/>
        <v>301</v>
      </c>
      <c r="B302" s="95" t="str">
        <f>IFERROR(__xludf.DUMMYFUNCTION("filter(Famillesid!$22:$22,(Famillesid!$16:$16=A302)+(Famillesid!$17:$17=A302)+(Famillesid!$18:$18=A302)+(Famillesid!$19:$19=A302)+(Famillesid!$20:$20=A302)+(Famillesid!$21:$21=A302))"),"#N/A")</f>
        <v>#N/A</v>
      </c>
      <c r="C302" s="105"/>
      <c r="D302" s="106" t="str">
        <f>IFERROR(__xludf.DUMMYFUNCTION("filter('Réponses au formulaire 1'!T:T,'Réponses au formulaire 1'!B:B=C302)"),"#REF!")</f>
        <v>#REF!</v>
      </c>
      <c r="E302" s="110"/>
      <c r="F302" s="92"/>
      <c r="G302" s="18"/>
      <c r="H302" s="101" t="str">
        <f>IFERROR(__xludf.DUMMYFUNCTION("""COMPUTED_VALUE"""),"")</f>
        <v/>
      </c>
      <c r="I302" s="67" t="str">
        <f>IFERROR(__xludf.DUMMYFUNCTION("""COMPUTED_VALUE"""),"")</f>
        <v/>
      </c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</row>
    <row r="303">
      <c r="A303" s="101">
        <f t="shared" si="1"/>
        <v>302</v>
      </c>
      <c r="B303" s="95" t="str">
        <f>IFERROR(__xludf.DUMMYFUNCTION("filter(Famillesid!$22:$22,(Famillesid!$16:$16=A303)+(Famillesid!$17:$17=A303)+(Famillesid!$18:$18=A303)+(Famillesid!$19:$19=A303)+(Famillesid!$20:$20=A303)+(Famillesid!$21:$21=A303))"),"#N/A")</f>
        <v>#N/A</v>
      </c>
      <c r="C303" s="105"/>
      <c r="D303" s="106" t="str">
        <f>IFERROR(__xludf.DUMMYFUNCTION("filter('Réponses au formulaire 1'!T:T,'Réponses au formulaire 1'!B:B=C303)"),"#REF!")</f>
        <v>#REF!</v>
      </c>
      <c r="E303" s="110"/>
      <c r="F303" s="92"/>
      <c r="G303" s="18"/>
      <c r="H303" s="101" t="str">
        <f>IFERROR(__xludf.DUMMYFUNCTION("""COMPUTED_VALUE"""),"")</f>
        <v/>
      </c>
      <c r="I303" s="67" t="str">
        <f>IFERROR(__xludf.DUMMYFUNCTION("""COMPUTED_VALUE"""),"")</f>
        <v/>
      </c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</row>
    <row r="304">
      <c r="A304" s="101">
        <f t="shared" si="1"/>
        <v>303</v>
      </c>
      <c r="B304" s="95" t="str">
        <f>IFERROR(__xludf.DUMMYFUNCTION("filter(Famillesid!$22:$22,(Famillesid!$16:$16=A304)+(Famillesid!$17:$17=A304)+(Famillesid!$18:$18=A304)+(Famillesid!$19:$19=A304)+(Famillesid!$20:$20=A304)+(Famillesid!$21:$21=A304))"),"#N/A")</f>
        <v>#N/A</v>
      </c>
      <c r="C304" s="105"/>
      <c r="D304" s="106" t="str">
        <f>IFERROR(__xludf.DUMMYFUNCTION("filter('Réponses au formulaire 1'!T:T,'Réponses au formulaire 1'!B:B=C304)"),"#REF!")</f>
        <v>#REF!</v>
      </c>
      <c r="E304" s="110"/>
      <c r="F304" s="92"/>
      <c r="G304" s="18"/>
      <c r="H304" s="101" t="str">
        <f>IFERROR(__xludf.DUMMYFUNCTION("""COMPUTED_VALUE"""),"")</f>
        <v/>
      </c>
      <c r="I304" s="67" t="str">
        <f>IFERROR(__xludf.DUMMYFUNCTION("""COMPUTED_VALUE"""),"")</f>
        <v/>
      </c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</row>
    <row r="305">
      <c r="A305" s="101">
        <f t="shared" si="1"/>
        <v>304</v>
      </c>
      <c r="B305" s="95" t="str">
        <f>IFERROR(__xludf.DUMMYFUNCTION("filter(Famillesid!$22:$22,(Famillesid!$16:$16=A305)+(Famillesid!$17:$17=A305)+(Famillesid!$18:$18=A305)+(Famillesid!$19:$19=A305)+(Famillesid!$20:$20=A305)+(Famillesid!$21:$21=A305))"),"#N/A")</f>
        <v>#N/A</v>
      </c>
      <c r="C305" s="105"/>
      <c r="D305" s="106" t="str">
        <f>IFERROR(__xludf.DUMMYFUNCTION("filter('Réponses au formulaire 1'!T:T,'Réponses au formulaire 1'!B:B=C305)"),"")</f>
        <v/>
      </c>
      <c r="E305" s="110"/>
      <c r="F305" s="92"/>
      <c r="G305" s="18"/>
      <c r="H305" s="101" t="str">
        <f>IFERROR(__xludf.DUMMYFUNCTION("""COMPUTED_VALUE"""),"")</f>
        <v/>
      </c>
      <c r="I305" s="67" t="str">
        <f>IFERROR(__xludf.DUMMYFUNCTION("""COMPUTED_VALUE"""),"")</f>
        <v/>
      </c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</row>
    <row r="306">
      <c r="A306" s="101">
        <f t="shared" si="1"/>
        <v>305</v>
      </c>
      <c r="B306" s="95" t="str">
        <f>IFERROR(__xludf.DUMMYFUNCTION("filter(Famillesid!$22:$22,(Famillesid!$16:$16=A306)+(Famillesid!$17:$17=A306)+(Famillesid!$18:$18=A306)+(Famillesid!$19:$19=A306)+(Famillesid!$20:$20=A306)+(Famillesid!$21:$21=A306))"),"#N/A")</f>
        <v>#N/A</v>
      </c>
      <c r="C306" s="105"/>
      <c r="D306" s="106" t="str">
        <f>IFERROR(__xludf.DUMMYFUNCTION("""COMPUTED_VALUE"""),"")</f>
        <v/>
      </c>
      <c r="E306" s="110"/>
      <c r="F306" s="92"/>
      <c r="G306" s="18"/>
      <c r="H306" s="101" t="str">
        <f>IFERROR(__xludf.DUMMYFUNCTION("""COMPUTED_VALUE"""),"")</f>
        <v/>
      </c>
      <c r="I306" s="67" t="str">
        <f>IFERROR(__xludf.DUMMYFUNCTION("""COMPUTED_VALUE"""),"")</f>
        <v/>
      </c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</row>
    <row r="307">
      <c r="A307" s="101">
        <f t="shared" si="1"/>
        <v>306</v>
      </c>
      <c r="B307" s="95" t="str">
        <f>IFERROR(__xludf.DUMMYFUNCTION("filter(Famillesid!$22:$22,(Famillesid!$16:$16=A307)+(Famillesid!$17:$17=A307)+(Famillesid!$18:$18=A307)+(Famillesid!$19:$19=A307)+(Famillesid!$20:$20=A307)+(Famillesid!$21:$21=A307))"),"#N/A")</f>
        <v>#N/A</v>
      </c>
      <c r="C307" s="105"/>
      <c r="D307" s="106" t="str">
        <f>IFERROR(__xludf.DUMMYFUNCTION("""COMPUTED_VALUE"""),"")</f>
        <v/>
      </c>
      <c r="E307" s="110"/>
      <c r="F307" s="92"/>
      <c r="G307" s="18"/>
      <c r="H307" s="101" t="str">
        <f>IFERROR(__xludf.DUMMYFUNCTION("""COMPUTED_VALUE"""),"")</f>
        <v/>
      </c>
      <c r="I307" s="67" t="str">
        <f>IFERROR(__xludf.DUMMYFUNCTION("""COMPUTED_VALUE"""),"")</f>
        <v/>
      </c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</row>
    <row r="308">
      <c r="A308" s="101">
        <f t="shared" si="1"/>
        <v>307</v>
      </c>
      <c r="B308" s="95" t="str">
        <f>IFERROR(__xludf.DUMMYFUNCTION("filter(Famillesid!$22:$22,(Famillesid!$16:$16=A308)+(Famillesid!$17:$17=A308)+(Famillesid!$18:$18=A308)+(Famillesid!$19:$19=A308)+(Famillesid!$20:$20=A308)+(Famillesid!$21:$21=A308))"),"#N/A")</f>
        <v>#N/A</v>
      </c>
      <c r="C308" s="105"/>
      <c r="D308" s="106" t="str">
        <f>IFERROR(__xludf.DUMMYFUNCTION("""COMPUTED_VALUE"""),"")</f>
        <v/>
      </c>
      <c r="E308" s="110"/>
      <c r="F308" s="92"/>
      <c r="G308" s="18"/>
      <c r="H308" s="101" t="str">
        <f>IFERROR(__xludf.DUMMYFUNCTION("""COMPUTED_VALUE"""),"")</f>
        <v/>
      </c>
      <c r="I308" s="67" t="str">
        <f>IFERROR(__xludf.DUMMYFUNCTION("""COMPUTED_VALUE"""),"")</f>
        <v/>
      </c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</row>
    <row r="309">
      <c r="A309" s="101">
        <f t="shared" si="1"/>
        <v>308</v>
      </c>
      <c r="B309" s="95" t="str">
        <f>IFERROR(__xludf.DUMMYFUNCTION("filter(Famillesid!$22:$22,(Famillesid!$16:$16=A309)+(Famillesid!$17:$17=A309)+(Famillesid!$18:$18=A309)+(Famillesid!$19:$19=A309)+(Famillesid!$20:$20=A309)+(Famillesid!$21:$21=A309))"),"#N/A")</f>
        <v>#N/A</v>
      </c>
      <c r="C309" s="105"/>
      <c r="D309" s="106" t="str">
        <f>IFERROR(__xludf.DUMMYFUNCTION("""COMPUTED_VALUE"""),"")</f>
        <v/>
      </c>
      <c r="E309" s="110"/>
      <c r="F309" s="92"/>
      <c r="G309" s="18"/>
      <c r="H309" s="101" t="str">
        <f>IFERROR(__xludf.DUMMYFUNCTION("""COMPUTED_VALUE"""),"")</f>
        <v/>
      </c>
      <c r="I309" s="67" t="str">
        <f>IFERROR(__xludf.DUMMYFUNCTION("""COMPUTED_VALUE"""),"")</f>
        <v/>
      </c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</row>
    <row r="310">
      <c r="A310" s="101"/>
      <c r="B310" s="105"/>
      <c r="C310" s="105"/>
      <c r="D310" s="106" t="str">
        <f>IFERROR(__xludf.DUMMYFUNCTION("""COMPUTED_VALUE"""),"")</f>
        <v/>
      </c>
      <c r="E310" s="110"/>
      <c r="F310" s="92"/>
      <c r="G310" s="18"/>
      <c r="H310" s="101" t="str">
        <f>IFERROR(__xludf.DUMMYFUNCTION("""COMPUTED_VALUE"""),"")</f>
        <v/>
      </c>
      <c r="I310" s="67" t="str">
        <f>IFERROR(__xludf.DUMMYFUNCTION("""COMPUTED_VALUE"""),"")</f>
        <v/>
      </c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</row>
    <row r="311">
      <c r="A311" s="101"/>
      <c r="B311" s="105"/>
      <c r="C311" s="105"/>
      <c r="D311" s="106" t="str">
        <f>IFERROR(__xludf.DUMMYFUNCTION("""COMPUTED_VALUE"""),"")</f>
        <v/>
      </c>
      <c r="E311" s="110"/>
      <c r="F311" s="92"/>
      <c r="G311" s="18"/>
      <c r="H311" s="101" t="str">
        <f>IFERROR(__xludf.DUMMYFUNCTION("""COMPUTED_VALUE"""),"")</f>
        <v/>
      </c>
      <c r="I311" s="67" t="str">
        <f>IFERROR(__xludf.DUMMYFUNCTION("""COMPUTED_VALUE"""),"")</f>
        <v/>
      </c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</row>
    <row r="312">
      <c r="A312" s="101"/>
      <c r="B312" s="105"/>
      <c r="C312" s="105"/>
      <c r="D312" s="106" t="str">
        <f>IFERROR(__xludf.DUMMYFUNCTION("""COMPUTED_VALUE"""),"")</f>
        <v/>
      </c>
      <c r="E312" s="110"/>
      <c r="F312" s="92"/>
      <c r="G312" s="18"/>
      <c r="H312" s="101" t="str">
        <f>IFERROR(__xludf.DUMMYFUNCTION("""COMPUTED_VALUE"""),"")</f>
        <v/>
      </c>
      <c r="I312" s="67" t="str">
        <f>IFERROR(__xludf.DUMMYFUNCTION("""COMPUTED_VALUE"""),"")</f>
        <v/>
      </c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</row>
    <row r="313">
      <c r="A313" s="101"/>
      <c r="B313" s="105"/>
      <c r="C313" s="105"/>
      <c r="D313" s="106" t="str">
        <f>IFERROR(__xludf.DUMMYFUNCTION("""COMPUTED_VALUE"""),"")</f>
        <v/>
      </c>
      <c r="E313" s="110"/>
      <c r="F313" s="92"/>
      <c r="G313" s="18"/>
      <c r="H313" s="101" t="str">
        <f>IFERROR(__xludf.DUMMYFUNCTION("""COMPUTED_VALUE"""),"")</f>
        <v/>
      </c>
      <c r="I313" s="67" t="str">
        <f>IFERROR(__xludf.DUMMYFUNCTION("""COMPUTED_VALUE"""),"")</f>
        <v/>
      </c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</row>
    <row r="314">
      <c r="A314" s="101"/>
      <c r="B314" s="105"/>
      <c r="C314" s="105"/>
      <c r="D314" s="106" t="str">
        <f>IFERROR(__xludf.DUMMYFUNCTION("""COMPUTED_VALUE"""),"")</f>
        <v/>
      </c>
      <c r="E314" s="110"/>
      <c r="F314" s="92"/>
      <c r="G314" s="18"/>
      <c r="H314" s="101" t="str">
        <f>IFERROR(__xludf.DUMMYFUNCTION("""COMPUTED_VALUE"""),"")</f>
        <v/>
      </c>
      <c r="I314" s="67" t="str">
        <f>IFERROR(__xludf.DUMMYFUNCTION("""COMPUTED_VALUE"""),"")</f>
        <v/>
      </c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8"/>
      <c r="EX314" s="18"/>
    </row>
    <row r="315">
      <c r="A315" s="101"/>
      <c r="B315" s="105"/>
      <c r="C315" s="105"/>
      <c r="D315" s="106" t="str">
        <f>IFERROR(__xludf.DUMMYFUNCTION("""COMPUTED_VALUE"""),"")</f>
        <v/>
      </c>
      <c r="E315" s="110"/>
      <c r="F315" s="92"/>
      <c r="G315" s="18"/>
      <c r="H315" s="101" t="str">
        <f>IFERROR(__xludf.DUMMYFUNCTION("""COMPUTED_VALUE"""),"")</f>
        <v/>
      </c>
      <c r="I315" s="67" t="str">
        <f>IFERROR(__xludf.DUMMYFUNCTION("""COMPUTED_VALUE"""),"")</f>
        <v/>
      </c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</row>
    <row r="316">
      <c r="A316" s="101"/>
      <c r="B316" s="105"/>
      <c r="C316" s="105"/>
      <c r="D316" s="106" t="str">
        <f>IFERROR(__xludf.DUMMYFUNCTION("""COMPUTED_VALUE"""),"")</f>
        <v/>
      </c>
      <c r="E316" s="110"/>
      <c r="F316" s="92"/>
      <c r="G316" s="18"/>
      <c r="H316" s="101" t="str">
        <f>IFERROR(__xludf.DUMMYFUNCTION("""COMPUTED_VALUE"""),"")</f>
        <v/>
      </c>
      <c r="I316" s="67" t="str">
        <f>IFERROR(__xludf.DUMMYFUNCTION("""COMPUTED_VALUE"""),"")</f>
        <v/>
      </c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  <c r="ER316" s="18"/>
      <c r="ES316" s="18"/>
      <c r="ET316" s="18"/>
      <c r="EU316" s="18"/>
      <c r="EV316" s="18"/>
      <c r="EW316" s="18"/>
      <c r="EX316" s="18"/>
    </row>
    <row r="317">
      <c r="A317" s="101"/>
      <c r="B317" s="105"/>
      <c r="C317" s="105"/>
      <c r="D317" s="106" t="str">
        <f>IFERROR(__xludf.DUMMYFUNCTION("""COMPUTED_VALUE"""),"")</f>
        <v/>
      </c>
      <c r="E317" s="110"/>
      <c r="F317" s="92"/>
      <c r="G317" s="18"/>
      <c r="H317" s="101" t="str">
        <f>IFERROR(__xludf.DUMMYFUNCTION("""COMPUTED_VALUE"""),"")</f>
        <v/>
      </c>
      <c r="I317" s="67" t="str">
        <f>IFERROR(__xludf.DUMMYFUNCTION("""COMPUTED_VALUE"""),"")</f>
        <v/>
      </c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</row>
    <row r="318">
      <c r="A318" s="101"/>
      <c r="B318" s="105"/>
      <c r="C318" s="105"/>
      <c r="D318" s="106" t="str">
        <f>IFERROR(__xludf.DUMMYFUNCTION("""COMPUTED_VALUE"""),"")</f>
        <v/>
      </c>
      <c r="E318" s="110"/>
      <c r="F318" s="92"/>
      <c r="G318" s="18"/>
      <c r="H318" s="101" t="str">
        <f>IFERROR(__xludf.DUMMYFUNCTION("""COMPUTED_VALUE"""),"")</f>
        <v/>
      </c>
      <c r="I318" s="67" t="str">
        <f>IFERROR(__xludf.DUMMYFUNCTION("""COMPUTED_VALUE"""),"")</f>
        <v/>
      </c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</row>
    <row r="319">
      <c r="A319" s="101"/>
      <c r="B319" s="105"/>
      <c r="C319" s="105"/>
      <c r="D319" s="106" t="str">
        <f>IFERROR(__xludf.DUMMYFUNCTION("""COMPUTED_VALUE"""),"")</f>
        <v/>
      </c>
      <c r="E319" s="110"/>
      <c r="F319" s="92"/>
      <c r="G319" s="18"/>
      <c r="H319" s="101" t="str">
        <f>IFERROR(__xludf.DUMMYFUNCTION("""COMPUTED_VALUE"""),"")</f>
        <v/>
      </c>
      <c r="I319" s="67" t="str">
        <f>IFERROR(__xludf.DUMMYFUNCTION("""COMPUTED_VALUE"""),"")</f>
        <v/>
      </c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</row>
    <row r="320">
      <c r="A320" s="101"/>
      <c r="B320" s="105"/>
      <c r="C320" s="105"/>
      <c r="D320" s="106" t="str">
        <f>IFERROR(__xludf.DUMMYFUNCTION("""COMPUTED_VALUE"""),"")</f>
        <v/>
      </c>
      <c r="E320" s="110"/>
      <c r="F320" s="92"/>
      <c r="G320" s="18"/>
      <c r="H320" s="101" t="str">
        <f>IFERROR(__xludf.DUMMYFUNCTION("""COMPUTED_VALUE"""),"")</f>
        <v/>
      </c>
      <c r="I320" s="67" t="str">
        <f>IFERROR(__xludf.DUMMYFUNCTION("""COMPUTED_VALUE"""),"")</f>
        <v/>
      </c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8"/>
      <c r="EX320" s="18"/>
    </row>
    <row r="321">
      <c r="A321" s="101"/>
      <c r="B321" s="105"/>
      <c r="C321" s="105"/>
      <c r="D321" s="106" t="str">
        <f>IFERROR(__xludf.DUMMYFUNCTION("""COMPUTED_VALUE"""),"")</f>
        <v/>
      </c>
      <c r="E321" s="110"/>
      <c r="F321" s="92"/>
      <c r="G321" s="18"/>
      <c r="H321" s="101" t="str">
        <f>IFERROR(__xludf.DUMMYFUNCTION("""COMPUTED_VALUE"""),"")</f>
        <v/>
      </c>
      <c r="I321" s="67" t="str">
        <f>IFERROR(__xludf.DUMMYFUNCTION("""COMPUTED_VALUE"""),"")</f>
        <v/>
      </c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</row>
    <row r="322">
      <c r="A322" s="101"/>
      <c r="B322" s="105"/>
      <c r="C322" s="105"/>
      <c r="D322" s="106" t="str">
        <f>IFERROR(__xludf.DUMMYFUNCTION("""COMPUTED_VALUE"""),"")</f>
        <v/>
      </c>
      <c r="E322" s="110"/>
      <c r="F322" s="92"/>
      <c r="G322" s="18"/>
      <c r="H322" s="101" t="str">
        <f>IFERROR(__xludf.DUMMYFUNCTION("""COMPUTED_VALUE"""),"")</f>
        <v/>
      </c>
      <c r="I322" s="67" t="str">
        <f>IFERROR(__xludf.DUMMYFUNCTION("""COMPUTED_VALUE"""),"")</f>
        <v/>
      </c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</row>
    <row r="323">
      <c r="A323" s="101"/>
      <c r="B323" s="105"/>
      <c r="C323" s="105"/>
      <c r="D323" s="106" t="str">
        <f>IFERROR(__xludf.DUMMYFUNCTION("""COMPUTED_VALUE"""),"")</f>
        <v/>
      </c>
      <c r="E323" s="110"/>
      <c r="F323" s="92"/>
      <c r="G323" s="18"/>
      <c r="H323" s="101" t="str">
        <f>IFERROR(__xludf.DUMMYFUNCTION("""COMPUTED_VALUE"""),"")</f>
        <v/>
      </c>
      <c r="I323" s="67" t="str">
        <f>IFERROR(__xludf.DUMMYFUNCTION("""COMPUTED_VALUE"""),"")</f>
        <v/>
      </c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</row>
    <row r="324">
      <c r="A324" s="101"/>
      <c r="B324" s="105"/>
      <c r="C324" s="105"/>
      <c r="D324" s="106" t="str">
        <f>IFERROR(__xludf.DUMMYFUNCTION("""COMPUTED_VALUE"""),"")</f>
        <v/>
      </c>
      <c r="E324" s="110"/>
      <c r="F324" s="92"/>
      <c r="G324" s="18"/>
      <c r="H324" s="101" t="str">
        <f>IFERROR(__xludf.DUMMYFUNCTION("""COMPUTED_VALUE"""),"")</f>
        <v/>
      </c>
      <c r="I324" s="67" t="str">
        <f>IFERROR(__xludf.DUMMYFUNCTION("""COMPUTED_VALUE"""),"")</f>
        <v/>
      </c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</row>
    <row r="325">
      <c r="A325" s="101"/>
      <c r="B325" s="105"/>
      <c r="C325" s="105"/>
      <c r="D325" s="106" t="str">
        <f>IFERROR(__xludf.DUMMYFUNCTION("""COMPUTED_VALUE"""),"")</f>
        <v/>
      </c>
      <c r="E325" s="110"/>
      <c r="F325" s="92"/>
      <c r="G325" s="18"/>
      <c r="H325" s="101" t="str">
        <f>IFERROR(__xludf.DUMMYFUNCTION("""COMPUTED_VALUE"""),"")</f>
        <v/>
      </c>
      <c r="I325" s="67" t="str">
        <f>IFERROR(__xludf.DUMMYFUNCTION("""COMPUTED_VALUE"""),"")</f>
        <v/>
      </c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</row>
    <row r="326">
      <c r="A326" s="101"/>
      <c r="B326" s="105"/>
      <c r="C326" s="105"/>
      <c r="D326" s="106" t="str">
        <f>IFERROR(__xludf.DUMMYFUNCTION("""COMPUTED_VALUE"""),"")</f>
        <v/>
      </c>
      <c r="E326" s="110"/>
      <c r="F326" s="92"/>
      <c r="G326" s="18"/>
      <c r="H326" s="101" t="str">
        <f>IFERROR(__xludf.DUMMYFUNCTION("""COMPUTED_VALUE"""),"")</f>
        <v/>
      </c>
      <c r="I326" s="67" t="str">
        <f>IFERROR(__xludf.DUMMYFUNCTION("""COMPUTED_VALUE"""),"")</f>
        <v/>
      </c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</row>
    <row r="327">
      <c r="A327" s="101"/>
      <c r="B327" s="105"/>
      <c r="C327" s="105"/>
      <c r="D327" s="106" t="str">
        <f>IFERROR(__xludf.DUMMYFUNCTION("""COMPUTED_VALUE"""),"")</f>
        <v/>
      </c>
      <c r="E327" s="110"/>
      <c r="F327" s="92"/>
      <c r="G327" s="18"/>
      <c r="H327" s="101" t="str">
        <f>IFERROR(__xludf.DUMMYFUNCTION("""COMPUTED_VALUE"""),"")</f>
        <v/>
      </c>
      <c r="I327" s="67" t="str">
        <f>IFERROR(__xludf.DUMMYFUNCTION("""COMPUTED_VALUE"""),"")</f>
        <v/>
      </c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</row>
    <row r="328">
      <c r="A328" s="101"/>
      <c r="B328" s="105"/>
      <c r="C328" s="105"/>
      <c r="D328" s="106" t="str">
        <f>IFERROR(__xludf.DUMMYFUNCTION("""COMPUTED_VALUE"""),"")</f>
        <v/>
      </c>
      <c r="E328" s="110"/>
      <c r="F328" s="92"/>
      <c r="G328" s="18"/>
      <c r="H328" s="101" t="str">
        <f>IFERROR(__xludf.DUMMYFUNCTION("""COMPUTED_VALUE"""),"")</f>
        <v/>
      </c>
      <c r="I328" s="67" t="str">
        <f>IFERROR(__xludf.DUMMYFUNCTION("""COMPUTED_VALUE"""),"")</f>
        <v/>
      </c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</row>
    <row r="329">
      <c r="A329" s="101"/>
      <c r="B329" s="105"/>
      <c r="C329" s="105"/>
      <c r="D329" s="106" t="str">
        <f>IFERROR(__xludf.DUMMYFUNCTION("""COMPUTED_VALUE"""),"")</f>
        <v/>
      </c>
      <c r="E329" s="110"/>
      <c r="F329" s="92"/>
      <c r="G329" s="18"/>
      <c r="H329" s="101" t="str">
        <f>IFERROR(__xludf.DUMMYFUNCTION("""COMPUTED_VALUE"""),"")</f>
        <v/>
      </c>
      <c r="I329" s="67" t="str">
        <f>IFERROR(__xludf.DUMMYFUNCTION("""COMPUTED_VALUE"""),"")</f>
        <v/>
      </c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8"/>
      <c r="EX329" s="18"/>
    </row>
    <row r="330">
      <c r="A330" s="101"/>
      <c r="B330" s="105"/>
      <c r="C330" s="105"/>
      <c r="D330" s="106" t="str">
        <f>IFERROR(__xludf.DUMMYFUNCTION("""COMPUTED_VALUE"""),"")</f>
        <v/>
      </c>
      <c r="E330" s="110"/>
      <c r="F330" s="92"/>
      <c r="G330" s="18"/>
      <c r="H330" s="101" t="str">
        <f>IFERROR(__xludf.DUMMYFUNCTION("""COMPUTED_VALUE"""),"")</f>
        <v/>
      </c>
      <c r="I330" s="67" t="str">
        <f>IFERROR(__xludf.DUMMYFUNCTION("""COMPUTED_VALUE"""),"")</f>
        <v/>
      </c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  <c r="DW330" s="18"/>
      <c r="DX330" s="18"/>
      <c r="DY330" s="18"/>
      <c r="DZ330" s="18"/>
      <c r="EA330" s="18"/>
      <c r="EB330" s="18"/>
      <c r="EC330" s="18"/>
      <c r="ED330" s="18"/>
      <c r="EE330" s="18"/>
      <c r="EF330" s="18"/>
      <c r="EG330" s="18"/>
      <c r="EH330" s="18"/>
      <c r="EI330" s="18"/>
      <c r="EJ330" s="18"/>
      <c r="EK330" s="18"/>
      <c r="EL330" s="18"/>
      <c r="EM330" s="18"/>
      <c r="EN330" s="18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</row>
    <row r="331">
      <c r="A331" s="101"/>
      <c r="B331" s="105"/>
      <c r="C331" s="105"/>
      <c r="D331" s="106" t="str">
        <f>IFERROR(__xludf.DUMMYFUNCTION("""COMPUTED_VALUE"""),"")</f>
        <v/>
      </c>
      <c r="E331" s="110"/>
      <c r="F331" s="92"/>
      <c r="G331" s="18"/>
      <c r="H331" s="101" t="str">
        <f>IFERROR(__xludf.DUMMYFUNCTION("""COMPUTED_VALUE"""),"")</f>
        <v/>
      </c>
      <c r="I331" s="67" t="str">
        <f>IFERROR(__xludf.DUMMYFUNCTION("""COMPUTED_VALUE"""),"")</f>
        <v/>
      </c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  <c r="EX331" s="18"/>
    </row>
    <row r="332">
      <c r="A332" s="101"/>
      <c r="B332" s="105"/>
      <c r="C332" s="105"/>
      <c r="D332" s="106" t="str">
        <f>IFERROR(__xludf.DUMMYFUNCTION("""COMPUTED_VALUE"""),"")</f>
        <v/>
      </c>
      <c r="E332" s="110"/>
      <c r="F332" s="92"/>
      <c r="G332" s="18"/>
      <c r="H332" s="101" t="str">
        <f>IFERROR(__xludf.DUMMYFUNCTION("""COMPUTED_VALUE"""),"")</f>
        <v/>
      </c>
      <c r="I332" s="67" t="str">
        <f>IFERROR(__xludf.DUMMYFUNCTION("""COMPUTED_VALUE"""),"")</f>
        <v/>
      </c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  <c r="DW332" s="18"/>
      <c r="DX332" s="18"/>
      <c r="DY332" s="18"/>
      <c r="DZ332" s="18"/>
      <c r="EA332" s="18"/>
      <c r="EB332" s="18"/>
      <c r="EC332" s="18"/>
      <c r="ED332" s="18"/>
      <c r="EE332" s="18"/>
      <c r="EF332" s="18"/>
      <c r="EG332" s="18"/>
      <c r="EH332" s="18"/>
      <c r="EI332" s="18"/>
      <c r="EJ332" s="18"/>
      <c r="EK332" s="18"/>
      <c r="EL332" s="18"/>
      <c r="EM332" s="18"/>
      <c r="EN332" s="18"/>
      <c r="EO332" s="18"/>
      <c r="EP332" s="18"/>
      <c r="EQ332" s="18"/>
      <c r="ER332" s="18"/>
      <c r="ES332" s="18"/>
      <c r="ET332" s="18"/>
      <c r="EU332" s="18"/>
      <c r="EV332" s="18"/>
      <c r="EW332" s="18"/>
      <c r="EX332" s="18"/>
    </row>
    <row r="333">
      <c r="A333" s="101"/>
      <c r="B333" s="105"/>
      <c r="C333" s="105"/>
      <c r="D333" s="106" t="str">
        <f>IFERROR(__xludf.DUMMYFUNCTION("""COMPUTED_VALUE"""),"")</f>
        <v/>
      </c>
      <c r="E333" s="110"/>
      <c r="F333" s="92"/>
      <c r="G333" s="18"/>
      <c r="H333" s="101" t="str">
        <f>IFERROR(__xludf.DUMMYFUNCTION("""COMPUTED_VALUE"""),"")</f>
        <v/>
      </c>
      <c r="I333" s="67" t="str">
        <f>IFERROR(__xludf.DUMMYFUNCTION("""COMPUTED_VALUE"""),"")</f>
        <v/>
      </c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</row>
    <row r="334">
      <c r="A334" s="101"/>
      <c r="B334" s="105"/>
      <c r="C334" s="105"/>
      <c r="D334" s="106" t="str">
        <f>IFERROR(__xludf.DUMMYFUNCTION("""COMPUTED_VALUE"""),"")</f>
        <v/>
      </c>
      <c r="E334" s="110"/>
      <c r="F334" s="92"/>
      <c r="G334" s="18"/>
      <c r="H334" s="101" t="str">
        <f>IFERROR(__xludf.DUMMYFUNCTION("""COMPUTED_VALUE"""),"")</f>
        <v/>
      </c>
      <c r="I334" s="67" t="str">
        <f>IFERROR(__xludf.DUMMYFUNCTION("""COMPUTED_VALUE"""),"")</f>
        <v/>
      </c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</row>
    <row r="335">
      <c r="A335" s="101"/>
      <c r="B335" s="105"/>
      <c r="C335" s="105"/>
      <c r="D335" s="106" t="str">
        <f>IFERROR(__xludf.DUMMYFUNCTION("""COMPUTED_VALUE"""),"")</f>
        <v/>
      </c>
      <c r="E335" s="110"/>
      <c r="F335" s="92"/>
      <c r="G335" s="18"/>
      <c r="H335" s="101" t="str">
        <f>IFERROR(__xludf.DUMMYFUNCTION("""COMPUTED_VALUE"""),"")</f>
        <v/>
      </c>
      <c r="I335" s="67" t="str">
        <f>IFERROR(__xludf.DUMMYFUNCTION("""COMPUTED_VALUE"""),"")</f>
        <v/>
      </c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</row>
    <row r="336">
      <c r="A336" s="101"/>
      <c r="B336" s="105"/>
      <c r="C336" s="105"/>
      <c r="D336" s="106" t="str">
        <f>IFERROR(__xludf.DUMMYFUNCTION("""COMPUTED_VALUE"""),"")</f>
        <v/>
      </c>
      <c r="E336" s="110"/>
      <c r="F336" s="92"/>
      <c r="G336" s="18"/>
      <c r="H336" s="101" t="str">
        <f>IFERROR(__xludf.DUMMYFUNCTION("""COMPUTED_VALUE"""),"")</f>
        <v/>
      </c>
      <c r="I336" s="67" t="str">
        <f>IFERROR(__xludf.DUMMYFUNCTION("""COMPUTED_VALUE"""),"")</f>
        <v/>
      </c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8"/>
      <c r="DX336" s="18"/>
      <c r="DY336" s="18"/>
      <c r="DZ336" s="18"/>
      <c r="EA336" s="18"/>
      <c r="EB336" s="18"/>
      <c r="EC336" s="18"/>
      <c r="ED336" s="18"/>
      <c r="EE336" s="18"/>
      <c r="EF336" s="18"/>
      <c r="EG336" s="18"/>
      <c r="EH336" s="18"/>
      <c r="EI336" s="18"/>
      <c r="EJ336" s="18"/>
      <c r="EK336" s="18"/>
      <c r="EL336" s="18"/>
      <c r="EM336" s="18"/>
      <c r="EN336" s="18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</row>
    <row r="337">
      <c r="A337" s="101"/>
      <c r="B337" s="105"/>
      <c r="C337" s="105"/>
      <c r="D337" s="106" t="str">
        <f>IFERROR(__xludf.DUMMYFUNCTION("""COMPUTED_VALUE"""),"")</f>
        <v/>
      </c>
      <c r="E337" s="110"/>
      <c r="F337" s="92"/>
      <c r="G337" s="18"/>
      <c r="H337" s="101" t="str">
        <f>IFERROR(__xludf.DUMMYFUNCTION("""COMPUTED_VALUE"""),"")</f>
        <v/>
      </c>
      <c r="I337" s="67" t="str">
        <f>IFERROR(__xludf.DUMMYFUNCTION("""COMPUTED_VALUE"""),"")</f>
        <v/>
      </c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  <c r="DW337" s="18"/>
      <c r="DX337" s="18"/>
      <c r="DY337" s="18"/>
      <c r="DZ337" s="18"/>
      <c r="EA337" s="18"/>
      <c r="EB337" s="18"/>
      <c r="EC337" s="18"/>
      <c r="ED337" s="18"/>
      <c r="EE337" s="18"/>
      <c r="EF337" s="18"/>
      <c r="EG337" s="18"/>
      <c r="EH337" s="18"/>
      <c r="EI337" s="18"/>
      <c r="EJ337" s="18"/>
      <c r="EK337" s="18"/>
      <c r="EL337" s="18"/>
      <c r="EM337" s="18"/>
      <c r="EN337" s="18"/>
      <c r="EO337" s="18"/>
      <c r="EP337" s="18"/>
      <c r="EQ337" s="18"/>
      <c r="ER337" s="18"/>
      <c r="ES337" s="18"/>
      <c r="ET337" s="18"/>
      <c r="EU337" s="18"/>
      <c r="EV337" s="18"/>
      <c r="EW337" s="18"/>
      <c r="EX337" s="18"/>
    </row>
    <row r="338">
      <c r="A338" s="101"/>
      <c r="B338" s="105"/>
      <c r="C338" s="105"/>
      <c r="D338" s="106" t="str">
        <f>IFERROR(__xludf.DUMMYFUNCTION("""COMPUTED_VALUE"""),"")</f>
        <v/>
      </c>
      <c r="E338" s="110"/>
      <c r="F338" s="92"/>
      <c r="G338" s="18"/>
      <c r="H338" s="101" t="str">
        <f>IFERROR(__xludf.DUMMYFUNCTION("""COMPUTED_VALUE"""),"")</f>
        <v/>
      </c>
      <c r="I338" s="67" t="str">
        <f>IFERROR(__xludf.DUMMYFUNCTION("""COMPUTED_VALUE"""),"")</f>
        <v/>
      </c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  <c r="DW338" s="18"/>
      <c r="DX338" s="18"/>
      <c r="DY338" s="18"/>
      <c r="DZ338" s="18"/>
      <c r="EA338" s="18"/>
      <c r="EB338" s="18"/>
      <c r="EC338" s="18"/>
      <c r="ED338" s="18"/>
      <c r="EE338" s="18"/>
      <c r="EF338" s="18"/>
      <c r="EG338" s="18"/>
      <c r="EH338" s="18"/>
      <c r="EI338" s="18"/>
      <c r="EJ338" s="18"/>
      <c r="EK338" s="18"/>
      <c r="EL338" s="18"/>
      <c r="EM338" s="18"/>
      <c r="EN338" s="18"/>
      <c r="EO338" s="18"/>
      <c r="EP338" s="18"/>
      <c r="EQ338" s="18"/>
      <c r="ER338" s="18"/>
      <c r="ES338" s="18"/>
      <c r="ET338" s="18"/>
      <c r="EU338" s="18"/>
      <c r="EV338" s="18"/>
      <c r="EW338" s="18"/>
      <c r="EX338" s="18"/>
    </row>
    <row r="339">
      <c r="A339" s="101"/>
      <c r="B339" s="105"/>
      <c r="C339" s="105"/>
      <c r="D339" s="106" t="str">
        <f>IFERROR(__xludf.DUMMYFUNCTION("""COMPUTED_VALUE"""),"")</f>
        <v/>
      </c>
      <c r="E339" s="110"/>
      <c r="F339" s="92"/>
      <c r="G339" s="18"/>
      <c r="H339" s="101" t="str">
        <f>IFERROR(__xludf.DUMMYFUNCTION("""COMPUTED_VALUE"""),"")</f>
        <v/>
      </c>
      <c r="I339" s="67" t="str">
        <f>IFERROR(__xludf.DUMMYFUNCTION("""COMPUTED_VALUE"""),"")</f>
        <v/>
      </c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  <c r="DW339" s="18"/>
      <c r="DX339" s="18"/>
      <c r="DY339" s="18"/>
      <c r="DZ339" s="18"/>
      <c r="EA339" s="18"/>
      <c r="EB339" s="18"/>
      <c r="EC339" s="18"/>
      <c r="ED339" s="18"/>
      <c r="EE339" s="18"/>
      <c r="EF339" s="18"/>
      <c r="EG339" s="18"/>
      <c r="EH339" s="18"/>
      <c r="EI339" s="18"/>
      <c r="EJ339" s="18"/>
      <c r="EK339" s="18"/>
      <c r="EL339" s="18"/>
      <c r="EM339" s="18"/>
      <c r="EN339" s="18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</row>
    <row r="340">
      <c r="A340" s="101"/>
      <c r="B340" s="105"/>
      <c r="C340" s="105"/>
      <c r="D340" s="106" t="str">
        <f>IFERROR(__xludf.DUMMYFUNCTION("""COMPUTED_VALUE"""),"")</f>
        <v/>
      </c>
      <c r="E340" s="110"/>
      <c r="F340" s="92"/>
      <c r="G340" s="18"/>
      <c r="H340" s="101" t="str">
        <f>IFERROR(__xludf.DUMMYFUNCTION("""COMPUTED_VALUE"""),"")</f>
        <v/>
      </c>
      <c r="I340" s="67" t="str">
        <f>IFERROR(__xludf.DUMMYFUNCTION("""COMPUTED_VALUE"""),"")</f>
        <v/>
      </c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  <c r="DW340" s="18"/>
      <c r="DX340" s="18"/>
      <c r="DY340" s="18"/>
      <c r="DZ340" s="18"/>
      <c r="EA340" s="18"/>
      <c r="EB340" s="18"/>
      <c r="EC340" s="18"/>
      <c r="ED340" s="18"/>
      <c r="EE340" s="18"/>
      <c r="EF340" s="18"/>
      <c r="EG340" s="18"/>
      <c r="EH340" s="18"/>
      <c r="EI340" s="18"/>
      <c r="EJ340" s="18"/>
      <c r="EK340" s="18"/>
      <c r="EL340" s="18"/>
      <c r="EM340" s="18"/>
      <c r="EN340" s="18"/>
      <c r="EO340" s="18"/>
      <c r="EP340" s="18"/>
      <c r="EQ340" s="18"/>
      <c r="ER340" s="18"/>
      <c r="ES340" s="18"/>
      <c r="ET340" s="18"/>
      <c r="EU340" s="18"/>
      <c r="EV340" s="18"/>
      <c r="EW340" s="18"/>
      <c r="EX340" s="18"/>
    </row>
    <row r="341">
      <c r="A341" s="101"/>
      <c r="B341" s="105"/>
      <c r="C341" s="105"/>
      <c r="D341" s="106" t="str">
        <f>IFERROR(__xludf.DUMMYFUNCTION("""COMPUTED_VALUE"""),"")</f>
        <v/>
      </c>
      <c r="E341" s="110"/>
      <c r="F341" s="92"/>
      <c r="G341" s="18"/>
      <c r="H341" s="101" t="str">
        <f>IFERROR(__xludf.DUMMYFUNCTION("""COMPUTED_VALUE"""),"")</f>
        <v/>
      </c>
      <c r="I341" s="67" t="str">
        <f>IFERROR(__xludf.DUMMYFUNCTION("""COMPUTED_VALUE"""),"")</f>
        <v/>
      </c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  <c r="DW341" s="18"/>
      <c r="DX341" s="18"/>
      <c r="DY341" s="18"/>
      <c r="DZ341" s="18"/>
      <c r="EA341" s="18"/>
      <c r="EB341" s="18"/>
      <c r="EC341" s="18"/>
      <c r="ED341" s="18"/>
      <c r="EE341" s="18"/>
      <c r="EF341" s="18"/>
      <c r="EG341" s="18"/>
      <c r="EH341" s="18"/>
      <c r="EI341" s="18"/>
      <c r="EJ341" s="18"/>
      <c r="EK341" s="18"/>
      <c r="EL341" s="18"/>
      <c r="EM341" s="18"/>
      <c r="EN341" s="18"/>
      <c r="EO341" s="18"/>
      <c r="EP341" s="18"/>
      <c r="EQ341" s="18"/>
      <c r="ER341" s="18"/>
      <c r="ES341" s="18"/>
      <c r="ET341" s="18"/>
      <c r="EU341" s="18"/>
      <c r="EV341" s="18"/>
      <c r="EW341" s="18"/>
      <c r="EX341" s="18"/>
    </row>
    <row r="342">
      <c r="A342" s="101"/>
      <c r="B342" s="105"/>
      <c r="C342" s="105"/>
      <c r="D342" s="106" t="str">
        <f>IFERROR(__xludf.DUMMYFUNCTION("""COMPUTED_VALUE"""),"")</f>
        <v/>
      </c>
      <c r="E342" s="110"/>
      <c r="F342" s="92"/>
      <c r="G342" s="18"/>
      <c r="H342" s="101" t="str">
        <f>IFERROR(__xludf.DUMMYFUNCTION("""COMPUTED_VALUE"""),"")</f>
        <v/>
      </c>
      <c r="I342" s="67" t="str">
        <f>IFERROR(__xludf.DUMMYFUNCTION("""COMPUTED_VALUE"""),"")</f>
        <v/>
      </c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</row>
    <row r="343">
      <c r="A343" s="101"/>
      <c r="B343" s="105"/>
      <c r="C343" s="105"/>
      <c r="D343" s="106" t="str">
        <f>IFERROR(__xludf.DUMMYFUNCTION("""COMPUTED_VALUE"""),"")</f>
        <v/>
      </c>
      <c r="E343" s="110"/>
      <c r="F343" s="92"/>
      <c r="G343" s="18"/>
      <c r="H343" s="101" t="str">
        <f>IFERROR(__xludf.DUMMYFUNCTION("""COMPUTED_VALUE"""),"")</f>
        <v/>
      </c>
      <c r="I343" s="67" t="str">
        <f>IFERROR(__xludf.DUMMYFUNCTION("""COMPUTED_VALUE"""),"")</f>
        <v/>
      </c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  <c r="DW343" s="18"/>
      <c r="DX343" s="18"/>
      <c r="DY343" s="18"/>
      <c r="DZ343" s="18"/>
      <c r="EA343" s="18"/>
      <c r="EB343" s="18"/>
      <c r="EC343" s="18"/>
      <c r="ED343" s="18"/>
      <c r="EE343" s="18"/>
      <c r="EF343" s="18"/>
      <c r="EG343" s="18"/>
      <c r="EH343" s="18"/>
      <c r="EI343" s="18"/>
      <c r="EJ343" s="18"/>
      <c r="EK343" s="18"/>
      <c r="EL343" s="18"/>
      <c r="EM343" s="18"/>
      <c r="EN343" s="18"/>
      <c r="EO343" s="18"/>
      <c r="EP343" s="18"/>
      <c r="EQ343" s="18"/>
      <c r="ER343" s="18"/>
      <c r="ES343" s="18"/>
      <c r="ET343" s="18"/>
      <c r="EU343" s="18"/>
      <c r="EV343" s="18"/>
      <c r="EW343" s="18"/>
      <c r="EX343" s="18"/>
    </row>
    <row r="344">
      <c r="A344" s="101"/>
      <c r="B344" s="105"/>
      <c r="C344" s="105"/>
      <c r="D344" s="106" t="str">
        <f>IFERROR(__xludf.DUMMYFUNCTION("""COMPUTED_VALUE"""),"")</f>
        <v/>
      </c>
      <c r="E344" s="110"/>
      <c r="F344" s="92"/>
      <c r="G344" s="18"/>
      <c r="H344" s="101" t="str">
        <f>IFERROR(__xludf.DUMMYFUNCTION("""COMPUTED_VALUE"""),"")</f>
        <v/>
      </c>
      <c r="I344" s="67" t="str">
        <f>IFERROR(__xludf.DUMMYFUNCTION("""COMPUTED_VALUE"""),"")</f>
        <v/>
      </c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  <c r="DW344" s="18"/>
      <c r="DX344" s="18"/>
      <c r="DY344" s="18"/>
      <c r="DZ344" s="18"/>
      <c r="EA344" s="18"/>
      <c r="EB344" s="18"/>
      <c r="EC344" s="18"/>
      <c r="ED344" s="18"/>
      <c r="EE344" s="18"/>
      <c r="EF344" s="18"/>
      <c r="EG344" s="18"/>
      <c r="EH344" s="18"/>
      <c r="EI344" s="18"/>
      <c r="EJ344" s="18"/>
      <c r="EK344" s="18"/>
      <c r="EL344" s="18"/>
      <c r="EM344" s="18"/>
      <c r="EN344" s="18"/>
      <c r="EO344" s="18"/>
      <c r="EP344" s="18"/>
      <c r="EQ344" s="18"/>
      <c r="ER344" s="18"/>
      <c r="ES344" s="18"/>
      <c r="ET344" s="18"/>
      <c r="EU344" s="18"/>
      <c r="EV344" s="18"/>
      <c r="EW344" s="18"/>
      <c r="EX344" s="18"/>
    </row>
    <row r="345">
      <c r="A345" s="101"/>
      <c r="B345" s="105"/>
      <c r="C345" s="105"/>
      <c r="D345" s="106" t="str">
        <f>IFERROR(__xludf.DUMMYFUNCTION("""COMPUTED_VALUE"""),"")</f>
        <v/>
      </c>
      <c r="E345" s="110"/>
      <c r="F345" s="92"/>
      <c r="G345" s="18"/>
      <c r="H345" s="101" t="str">
        <f>IFERROR(__xludf.DUMMYFUNCTION("""COMPUTED_VALUE"""),"")</f>
        <v/>
      </c>
      <c r="I345" s="67" t="str">
        <f>IFERROR(__xludf.DUMMYFUNCTION("""COMPUTED_VALUE"""),"")</f>
        <v/>
      </c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  <c r="DW345" s="18"/>
      <c r="DX345" s="18"/>
      <c r="DY345" s="18"/>
      <c r="DZ345" s="18"/>
      <c r="EA345" s="18"/>
      <c r="EB345" s="18"/>
      <c r="EC345" s="18"/>
      <c r="ED345" s="18"/>
      <c r="EE345" s="18"/>
      <c r="EF345" s="18"/>
      <c r="EG345" s="18"/>
      <c r="EH345" s="18"/>
      <c r="EI345" s="18"/>
      <c r="EJ345" s="18"/>
      <c r="EK345" s="18"/>
      <c r="EL345" s="18"/>
      <c r="EM345" s="18"/>
      <c r="EN345" s="18"/>
      <c r="EO345" s="18"/>
      <c r="EP345" s="18"/>
      <c r="EQ345" s="18"/>
      <c r="ER345" s="18"/>
      <c r="ES345" s="18"/>
      <c r="ET345" s="18"/>
      <c r="EU345" s="18"/>
      <c r="EV345" s="18"/>
      <c r="EW345" s="18"/>
      <c r="EX345" s="18"/>
    </row>
    <row r="346">
      <c r="A346" s="101"/>
      <c r="B346" s="105"/>
      <c r="C346" s="105"/>
      <c r="D346" s="106" t="str">
        <f>IFERROR(__xludf.DUMMYFUNCTION("""COMPUTED_VALUE"""),"")</f>
        <v/>
      </c>
      <c r="E346" s="110"/>
      <c r="F346" s="92"/>
      <c r="G346" s="18"/>
      <c r="H346" s="101" t="str">
        <f>IFERROR(__xludf.DUMMYFUNCTION("""COMPUTED_VALUE"""),"")</f>
        <v/>
      </c>
      <c r="I346" s="67" t="str">
        <f>IFERROR(__xludf.DUMMYFUNCTION("""COMPUTED_VALUE"""),"")</f>
        <v/>
      </c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E346" s="18"/>
      <c r="EF346" s="18"/>
      <c r="EG346" s="18"/>
      <c r="EH346" s="18"/>
      <c r="EI346" s="18"/>
      <c r="EJ346" s="18"/>
      <c r="EK346" s="18"/>
      <c r="EL346" s="18"/>
      <c r="EM346" s="18"/>
      <c r="EN346" s="18"/>
      <c r="EO346" s="18"/>
      <c r="EP346" s="18"/>
      <c r="EQ346" s="18"/>
      <c r="ER346" s="18"/>
      <c r="ES346" s="18"/>
      <c r="ET346" s="18"/>
      <c r="EU346" s="18"/>
      <c r="EV346" s="18"/>
      <c r="EW346" s="18"/>
      <c r="EX346" s="18"/>
    </row>
    <row r="347">
      <c r="A347" s="101"/>
      <c r="B347" s="105"/>
      <c r="C347" s="105"/>
      <c r="D347" s="106" t="str">
        <f>IFERROR(__xludf.DUMMYFUNCTION("""COMPUTED_VALUE"""),"")</f>
        <v/>
      </c>
      <c r="E347" s="110"/>
      <c r="F347" s="92"/>
      <c r="G347" s="18"/>
      <c r="H347" s="101" t="str">
        <f>IFERROR(__xludf.DUMMYFUNCTION("""COMPUTED_VALUE"""),"")</f>
        <v/>
      </c>
      <c r="I347" s="67" t="str">
        <f>IFERROR(__xludf.DUMMYFUNCTION("""COMPUTED_VALUE"""),"")</f>
        <v/>
      </c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E347" s="18"/>
      <c r="EF347" s="18"/>
      <c r="EG347" s="18"/>
      <c r="EH347" s="18"/>
      <c r="EI347" s="18"/>
      <c r="EJ347" s="18"/>
      <c r="EK347" s="18"/>
      <c r="EL347" s="18"/>
      <c r="EM347" s="18"/>
      <c r="EN347" s="18"/>
      <c r="EO347" s="18"/>
      <c r="EP347" s="18"/>
      <c r="EQ347" s="18"/>
      <c r="ER347" s="18"/>
      <c r="ES347" s="18"/>
      <c r="ET347" s="18"/>
      <c r="EU347" s="18"/>
      <c r="EV347" s="18"/>
      <c r="EW347" s="18"/>
      <c r="EX347" s="18"/>
    </row>
    <row r="348">
      <c r="A348" s="101"/>
      <c r="B348" s="105"/>
      <c r="C348" s="105"/>
      <c r="D348" s="106" t="str">
        <f>IFERROR(__xludf.DUMMYFUNCTION("""COMPUTED_VALUE"""),"")</f>
        <v/>
      </c>
      <c r="E348" s="110"/>
      <c r="F348" s="92"/>
      <c r="G348" s="18"/>
      <c r="H348" s="101" t="str">
        <f>IFERROR(__xludf.DUMMYFUNCTION("""COMPUTED_VALUE"""),"")</f>
        <v/>
      </c>
      <c r="I348" s="67" t="str">
        <f>IFERROR(__xludf.DUMMYFUNCTION("""COMPUTED_VALUE"""),"")</f>
        <v/>
      </c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18"/>
      <c r="EX348" s="18"/>
    </row>
    <row r="349">
      <c r="A349" s="101"/>
      <c r="B349" s="105"/>
      <c r="C349" s="105"/>
      <c r="D349" s="106" t="str">
        <f>IFERROR(__xludf.DUMMYFUNCTION("""COMPUTED_VALUE"""),"")</f>
        <v/>
      </c>
      <c r="E349" s="110"/>
      <c r="F349" s="92"/>
      <c r="G349" s="18"/>
      <c r="H349" s="101" t="str">
        <f>IFERROR(__xludf.DUMMYFUNCTION("""COMPUTED_VALUE"""),"")</f>
        <v/>
      </c>
      <c r="I349" s="67" t="str">
        <f>IFERROR(__xludf.DUMMYFUNCTION("""COMPUTED_VALUE"""),"")</f>
        <v/>
      </c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</row>
    <row r="350">
      <c r="A350" s="101"/>
      <c r="B350" s="105"/>
      <c r="C350" s="105"/>
      <c r="D350" s="106" t="str">
        <f>IFERROR(__xludf.DUMMYFUNCTION("""COMPUTED_VALUE"""),"")</f>
        <v/>
      </c>
      <c r="E350" s="110"/>
      <c r="F350" s="92"/>
      <c r="G350" s="18"/>
      <c r="H350" s="101" t="str">
        <f>IFERROR(__xludf.DUMMYFUNCTION("""COMPUTED_VALUE"""),"")</f>
        <v/>
      </c>
      <c r="I350" s="67" t="str">
        <f>IFERROR(__xludf.DUMMYFUNCTION("""COMPUTED_VALUE"""),"")</f>
        <v/>
      </c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E350" s="18"/>
      <c r="EF350" s="18"/>
      <c r="EG350" s="18"/>
      <c r="EH350" s="18"/>
      <c r="EI350" s="18"/>
      <c r="EJ350" s="18"/>
      <c r="EK350" s="18"/>
      <c r="EL350" s="18"/>
      <c r="EM350" s="18"/>
      <c r="EN350" s="18"/>
      <c r="EO350" s="18"/>
      <c r="EP350" s="18"/>
      <c r="EQ350" s="18"/>
      <c r="ER350" s="18"/>
      <c r="ES350" s="18"/>
      <c r="ET350" s="18"/>
      <c r="EU350" s="18"/>
      <c r="EV350" s="18"/>
      <c r="EW350" s="18"/>
      <c r="EX350" s="18"/>
    </row>
    <row r="351">
      <c r="A351" s="101"/>
      <c r="B351" s="105"/>
      <c r="C351" s="105"/>
      <c r="D351" s="106" t="str">
        <f>IFERROR(__xludf.DUMMYFUNCTION("""COMPUTED_VALUE"""),"")</f>
        <v/>
      </c>
      <c r="E351" s="110"/>
      <c r="F351" s="92"/>
      <c r="G351" s="18"/>
      <c r="H351" s="101" t="str">
        <f>IFERROR(__xludf.DUMMYFUNCTION("""COMPUTED_VALUE"""),"")</f>
        <v/>
      </c>
      <c r="I351" s="67" t="str">
        <f>IFERROR(__xludf.DUMMYFUNCTION("""COMPUTED_VALUE"""),"")</f>
        <v/>
      </c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18"/>
      <c r="DY351" s="18"/>
      <c r="DZ351" s="18"/>
      <c r="EA351" s="18"/>
      <c r="EB351" s="18"/>
      <c r="EC351" s="18"/>
      <c r="ED351" s="18"/>
      <c r="EE351" s="18"/>
      <c r="EF351" s="18"/>
      <c r="EG351" s="18"/>
      <c r="EH351" s="18"/>
      <c r="EI351" s="18"/>
      <c r="EJ351" s="18"/>
      <c r="EK351" s="18"/>
      <c r="EL351" s="18"/>
      <c r="EM351" s="18"/>
      <c r="EN351" s="18"/>
      <c r="EO351" s="18"/>
      <c r="EP351" s="18"/>
      <c r="EQ351" s="18"/>
      <c r="ER351" s="18"/>
      <c r="ES351" s="18"/>
      <c r="ET351" s="18"/>
      <c r="EU351" s="18"/>
      <c r="EV351" s="18"/>
      <c r="EW351" s="18"/>
      <c r="EX351" s="18"/>
    </row>
    <row r="352">
      <c r="A352" s="101"/>
      <c r="B352" s="105"/>
      <c r="C352" s="105"/>
      <c r="D352" s="106" t="str">
        <f>IFERROR(__xludf.DUMMYFUNCTION("""COMPUTED_VALUE"""),"")</f>
        <v/>
      </c>
      <c r="E352" s="110"/>
      <c r="F352" s="92"/>
      <c r="G352" s="18"/>
      <c r="H352" s="101" t="str">
        <f>IFERROR(__xludf.DUMMYFUNCTION("""COMPUTED_VALUE"""),"")</f>
        <v/>
      </c>
      <c r="I352" s="67" t="str">
        <f>IFERROR(__xludf.DUMMYFUNCTION("""COMPUTED_VALUE"""),"")</f>
        <v/>
      </c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  <c r="DW352" s="18"/>
      <c r="DX352" s="18"/>
      <c r="DY352" s="18"/>
      <c r="DZ352" s="18"/>
      <c r="EA352" s="18"/>
      <c r="EB352" s="18"/>
      <c r="EC352" s="18"/>
      <c r="ED352" s="18"/>
      <c r="EE352" s="18"/>
      <c r="EF352" s="18"/>
      <c r="EG352" s="18"/>
      <c r="EH352" s="18"/>
      <c r="EI352" s="18"/>
      <c r="EJ352" s="18"/>
      <c r="EK352" s="18"/>
      <c r="EL352" s="18"/>
      <c r="EM352" s="18"/>
      <c r="EN352" s="18"/>
      <c r="EO352" s="18"/>
      <c r="EP352" s="18"/>
      <c r="EQ352" s="18"/>
      <c r="ER352" s="18"/>
      <c r="ES352" s="18"/>
      <c r="ET352" s="18"/>
      <c r="EU352" s="18"/>
      <c r="EV352" s="18"/>
      <c r="EW352" s="18"/>
      <c r="EX352" s="18"/>
    </row>
    <row r="353">
      <c r="A353" s="101"/>
      <c r="B353" s="105"/>
      <c r="C353" s="105"/>
      <c r="D353" s="106" t="str">
        <f>IFERROR(__xludf.DUMMYFUNCTION("""COMPUTED_VALUE"""),"")</f>
        <v/>
      </c>
      <c r="E353" s="110"/>
      <c r="F353" s="92"/>
      <c r="G353" s="18"/>
      <c r="H353" s="101" t="str">
        <f>IFERROR(__xludf.DUMMYFUNCTION("""COMPUTED_VALUE"""),"")</f>
        <v/>
      </c>
      <c r="I353" s="67" t="str">
        <f>IFERROR(__xludf.DUMMYFUNCTION("""COMPUTED_VALUE"""),"")</f>
        <v/>
      </c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  <c r="DW353" s="18"/>
      <c r="DX353" s="18"/>
      <c r="DY353" s="18"/>
      <c r="DZ353" s="18"/>
      <c r="EA353" s="18"/>
      <c r="EB353" s="18"/>
      <c r="EC353" s="18"/>
      <c r="ED353" s="18"/>
      <c r="EE353" s="18"/>
      <c r="EF353" s="18"/>
      <c r="EG353" s="18"/>
      <c r="EH353" s="18"/>
      <c r="EI353" s="18"/>
      <c r="EJ353" s="18"/>
      <c r="EK353" s="18"/>
      <c r="EL353" s="18"/>
      <c r="EM353" s="18"/>
      <c r="EN353" s="18"/>
      <c r="EO353" s="18"/>
      <c r="EP353" s="18"/>
      <c r="EQ353" s="18"/>
      <c r="ER353" s="18"/>
      <c r="ES353" s="18"/>
      <c r="ET353" s="18"/>
      <c r="EU353" s="18"/>
      <c r="EV353" s="18"/>
      <c r="EW353" s="18"/>
      <c r="EX353" s="18"/>
    </row>
    <row r="354">
      <c r="A354" s="101"/>
      <c r="B354" s="105"/>
      <c r="C354" s="105"/>
      <c r="D354" s="106" t="str">
        <f>IFERROR(__xludf.DUMMYFUNCTION("""COMPUTED_VALUE"""),"")</f>
        <v/>
      </c>
      <c r="E354" s="110"/>
      <c r="F354" s="92"/>
      <c r="G354" s="18"/>
      <c r="H354" s="101" t="str">
        <f>IFERROR(__xludf.DUMMYFUNCTION("""COMPUTED_VALUE"""),"")</f>
        <v/>
      </c>
      <c r="I354" s="67" t="str">
        <f>IFERROR(__xludf.DUMMYFUNCTION("""COMPUTED_VALUE"""),"")</f>
        <v/>
      </c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18"/>
      <c r="DY354" s="18"/>
      <c r="DZ354" s="18"/>
      <c r="EA354" s="18"/>
      <c r="EB354" s="18"/>
      <c r="EC354" s="18"/>
      <c r="ED354" s="18"/>
      <c r="EE354" s="18"/>
      <c r="EF354" s="18"/>
      <c r="EG354" s="18"/>
      <c r="EH354" s="18"/>
      <c r="EI354" s="18"/>
      <c r="EJ354" s="18"/>
      <c r="EK354" s="18"/>
      <c r="EL354" s="18"/>
      <c r="EM354" s="18"/>
      <c r="EN354" s="18"/>
      <c r="EO354" s="18"/>
      <c r="EP354" s="18"/>
      <c r="EQ354" s="18"/>
      <c r="ER354" s="18"/>
      <c r="ES354" s="18"/>
      <c r="ET354" s="18"/>
      <c r="EU354" s="18"/>
      <c r="EV354" s="18"/>
      <c r="EW354" s="18"/>
      <c r="EX354" s="18"/>
    </row>
    <row r="355">
      <c r="A355" s="101"/>
      <c r="B355" s="105"/>
      <c r="C355" s="105"/>
      <c r="D355" s="106" t="str">
        <f>IFERROR(__xludf.DUMMYFUNCTION("""COMPUTED_VALUE"""),"")</f>
        <v/>
      </c>
      <c r="E355" s="110"/>
      <c r="F355" s="92"/>
      <c r="G355" s="18"/>
      <c r="H355" s="101" t="str">
        <f>IFERROR(__xludf.DUMMYFUNCTION("""COMPUTED_VALUE"""),"")</f>
        <v/>
      </c>
      <c r="I355" s="67" t="str">
        <f>IFERROR(__xludf.DUMMYFUNCTION("""COMPUTED_VALUE"""),"")</f>
        <v/>
      </c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E355" s="18"/>
      <c r="EF355" s="18"/>
      <c r="EG355" s="18"/>
      <c r="EH355" s="18"/>
      <c r="EI355" s="18"/>
      <c r="EJ355" s="18"/>
      <c r="EK355" s="18"/>
      <c r="EL355" s="18"/>
      <c r="EM355" s="18"/>
      <c r="EN355" s="18"/>
      <c r="EO355" s="18"/>
      <c r="EP355" s="18"/>
      <c r="EQ355" s="18"/>
      <c r="ER355" s="18"/>
      <c r="ES355" s="18"/>
      <c r="ET355" s="18"/>
      <c r="EU355" s="18"/>
      <c r="EV355" s="18"/>
      <c r="EW355" s="18"/>
      <c r="EX355" s="18"/>
    </row>
    <row r="356">
      <c r="A356" s="101"/>
      <c r="B356" s="105"/>
      <c r="C356" s="105"/>
      <c r="D356" s="106" t="str">
        <f>IFERROR(__xludf.DUMMYFUNCTION("""COMPUTED_VALUE"""),"")</f>
        <v/>
      </c>
      <c r="E356" s="110"/>
      <c r="F356" s="92"/>
      <c r="G356" s="18"/>
      <c r="H356" s="101" t="str">
        <f>IFERROR(__xludf.DUMMYFUNCTION("""COMPUTED_VALUE"""),"")</f>
        <v/>
      </c>
      <c r="I356" s="67" t="str">
        <f>IFERROR(__xludf.DUMMYFUNCTION("""COMPUTED_VALUE"""),"")</f>
        <v/>
      </c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</row>
    <row r="357">
      <c r="A357" s="101"/>
      <c r="B357" s="105"/>
      <c r="C357" s="105"/>
      <c r="D357" s="106" t="str">
        <f>IFERROR(__xludf.DUMMYFUNCTION("""COMPUTED_VALUE"""),"")</f>
        <v/>
      </c>
      <c r="E357" s="110"/>
      <c r="F357" s="92"/>
      <c r="G357" s="18"/>
      <c r="H357" s="101" t="str">
        <f>IFERROR(__xludf.DUMMYFUNCTION("""COMPUTED_VALUE"""),"")</f>
        <v/>
      </c>
      <c r="I357" s="67" t="str">
        <f>IFERROR(__xludf.DUMMYFUNCTION("""COMPUTED_VALUE"""),"")</f>
        <v/>
      </c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18"/>
      <c r="DY357" s="18"/>
      <c r="DZ357" s="18"/>
      <c r="EA357" s="18"/>
      <c r="EB357" s="18"/>
      <c r="EC357" s="18"/>
      <c r="ED357" s="18"/>
      <c r="EE357" s="18"/>
      <c r="EF357" s="18"/>
      <c r="EG357" s="18"/>
      <c r="EH357" s="18"/>
      <c r="EI357" s="18"/>
      <c r="EJ357" s="18"/>
      <c r="EK357" s="18"/>
      <c r="EL357" s="18"/>
      <c r="EM357" s="18"/>
      <c r="EN357" s="18"/>
      <c r="EO357" s="18"/>
      <c r="EP357" s="18"/>
      <c r="EQ357" s="18"/>
      <c r="ER357" s="18"/>
      <c r="ES357" s="18"/>
      <c r="ET357" s="18"/>
      <c r="EU357" s="18"/>
      <c r="EV357" s="18"/>
      <c r="EW357" s="18"/>
      <c r="EX357" s="18"/>
    </row>
    <row r="358">
      <c r="A358" s="101"/>
      <c r="B358" s="105"/>
      <c r="C358" s="105"/>
      <c r="D358" s="106" t="str">
        <f>IFERROR(__xludf.DUMMYFUNCTION("""COMPUTED_VALUE"""),"")</f>
        <v/>
      </c>
      <c r="E358" s="110"/>
      <c r="F358" s="92"/>
      <c r="G358" s="18"/>
      <c r="H358" s="101" t="str">
        <f>IFERROR(__xludf.DUMMYFUNCTION("""COMPUTED_VALUE"""),"")</f>
        <v/>
      </c>
      <c r="I358" s="67" t="str">
        <f>IFERROR(__xludf.DUMMYFUNCTION("""COMPUTED_VALUE"""),"")</f>
        <v/>
      </c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  <c r="DW358" s="18"/>
      <c r="DX358" s="18"/>
      <c r="DY358" s="18"/>
      <c r="DZ358" s="18"/>
      <c r="EA358" s="18"/>
      <c r="EB358" s="18"/>
      <c r="EC358" s="18"/>
      <c r="ED358" s="18"/>
      <c r="EE358" s="18"/>
      <c r="EF358" s="18"/>
      <c r="EG358" s="18"/>
      <c r="EH358" s="18"/>
      <c r="EI358" s="18"/>
      <c r="EJ358" s="18"/>
      <c r="EK358" s="18"/>
      <c r="EL358" s="18"/>
      <c r="EM358" s="18"/>
      <c r="EN358" s="18"/>
      <c r="EO358" s="18"/>
      <c r="EP358" s="18"/>
      <c r="EQ358" s="18"/>
      <c r="ER358" s="18"/>
      <c r="ES358" s="18"/>
      <c r="ET358" s="18"/>
      <c r="EU358" s="18"/>
      <c r="EV358" s="18"/>
      <c r="EW358" s="18"/>
      <c r="EX358" s="18"/>
    </row>
    <row r="359">
      <c r="A359" s="101"/>
      <c r="B359" s="105"/>
      <c r="C359" s="105"/>
      <c r="D359" s="106" t="str">
        <f>IFERROR(__xludf.DUMMYFUNCTION("""COMPUTED_VALUE"""),"")</f>
        <v/>
      </c>
      <c r="E359" s="110"/>
      <c r="F359" s="92"/>
      <c r="G359" s="18"/>
      <c r="H359" s="101" t="str">
        <f>IFERROR(__xludf.DUMMYFUNCTION("""COMPUTED_VALUE"""),"")</f>
        <v/>
      </c>
      <c r="I359" s="67" t="str">
        <f>IFERROR(__xludf.DUMMYFUNCTION("""COMPUTED_VALUE"""),"")</f>
        <v/>
      </c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  <c r="DW359" s="18"/>
      <c r="DX359" s="18"/>
      <c r="DY359" s="18"/>
      <c r="DZ359" s="18"/>
      <c r="EA359" s="18"/>
      <c r="EB359" s="18"/>
      <c r="EC359" s="18"/>
      <c r="ED359" s="18"/>
      <c r="EE359" s="18"/>
      <c r="EF359" s="18"/>
      <c r="EG359" s="18"/>
      <c r="EH359" s="18"/>
      <c r="EI359" s="18"/>
      <c r="EJ359" s="18"/>
      <c r="EK359" s="18"/>
      <c r="EL359" s="18"/>
      <c r="EM359" s="18"/>
      <c r="EN359" s="18"/>
      <c r="EO359" s="18"/>
      <c r="EP359" s="18"/>
      <c r="EQ359" s="18"/>
      <c r="ER359" s="18"/>
      <c r="ES359" s="18"/>
      <c r="ET359" s="18"/>
      <c r="EU359" s="18"/>
      <c r="EV359" s="18"/>
      <c r="EW359" s="18"/>
      <c r="EX359" s="18"/>
    </row>
    <row r="360">
      <c r="A360" s="101"/>
      <c r="B360" s="105"/>
      <c r="C360" s="105"/>
      <c r="D360" s="106" t="str">
        <f>IFERROR(__xludf.DUMMYFUNCTION("""COMPUTED_VALUE"""),"")</f>
        <v/>
      </c>
      <c r="E360" s="110"/>
      <c r="F360" s="92"/>
      <c r="G360" s="18"/>
      <c r="H360" s="101" t="str">
        <f>IFERROR(__xludf.DUMMYFUNCTION("""COMPUTED_VALUE"""),"")</f>
        <v/>
      </c>
      <c r="I360" s="67" t="str">
        <f>IFERROR(__xludf.DUMMYFUNCTION("""COMPUTED_VALUE"""),"")</f>
        <v/>
      </c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</row>
    <row r="361">
      <c r="A361" s="101"/>
      <c r="B361" s="105"/>
      <c r="C361" s="105"/>
      <c r="D361" s="106" t="str">
        <f>IFERROR(__xludf.DUMMYFUNCTION("""COMPUTED_VALUE"""),"")</f>
        <v/>
      </c>
      <c r="E361" s="110"/>
      <c r="F361" s="92"/>
      <c r="G361" s="18"/>
      <c r="H361" s="101" t="str">
        <f>IFERROR(__xludf.DUMMYFUNCTION("""COMPUTED_VALUE"""),"")</f>
        <v/>
      </c>
      <c r="I361" s="67" t="str">
        <f>IFERROR(__xludf.DUMMYFUNCTION("""COMPUTED_VALUE"""),"")</f>
        <v/>
      </c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E361" s="18"/>
      <c r="EF361" s="18"/>
      <c r="EG361" s="18"/>
      <c r="EH361" s="18"/>
      <c r="EI361" s="18"/>
      <c r="EJ361" s="18"/>
      <c r="EK361" s="18"/>
      <c r="EL361" s="18"/>
      <c r="EM361" s="18"/>
      <c r="EN361" s="18"/>
      <c r="EO361" s="18"/>
      <c r="EP361" s="18"/>
      <c r="EQ361" s="18"/>
      <c r="ER361" s="18"/>
      <c r="ES361" s="18"/>
      <c r="ET361" s="18"/>
      <c r="EU361" s="18"/>
      <c r="EV361" s="18"/>
      <c r="EW361" s="18"/>
      <c r="EX361" s="18"/>
    </row>
    <row r="362">
      <c r="A362" s="101"/>
      <c r="B362" s="105"/>
      <c r="C362" s="105"/>
      <c r="D362" s="106" t="str">
        <f>IFERROR(__xludf.DUMMYFUNCTION("""COMPUTED_VALUE"""),"")</f>
        <v/>
      </c>
      <c r="E362" s="110"/>
      <c r="F362" s="92"/>
      <c r="G362" s="18"/>
      <c r="H362" s="101" t="str">
        <f>IFERROR(__xludf.DUMMYFUNCTION("""COMPUTED_VALUE"""),"")</f>
        <v/>
      </c>
      <c r="I362" s="67" t="str">
        <f>IFERROR(__xludf.DUMMYFUNCTION("""COMPUTED_VALUE"""),"")</f>
        <v/>
      </c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E362" s="18"/>
      <c r="EF362" s="18"/>
      <c r="EG362" s="18"/>
      <c r="EH362" s="18"/>
      <c r="EI362" s="18"/>
      <c r="EJ362" s="18"/>
      <c r="EK362" s="18"/>
      <c r="EL362" s="18"/>
      <c r="EM362" s="18"/>
      <c r="EN362" s="18"/>
      <c r="EO362" s="18"/>
      <c r="EP362" s="18"/>
      <c r="EQ362" s="18"/>
      <c r="ER362" s="18"/>
      <c r="ES362" s="18"/>
      <c r="ET362" s="18"/>
      <c r="EU362" s="18"/>
      <c r="EV362" s="18"/>
      <c r="EW362" s="18"/>
      <c r="EX362" s="18"/>
    </row>
    <row r="363">
      <c r="A363" s="101"/>
      <c r="B363" s="105"/>
      <c r="C363" s="105"/>
      <c r="D363" s="106" t="str">
        <f>IFERROR(__xludf.DUMMYFUNCTION("""COMPUTED_VALUE"""),"")</f>
        <v/>
      </c>
      <c r="E363" s="110"/>
      <c r="F363" s="92"/>
      <c r="G363" s="18"/>
      <c r="H363" s="101" t="str">
        <f>IFERROR(__xludf.DUMMYFUNCTION("""COMPUTED_VALUE"""),"")</f>
        <v/>
      </c>
      <c r="I363" s="67" t="str">
        <f>IFERROR(__xludf.DUMMYFUNCTION("""COMPUTED_VALUE"""),"")</f>
        <v/>
      </c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</row>
    <row r="364">
      <c r="A364" s="101"/>
      <c r="B364" s="105"/>
      <c r="C364" s="105"/>
      <c r="D364" s="106" t="str">
        <f>IFERROR(__xludf.DUMMYFUNCTION("""COMPUTED_VALUE"""),"")</f>
        <v/>
      </c>
      <c r="E364" s="110"/>
      <c r="F364" s="92"/>
      <c r="G364" s="18"/>
      <c r="H364" s="101" t="str">
        <f>IFERROR(__xludf.DUMMYFUNCTION("""COMPUTED_VALUE"""),"")</f>
        <v/>
      </c>
      <c r="I364" s="67" t="str">
        <f>IFERROR(__xludf.DUMMYFUNCTION("""COMPUTED_VALUE"""),"")</f>
        <v/>
      </c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  <c r="DW364" s="18"/>
      <c r="DX364" s="18"/>
      <c r="DY364" s="18"/>
      <c r="DZ364" s="18"/>
      <c r="EA364" s="18"/>
      <c r="EB364" s="18"/>
      <c r="EC364" s="18"/>
      <c r="ED364" s="18"/>
      <c r="EE364" s="18"/>
      <c r="EF364" s="18"/>
      <c r="EG364" s="18"/>
      <c r="EH364" s="18"/>
      <c r="EI364" s="18"/>
      <c r="EJ364" s="18"/>
      <c r="EK364" s="18"/>
      <c r="EL364" s="18"/>
      <c r="EM364" s="18"/>
      <c r="EN364" s="18"/>
      <c r="EO364" s="18"/>
      <c r="EP364" s="18"/>
      <c r="EQ364" s="18"/>
      <c r="ER364" s="18"/>
      <c r="ES364" s="18"/>
      <c r="ET364" s="18"/>
      <c r="EU364" s="18"/>
      <c r="EV364" s="18"/>
      <c r="EW364" s="18"/>
      <c r="EX364" s="18"/>
    </row>
    <row r="365">
      <c r="A365" s="101"/>
      <c r="B365" s="105"/>
      <c r="C365" s="105"/>
      <c r="D365" s="106" t="str">
        <f>IFERROR(__xludf.DUMMYFUNCTION("""COMPUTED_VALUE"""),"")</f>
        <v/>
      </c>
      <c r="E365" s="110"/>
      <c r="F365" s="92"/>
      <c r="G365" s="18"/>
      <c r="H365" s="101" t="str">
        <f>IFERROR(__xludf.DUMMYFUNCTION("""COMPUTED_VALUE"""),"")</f>
        <v/>
      </c>
      <c r="I365" s="67" t="str">
        <f>IFERROR(__xludf.DUMMYFUNCTION("""COMPUTED_VALUE"""),"")</f>
        <v/>
      </c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  <c r="DW365" s="18"/>
      <c r="DX365" s="18"/>
      <c r="DY365" s="18"/>
      <c r="DZ365" s="18"/>
      <c r="EA365" s="18"/>
      <c r="EB365" s="18"/>
      <c r="EC365" s="18"/>
      <c r="ED365" s="18"/>
      <c r="EE365" s="18"/>
      <c r="EF365" s="18"/>
      <c r="EG365" s="18"/>
      <c r="EH365" s="18"/>
      <c r="EI365" s="18"/>
      <c r="EJ365" s="18"/>
      <c r="EK365" s="18"/>
      <c r="EL365" s="18"/>
      <c r="EM365" s="18"/>
      <c r="EN365" s="18"/>
      <c r="EO365" s="18"/>
      <c r="EP365" s="18"/>
      <c r="EQ365" s="18"/>
      <c r="ER365" s="18"/>
      <c r="ES365" s="18"/>
      <c r="ET365" s="18"/>
      <c r="EU365" s="18"/>
      <c r="EV365" s="18"/>
      <c r="EW365" s="18"/>
      <c r="EX365" s="18"/>
    </row>
    <row r="366">
      <c r="A366" s="101"/>
      <c r="B366" s="105"/>
      <c r="C366" s="105"/>
      <c r="D366" s="106" t="str">
        <f>IFERROR(__xludf.DUMMYFUNCTION("""COMPUTED_VALUE"""),"")</f>
        <v/>
      </c>
      <c r="E366" s="110"/>
      <c r="F366" s="92"/>
      <c r="G366" s="18"/>
      <c r="H366" s="101" t="str">
        <f>IFERROR(__xludf.DUMMYFUNCTION("""COMPUTED_VALUE"""),"")</f>
        <v/>
      </c>
      <c r="I366" s="67" t="str">
        <f>IFERROR(__xludf.DUMMYFUNCTION("""COMPUTED_VALUE"""),"")</f>
        <v/>
      </c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18"/>
      <c r="ES366" s="18"/>
      <c r="ET366" s="18"/>
      <c r="EU366" s="18"/>
      <c r="EV366" s="18"/>
      <c r="EW366" s="18"/>
      <c r="EX366" s="18"/>
    </row>
    <row r="367">
      <c r="A367" s="101"/>
      <c r="B367" s="105"/>
      <c r="C367" s="105"/>
      <c r="D367" s="106" t="str">
        <f>IFERROR(__xludf.DUMMYFUNCTION("""COMPUTED_VALUE"""),"")</f>
        <v/>
      </c>
      <c r="E367" s="110"/>
      <c r="F367" s="92"/>
      <c r="G367" s="18"/>
      <c r="H367" s="101" t="str">
        <f>IFERROR(__xludf.DUMMYFUNCTION("""COMPUTED_VALUE"""),"")</f>
        <v/>
      </c>
      <c r="I367" s="67" t="str">
        <f>IFERROR(__xludf.DUMMYFUNCTION("""COMPUTED_VALUE"""),"")</f>
        <v/>
      </c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  <c r="DW367" s="18"/>
      <c r="DX367" s="18"/>
      <c r="DY367" s="18"/>
      <c r="DZ367" s="18"/>
      <c r="EA367" s="18"/>
      <c r="EB367" s="18"/>
      <c r="EC367" s="18"/>
      <c r="ED367" s="18"/>
      <c r="EE367" s="18"/>
      <c r="EF367" s="18"/>
      <c r="EG367" s="18"/>
      <c r="EH367" s="18"/>
      <c r="EI367" s="18"/>
      <c r="EJ367" s="18"/>
      <c r="EK367" s="18"/>
      <c r="EL367" s="18"/>
      <c r="EM367" s="18"/>
      <c r="EN367" s="18"/>
      <c r="EO367" s="18"/>
      <c r="EP367" s="18"/>
      <c r="EQ367" s="18"/>
      <c r="ER367" s="18"/>
      <c r="ES367" s="18"/>
      <c r="ET367" s="18"/>
      <c r="EU367" s="18"/>
      <c r="EV367" s="18"/>
      <c r="EW367" s="18"/>
      <c r="EX367" s="18"/>
    </row>
    <row r="368">
      <c r="A368" s="101"/>
      <c r="B368" s="105"/>
      <c r="C368" s="105"/>
      <c r="D368" s="106" t="str">
        <f>IFERROR(__xludf.DUMMYFUNCTION("""COMPUTED_VALUE"""),"")</f>
        <v/>
      </c>
      <c r="E368" s="110"/>
      <c r="F368" s="92"/>
      <c r="G368" s="18"/>
      <c r="H368" s="101" t="str">
        <f>IFERROR(__xludf.DUMMYFUNCTION("""COMPUTED_VALUE"""),"")</f>
        <v/>
      </c>
      <c r="I368" s="67" t="str">
        <f>IFERROR(__xludf.DUMMYFUNCTION("""COMPUTED_VALUE"""),"")</f>
        <v/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  <c r="DW368" s="18"/>
      <c r="DX368" s="18"/>
      <c r="DY368" s="18"/>
      <c r="DZ368" s="18"/>
      <c r="EA368" s="18"/>
      <c r="EB368" s="18"/>
      <c r="EC368" s="18"/>
      <c r="ED368" s="18"/>
      <c r="EE368" s="18"/>
      <c r="EF368" s="18"/>
      <c r="EG368" s="18"/>
      <c r="EH368" s="18"/>
      <c r="EI368" s="18"/>
      <c r="EJ368" s="18"/>
      <c r="EK368" s="18"/>
      <c r="EL368" s="18"/>
      <c r="EM368" s="18"/>
      <c r="EN368" s="18"/>
      <c r="EO368" s="18"/>
      <c r="EP368" s="18"/>
      <c r="EQ368" s="18"/>
      <c r="ER368" s="18"/>
      <c r="ES368" s="18"/>
      <c r="ET368" s="18"/>
      <c r="EU368" s="18"/>
      <c r="EV368" s="18"/>
      <c r="EW368" s="18"/>
      <c r="EX368" s="18"/>
    </row>
    <row r="369">
      <c r="A369" s="101"/>
      <c r="B369" s="105"/>
      <c r="C369" s="105"/>
      <c r="D369" s="106" t="str">
        <f>IFERROR(__xludf.DUMMYFUNCTION("""COMPUTED_VALUE"""),"")</f>
        <v/>
      </c>
      <c r="E369" s="110"/>
      <c r="F369" s="92"/>
      <c r="G369" s="18"/>
      <c r="H369" s="101" t="str">
        <f>IFERROR(__xludf.DUMMYFUNCTION("""COMPUTED_VALUE"""),"")</f>
        <v/>
      </c>
      <c r="I369" s="67" t="str">
        <f>IFERROR(__xludf.DUMMYFUNCTION("""COMPUTED_VALUE"""),"")</f>
        <v/>
      </c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18"/>
      <c r="DY369" s="18"/>
      <c r="DZ369" s="18"/>
      <c r="EA369" s="18"/>
      <c r="EB369" s="18"/>
      <c r="EC369" s="18"/>
      <c r="ED369" s="18"/>
      <c r="EE369" s="18"/>
      <c r="EF369" s="18"/>
      <c r="EG369" s="18"/>
      <c r="EH369" s="18"/>
      <c r="EI369" s="18"/>
      <c r="EJ369" s="18"/>
      <c r="EK369" s="18"/>
      <c r="EL369" s="18"/>
      <c r="EM369" s="18"/>
      <c r="EN369" s="18"/>
      <c r="EO369" s="18"/>
      <c r="EP369" s="18"/>
      <c r="EQ369" s="18"/>
      <c r="ER369" s="18"/>
      <c r="ES369" s="18"/>
      <c r="ET369" s="18"/>
      <c r="EU369" s="18"/>
      <c r="EV369" s="18"/>
      <c r="EW369" s="18"/>
      <c r="EX369" s="18"/>
    </row>
    <row r="370">
      <c r="A370" s="101"/>
      <c r="B370" s="105"/>
      <c r="C370" s="105"/>
      <c r="D370" s="106" t="str">
        <f>IFERROR(__xludf.DUMMYFUNCTION("""COMPUTED_VALUE"""),"")</f>
        <v/>
      </c>
      <c r="E370" s="110"/>
      <c r="F370" s="92"/>
      <c r="G370" s="18"/>
      <c r="H370" s="101" t="str">
        <f>IFERROR(__xludf.DUMMYFUNCTION("""COMPUTED_VALUE"""),"")</f>
        <v/>
      </c>
      <c r="I370" s="67" t="str">
        <f>IFERROR(__xludf.DUMMYFUNCTION("""COMPUTED_VALUE"""),"")</f>
        <v/>
      </c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  <c r="DW370" s="18"/>
      <c r="DX370" s="18"/>
      <c r="DY370" s="18"/>
      <c r="DZ370" s="18"/>
      <c r="EA370" s="18"/>
      <c r="EB370" s="18"/>
      <c r="EC370" s="18"/>
      <c r="ED370" s="18"/>
      <c r="EE370" s="18"/>
      <c r="EF370" s="18"/>
      <c r="EG370" s="18"/>
      <c r="EH370" s="18"/>
      <c r="EI370" s="18"/>
      <c r="EJ370" s="18"/>
      <c r="EK370" s="18"/>
      <c r="EL370" s="18"/>
      <c r="EM370" s="18"/>
      <c r="EN370" s="18"/>
      <c r="EO370" s="18"/>
      <c r="EP370" s="18"/>
      <c r="EQ370" s="18"/>
      <c r="ER370" s="18"/>
      <c r="ES370" s="18"/>
      <c r="ET370" s="18"/>
      <c r="EU370" s="18"/>
      <c r="EV370" s="18"/>
      <c r="EW370" s="18"/>
      <c r="EX370" s="18"/>
    </row>
    <row r="371">
      <c r="A371" s="101"/>
      <c r="B371" s="105"/>
      <c r="C371" s="105"/>
      <c r="D371" s="106" t="str">
        <f>IFERROR(__xludf.DUMMYFUNCTION("""COMPUTED_VALUE"""),"")</f>
        <v/>
      </c>
      <c r="E371" s="110"/>
      <c r="F371" s="92"/>
      <c r="G371" s="18"/>
      <c r="H371" s="101" t="str">
        <f>IFERROR(__xludf.DUMMYFUNCTION("""COMPUTED_VALUE"""),"")</f>
        <v/>
      </c>
      <c r="I371" s="67" t="str">
        <f>IFERROR(__xludf.DUMMYFUNCTION("""COMPUTED_VALUE"""),"")</f>
        <v/>
      </c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  <c r="DW371" s="18"/>
      <c r="DX371" s="18"/>
      <c r="DY371" s="18"/>
      <c r="DZ371" s="18"/>
      <c r="EA371" s="18"/>
      <c r="EB371" s="18"/>
      <c r="EC371" s="18"/>
      <c r="ED371" s="18"/>
      <c r="EE371" s="18"/>
      <c r="EF371" s="18"/>
      <c r="EG371" s="18"/>
      <c r="EH371" s="18"/>
      <c r="EI371" s="18"/>
      <c r="EJ371" s="18"/>
      <c r="EK371" s="18"/>
      <c r="EL371" s="18"/>
      <c r="EM371" s="18"/>
      <c r="EN371" s="18"/>
      <c r="EO371" s="18"/>
      <c r="EP371" s="18"/>
      <c r="EQ371" s="18"/>
      <c r="ER371" s="18"/>
      <c r="ES371" s="18"/>
      <c r="ET371" s="18"/>
      <c r="EU371" s="18"/>
      <c r="EV371" s="18"/>
      <c r="EW371" s="18"/>
      <c r="EX371" s="18"/>
    </row>
    <row r="372">
      <c r="A372" s="101"/>
      <c r="B372" s="105"/>
      <c r="C372" s="105"/>
      <c r="D372" s="106" t="str">
        <f>IFERROR(__xludf.DUMMYFUNCTION("""COMPUTED_VALUE"""),"")</f>
        <v/>
      </c>
      <c r="E372" s="110"/>
      <c r="F372" s="92"/>
      <c r="G372" s="18"/>
      <c r="H372" s="101" t="str">
        <f>IFERROR(__xludf.DUMMYFUNCTION("""COMPUTED_VALUE"""),"")</f>
        <v/>
      </c>
      <c r="I372" s="67" t="str">
        <f>IFERROR(__xludf.DUMMYFUNCTION("""COMPUTED_VALUE"""),"")</f>
        <v/>
      </c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18"/>
      <c r="EP372" s="18"/>
      <c r="EQ372" s="18"/>
      <c r="ER372" s="18"/>
      <c r="ES372" s="18"/>
      <c r="ET372" s="18"/>
      <c r="EU372" s="18"/>
      <c r="EV372" s="18"/>
      <c r="EW372" s="18"/>
      <c r="EX372" s="18"/>
    </row>
    <row r="373">
      <c r="A373" s="101"/>
      <c r="B373" s="105"/>
      <c r="C373" s="105"/>
      <c r="D373" s="106" t="str">
        <f>IFERROR(__xludf.DUMMYFUNCTION("""COMPUTED_VALUE"""),"")</f>
        <v/>
      </c>
      <c r="E373" s="110"/>
      <c r="F373" s="92"/>
      <c r="G373" s="18"/>
      <c r="H373" s="101" t="str">
        <f>IFERROR(__xludf.DUMMYFUNCTION("""COMPUTED_VALUE"""),"")</f>
        <v/>
      </c>
      <c r="I373" s="67" t="str">
        <f>IFERROR(__xludf.DUMMYFUNCTION("""COMPUTED_VALUE"""),"")</f>
        <v/>
      </c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E373" s="18"/>
      <c r="EF373" s="18"/>
      <c r="EG373" s="18"/>
      <c r="EH373" s="18"/>
      <c r="EI373" s="18"/>
      <c r="EJ373" s="18"/>
      <c r="EK373" s="18"/>
      <c r="EL373" s="18"/>
      <c r="EM373" s="18"/>
      <c r="EN373" s="18"/>
      <c r="EO373" s="18"/>
      <c r="EP373" s="18"/>
      <c r="EQ373" s="18"/>
      <c r="ER373" s="18"/>
      <c r="ES373" s="18"/>
      <c r="ET373" s="18"/>
      <c r="EU373" s="18"/>
      <c r="EV373" s="18"/>
      <c r="EW373" s="18"/>
      <c r="EX373" s="18"/>
    </row>
    <row r="374">
      <c r="A374" s="101"/>
      <c r="B374" s="105"/>
      <c r="C374" s="105"/>
      <c r="D374" s="106" t="str">
        <f>IFERROR(__xludf.DUMMYFUNCTION("""COMPUTED_VALUE"""),"")</f>
        <v/>
      </c>
      <c r="E374" s="110"/>
      <c r="F374" s="92"/>
      <c r="G374" s="18"/>
      <c r="H374" s="101" t="str">
        <f>IFERROR(__xludf.DUMMYFUNCTION("""COMPUTED_VALUE"""),"")</f>
        <v/>
      </c>
      <c r="I374" s="67" t="str">
        <f>IFERROR(__xludf.DUMMYFUNCTION("""COMPUTED_VALUE"""),"")</f>
        <v/>
      </c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E374" s="18"/>
      <c r="EF374" s="18"/>
      <c r="EG374" s="18"/>
      <c r="EH374" s="18"/>
      <c r="EI374" s="18"/>
      <c r="EJ374" s="18"/>
      <c r="EK374" s="18"/>
      <c r="EL374" s="18"/>
      <c r="EM374" s="18"/>
      <c r="EN374" s="18"/>
      <c r="EO374" s="18"/>
      <c r="EP374" s="18"/>
      <c r="EQ374" s="18"/>
      <c r="ER374" s="18"/>
      <c r="ES374" s="18"/>
      <c r="ET374" s="18"/>
      <c r="EU374" s="18"/>
      <c r="EV374" s="18"/>
      <c r="EW374" s="18"/>
      <c r="EX374" s="18"/>
    </row>
    <row r="375">
      <c r="A375" s="101"/>
      <c r="B375" s="105"/>
      <c r="C375" s="105"/>
      <c r="D375" s="106" t="str">
        <f>IFERROR(__xludf.DUMMYFUNCTION("""COMPUTED_VALUE"""),"")</f>
        <v/>
      </c>
      <c r="E375" s="110"/>
      <c r="F375" s="92"/>
      <c r="G375" s="18"/>
      <c r="H375" s="101" t="str">
        <f>IFERROR(__xludf.DUMMYFUNCTION("""COMPUTED_VALUE"""),"")</f>
        <v/>
      </c>
      <c r="I375" s="67" t="str">
        <f>IFERROR(__xludf.DUMMYFUNCTION("""COMPUTED_VALUE"""),"")</f>
        <v/>
      </c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E375" s="18"/>
      <c r="EF375" s="18"/>
      <c r="EG375" s="18"/>
      <c r="EH375" s="18"/>
      <c r="EI375" s="18"/>
      <c r="EJ375" s="18"/>
      <c r="EK375" s="18"/>
      <c r="EL375" s="18"/>
      <c r="EM375" s="18"/>
      <c r="EN375" s="18"/>
      <c r="EO375" s="18"/>
      <c r="EP375" s="18"/>
      <c r="EQ375" s="18"/>
      <c r="ER375" s="18"/>
      <c r="ES375" s="18"/>
      <c r="ET375" s="18"/>
      <c r="EU375" s="18"/>
      <c r="EV375" s="18"/>
      <c r="EW375" s="18"/>
      <c r="EX375" s="18"/>
    </row>
    <row r="376">
      <c r="A376" s="101"/>
      <c r="B376" s="105"/>
      <c r="C376" s="105"/>
      <c r="D376" s="106" t="str">
        <f>IFERROR(__xludf.DUMMYFUNCTION("""COMPUTED_VALUE"""),"")</f>
        <v/>
      </c>
      <c r="E376" s="110"/>
      <c r="F376" s="92"/>
      <c r="G376" s="18"/>
      <c r="H376" s="101" t="str">
        <f>IFERROR(__xludf.DUMMYFUNCTION("""COMPUTED_VALUE"""),"")</f>
        <v/>
      </c>
      <c r="I376" s="67" t="str">
        <f>IFERROR(__xludf.DUMMYFUNCTION("""COMPUTED_VALUE"""),"")</f>
        <v/>
      </c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E376" s="18"/>
      <c r="EF376" s="18"/>
      <c r="EG376" s="18"/>
      <c r="EH376" s="18"/>
      <c r="EI376" s="18"/>
      <c r="EJ376" s="18"/>
      <c r="EK376" s="18"/>
      <c r="EL376" s="18"/>
      <c r="EM376" s="18"/>
      <c r="EN376" s="18"/>
      <c r="EO376" s="18"/>
      <c r="EP376" s="18"/>
      <c r="EQ376" s="18"/>
      <c r="ER376" s="18"/>
      <c r="ES376" s="18"/>
      <c r="ET376" s="18"/>
      <c r="EU376" s="18"/>
      <c r="EV376" s="18"/>
      <c r="EW376" s="18"/>
      <c r="EX376" s="18"/>
    </row>
    <row r="377">
      <c r="A377" s="101"/>
      <c r="B377" s="105"/>
      <c r="C377" s="105"/>
      <c r="D377" s="106" t="str">
        <f>IFERROR(__xludf.DUMMYFUNCTION("""COMPUTED_VALUE"""),"")</f>
        <v/>
      </c>
      <c r="E377" s="110"/>
      <c r="F377" s="92"/>
      <c r="G377" s="18"/>
      <c r="H377" s="101" t="str">
        <f>IFERROR(__xludf.DUMMYFUNCTION("""COMPUTED_VALUE"""),"")</f>
        <v/>
      </c>
      <c r="I377" s="67" t="str">
        <f>IFERROR(__xludf.DUMMYFUNCTION("""COMPUTED_VALUE"""),"")</f>
        <v/>
      </c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E377" s="18"/>
      <c r="EF377" s="18"/>
      <c r="EG377" s="18"/>
      <c r="EH377" s="18"/>
      <c r="EI377" s="18"/>
      <c r="EJ377" s="18"/>
      <c r="EK377" s="18"/>
      <c r="EL377" s="18"/>
      <c r="EM377" s="18"/>
      <c r="EN377" s="18"/>
      <c r="EO377" s="18"/>
      <c r="EP377" s="18"/>
      <c r="EQ377" s="18"/>
      <c r="ER377" s="18"/>
      <c r="ES377" s="18"/>
      <c r="ET377" s="18"/>
      <c r="EU377" s="18"/>
      <c r="EV377" s="18"/>
      <c r="EW377" s="18"/>
      <c r="EX377" s="18"/>
    </row>
    <row r="378">
      <c r="A378" s="101"/>
      <c r="B378" s="105"/>
      <c r="C378" s="105"/>
      <c r="D378" s="106" t="str">
        <f>IFERROR(__xludf.DUMMYFUNCTION("""COMPUTED_VALUE"""),"")</f>
        <v/>
      </c>
      <c r="E378" s="110"/>
      <c r="F378" s="92"/>
      <c r="G378" s="18"/>
      <c r="H378" s="101" t="str">
        <f>IFERROR(__xludf.DUMMYFUNCTION("""COMPUTED_VALUE"""),"")</f>
        <v/>
      </c>
      <c r="I378" s="67" t="str">
        <f>IFERROR(__xludf.DUMMYFUNCTION("""COMPUTED_VALUE"""),"")</f>
        <v/>
      </c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18"/>
      <c r="DY378" s="18"/>
      <c r="DZ378" s="18"/>
      <c r="EA378" s="18"/>
      <c r="EB378" s="18"/>
      <c r="EC378" s="18"/>
      <c r="ED378" s="18"/>
      <c r="EE378" s="18"/>
      <c r="EF378" s="18"/>
      <c r="EG378" s="18"/>
      <c r="EH378" s="18"/>
      <c r="EI378" s="18"/>
      <c r="EJ378" s="18"/>
      <c r="EK378" s="18"/>
      <c r="EL378" s="18"/>
      <c r="EM378" s="18"/>
      <c r="EN378" s="18"/>
      <c r="EO378" s="18"/>
      <c r="EP378" s="18"/>
      <c r="EQ378" s="18"/>
      <c r="ER378" s="18"/>
      <c r="ES378" s="18"/>
      <c r="ET378" s="18"/>
      <c r="EU378" s="18"/>
      <c r="EV378" s="18"/>
      <c r="EW378" s="18"/>
      <c r="EX378" s="18"/>
    </row>
    <row r="379">
      <c r="A379" s="101"/>
      <c r="B379" s="105"/>
      <c r="C379" s="105"/>
      <c r="D379" s="106" t="str">
        <f>IFERROR(__xludf.DUMMYFUNCTION("""COMPUTED_VALUE"""),"")</f>
        <v/>
      </c>
      <c r="E379" s="110"/>
      <c r="F379" s="92"/>
      <c r="G379" s="18"/>
      <c r="H379" s="101" t="str">
        <f>IFERROR(__xludf.DUMMYFUNCTION("""COMPUTED_VALUE"""),"")</f>
        <v/>
      </c>
      <c r="I379" s="67" t="str">
        <f>IFERROR(__xludf.DUMMYFUNCTION("""COMPUTED_VALUE"""),"")</f>
        <v/>
      </c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E379" s="18"/>
      <c r="EF379" s="18"/>
      <c r="EG379" s="18"/>
      <c r="EH379" s="18"/>
      <c r="EI379" s="18"/>
      <c r="EJ379" s="18"/>
      <c r="EK379" s="18"/>
      <c r="EL379" s="18"/>
      <c r="EM379" s="18"/>
      <c r="EN379" s="18"/>
      <c r="EO379" s="18"/>
      <c r="EP379" s="18"/>
      <c r="EQ379" s="18"/>
      <c r="ER379" s="18"/>
      <c r="ES379" s="18"/>
      <c r="ET379" s="18"/>
      <c r="EU379" s="18"/>
      <c r="EV379" s="18"/>
      <c r="EW379" s="18"/>
      <c r="EX379" s="18"/>
    </row>
    <row r="380">
      <c r="A380" s="101"/>
      <c r="B380" s="105"/>
      <c r="C380" s="105"/>
      <c r="D380" s="106" t="str">
        <f>IFERROR(__xludf.DUMMYFUNCTION("""COMPUTED_VALUE"""),"")</f>
        <v/>
      </c>
      <c r="E380" s="110"/>
      <c r="F380" s="92"/>
      <c r="G380" s="18"/>
      <c r="H380" s="101" t="str">
        <f>IFERROR(__xludf.DUMMYFUNCTION("""COMPUTED_VALUE"""),"")</f>
        <v/>
      </c>
      <c r="I380" s="67" t="str">
        <f>IFERROR(__xludf.DUMMYFUNCTION("""COMPUTED_VALUE"""),"")</f>
        <v/>
      </c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</row>
    <row r="381">
      <c r="A381" s="101"/>
      <c r="B381" s="105"/>
      <c r="C381" s="105"/>
      <c r="D381" s="106" t="str">
        <f>IFERROR(__xludf.DUMMYFUNCTION("""COMPUTED_VALUE"""),"")</f>
        <v/>
      </c>
      <c r="E381" s="110"/>
      <c r="F381" s="92"/>
      <c r="G381" s="18"/>
      <c r="H381" s="101" t="str">
        <f>IFERROR(__xludf.DUMMYFUNCTION("""COMPUTED_VALUE"""),"")</f>
        <v/>
      </c>
      <c r="I381" s="67" t="str">
        <f>IFERROR(__xludf.DUMMYFUNCTION("""COMPUTED_VALUE"""),"")</f>
        <v/>
      </c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E381" s="18"/>
      <c r="EF381" s="18"/>
      <c r="EG381" s="18"/>
      <c r="EH381" s="18"/>
      <c r="EI381" s="18"/>
      <c r="EJ381" s="18"/>
      <c r="EK381" s="18"/>
      <c r="EL381" s="18"/>
      <c r="EM381" s="18"/>
      <c r="EN381" s="18"/>
      <c r="EO381" s="18"/>
      <c r="EP381" s="18"/>
      <c r="EQ381" s="18"/>
      <c r="ER381" s="18"/>
      <c r="ES381" s="18"/>
      <c r="ET381" s="18"/>
      <c r="EU381" s="18"/>
      <c r="EV381" s="18"/>
      <c r="EW381" s="18"/>
      <c r="EX381" s="18"/>
    </row>
    <row r="382">
      <c r="A382" s="101"/>
      <c r="B382" s="105"/>
      <c r="C382" s="105"/>
      <c r="D382" s="106" t="str">
        <f>IFERROR(__xludf.DUMMYFUNCTION("""COMPUTED_VALUE"""),"")</f>
        <v/>
      </c>
      <c r="E382" s="110"/>
      <c r="F382" s="92"/>
      <c r="G382" s="18"/>
      <c r="H382" s="101" t="str">
        <f>IFERROR(__xludf.DUMMYFUNCTION("""COMPUTED_VALUE"""),"")</f>
        <v/>
      </c>
      <c r="I382" s="67" t="str">
        <f>IFERROR(__xludf.DUMMYFUNCTION("""COMPUTED_VALUE"""),"")</f>
        <v/>
      </c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  <c r="DW382" s="18"/>
      <c r="DX382" s="18"/>
      <c r="DY382" s="18"/>
      <c r="DZ382" s="18"/>
      <c r="EA382" s="18"/>
      <c r="EB382" s="18"/>
      <c r="EC382" s="18"/>
      <c r="ED382" s="18"/>
      <c r="EE382" s="18"/>
      <c r="EF382" s="18"/>
      <c r="EG382" s="18"/>
      <c r="EH382" s="18"/>
      <c r="EI382" s="18"/>
      <c r="EJ382" s="18"/>
      <c r="EK382" s="18"/>
      <c r="EL382" s="18"/>
      <c r="EM382" s="18"/>
      <c r="EN382" s="18"/>
      <c r="EO382" s="18"/>
      <c r="EP382" s="18"/>
      <c r="EQ382" s="18"/>
      <c r="ER382" s="18"/>
      <c r="ES382" s="18"/>
      <c r="ET382" s="18"/>
      <c r="EU382" s="18"/>
      <c r="EV382" s="18"/>
      <c r="EW382" s="18"/>
      <c r="EX382" s="18"/>
    </row>
    <row r="383">
      <c r="A383" s="101"/>
      <c r="B383" s="105"/>
      <c r="C383" s="105"/>
      <c r="D383" s="106" t="str">
        <f>IFERROR(__xludf.DUMMYFUNCTION("""COMPUTED_VALUE"""),"")</f>
        <v/>
      </c>
      <c r="E383" s="110"/>
      <c r="F383" s="92"/>
      <c r="G383" s="18"/>
      <c r="H383" s="101" t="str">
        <f>IFERROR(__xludf.DUMMYFUNCTION("""COMPUTED_VALUE"""),"")</f>
        <v/>
      </c>
      <c r="I383" s="67" t="str">
        <f>IFERROR(__xludf.DUMMYFUNCTION("""COMPUTED_VALUE"""),"")</f>
        <v/>
      </c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E383" s="18"/>
      <c r="EF383" s="18"/>
      <c r="EG383" s="18"/>
      <c r="EH383" s="18"/>
      <c r="EI383" s="18"/>
      <c r="EJ383" s="18"/>
      <c r="EK383" s="18"/>
      <c r="EL383" s="18"/>
      <c r="EM383" s="18"/>
      <c r="EN383" s="18"/>
      <c r="EO383" s="18"/>
      <c r="EP383" s="18"/>
      <c r="EQ383" s="18"/>
      <c r="ER383" s="18"/>
      <c r="ES383" s="18"/>
      <c r="ET383" s="18"/>
      <c r="EU383" s="18"/>
      <c r="EV383" s="18"/>
      <c r="EW383" s="18"/>
      <c r="EX383" s="18"/>
    </row>
    <row r="384">
      <c r="A384" s="101"/>
      <c r="B384" s="105"/>
      <c r="C384" s="105"/>
      <c r="D384" s="106" t="str">
        <f>IFERROR(__xludf.DUMMYFUNCTION("""COMPUTED_VALUE"""),"")</f>
        <v/>
      </c>
      <c r="E384" s="110"/>
      <c r="F384" s="92"/>
      <c r="G384" s="18"/>
      <c r="H384" s="101" t="str">
        <f>IFERROR(__xludf.DUMMYFUNCTION("""COMPUTED_VALUE"""),"")</f>
        <v/>
      </c>
      <c r="I384" s="67" t="str">
        <f>IFERROR(__xludf.DUMMYFUNCTION("""COMPUTED_VALUE"""),"")</f>
        <v/>
      </c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18"/>
      <c r="DY384" s="18"/>
      <c r="DZ384" s="18"/>
      <c r="EA384" s="18"/>
      <c r="EB384" s="18"/>
      <c r="EC384" s="18"/>
      <c r="ED384" s="18"/>
      <c r="EE384" s="18"/>
      <c r="EF384" s="18"/>
      <c r="EG384" s="18"/>
      <c r="EH384" s="18"/>
      <c r="EI384" s="18"/>
      <c r="EJ384" s="18"/>
      <c r="EK384" s="18"/>
      <c r="EL384" s="18"/>
      <c r="EM384" s="18"/>
      <c r="EN384" s="18"/>
      <c r="EO384" s="18"/>
      <c r="EP384" s="18"/>
      <c r="EQ384" s="18"/>
      <c r="ER384" s="18"/>
      <c r="ES384" s="18"/>
      <c r="ET384" s="18"/>
      <c r="EU384" s="18"/>
      <c r="EV384" s="18"/>
      <c r="EW384" s="18"/>
      <c r="EX384" s="18"/>
    </row>
    <row r="385">
      <c r="A385" s="101"/>
      <c r="B385" s="105"/>
      <c r="C385" s="105"/>
      <c r="D385" s="106" t="str">
        <f>IFERROR(__xludf.DUMMYFUNCTION("""COMPUTED_VALUE"""),"")</f>
        <v/>
      </c>
      <c r="E385" s="110"/>
      <c r="F385" s="92"/>
      <c r="G385" s="18"/>
      <c r="H385" s="101" t="str">
        <f>IFERROR(__xludf.DUMMYFUNCTION("""COMPUTED_VALUE"""),"")</f>
        <v/>
      </c>
      <c r="I385" s="67" t="str">
        <f>IFERROR(__xludf.DUMMYFUNCTION("""COMPUTED_VALUE"""),"")</f>
        <v/>
      </c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  <c r="DW385" s="18"/>
      <c r="DX385" s="18"/>
      <c r="DY385" s="18"/>
      <c r="DZ385" s="18"/>
      <c r="EA385" s="18"/>
      <c r="EB385" s="18"/>
      <c r="EC385" s="18"/>
      <c r="ED385" s="18"/>
      <c r="EE385" s="18"/>
      <c r="EF385" s="18"/>
      <c r="EG385" s="18"/>
      <c r="EH385" s="18"/>
      <c r="EI385" s="18"/>
      <c r="EJ385" s="18"/>
      <c r="EK385" s="18"/>
      <c r="EL385" s="18"/>
      <c r="EM385" s="18"/>
      <c r="EN385" s="18"/>
      <c r="EO385" s="18"/>
      <c r="EP385" s="18"/>
      <c r="EQ385" s="18"/>
      <c r="ER385" s="18"/>
      <c r="ES385" s="18"/>
      <c r="ET385" s="18"/>
      <c r="EU385" s="18"/>
      <c r="EV385" s="18"/>
      <c r="EW385" s="18"/>
      <c r="EX385" s="18"/>
    </row>
    <row r="386">
      <c r="A386" s="101"/>
      <c r="B386" s="105"/>
      <c r="C386" s="105"/>
      <c r="D386" s="106" t="str">
        <f>IFERROR(__xludf.DUMMYFUNCTION("""COMPUTED_VALUE"""),"")</f>
        <v/>
      </c>
      <c r="E386" s="110"/>
      <c r="F386" s="92"/>
      <c r="G386" s="18"/>
      <c r="H386" s="101" t="str">
        <f>IFERROR(__xludf.DUMMYFUNCTION("""COMPUTED_VALUE"""),"")</f>
        <v/>
      </c>
      <c r="I386" s="67" t="str">
        <f>IFERROR(__xludf.DUMMYFUNCTION("""COMPUTED_VALUE"""),"")</f>
        <v/>
      </c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  <c r="DW386" s="18"/>
      <c r="DX386" s="18"/>
      <c r="DY386" s="18"/>
      <c r="DZ386" s="18"/>
      <c r="EA386" s="18"/>
      <c r="EB386" s="18"/>
      <c r="EC386" s="18"/>
      <c r="ED386" s="18"/>
      <c r="EE386" s="18"/>
      <c r="EF386" s="18"/>
      <c r="EG386" s="18"/>
      <c r="EH386" s="18"/>
      <c r="EI386" s="18"/>
      <c r="EJ386" s="18"/>
      <c r="EK386" s="18"/>
      <c r="EL386" s="18"/>
      <c r="EM386" s="18"/>
      <c r="EN386" s="18"/>
      <c r="EO386" s="18"/>
      <c r="EP386" s="18"/>
      <c r="EQ386" s="18"/>
      <c r="ER386" s="18"/>
      <c r="ES386" s="18"/>
      <c r="ET386" s="18"/>
      <c r="EU386" s="18"/>
      <c r="EV386" s="18"/>
      <c r="EW386" s="18"/>
      <c r="EX386" s="18"/>
    </row>
    <row r="387">
      <c r="A387" s="101"/>
      <c r="B387" s="105"/>
      <c r="C387" s="105"/>
      <c r="D387" s="106" t="str">
        <f>IFERROR(__xludf.DUMMYFUNCTION("""COMPUTED_VALUE"""),"")</f>
        <v/>
      </c>
      <c r="E387" s="110"/>
      <c r="F387" s="92"/>
      <c r="G387" s="18"/>
      <c r="H387" s="101" t="str">
        <f>IFERROR(__xludf.DUMMYFUNCTION("""COMPUTED_VALUE"""),"")</f>
        <v/>
      </c>
      <c r="I387" s="67" t="str">
        <f>IFERROR(__xludf.DUMMYFUNCTION("""COMPUTED_VALUE"""),"")</f>
        <v/>
      </c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E387" s="18"/>
      <c r="EF387" s="18"/>
      <c r="EG387" s="18"/>
      <c r="EH387" s="18"/>
      <c r="EI387" s="18"/>
      <c r="EJ387" s="18"/>
      <c r="EK387" s="18"/>
      <c r="EL387" s="18"/>
      <c r="EM387" s="18"/>
      <c r="EN387" s="18"/>
      <c r="EO387" s="18"/>
      <c r="EP387" s="18"/>
      <c r="EQ387" s="18"/>
      <c r="ER387" s="18"/>
      <c r="ES387" s="18"/>
      <c r="ET387" s="18"/>
      <c r="EU387" s="18"/>
      <c r="EV387" s="18"/>
      <c r="EW387" s="18"/>
      <c r="EX387" s="18"/>
    </row>
    <row r="388">
      <c r="A388" s="101"/>
      <c r="B388" s="105"/>
      <c r="C388" s="105"/>
      <c r="D388" s="106" t="str">
        <f>IFERROR(__xludf.DUMMYFUNCTION("""COMPUTED_VALUE"""),"")</f>
        <v/>
      </c>
      <c r="E388" s="110"/>
      <c r="F388" s="92"/>
      <c r="G388" s="18"/>
      <c r="H388" s="101" t="str">
        <f>IFERROR(__xludf.DUMMYFUNCTION("""COMPUTED_VALUE"""),"")</f>
        <v/>
      </c>
      <c r="I388" s="67" t="str">
        <f>IFERROR(__xludf.DUMMYFUNCTION("""COMPUTED_VALUE"""),"")</f>
        <v/>
      </c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</row>
    <row r="389">
      <c r="A389" s="101"/>
      <c r="B389" s="105"/>
      <c r="C389" s="105"/>
      <c r="D389" s="106" t="str">
        <f>IFERROR(__xludf.DUMMYFUNCTION("""COMPUTED_VALUE"""),"")</f>
        <v/>
      </c>
      <c r="E389" s="110"/>
      <c r="F389" s="92"/>
      <c r="G389" s="18"/>
      <c r="H389" s="101" t="str">
        <f>IFERROR(__xludf.DUMMYFUNCTION("""COMPUTED_VALUE"""),"")</f>
        <v/>
      </c>
      <c r="I389" s="67" t="str">
        <f>IFERROR(__xludf.DUMMYFUNCTION("""COMPUTED_VALUE"""),"")</f>
        <v/>
      </c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  <c r="DW389" s="18"/>
      <c r="DX389" s="18"/>
      <c r="DY389" s="18"/>
      <c r="DZ389" s="18"/>
      <c r="EA389" s="18"/>
      <c r="EB389" s="18"/>
      <c r="EC389" s="18"/>
      <c r="ED389" s="18"/>
      <c r="EE389" s="18"/>
      <c r="EF389" s="18"/>
      <c r="EG389" s="18"/>
      <c r="EH389" s="18"/>
      <c r="EI389" s="18"/>
      <c r="EJ389" s="18"/>
      <c r="EK389" s="18"/>
      <c r="EL389" s="18"/>
      <c r="EM389" s="18"/>
      <c r="EN389" s="18"/>
      <c r="EO389" s="18"/>
      <c r="EP389" s="18"/>
      <c r="EQ389" s="18"/>
      <c r="ER389" s="18"/>
      <c r="ES389" s="18"/>
      <c r="ET389" s="18"/>
      <c r="EU389" s="18"/>
      <c r="EV389" s="18"/>
      <c r="EW389" s="18"/>
      <c r="EX389" s="18"/>
    </row>
    <row r="390">
      <c r="A390" s="101"/>
      <c r="B390" s="105"/>
      <c r="C390" s="105"/>
      <c r="D390" s="106" t="str">
        <f>IFERROR(__xludf.DUMMYFUNCTION("""COMPUTED_VALUE"""),"")</f>
        <v/>
      </c>
      <c r="E390" s="110"/>
      <c r="F390" s="92"/>
      <c r="G390" s="18"/>
      <c r="H390" s="101" t="str">
        <f>IFERROR(__xludf.DUMMYFUNCTION("""COMPUTED_VALUE"""),"")</f>
        <v/>
      </c>
      <c r="I390" s="67" t="str">
        <f>IFERROR(__xludf.DUMMYFUNCTION("""COMPUTED_VALUE"""),"")</f>
        <v/>
      </c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18"/>
      <c r="DY390" s="18"/>
      <c r="DZ390" s="18"/>
      <c r="EA390" s="18"/>
      <c r="EB390" s="18"/>
      <c r="EC390" s="18"/>
      <c r="ED390" s="18"/>
      <c r="EE390" s="18"/>
      <c r="EF390" s="18"/>
      <c r="EG390" s="18"/>
      <c r="EH390" s="18"/>
      <c r="EI390" s="18"/>
      <c r="EJ390" s="18"/>
      <c r="EK390" s="18"/>
      <c r="EL390" s="18"/>
      <c r="EM390" s="18"/>
      <c r="EN390" s="18"/>
      <c r="EO390" s="18"/>
      <c r="EP390" s="18"/>
      <c r="EQ390" s="18"/>
      <c r="ER390" s="18"/>
      <c r="ES390" s="18"/>
      <c r="ET390" s="18"/>
      <c r="EU390" s="18"/>
      <c r="EV390" s="18"/>
      <c r="EW390" s="18"/>
      <c r="EX390" s="18"/>
    </row>
    <row r="391">
      <c r="A391" s="101"/>
      <c r="B391" s="105"/>
      <c r="C391" s="105"/>
      <c r="D391" s="106" t="str">
        <f>IFERROR(__xludf.DUMMYFUNCTION("""COMPUTED_VALUE"""),"")</f>
        <v/>
      </c>
      <c r="E391" s="110"/>
      <c r="F391" s="92"/>
      <c r="G391" s="18"/>
      <c r="H391" s="101" t="str">
        <f>IFERROR(__xludf.DUMMYFUNCTION("""COMPUTED_VALUE"""),"")</f>
        <v/>
      </c>
      <c r="I391" s="67" t="str">
        <f>IFERROR(__xludf.DUMMYFUNCTION("""COMPUTED_VALUE"""),"")</f>
        <v/>
      </c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  <c r="DW391" s="18"/>
      <c r="DX391" s="18"/>
      <c r="DY391" s="18"/>
      <c r="DZ391" s="18"/>
      <c r="EA391" s="18"/>
      <c r="EB391" s="18"/>
      <c r="EC391" s="18"/>
      <c r="ED391" s="18"/>
      <c r="EE391" s="18"/>
      <c r="EF391" s="18"/>
      <c r="EG391" s="18"/>
      <c r="EH391" s="18"/>
      <c r="EI391" s="18"/>
      <c r="EJ391" s="18"/>
      <c r="EK391" s="18"/>
      <c r="EL391" s="18"/>
      <c r="EM391" s="18"/>
      <c r="EN391" s="18"/>
      <c r="EO391" s="18"/>
      <c r="EP391" s="18"/>
      <c r="EQ391" s="18"/>
      <c r="ER391" s="18"/>
      <c r="ES391" s="18"/>
      <c r="ET391" s="18"/>
      <c r="EU391" s="18"/>
      <c r="EV391" s="18"/>
      <c r="EW391" s="18"/>
      <c r="EX391" s="18"/>
    </row>
    <row r="392">
      <c r="A392" s="101"/>
      <c r="B392" s="105"/>
      <c r="C392" s="105"/>
      <c r="D392" s="106" t="str">
        <f>IFERROR(__xludf.DUMMYFUNCTION("""COMPUTED_VALUE"""),"")</f>
        <v/>
      </c>
      <c r="E392" s="110"/>
      <c r="F392" s="92"/>
      <c r="G392" s="18"/>
      <c r="H392" s="101" t="str">
        <f>IFERROR(__xludf.DUMMYFUNCTION("""COMPUTED_VALUE"""),"")</f>
        <v/>
      </c>
      <c r="I392" s="67" t="str">
        <f>IFERROR(__xludf.DUMMYFUNCTION("""COMPUTED_VALUE"""),"")</f>
        <v/>
      </c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  <c r="DW392" s="18"/>
      <c r="DX392" s="18"/>
      <c r="DY392" s="18"/>
      <c r="DZ392" s="18"/>
      <c r="EA392" s="18"/>
      <c r="EB392" s="18"/>
      <c r="EC392" s="18"/>
      <c r="ED392" s="18"/>
      <c r="EE392" s="18"/>
      <c r="EF392" s="18"/>
      <c r="EG392" s="18"/>
      <c r="EH392" s="18"/>
      <c r="EI392" s="18"/>
      <c r="EJ392" s="18"/>
      <c r="EK392" s="18"/>
      <c r="EL392" s="18"/>
      <c r="EM392" s="18"/>
      <c r="EN392" s="18"/>
      <c r="EO392" s="18"/>
      <c r="EP392" s="18"/>
      <c r="EQ392" s="18"/>
      <c r="ER392" s="18"/>
      <c r="ES392" s="18"/>
      <c r="ET392" s="18"/>
      <c r="EU392" s="18"/>
      <c r="EV392" s="18"/>
      <c r="EW392" s="18"/>
      <c r="EX392" s="18"/>
    </row>
    <row r="393">
      <c r="A393" s="101"/>
      <c r="B393" s="105"/>
      <c r="C393" s="105"/>
      <c r="D393" s="106" t="str">
        <f>IFERROR(__xludf.DUMMYFUNCTION("""COMPUTED_VALUE"""),"")</f>
        <v/>
      </c>
      <c r="E393" s="110"/>
      <c r="F393" s="92"/>
      <c r="G393" s="18"/>
      <c r="H393" s="101" t="str">
        <f>IFERROR(__xludf.DUMMYFUNCTION("""COMPUTED_VALUE"""),"")</f>
        <v/>
      </c>
      <c r="I393" s="67" t="str">
        <f>IFERROR(__xludf.DUMMYFUNCTION("""COMPUTED_VALUE"""),"")</f>
        <v/>
      </c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18"/>
      <c r="DY393" s="18"/>
      <c r="DZ393" s="18"/>
      <c r="EA393" s="18"/>
      <c r="EB393" s="18"/>
      <c r="EC393" s="18"/>
      <c r="ED393" s="18"/>
      <c r="EE393" s="18"/>
      <c r="EF393" s="18"/>
      <c r="EG393" s="18"/>
      <c r="EH393" s="18"/>
      <c r="EI393" s="18"/>
      <c r="EJ393" s="18"/>
      <c r="EK393" s="18"/>
      <c r="EL393" s="18"/>
      <c r="EM393" s="18"/>
      <c r="EN393" s="18"/>
      <c r="EO393" s="18"/>
      <c r="EP393" s="18"/>
      <c r="EQ393" s="18"/>
      <c r="ER393" s="18"/>
      <c r="ES393" s="18"/>
      <c r="ET393" s="18"/>
      <c r="EU393" s="18"/>
      <c r="EV393" s="18"/>
      <c r="EW393" s="18"/>
      <c r="EX393" s="18"/>
    </row>
    <row r="394">
      <c r="A394" s="101"/>
      <c r="B394" s="105"/>
      <c r="C394" s="105"/>
      <c r="D394" s="106" t="str">
        <f>IFERROR(__xludf.DUMMYFUNCTION("""COMPUTED_VALUE"""),"")</f>
        <v/>
      </c>
      <c r="E394" s="110"/>
      <c r="F394" s="92"/>
      <c r="G394" s="18"/>
      <c r="H394" s="101" t="str">
        <f>IFERROR(__xludf.DUMMYFUNCTION("""COMPUTED_VALUE"""),"")</f>
        <v/>
      </c>
      <c r="I394" s="67" t="str">
        <f>IFERROR(__xludf.DUMMYFUNCTION("""COMPUTED_VALUE"""),"")</f>
        <v/>
      </c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  <c r="DW394" s="18"/>
      <c r="DX394" s="18"/>
      <c r="DY394" s="18"/>
      <c r="DZ394" s="18"/>
      <c r="EA394" s="18"/>
      <c r="EB394" s="18"/>
      <c r="EC394" s="18"/>
      <c r="ED394" s="18"/>
      <c r="EE394" s="18"/>
      <c r="EF394" s="18"/>
      <c r="EG394" s="18"/>
      <c r="EH394" s="18"/>
      <c r="EI394" s="18"/>
      <c r="EJ394" s="18"/>
      <c r="EK394" s="18"/>
      <c r="EL394" s="18"/>
      <c r="EM394" s="18"/>
      <c r="EN394" s="18"/>
      <c r="EO394" s="18"/>
      <c r="EP394" s="18"/>
      <c r="EQ394" s="18"/>
      <c r="ER394" s="18"/>
      <c r="ES394" s="18"/>
      <c r="ET394" s="18"/>
      <c r="EU394" s="18"/>
      <c r="EV394" s="18"/>
      <c r="EW394" s="18"/>
      <c r="EX394" s="18"/>
    </row>
    <row r="395">
      <c r="A395" s="101"/>
      <c r="B395" s="105"/>
      <c r="C395" s="105"/>
      <c r="D395" s="106" t="str">
        <f>IFERROR(__xludf.DUMMYFUNCTION("""COMPUTED_VALUE"""),"")</f>
        <v/>
      </c>
      <c r="E395" s="110"/>
      <c r="F395" s="92"/>
      <c r="G395" s="18"/>
      <c r="H395" s="101" t="str">
        <f>IFERROR(__xludf.DUMMYFUNCTION("""COMPUTED_VALUE"""),"")</f>
        <v/>
      </c>
      <c r="I395" s="67" t="str">
        <f>IFERROR(__xludf.DUMMYFUNCTION("""COMPUTED_VALUE"""),"")</f>
        <v/>
      </c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</row>
    <row r="396">
      <c r="A396" s="101"/>
      <c r="B396" s="105"/>
      <c r="C396" s="105"/>
      <c r="D396" s="106" t="str">
        <f>IFERROR(__xludf.DUMMYFUNCTION("""COMPUTED_VALUE"""),"")</f>
        <v/>
      </c>
      <c r="E396" s="110"/>
      <c r="F396" s="92"/>
      <c r="G396" s="18"/>
      <c r="H396" s="101" t="str">
        <f>IFERROR(__xludf.DUMMYFUNCTION("""COMPUTED_VALUE"""),"")</f>
        <v/>
      </c>
      <c r="I396" s="67" t="str">
        <f>IFERROR(__xludf.DUMMYFUNCTION("""COMPUTED_VALUE"""),"")</f>
        <v/>
      </c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</row>
    <row r="397">
      <c r="A397" s="101"/>
      <c r="B397" s="105"/>
      <c r="C397" s="105"/>
      <c r="D397" s="106" t="str">
        <f>IFERROR(__xludf.DUMMYFUNCTION("""COMPUTED_VALUE"""),"")</f>
        <v/>
      </c>
      <c r="E397" s="110"/>
      <c r="F397" s="92"/>
      <c r="G397" s="18"/>
      <c r="H397" s="101" t="str">
        <f>IFERROR(__xludf.DUMMYFUNCTION("""COMPUTED_VALUE"""),"")</f>
        <v/>
      </c>
      <c r="I397" s="67" t="str">
        <f>IFERROR(__xludf.DUMMYFUNCTION("""COMPUTED_VALUE"""),"")</f>
        <v/>
      </c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8"/>
      <c r="DY397" s="18"/>
      <c r="DZ397" s="18"/>
      <c r="EA397" s="18"/>
      <c r="EB397" s="18"/>
      <c r="EC397" s="18"/>
      <c r="ED397" s="18"/>
      <c r="EE397" s="18"/>
      <c r="EF397" s="18"/>
      <c r="EG397" s="18"/>
      <c r="EH397" s="18"/>
      <c r="EI397" s="18"/>
      <c r="EJ397" s="18"/>
      <c r="EK397" s="18"/>
      <c r="EL397" s="18"/>
      <c r="EM397" s="18"/>
      <c r="EN397" s="18"/>
      <c r="EO397" s="18"/>
      <c r="EP397" s="18"/>
      <c r="EQ397" s="18"/>
      <c r="ER397" s="18"/>
      <c r="ES397" s="18"/>
      <c r="ET397" s="18"/>
      <c r="EU397" s="18"/>
      <c r="EV397" s="18"/>
      <c r="EW397" s="18"/>
      <c r="EX397" s="18"/>
    </row>
    <row r="398">
      <c r="A398" s="101"/>
      <c r="B398" s="105"/>
      <c r="C398" s="105"/>
      <c r="D398" s="106" t="str">
        <f>IFERROR(__xludf.DUMMYFUNCTION("""COMPUTED_VALUE"""),"")</f>
        <v/>
      </c>
      <c r="E398" s="110"/>
      <c r="F398" s="92"/>
      <c r="G398" s="18"/>
      <c r="H398" s="101" t="str">
        <f>IFERROR(__xludf.DUMMYFUNCTION("""COMPUTED_VALUE"""),"")</f>
        <v/>
      </c>
      <c r="I398" s="67" t="str">
        <f>IFERROR(__xludf.DUMMYFUNCTION("""COMPUTED_VALUE"""),"")</f>
        <v/>
      </c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8"/>
      <c r="DX398" s="18"/>
      <c r="DY398" s="18"/>
      <c r="DZ398" s="18"/>
      <c r="EA398" s="18"/>
      <c r="EB398" s="18"/>
      <c r="EC398" s="18"/>
      <c r="ED398" s="18"/>
      <c r="EE398" s="18"/>
      <c r="EF398" s="18"/>
      <c r="EG398" s="18"/>
      <c r="EH398" s="18"/>
      <c r="EI398" s="18"/>
      <c r="EJ398" s="18"/>
      <c r="EK398" s="18"/>
      <c r="EL398" s="18"/>
      <c r="EM398" s="18"/>
      <c r="EN398" s="18"/>
      <c r="EO398" s="18"/>
      <c r="EP398" s="18"/>
      <c r="EQ398" s="18"/>
      <c r="ER398" s="18"/>
      <c r="ES398" s="18"/>
      <c r="ET398" s="18"/>
      <c r="EU398" s="18"/>
      <c r="EV398" s="18"/>
      <c r="EW398" s="18"/>
      <c r="EX398" s="18"/>
    </row>
    <row r="399">
      <c r="A399" s="101"/>
      <c r="B399" s="105"/>
      <c r="C399" s="105"/>
      <c r="D399" s="106" t="str">
        <f>IFERROR(__xludf.DUMMYFUNCTION("""COMPUTED_VALUE"""),"")</f>
        <v/>
      </c>
      <c r="E399" s="110"/>
      <c r="F399" s="92"/>
      <c r="G399" s="18"/>
      <c r="H399" s="101" t="str">
        <f>IFERROR(__xludf.DUMMYFUNCTION("""COMPUTED_VALUE"""),"")</f>
        <v/>
      </c>
      <c r="I399" s="67" t="str">
        <f>IFERROR(__xludf.DUMMYFUNCTION("""COMPUTED_VALUE"""),"")</f>
        <v/>
      </c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18"/>
      <c r="DY399" s="18"/>
      <c r="DZ399" s="18"/>
      <c r="EA399" s="18"/>
      <c r="EB399" s="18"/>
      <c r="EC399" s="18"/>
      <c r="ED399" s="18"/>
      <c r="EE399" s="18"/>
      <c r="EF399" s="18"/>
      <c r="EG399" s="18"/>
      <c r="EH399" s="18"/>
      <c r="EI399" s="18"/>
      <c r="EJ399" s="18"/>
      <c r="EK399" s="18"/>
      <c r="EL399" s="18"/>
      <c r="EM399" s="18"/>
      <c r="EN399" s="18"/>
      <c r="EO399" s="18"/>
      <c r="EP399" s="18"/>
      <c r="EQ399" s="18"/>
      <c r="ER399" s="18"/>
      <c r="ES399" s="18"/>
      <c r="ET399" s="18"/>
      <c r="EU399" s="18"/>
      <c r="EV399" s="18"/>
      <c r="EW399" s="18"/>
      <c r="EX399" s="18"/>
    </row>
    <row r="400">
      <c r="A400" s="101"/>
      <c r="B400" s="105"/>
      <c r="C400" s="105"/>
      <c r="D400" s="106" t="str">
        <f>IFERROR(__xludf.DUMMYFUNCTION("""COMPUTED_VALUE"""),"")</f>
        <v/>
      </c>
      <c r="E400" s="110"/>
      <c r="F400" s="92"/>
      <c r="G400" s="18"/>
      <c r="H400" s="101" t="str">
        <f>IFERROR(__xludf.DUMMYFUNCTION("""COMPUTED_VALUE"""),"")</f>
        <v/>
      </c>
      <c r="I400" s="67" t="str">
        <f>IFERROR(__xludf.DUMMYFUNCTION("""COMPUTED_VALUE"""),"")</f>
        <v/>
      </c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  <c r="DW400" s="18"/>
      <c r="DX400" s="18"/>
      <c r="DY400" s="18"/>
      <c r="DZ400" s="18"/>
      <c r="EA400" s="18"/>
      <c r="EB400" s="18"/>
      <c r="EC400" s="18"/>
      <c r="ED400" s="18"/>
      <c r="EE400" s="18"/>
      <c r="EF400" s="18"/>
      <c r="EG400" s="18"/>
      <c r="EH400" s="18"/>
      <c r="EI400" s="18"/>
      <c r="EJ400" s="18"/>
      <c r="EK400" s="18"/>
      <c r="EL400" s="18"/>
      <c r="EM400" s="18"/>
      <c r="EN400" s="18"/>
      <c r="EO400" s="18"/>
      <c r="EP400" s="18"/>
      <c r="EQ400" s="18"/>
      <c r="ER400" s="18"/>
      <c r="ES400" s="18"/>
      <c r="ET400" s="18"/>
      <c r="EU400" s="18"/>
      <c r="EV400" s="18"/>
      <c r="EW400" s="18"/>
      <c r="EX400" s="18"/>
    </row>
    <row r="401">
      <c r="A401" s="101"/>
      <c r="B401" s="105"/>
      <c r="C401" s="105"/>
      <c r="D401" s="106" t="str">
        <f>IFERROR(__xludf.DUMMYFUNCTION("""COMPUTED_VALUE"""),"")</f>
        <v/>
      </c>
      <c r="E401" s="110"/>
      <c r="F401" s="92"/>
      <c r="G401" s="18"/>
      <c r="H401" s="101" t="str">
        <f>IFERROR(__xludf.DUMMYFUNCTION("""COMPUTED_VALUE"""),"")</f>
        <v/>
      </c>
      <c r="I401" s="67" t="str">
        <f>IFERROR(__xludf.DUMMYFUNCTION("""COMPUTED_VALUE"""),"")</f>
        <v/>
      </c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  <c r="DW401" s="18"/>
      <c r="DX401" s="18"/>
      <c r="DY401" s="18"/>
      <c r="DZ401" s="18"/>
      <c r="EA401" s="18"/>
      <c r="EB401" s="18"/>
      <c r="EC401" s="18"/>
      <c r="ED401" s="18"/>
      <c r="EE401" s="18"/>
      <c r="EF401" s="18"/>
      <c r="EG401" s="18"/>
      <c r="EH401" s="18"/>
      <c r="EI401" s="18"/>
      <c r="EJ401" s="18"/>
      <c r="EK401" s="18"/>
      <c r="EL401" s="18"/>
      <c r="EM401" s="18"/>
      <c r="EN401" s="18"/>
      <c r="EO401" s="18"/>
      <c r="EP401" s="18"/>
      <c r="EQ401" s="18"/>
      <c r="ER401" s="18"/>
      <c r="ES401" s="18"/>
      <c r="ET401" s="18"/>
      <c r="EU401" s="18"/>
      <c r="EV401" s="18"/>
      <c r="EW401" s="18"/>
      <c r="EX401" s="18"/>
    </row>
    <row r="402">
      <c r="A402" s="101"/>
      <c r="B402" s="105"/>
      <c r="C402" s="105"/>
      <c r="D402" s="106" t="str">
        <f>IFERROR(__xludf.DUMMYFUNCTION("""COMPUTED_VALUE"""),"")</f>
        <v/>
      </c>
      <c r="E402" s="110"/>
      <c r="F402" s="92"/>
      <c r="G402" s="18"/>
      <c r="H402" s="101" t="str">
        <f>IFERROR(__xludf.DUMMYFUNCTION("""COMPUTED_VALUE"""),"")</f>
        <v/>
      </c>
      <c r="I402" s="67" t="str">
        <f>IFERROR(__xludf.DUMMYFUNCTION("""COMPUTED_VALUE"""),"")</f>
        <v/>
      </c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18"/>
      <c r="DY402" s="18"/>
      <c r="DZ402" s="18"/>
      <c r="EA402" s="18"/>
      <c r="EB402" s="18"/>
      <c r="EC402" s="18"/>
      <c r="ED402" s="18"/>
      <c r="EE402" s="18"/>
      <c r="EF402" s="18"/>
      <c r="EG402" s="18"/>
      <c r="EH402" s="18"/>
      <c r="EI402" s="18"/>
      <c r="EJ402" s="18"/>
      <c r="EK402" s="18"/>
      <c r="EL402" s="18"/>
      <c r="EM402" s="18"/>
      <c r="EN402" s="18"/>
      <c r="EO402" s="18"/>
      <c r="EP402" s="18"/>
      <c r="EQ402" s="18"/>
      <c r="ER402" s="18"/>
      <c r="ES402" s="18"/>
      <c r="ET402" s="18"/>
      <c r="EU402" s="18"/>
      <c r="EV402" s="18"/>
      <c r="EW402" s="18"/>
      <c r="EX402" s="18"/>
    </row>
    <row r="403">
      <c r="A403" s="101"/>
      <c r="B403" s="105"/>
      <c r="C403" s="105"/>
      <c r="D403" s="106" t="str">
        <f>IFERROR(__xludf.DUMMYFUNCTION("""COMPUTED_VALUE"""),"")</f>
        <v/>
      </c>
      <c r="E403" s="110"/>
      <c r="F403" s="92"/>
      <c r="G403" s="18"/>
      <c r="H403" s="101" t="str">
        <f>IFERROR(__xludf.DUMMYFUNCTION("""COMPUTED_VALUE"""),"")</f>
        <v/>
      </c>
      <c r="I403" s="67" t="str">
        <f>IFERROR(__xludf.DUMMYFUNCTION("""COMPUTED_VALUE"""),"")</f>
        <v/>
      </c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</row>
    <row r="404">
      <c r="A404" s="101"/>
      <c r="B404" s="105"/>
      <c r="C404" s="105"/>
      <c r="D404" s="106" t="str">
        <f>IFERROR(__xludf.DUMMYFUNCTION("""COMPUTED_VALUE"""),"")</f>
        <v/>
      </c>
      <c r="E404" s="110"/>
      <c r="F404" s="92"/>
      <c r="G404" s="18"/>
      <c r="H404" s="101" t="str">
        <f>IFERROR(__xludf.DUMMYFUNCTION("""COMPUTED_VALUE"""),"")</f>
        <v/>
      </c>
      <c r="I404" s="67" t="str">
        <f>IFERROR(__xludf.DUMMYFUNCTION("""COMPUTED_VALUE"""),"")</f>
        <v/>
      </c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E404" s="18"/>
      <c r="EF404" s="18"/>
      <c r="EG404" s="18"/>
      <c r="EH404" s="18"/>
      <c r="EI404" s="18"/>
      <c r="EJ404" s="18"/>
      <c r="EK404" s="18"/>
      <c r="EL404" s="18"/>
      <c r="EM404" s="18"/>
      <c r="EN404" s="18"/>
      <c r="EO404" s="18"/>
      <c r="EP404" s="18"/>
      <c r="EQ404" s="18"/>
      <c r="ER404" s="18"/>
      <c r="ES404" s="18"/>
      <c r="ET404" s="18"/>
      <c r="EU404" s="18"/>
      <c r="EV404" s="18"/>
      <c r="EW404" s="18"/>
      <c r="EX404" s="18"/>
    </row>
    <row r="405">
      <c r="A405" s="101"/>
      <c r="B405" s="105"/>
      <c r="C405" s="105"/>
      <c r="D405" s="106" t="str">
        <f>IFERROR(__xludf.DUMMYFUNCTION("""COMPUTED_VALUE"""),"")</f>
        <v/>
      </c>
      <c r="E405" s="110"/>
      <c r="F405" s="92"/>
      <c r="G405" s="18"/>
      <c r="H405" s="101" t="str">
        <f>IFERROR(__xludf.DUMMYFUNCTION("""COMPUTED_VALUE"""),"")</f>
        <v/>
      </c>
      <c r="I405" s="67" t="str">
        <f>IFERROR(__xludf.DUMMYFUNCTION("""COMPUTED_VALUE"""),"")</f>
        <v/>
      </c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18"/>
      <c r="DY405" s="18"/>
      <c r="DZ405" s="18"/>
      <c r="EA405" s="18"/>
      <c r="EB405" s="18"/>
      <c r="EC405" s="18"/>
      <c r="ED405" s="18"/>
      <c r="EE405" s="18"/>
      <c r="EF405" s="18"/>
      <c r="EG405" s="18"/>
      <c r="EH405" s="18"/>
      <c r="EI405" s="18"/>
      <c r="EJ405" s="18"/>
      <c r="EK405" s="18"/>
      <c r="EL405" s="18"/>
      <c r="EM405" s="18"/>
      <c r="EN405" s="18"/>
      <c r="EO405" s="18"/>
      <c r="EP405" s="18"/>
      <c r="EQ405" s="18"/>
      <c r="ER405" s="18"/>
      <c r="ES405" s="18"/>
      <c r="ET405" s="18"/>
      <c r="EU405" s="18"/>
      <c r="EV405" s="18"/>
      <c r="EW405" s="18"/>
      <c r="EX405" s="18"/>
    </row>
    <row r="406">
      <c r="A406" s="101"/>
      <c r="B406" s="105"/>
      <c r="C406" s="105"/>
      <c r="D406" s="106" t="str">
        <f>IFERROR(__xludf.DUMMYFUNCTION("""COMPUTED_VALUE"""),"")</f>
        <v/>
      </c>
      <c r="E406" s="110"/>
      <c r="F406" s="92"/>
      <c r="G406" s="18"/>
      <c r="H406" s="101" t="str">
        <f>IFERROR(__xludf.DUMMYFUNCTION("""COMPUTED_VALUE"""),"")</f>
        <v/>
      </c>
      <c r="I406" s="67" t="str">
        <f>IFERROR(__xludf.DUMMYFUNCTION("""COMPUTED_VALUE"""),"")</f>
        <v/>
      </c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  <c r="DW406" s="18"/>
      <c r="DX406" s="18"/>
      <c r="DY406" s="18"/>
      <c r="DZ406" s="18"/>
      <c r="EA406" s="18"/>
      <c r="EB406" s="18"/>
      <c r="EC406" s="18"/>
      <c r="ED406" s="18"/>
      <c r="EE406" s="18"/>
      <c r="EF406" s="18"/>
      <c r="EG406" s="18"/>
      <c r="EH406" s="18"/>
      <c r="EI406" s="18"/>
      <c r="EJ406" s="18"/>
      <c r="EK406" s="18"/>
      <c r="EL406" s="18"/>
      <c r="EM406" s="18"/>
      <c r="EN406" s="18"/>
      <c r="EO406" s="18"/>
      <c r="EP406" s="18"/>
      <c r="EQ406" s="18"/>
      <c r="ER406" s="18"/>
      <c r="ES406" s="18"/>
      <c r="ET406" s="18"/>
      <c r="EU406" s="18"/>
      <c r="EV406" s="18"/>
      <c r="EW406" s="18"/>
      <c r="EX406" s="18"/>
    </row>
    <row r="407">
      <c r="A407" s="101"/>
      <c r="B407" s="105"/>
      <c r="C407" s="105"/>
      <c r="D407" s="106" t="str">
        <f>IFERROR(__xludf.DUMMYFUNCTION("""COMPUTED_VALUE"""),"")</f>
        <v/>
      </c>
      <c r="E407" s="110"/>
      <c r="F407" s="92"/>
      <c r="G407" s="18"/>
      <c r="H407" s="101" t="str">
        <f>IFERROR(__xludf.DUMMYFUNCTION("""COMPUTED_VALUE"""),"")</f>
        <v/>
      </c>
      <c r="I407" s="67" t="str">
        <f>IFERROR(__xludf.DUMMYFUNCTION("""COMPUTED_VALUE"""),"")</f>
        <v/>
      </c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E407" s="18"/>
      <c r="EF407" s="18"/>
      <c r="EG407" s="18"/>
      <c r="EH407" s="18"/>
      <c r="EI407" s="18"/>
      <c r="EJ407" s="18"/>
      <c r="EK407" s="18"/>
      <c r="EL407" s="18"/>
      <c r="EM407" s="18"/>
      <c r="EN407" s="18"/>
      <c r="EO407" s="18"/>
      <c r="EP407" s="18"/>
      <c r="EQ407" s="18"/>
      <c r="ER407" s="18"/>
      <c r="ES407" s="18"/>
      <c r="ET407" s="18"/>
      <c r="EU407" s="18"/>
      <c r="EV407" s="18"/>
      <c r="EW407" s="18"/>
      <c r="EX407" s="18"/>
    </row>
    <row r="408">
      <c r="A408" s="101"/>
      <c r="B408" s="105"/>
      <c r="C408" s="105"/>
      <c r="D408" s="106" t="str">
        <f>IFERROR(__xludf.DUMMYFUNCTION("""COMPUTED_VALUE"""),"")</f>
        <v/>
      </c>
      <c r="E408" s="110"/>
      <c r="F408" s="92"/>
      <c r="G408" s="18"/>
      <c r="H408" s="101" t="str">
        <f>IFERROR(__xludf.DUMMYFUNCTION("""COMPUTED_VALUE"""),"")</f>
        <v/>
      </c>
      <c r="I408" s="67" t="str">
        <f>IFERROR(__xludf.DUMMYFUNCTION("""COMPUTED_VALUE"""),"")</f>
        <v/>
      </c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18"/>
      <c r="DY408" s="18"/>
      <c r="DZ408" s="18"/>
      <c r="EA408" s="18"/>
      <c r="EB408" s="18"/>
      <c r="EC408" s="18"/>
      <c r="ED408" s="18"/>
      <c r="EE408" s="18"/>
      <c r="EF408" s="18"/>
      <c r="EG408" s="18"/>
      <c r="EH408" s="18"/>
      <c r="EI408" s="18"/>
      <c r="EJ408" s="18"/>
      <c r="EK408" s="18"/>
      <c r="EL408" s="18"/>
      <c r="EM408" s="18"/>
      <c r="EN408" s="18"/>
      <c r="EO408" s="18"/>
      <c r="EP408" s="18"/>
      <c r="EQ408" s="18"/>
      <c r="ER408" s="18"/>
      <c r="ES408" s="18"/>
      <c r="ET408" s="18"/>
      <c r="EU408" s="18"/>
      <c r="EV408" s="18"/>
      <c r="EW408" s="18"/>
      <c r="EX408" s="18"/>
    </row>
    <row r="409">
      <c r="A409" s="101"/>
      <c r="B409" s="105"/>
      <c r="C409" s="105"/>
      <c r="D409" s="106" t="str">
        <f>IFERROR(__xludf.DUMMYFUNCTION("""COMPUTED_VALUE"""),"")</f>
        <v/>
      </c>
      <c r="E409" s="110"/>
      <c r="F409" s="92"/>
      <c r="G409" s="18"/>
      <c r="H409" s="101" t="str">
        <f>IFERROR(__xludf.DUMMYFUNCTION("""COMPUTED_VALUE"""),"")</f>
        <v/>
      </c>
      <c r="I409" s="67" t="str">
        <f>IFERROR(__xludf.DUMMYFUNCTION("""COMPUTED_VALUE"""),"")</f>
        <v/>
      </c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  <c r="DW409" s="18"/>
      <c r="DX409" s="18"/>
      <c r="DY409" s="18"/>
      <c r="DZ409" s="18"/>
      <c r="EA409" s="18"/>
      <c r="EB409" s="18"/>
      <c r="EC409" s="18"/>
      <c r="ED409" s="18"/>
      <c r="EE409" s="18"/>
      <c r="EF409" s="18"/>
      <c r="EG409" s="18"/>
      <c r="EH409" s="18"/>
      <c r="EI409" s="18"/>
      <c r="EJ409" s="18"/>
      <c r="EK409" s="18"/>
      <c r="EL409" s="18"/>
      <c r="EM409" s="18"/>
      <c r="EN409" s="18"/>
      <c r="EO409" s="18"/>
      <c r="EP409" s="18"/>
      <c r="EQ409" s="18"/>
      <c r="ER409" s="18"/>
      <c r="ES409" s="18"/>
      <c r="ET409" s="18"/>
      <c r="EU409" s="18"/>
      <c r="EV409" s="18"/>
      <c r="EW409" s="18"/>
      <c r="EX409" s="18"/>
    </row>
    <row r="410">
      <c r="A410" s="101"/>
      <c r="B410" s="105"/>
      <c r="C410" s="105"/>
      <c r="D410" s="106" t="str">
        <f>IFERROR(__xludf.DUMMYFUNCTION("""COMPUTED_VALUE"""),"")</f>
        <v/>
      </c>
      <c r="E410" s="110"/>
      <c r="F410" s="92"/>
      <c r="G410" s="18"/>
      <c r="H410" s="101" t="str">
        <f>IFERROR(__xludf.DUMMYFUNCTION("""COMPUTED_VALUE"""),"")</f>
        <v/>
      </c>
      <c r="I410" s="67" t="str">
        <f>IFERROR(__xludf.DUMMYFUNCTION("""COMPUTED_VALUE"""),"")</f>
        <v/>
      </c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  <c r="DW410" s="18"/>
      <c r="DX410" s="18"/>
      <c r="DY410" s="18"/>
      <c r="DZ410" s="18"/>
      <c r="EA410" s="18"/>
      <c r="EB410" s="18"/>
      <c r="EC410" s="18"/>
      <c r="ED410" s="18"/>
      <c r="EE410" s="18"/>
      <c r="EF410" s="18"/>
      <c r="EG410" s="18"/>
      <c r="EH410" s="18"/>
      <c r="EI410" s="18"/>
      <c r="EJ410" s="18"/>
      <c r="EK410" s="18"/>
      <c r="EL410" s="18"/>
      <c r="EM410" s="18"/>
      <c r="EN410" s="18"/>
      <c r="EO410" s="18"/>
      <c r="EP410" s="18"/>
      <c r="EQ410" s="18"/>
      <c r="ER410" s="18"/>
      <c r="ES410" s="18"/>
      <c r="ET410" s="18"/>
      <c r="EU410" s="18"/>
      <c r="EV410" s="18"/>
      <c r="EW410" s="18"/>
      <c r="EX410" s="18"/>
    </row>
    <row r="411">
      <c r="A411" s="101"/>
      <c r="B411" s="105"/>
      <c r="C411" s="105"/>
      <c r="D411" s="106" t="str">
        <f>IFERROR(__xludf.DUMMYFUNCTION("""COMPUTED_VALUE"""),"")</f>
        <v/>
      </c>
      <c r="E411" s="110"/>
      <c r="F411" s="92"/>
      <c r="G411" s="18"/>
      <c r="H411" s="101" t="str">
        <f>IFERROR(__xludf.DUMMYFUNCTION("""COMPUTED_VALUE"""),"")</f>
        <v/>
      </c>
      <c r="I411" s="67" t="str">
        <f>IFERROR(__xludf.DUMMYFUNCTION("""COMPUTED_VALUE"""),"")</f>
        <v/>
      </c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18"/>
      <c r="DY411" s="18"/>
      <c r="DZ411" s="18"/>
      <c r="EA411" s="18"/>
      <c r="EB411" s="18"/>
      <c r="EC411" s="18"/>
      <c r="ED411" s="18"/>
      <c r="EE411" s="18"/>
      <c r="EF411" s="18"/>
      <c r="EG411" s="18"/>
      <c r="EH411" s="18"/>
      <c r="EI411" s="18"/>
      <c r="EJ411" s="18"/>
      <c r="EK411" s="18"/>
      <c r="EL411" s="18"/>
      <c r="EM411" s="18"/>
      <c r="EN411" s="18"/>
      <c r="EO411" s="18"/>
      <c r="EP411" s="18"/>
      <c r="EQ411" s="18"/>
      <c r="ER411" s="18"/>
      <c r="ES411" s="18"/>
      <c r="ET411" s="18"/>
      <c r="EU411" s="18"/>
      <c r="EV411" s="18"/>
      <c r="EW411" s="18"/>
      <c r="EX411" s="18"/>
    </row>
    <row r="412">
      <c r="A412" s="101"/>
      <c r="B412" s="105"/>
      <c r="C412" s="105"/>
      <c r="D412" s="106" t="str">
        <f>IFERROR(__xludf.DUMMYFUNCTION("""COMPUTED_VALUE"""),"")</f>
        <v/>
      </c>
      <c r="E412" s="110"/>
      <c r="F412" s="92"/>
      <c r="G412" s="18"/>
      <c r="H412" s="101" t="str">
        <f>IFERROR(__xludf.DUMMYFUNCTION("""COMPUTED_VALUE"""),"")</f>
        <v/>
      </c>
      <c r="I412" s="67" t="str">
        <f>IFERROR(__xludf.DUMMYFUNCTION("""COMPUTED_VALUE"""),"")</f>
        <v/>
      </c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  <c r="DW412" s="18"/>
      <c r="DX412" s="18"/>
      <c r="DY412" s="18"/>
      <c r="DZ412" s="18"/>
      <c r="EA412" s="18"/>
      <c r="EB412" s="18"/>
      <c r="EC412" s="18"/>
      <c r="ED412" s="18"/>
      <c r="EE412" s="18"/>
      <c r="EF412" s="18"/>
      <c r="EG412" s="18"/>
      <c r="EH412" s="18"/>
      <c r="EI412" s="18"/>
      <c r="EJ412" s="18"/>
      <c r="EK412" s="18"/>
      <c r="EL412" s="18"/>
      <c r="EM412" s="18"/>
      <c r="EN412" s="18"/>
      <c r="EO412" s="18"/>
      <c r="EP412" s="18"/>
      <c r="EQ412" s="18"/>
      <c r="ER412" s="18"/>
      <c r="ES412" s="18"/>
      <c r="ET412" s="18"/>
      <c r="EU412" s="18"/>
      <c r="EV412" s="18"/>
      <c r="EW412" s="18"/>
      <c r="EX412" s="18"/>
    </row>
    <row r="413">
      <c r="A413" s="101"/>
      <c r="B413" s="105"/>
      <c r="C413" s="105"/>
      <c r="D413" s="106" t="str">
        <f>IFERROR(__xludf.DUMMYFUNCTION("""COMPUTED_VALUE"""),"")</f>
        <v/>
      </c>
      <c r="E413" s="110"/>
      <c r="F413" s="92"/>
      <c r="G413" s="18"/>
      <c r="H413" s="101" t="str">
        <f>IFERROR(__xludf.DUMMYFUNCTION("""COMPUTED_VALUE"""),"")</f>
        <v/>
      </c>
      <c r="I413" s="67" t="str">
        <f>IFERROR(__xludf.DUMMYFUNCTION("""COMPUTED_VALUE"""),"")</f>
        <v/>
      </c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  <c r="DW413" s="18"/>
      <c r="DX413" s="18"/>
      <c r="DY413" s="18"/>
      <c r="DZ413" s="18"/>
      <c r="EA413" s="18"/>
      <c r="EB413" s="18"/>
      <c r="EC413" s="18"/>
      <c r="ED413" s="18"/>
      <c r="EE413" s="18"/>
      <c r="EF413" s="18"/>
      <c r="EG413" s="18"/>
      <c r="EH413" s="18"/>
      <c r="EI413" s="18"/>
      <c r="EJ413" s="18"/>
      <c r="EK413" s="18"/>
      <c r="EL413" s="18"/>
      <c r="EM413" s="18"/>
      <c r="EN413" s="18"/>
      <c r="EO413" s="18"/>
      <c r="EP413" s="18"/>
      <c r="EQ413" s="18"/>
      <c r="ER413" s="18"/>
      <c r="ES413" s="18"/>
      <c r="ET413" s="18"/>
      <c r="EU413" s="18"/>
      <c r="EV413" s="18"/>
      <c r="EW413" s="18"/>
      <c r="EX413" s="18"/>
    </row>
    <row r="414">
      <c r="A414" s="101"/>
      <c r="B414" s="105"/>
      <c r="C414" s="105"/>
      <c r="D414" s="106" t="str">
        <f>IFERROR(__xludf.DUMMYFUNCTION("""COMPUTED_VALUE"""),"")</f>
        <v/>
      </c>
      <c r="E414" s="110"/>
      <c r="F414" s="92"/>
      <c r="G414" s="18"/>
      <c r="H414" s="101" t="str">
        <f>IFERROR(__xludf.DUMMYFUNCTION("""COMPUTED_VALUE"""),"")</f>
        <v/>
      </c>
      <c r="I414" s="67" t="str">
        <f>IFERROR(__xludf.DUMMYFUNCTION("""COMPUTED_VALUE"""),"")</f>
        <v/>
      </c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18"/>
      <c r="DY414" s="18"/>
      <c r="DZ414" s="18"/>
      <c r="EA414" s="18"/>
      <c r="EB414" s="18"/>
      <c r="EC414" s="18"/>
      <c r="ED414" s="18"/>
      <c r="EE414" s="18"/>
      <c r="EF414" s="18"/>
      <c r="EG414" s="18"/>
      <c r="EH414" s="18"/>
      <c r="EI414" s="18"/>
      <c r="EJ414" s="18"/>
      <c r="EK414" s="18"/>
      <c r="EL414" s="18"/>
      <c r="EM414" s="18"/>
      <c r="EN414" s="18"/>
      <c r="EO414" s="18"/>
      <c r="EP414" s="18"/>
      <c r="EQ414" s="18"/>
      <c r="ER414" s="18"/>
      <c r="ES414" s="18"/>
      <c r="ET414" s="18"/>
      <c r="EU414" s="18"/>
      <c r="EV414" s="18"/>
      <c r="EW414" s="18"/>
      <c r="EX414" s="18"/>
    </row>
    <row r="415">
      <c r="A415" s="101"/>
      <c r="B415" s="105"/>
      <c r="C415" s="105"/>
      <c r="D415" s="106" t="str">
        <f>IFERROR(__xludf.DUMMYFUNCTION("""COMPUTED_VALUE"""),"")</f>
        <v/>
      </c>
      <c r="E415" s="110"/>
      <c r="F415" s="92"/>
      <c r="G415" s="18"/>
      <c r="H415" s="101" t="str">
        <f>IFERROR(__xludf.DUMMYFUNCTION("""COMPUTED_VALUE"""),"")</f>
        <v/>
      </c>
      <c r="I415" s="67" t="str">
        <f>IFERROR(__xludf.DUMMYFUNCTION("""COMPUTED_VALUE"""),"")</f>
        <v/>
      </c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  <c r="DW415" s="18"/>
      <c r="DX415" s="18"/>
      <c r="DY415" s="18"/>
      <c r="DZ415" s="18"/>
      <c r="EA415" s="18"/>
      <c r="EB415" s="18"/>
      <c r="EC415" s="18"/>
      <c r="ED415" s="18"/>
      <c r="EE415" s="18"/>
      <c r="EF415" s="18"/>
      <c r="EG415" s="18"/>
      <c r="EH415" s="18"/>
      <c r="EI415" s="18"/>
      <c r="EJ415" s="18"/>
      <c r="EK415" s="18"/>
      <c r="EL415" s="18"/>
      <c r="EM415" s="18"/>
      <c r="EN415" s="18"/>
      <c r="EO415" s="18"/>
      <c r="EP415" s="18"/>
      <c r="EQ415" s="18"/>
      <c r="ER415" s="18"/>
      <c r="ES415" s="18"/>
      <c r="ET415" s="18"/>
      <c r="EU415" s="18"/>
      <c r="EV415" s="18"/>
      <c r="EW415" s="18"/>
      <c r="EX415" s="18"/>
    </row>
    <row r="416">
      <c r="A416" s="101"/>
      <c r="B416" s="105"/>
      <c r="C416" s="105"/>
      <c r="D416" s="106" t="str">
        <f>IFERROR(__xludf.DUMMYFUNCTION("""COMPUTED_VALUE"""),"")</f>
        <v/>
      </c>
      <c r="E416" s="110"/>
      <c r="F416" s="92"/>
      <c r="G416" s="18"/>
      <c r="H416" s="101" t="str">
        <f>IFERROR(__xludf.DUMMYFUNCTION("""COMPUTED_VALUE"""),"")</f>
        <v/>
      </c>
      <c r="I416" s="67" t="str">
        <f>IFERROR(__xludf.DUMMYFUNCTION("""COMPUTED_VALUE"""),"")</f>
        <v/>
      </c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  <c r="DW416" s="18"/>
      <c r="DX416" s="18"/>
      <c r="DY416" s="18"/>
      <c r="DZ416" s="18"/>
      <c r="EA416" s="18"/>
      <c r="EB416" s="18"/>
      <c r="EC416" s="18"/>
      <c r="ED416" s="18"/>
      <c r="EE416" s="18"/>
      <c r="EF416" s="18"/>
      <c r="EG416" s="18"/>
      <c r="EH416" s="18"/>
      <c r="EI416" s="18"/>
      <c r="EJ416" s="18"/>
      <c r="EK416" s="18"/>
      <c r="EL416" s="18"/>
      <c r="EM416" s="18"/>
      <c r="EN416" s="18"/>
      <c r="EO416" s="18"/>
      <c r="EP416" s="18"/>
      <c r="EQ416" s="18"/>
      <c r="ER416" s="18"/>
      <c r="ES416" s="18"/>
      <c r="ET416" s="18"/>
      <c r="EU416" s="18"/>
      <c r="EV416" s="18"/>
      <c r="EW416" s="18"/>
      <c r="EX416" s="18"/>
    </row>
    <row r="417">
      <c r="A417" s="101"/>
      <c r="B417" s="105"/>
      <c r="C417" s="105"/>
      <c r="D417" s="106" t="str">
        <f>IFERROR(__xludf.DUMMYFUNCTION("""COMPUTED_VALUE"""),"")</f>
        <v/>
      </c>
      <c r="E417" s="110"/>
      <c r="F417" s="92"/>
      <c r="G417" s="18"/>
      <c r="H417" s="101" t="str">
        <f>IFERROR(__xludf.DUMMYFUNCTION("""COMPUTED_VALUE"""),"")</f>
        <v/>
      </c>
      <c r="I417" s="67" t="str">
        <f>IFERROR(__xludf.DUMMYFUNCTION("""COMPUTED_VALUE"""),"")</f>
        <v/>
      </c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18"/>
      <c r="DY417" s="18"/>
      <c r="DZ417" s="18"/>
      <c r="EA417" s="18"/>
      <c r="EB417" s="18"/>
      <c r="EC417" s="18"/>
      <c r="ED417" s="18"/>
      <c r="EE417" s="18"/>
      <c r="EF417" s="18"/>
      <c r="EG417" s="18"/>
      <c r="EH417" s="18"/>
      <c r="EI417" s="18"/>
      <c r="EJ417" s="18"/>
      <c r="EK417" s="18"/>
      <c r="EL417" s="18"/>
      <c r="EM417" s="18"/>
      <c r="EN417" s="18"/>
      <c r="EO417" s="18"/>
      <c r="EP417" s="18"/>
      <c r="EQ417" s="18"/>
      <c r="ER417" s="18"/>
      <c r="ES417" s="18"/>
      <c r="ET417" s="18"/>
      <c r="EU417" s="18"/>
      <c r="EV417" s="18"/>
      <c r="EW417" s="18"/>
      <c r="EX417" s="18"/>
    </row>
    <row r="418">
      <c r="A418" s="101"/>
      <c r="B418" s="105"/>
      <c r="C418" s="105"/>
      <c r="D418" s="106" t="str">
        <f>IFERROR(__xludf.DUMMYFUNCTION("""COMPUTED_VALUE"""),"")</f>
        <v/>
      </c>
      <c r="E418" s="110"/>
      <c r="F418" s="92"/>
      <c r="G418" s="18"/>
      <c r="H418" s="101" t="str">
        <f>IFERROR(__xludf.DUMMYFUNCTION("""COMPUTED_VALUE"""),"")</f>
        <v/>
      </c>
      <c r="I418" s="67" t="str">
        <f>IFERROR(__xludf.DUMMYFUNCTION("""COMPUTED_VALUE"""),"")</f>
        <v/>
      </c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  <c r="DW418" s="18"/>
      <c r="DX418" s="18"/>
      <c r="DY418" s="18"/>
      <c r="DZ418" s="18"/>
      <c r="EA418" s="18"/>
      <c r="EB418" s="18"/>
      <c r="EC418" s="18"/>
      <c r="ED418" s="18"/>
      <c r="EE418" s="18"/>
      <c r="EF418" s="18"/>
      <c r="EG418" s="18"/>
      <c r="EH418" s="18"/>
      <c r="EI418" s="18"/>
      <c r="EJ418" s="18"/>
      <c r="EK418" s="18"/>
      <c r="EL418" s="18"/>
      <c r="EM418" s="18"/>
      <c r="EN418" s="18"/>
      <c r="EO418" s="18"/>
      <c r="EP418" s="18"/>
      <c r="EQ418" s="18"/>
      <c r="ER418" s="18"/>
      <c r="ES418" s="18"/>
      <c r="ET418" s="18"/>
      <c r="EU418" s="18"/>
      <c r="EV418" s="18"/>
      <c r="EW418" s="18"/>
      <c r="EX418" s="18"/>
    </row>
    <row r="419">
      <c r="A419" s="101"/>
      <c r="B419" s="105"/>
      <c r="C419" s="105"/>
      <c r="D419" s="106" t="str">
        <f>IFERROR(__xludf.DUMMYFUNCTION("""COMPUTED_VALUE"""),"")</f>
        <v/>
      </c>
      <c r="E419" s="110"/>
      <c r="F419" s="92"/>
      <c r="G419" s="18"/>
      <c r="H419" s="101" t="str">
        <f>IFERROR(__xludf.DUMMYFUNCTION("""COMPUTED_VALUE"""),"")</f>
        <v/>
      </c>
      <c r="I419" s="67" t="str">
        <f>IFERROR(__xludf.DUMMYFUNCTION("""COMPUTED_VALUE"""),"")</f>
        <v/>
      </c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  <c r="ER419" s="18"/>
      <c r="ES419" s="18"/>
      <c r="ET419" s="18"/>
      <c r="EU419" s="18"/>
      <c r="EV419" s="18"/>
      <c r="EW419" s="18"/>
      <c r="EX419" s="18"/>
    </row>
    <row r="420">
      <c r="A420" s="101"/>
      <c r="B420" s="105"/>
      <c r="C420" s="105"/>
      <c r="D420" s="106" t="str">
        <f>IFERROR(__xludf.DUMMYFUNCTION("""COMPUTED_VALUE"""),"")</f>
        <v/>
      </c>
      <c r="E420" s="110"/>
      <c r="F420" s="92"/>
      <c r="G420" s="18"/>
      <c r="H420" s="101" t="str">
        <f>IFERROR(__xludf.DUMMYFUNCTION("""COMPUTED_VALUE"""),"")</f>
        <v/>
      </c>
      <c r="I420" s="67" t="str">
        <f>IFERROR(__xludf.DUMMYFUNCTION("""COMPUTED_VALUE"""),"")</f>
        <v/>
      </c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  <c r="DW420" s="18"/>
      <c r="DX420" s="18"/>
      <c r="DY420" s="18"/>
      <c r="DZ420" s="18"/>
      <c r="EA420" s="18"/>
      <c r="EB420" s="18"/>
      <c r="EC420" s="18"/>
      <c r="ED420" s="18"/>
      <c r="EE420" s="18"/>
      <c r="EF420" s="18"/>
      <c r="EG420" s="18"/>
      <c r="EH420" s="18"/>
      <c r="EI420" s="18"/>
      <c r="EJ420" s="18"/>
      <c r="EK420" s="18"/>
      <c r="EL420" s="18"/>
      <c r="EM420" s="18"/>
      <c r="EN420" s="18"/>
      <c r="EO420" s="18"/>
      <c r="EP420" s="18"/>
      <c r="EQ420" s="18"/>
      <c r="ER420" s="18"/>
      <c r="ES420" s="18"/>
      <c r="ET420" s="18"/>
      <c r="EU420" s="18"/>
      <c r="EV420" s="18"/>
      <c r="EW420" s="18"/>
      <c r="EX420" s="18"/>
    </row>
    <row r="421">
      <c r="A421" s="101"/>
      <c r="B421" s="105"/>
      <c r="C421" s="105"/>
      <c r="D421" s="106" t="str">
        <f>IFERROR(__xludf.DUMMYFUNCTION("""COMPUTED_VALUE"""),"")</f>
        <v/>
      </c>
      <c r="E421" s="110"/>
      <c r="F421" s="92"/>
      <c r="G421" s="18"/>
      <c r="H421" s="101" t="str">
        <f>IFERROR(__xludf.DUMMYFUNCTION("""COMPUTED_VALUE"""),"")</f>
        <v/>
      </c>
      <c r="I421" s="67" t="str">
        <f>IFERROR(__xludf.DUMMYFUNCTION("""COMPUTED_VALUE"""),"")</f>
        <v/>
      </c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  <c r="DW421" s="18"/>
      <c r="DX421" s="18"/>
      <c r="DY421" s="18"/>
      <c r="DZ421" s="18"/>
      <c r="EA421" s="18"/>
      <c r="EB421" s="18"/>
      <c r="EC421" s="18"/>
      <c r="ED421" s="18"/>
      <c r="EE421" s="18"/>
      <c r="EF421" s="18"/>
      <c r="EG421" s="18"/>
      <c r="EH421" s="18"/>
      <c r="EI421" s="18"/>
      <c r="EJ421" s="18"/>
      <c r="EK421" s="18"/>
      <c r="EL421" s="18"/>
      <c r="EM421" s="18"/>
      <c r="EN421" s="18"/>
      <c r="EO421" s="18"/>
      <c r="EP421" s="18"/>
      <c r="EQ421" s="18"/>
      <c r="ER421" s="18"/>
      <c r="ES421" s="18"/>
      <c r="ET421" s="18"/>
      <c r="EU421" s="18"/>
      <c r="EV421" s="18"/>
      <c r="EW421" s="18"/>
      <c r="EX421" s="18"/>
    </row>
    <row r="422">
      <c r="A422" s="101"/>
      <c r="B422" s="105"/>
      <c r="C422" s="105"/>
      <c r="D422" s="106" t="str">
        <f>IFERROR(__xludf.DUMMYFUNCTION("""COMPUTED_VALUE"""),"")</f>
        <v/>
      </c>
      <c r="E422" s="110"/>
      <c r="F422" s="92"/>
      <c r="G422" s="18"/>
      <c r="H422" s="101" t="str">
        <f>IFERROR(__xludf.DUMMYFUNCTION("""COMPUTED_VALUE"""),"")</f>
        <v/>
      </c>
      <c r="I422" s="67" t="str">
        <f>IFERROR(__xludf.DUMMYFUNCTION("""COMPUTED_VALUE"""),"")</f>
        <v/>
      </c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  <c r="DW422" s="18"/>
      <c r="DX422" s="18"/>
      <c r="DY422" s="18"/>
      <c r="DZ422" s="18"/>
      <c r="EA422" s="18"/>
      <c r="EB422" s="18"/>
      <c r="EC422" s="18"/>
      <c r="ED422" s="18"/>
      <c r="EE422" s="18"/>
      <c r="EF422" s="18"/>
      <c r="EG422" s="18"/>
      <c r="EH422" s="18"/>
      <c r="EI422" s="18"/>
      <c r="EJ422" s="18"/>
      <c r="EK422" s="18"/>
      <c r="EL422" s="18"/>
      <c r="EM422" s="18"/>
      <c r="EN422" s="18"/>
      <c r="EO422" s="18"/>
      <c r="EP422" s="18"/>
      <c r="EQ422" s="18"/>
      <c r="ER422" s="18"/>
      <c r="ES422" s="18"/>
      <c r="ET422" s="18"/>
      <c r="EU422" s="18"/>
      <c r="EV422" s="18"/>
      <c r="EW422" s="18"/>
      <c r="EX422" s="18"/>
    </row>
    <row r="423">
      <c r="A423" s="101"/>
      <c r="B423" s="105"/>
      <c r="C423" s="105"/>
      <c r="D423" s="106" t="str">
        <f>IFERROR(__xludf.DUMMYFUNCTION("""COMPUTED_VALUE"""),"")</f>
        <v/>
      </c>
      <c r="E423" s="110"/>
      <c r="F423" s="92"/>
      <c r="G423" s="18"/>
      <c r="H423" s="101" t="str">
        <f>IFERROR(__xludf.DUMMYFUNCTION("""COMPUTED_VALUE"""),"")</f>
        <v/>
      </c>
      <c r="I423" s="67" t="str">
        <f>IFERROR(__xludf.DUMMYFUNCTION("""COMPUTED_VALUE"""),"")</f>
        <v/>
      </c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  <c r="DW423" s="18"/>
      <c r="DX423" s="18"/>
      <c r="DY423" s="18"/>
      <c r="DZ423" s="18"/>
      <c r="EA423" s="18"/>
      <c r="EB423" s="18"/>
      <c r="EC423" s="18"/>
      <c r="ED423" s="18"/>
      <c r="EE423" s="18"/>
      <c r="EF423" s="18"/>
      <c r="EG423" s="18"/>
      <c r="EH423" s="18"/>
      <c r="EI423" s="18"/>
      <c r="EJ423" s="18"/>
      <c r="EK423" s="18"/>
      <c r="EL423" s="18"/>
      <c r="EM423" s="18"/>
      <c r="EN423" s="18"/>
      <c r="EO423" s="18"/>
      <c r="EP423" s="18"/>
      <c r="EQ423" s="18"/>
      <c r="ER423" s="18"/>
      <c r="ES423" s="18"/>
      <c r="ET423" s="18"/>
      <c r="EU423" s="18"/>
      <c r="EV423" s="18"/>
      <c r="EW423" s="18"/>
      <c r="EX423" s="18"/>
    </row>
    <row r="424">
      <c r="A424" s="101"/>
      <c r="B424" s="105"/>
      <c r="C424" s="105"/>
      <c r="D424" s="106" t="str">
        <f>IFERROR(__xludf.DUMMYFUNCTION("""COMPUTED_VALUE"""),"")</f>
        <v/>
      </c>
      <c r="E424" s="110"/>
      <c r="F424" s="92"/>
      <c r="G424" s="18"/>
      <c r="H424" s="101" t="str">
        <f>IFERROR(__xludf.DUMMYFUNCTION("""COMPUTED_VALUE"""),"")</f>
        <v/>
      </c>
      <c r="I424" s="67" t="str">
        <f>IFERROR(__xludf.DUMMYFUNCTION("""COMPUTED_VALUE"""),"")</f>
        <v/>
      </c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E424" s="18"/>
      <c r="EF424" s="18"/>
      <c r="EG424" s="18"/>
      <c r="EH424" s="18"/>
      <c r="EI424" s="18"/>
      <c r="EJ424" s="18"/>
      <c r="EK424" s="18"/>
      <c r="EL424" s="18"/>
      <c r="EM424" s="18"/>
      <c r="EN424" s="18"/>
      <c r="EO424" s="18"/>
      <c r="EP424" s="18"/>
      <c r="EQ424" s="18"/>
      <c r="ER424" s="18"/>
      <c r="ES424" s="18"/>
      <c r="ET424" s="18"/>
      <c r="EU424" s="18"/>
      <c r="EV424" s="18"/>
      <c r="EW424" s="18"/>
      <c r="EX424" s="18"/>
    </row>
    <row r="425">
      <c r="A425" s="101"/>
      <c r="B425" s="105"/>
      <c r="C425" s="105"/>
      <c r="D425" s="106" t="str">
        <f>IFERROR(__xludf.DUMMYFUNCTION("""COMPUTED_VALUE"""),"")</f>
        <v/>
      </c>
      <c r="E425" s="110"/>
      <c r="F425" s="92"/>
      <c r="G425" s="18"/>
      <c r="H425" s="101" t="str">
        <f>IFERROR(__xludf.DUMMYFUNCTION("""COMPUTED_VALUE"""),"")</f>
        <v/>
      </c>
      <c r="I425" s="67" t="str">
        <f>IFERROR(__xludf.DUMMYFUNCTION("""COMPUTED_VALUE"""),"")</f>
        <v/>
      </c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  <c r="DW425" s="18"/>
      <c r="DX425" s="18"/>
      <c r="DY425" s="18"/>
      <c r="DZ425" s="18"/>
      <c r="EA425" s="18"/>
      <c r="EB425" s="18"/>
      <c r="EC425" s="18"/>
      <c r="ED425" s="18"/>
      <c r="EE425" s="18"/>
      <c r="EF425" s="18"/>
      <c r="EG425" s="18"/>
      <c r="EH425" s="18"/>
      <c r="EI425" s="18"/>
      <c r="EJ425" s="18"/>
      <c r="EK425" s="18"/>
      <c r="EL425" s="18"/>
      <c r="EM425" s="18"/>
      <c r="EN425" s="18"/>
      <c r="EO425" s="18"/>
      <c r="EP425" s="18"/>
      <c r="EQ425" s="18"/>
      <c r="ER425" s="18"/>
      <c r="ES425" s="18"/>
      <c r="ET425" s="18"/>
      <c r="EU425" s="18"/>
      <c r="EV425" s="18"/>
      <c r="EW425" s="18"/>
      <c r="EX425" s="18"/>
    </row>
    <row r="426">
      <c r="A426" s="101"/>
      <c r="B426" s="105"/>
      <c r="C426" s="105"/>
      <c r="D426" s="106" t="str">
        <f>IFERROR(__xludf.DUMMYFUNCTION("""COMPUTED_VALUE"""),"")</f>
        <v/>
      </c>
      <c r="E426" s="110"/>
      <c r="F426" s="92"/>
      <c r="G426" s="18"/>
      <c r="H426" s="101" t="str">
        <f>IFERROR(__xludf.DUMMYFUNCTION("""COMPUTED_VALUE"""),"")</f>
        <v/>
      </c>
      <c r="I426" s="67" t="str">
        <f>IFERROR(__xludf.DUMMYFUNCTION("""COMPUTED_VALUE"""),"")</f>
        <v/>
      </c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8"/>
      <c r="DY426" s="18"/>
      <c r="DZ426" s="18"/>
      <c r="EA426" s="18"/>
      <c r="EB426" s="18"/>
      <c r="EC426" s="18"/>
      <c r="ED426" s="18"/>
      <c r="EE426" s="18"/>
      <c r="EF426" s="18"/>
      <c r="EG426" s="18"/>
      <c r="EH426" s="18"/>
      <c r="EI426" s="18"/>
      <c r="EJ426" s="18"/>
      <c r="EK426" s="18"/>
      <c r="EL426" s="18"/>
      <c r="EM426" s="18"/>
      <c r="EN426" s="18"/>
      <c r="EO426" s="18"/>
      <c r="EP426" s="18"/>
      <c r="EQ426" s="18"/>
      <c r="ER426" s="18"/>
      <c r="ES426" s="18"/>
      <c r="ET426" s="18"/>
      <c r="EU426" s="18"/>
      <c r="EV426" s="18"/>
      <c r="EW426" s="18"/>
      <c r="EX426" s="18"/>
    </row>
    <row r="427">
      <c r="A427" s="101"/>
      <c r="B427" s="105"/>
      <c r="C427" s="105"/>
      <c r="D427" s="106" t="str">
        <f>IFERROR(__xludf.DUMMYFUNCTION("""COMPUTED_VALUE"""),"")</f>
        <v/>
      </c>
      <c r="E427" s="110"/>
      <c r="F427" s="92"/>
      <c r="G427" s="18"/>
      <c r="H427" s="101" t="str">
        <f>IFERROR(__xludf.DUMMYFUNCTION("""COMPUTED_VALUE"""),"")</f>
        <v/>
      </c>
      <c r="I427" s="67" t="str">
        <f>IFERROR(__xludf.DUMMYFUNCTION("""COMPUTED_VALUE"""),"")</f>
        <v/>
      </c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  <c r="DW427" s="18"/>
      <c r="DX427" s="18"/>
      <c r="DY427" s="18"/>
      <c r="DZ427" s="18"/>
      <c r="EA427" s="18"/>
      <c r="EB427" s="18"/>
      <c r="EC427" s="18"/>
      <c r="ED427" s="18"/>
      <c r="EE427" s="18"/>
      <c r="EF427" s="18"/>
      <c r="EG427" s="18"/>
      <c r="EH427" s="18"/>
      <c r="EI427" s="18"/>
      <c r="EJ427" s="18"/>
      <c r="EK427" s="18"/>
      <c r="EL427" s="18"/>
      <c r="EM427" s="18"/>
      <c r="EN427" s="18"/>
      <c r="EO427" s="18"/>
      <c r="EP427" s="18"/>
      <c r="EQ427" s="18"/>
      <c r="ER427" s="18"/>
      <c r="ES427" s="18"/>
      <c r="ET427" s="18"/>
      <c r="EU427" s="18"/>
      <c r="EV427" s="18"/>
      <c r="EW427" s="18"/>
      <c r="EX427" s="18"/>
    </row>
    <row r="428">
      <c r="A428" s="101"/>
      <c r="B428" s="105"/>
      <c r="C428" s="105"/>
      <c r="D428" s="106" t="str">
        <f>IFERROR(__xludf.DUMMYFUNCTION("""COMPUTED_VALUE"""),"")</f>
        <v/>
      </c>
      <c r="E428" s="110"/>
      <c r="F428" s="92"/>
      <c r="G428" s="18"/>
      <c r="H428" s="101" t="str">
        <f>IFERROR(__xludf.DUMMYFUNCTION("""COMPUTED_VALUE"""),"")</f>
        <v/>
      </c>
      <c r="I428" s="67" t="str">
        <f>IFERROR(__xludf.DUMMYFUNCTION("""COMPUTED_VALUE"""),"")</f>
        <v/>
      </c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  <c r="DW428" s="18"/>
      <c r="DX428" s="18"/>
      <c r="DY428" s="18"/>
      <c r="DZ428" s="18"/>
      <c r="EA428" s="18"/>
      <c r="EB428" s="18"/>
      <c r="EC428" s="18"/>
      <c r="ED428" s="18"/>
      <c r="EE428" s="18"/>
      <c r="EF428" s="18"/>
      <c r="EG428" s="18"/>
      <c r="EH428" s="18"/>
      <c r="EI428" s="18"/>
      <c r="EJ428" s="18"/>
      <c r="EK428" s="18"/>
      <c r="EL428" s="18"/>
      <c r="EM428" s="18"/>
      <c r="EN428" s="18"/>
      <c r="EO428" s="18"/>
      <c r="EP428" s="18"/>
      <c r="EQ428" s="18"/>
      <c r="ER428" s="18"/>
      <c r="ES428" s="18"/>
      <c r="ET428" s="18"/>
      <c r="EU428" s="18"/>
      <c r="EV428" s="18"/>
      <c r="EW428" s="18"/>
      <c r="EX428" s="18"/>
    </row>
    <row r="429">
      <c r="A429" s="101"/>
      <c r="B429" s="105"/>
      <c r="C429" s="105"/>
      <c r="D429" s="106" t="str">
        <f>IFERROR(__xludf.DUMMYFUNCTION("""COMPUTED_VALUE"""),"")</f>
        <v/>
      </c>
      <c r="E429" s="110"/>
      <c r="F429" s="92"/>
      <c r="G429" s="18"/>
      <c r="H429" s="101" t="str">
        <f>IFERROR(__xludf.DUMMYFUNCTION("""COMPUTED_VALUE"""),"")</f>
        <v/>
      </c>
      <c r="I429" s="67" t="str">
        <f>IFERROR(__xludf.DUMMYFUNCTION("""COMPUTED_VALUE"""),"")</f>
        <v/>
      </c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8"/>
      <c r="DY429" s="18"/>
      <c r="DZ429" s="18"/>
      <c r="EA429" s="18"/>
      <c r="EB429" s="18"/>
      <c r="EC429" s="18"/>
      <c r="ED429" s="18"/>
      <c r="EE429" s="18"/>
      <c r="EF429" s="18"/>
      <c r="EG429" s="18"/>
      <c r="EH429" s="18"/>
      <c r="EI429" s="18"/>
      <c r="EJ429" s="18"/>
      <c r="EK429" s="18"/>
      <c r="EL429" s="18"/>
      <c r="EM429" s="18"/>
      <c r="EN429" s="18"/>
      <c r="EO429" s="18"/>
      <c r="EP429" s="18"/>
      <c r="EQ429" s="18"/>
      <c r="ER429" s="18"/>
      <c r="ES429" s="18"/>
      <c r="ET429" s="18"/>
      <c r="EU429" s="18"/>
      <c r="EV429" s="18"/>
      <c r="EW429" s="18"/>
      <c r="EX429" s="18"/>
    </row>
    <row r="430">
      <c r="A430" s="101"/>
      <c r="B430" s="105"/>
      <c r="C430" s="105"/>
      <c r="D430" s="106" t="str">
        <f>IFERROR(__xludf.DUMMYFUNCTION("""COMPUTED_VALUE"""),"")</f>
        <v/>
      </c>
      <c r="E430" s="110"/>
      <c r="F430" s="92"/>
      <c r="G430" s="18"/>
      <c r="H430" s="101" t="str">
        <f>IFERROR(__xludf.DUMMYFUNCTION("""COMPUTED_VALUE"""),"")</f>
        <v/>
      </c>
      <c r="I430" s="67" t="str">
        <f>IFERROR(__xludf.DUMMYFUNCTION("""COMPUTED_VALUE"""),"")</f>
        <v/>
      </c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  <c r="DQ430" s="18"/>
      <c r="DR430" s="18"/>
      <c r="DS430" s="18"/>
      <c r="DT430" s="18"/>
      <c r="DU430" s="18"/>
      <c r="DV430" s="18"/>
      <c r="DW430" s="18"/>
      <c r="DX430" s="18"/>
      <c r="DY430" s="18"/>
      <c r="DZ430" s="18"/>
      <c r="EA430" s="18"/>
      <c r="EB430" s="18"/>
      <c r="EC430" s="18"/>
      <c r="ED430" s="18"/>
      <c r="EE430" s="18"/>
      <c r="EF430" s="18"/>
      <c r="EG430" s="18"/>
      <c r="EH430" s="18"/>
      <c r="EI430" s="18"/>
      <c r="EJ430" s="18"/>
      <c r="EK430" s="18"/>
      <c r="EL430" s="18"/>
      <c r="EM430" s="18"/>
      <c r="EN430" s="18"/>
      <c r="EO430" s="18"/>
      <c r="EP430" s="18"/>
      <c r="EQ430" s="18"/>
      <c r="ER430" s="18"/>
      <c r="ES430" s="18"/>
      <c r="ET430" s="18"/>
      <c r="EU430" s="18"/>
      <c r="EV430" s="18"/>
      <c r="EW430" s="18"/>
      <c r="EX430" s="18"/>
    </row>
    <row r="431">
      <c r="A431" s="101"/>
      <c r="B431" s="105"/>
      <c r="C431" s="105"/>
      <c r="D431" s="106" t="str">
        <f>IFERROR(__xludf.DUMMYFUNCTION("""COMPUTED_VALUE"""),"")</f>
        <v/>
      </c>
      <c r="E431" s="110"/>
      <c r="F431" s="92"/>
      <c r="G431" s="18"/>
      <c r="H431" s="101" t="str">
        <f>IFERROR(__xludf.DUMMYFUNCTION("""COMPUTED_VALUE"""),"")</f>
        <v/>
      </c>
      <c r="I431" s="67" t="str">
        <f>IFERROR(__xludf.DUMMYFUNCTION("""COMPUTED_VALUE"""),"")</f>
        <v/>
      </c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/>
      <c r="DN431" s="18"/>
      <c r="DO431" s="18"/>
      <c r="DP431" s="18"/>
      <c r="DQ431" s="18"/>
      <c r="DR431" s="18"/>
      <c r="DS431" s="18"/>
      <c r="DT431" s="18"/>
      <c r="DU431" s="18"/>
      <c r="DV431" s="18"/>
      <c r="DW431" s="18"/>
      <c r="DX431" s="18"/>
      <c r="DY431" s="18"/>
      <c r="DZ431" s="18"/>
      <c r="EA431" s="18"/>
      <c r="EB431" s="18"/>
      <c r="EC431" s="18"/>
      <c r="ED431" s="18"/>
      <c r="EE431" s="18"/>
      <c r="EF431" s="18"/>
      <c r="EG431" s="18"/>
      <c r="EH431" s="18"/>
      <c r="EI431" s="18"/>
      <c r="EJ431" s="18"/>
      <c r="EK431" s="18"/>
      <c r="EL431" s="18"/>
      <c r="EM431" s="18"/>
      <c r="EN431" s="18"/>
      <c r="EO431" s="18"/>
      <c r="EP431" s="18"/>
      <c r="EQ431" s="18"/>
      <c r="ER431" s="18"/>
      <c r="ES431" s="18"/>
      <c r="ET431" s="18"/>
      <c r="EU431" s="18"/>
      <c r="EV431" s="18"/>
      <c r="EW431" s="18"/>
      <c r="EX431" s="18"/>
    </row>
    <row r="432">
      <c r="A432" s="101"/>
      <c r="B432" s="105"/>
      <c r="C432" s="105"/>
      <c r="D432" s="106" t="str">
        <f>IFERROR(__xludf.DUMMYFUNCTION("""COMPUTED_VALUE"""),"")</f>
        <v/>
      </c>
      <c r="E432" s="110"/>
      <c r="F432" s="92"/>
      <c r="G432" s="18"/>
      <c r="H432" s="101" t="str">
        <f>IFERROR(__xludf.DUMMYFUNCTION("""COMPUTED_VALUE"""),"")</f>
        <v/>
      </c>
      <c r="I432" s="67" t="str">
        <f>IFERROR(__xludf.DUMMYFUNCTION("""COMPUTED_VALUE"""),"")</f>
        <v/>
      </c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8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</row>
    <row r="433">
      <c r="A433" s="101"/>
      <c r="B433" s="105"/>
      <c r="C433" s="105"/>
      <c r="D433" s="106" t="str">
        <f>IFERROR(__xludf.DUMMYFUNCTION("""COMPUTED_VALUE"""),"")</f>
        <v/>
      </c>
      <c r="E433" s="110"/>
      <c r="F433" s="92"/>
      <c r="G433" s="18"/>
      <c r="H433" s="101" t="str">
        <f>IFERROR(__xludf.DUMMYFUNCTION("""COMPUTED_VALUE"""),"")</f>
        <v/>
      </c>
      <c r="I433" s="67" t="str">
        <f>IFERROR(__xludf.DUMMYFUNCTION("""COMPUTED_VALUE"""),"")</f>
        <v/>
      </c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/>
      <c r="DN433" s="18"/>
      <c r="DO433" s="18"/>
      <c r="DP433" s="18"/>
      <c r="DQ433" s="18"/>
      <c r="DR433" s="18"/>
      <c r="DS433" s="18"/>
      <c r="DT433" s="18"/>
      <c r="DU433" s="18"/>
      <c r="DV433" s="18"/>
      <c r="DW433" s="18"/>
      <c r="DX433" s="18"/>
      <c r="DY433" s="18"/>
      <c r="DZ433" s="18"/>
      <c r="EA433" s="18"/>
      <c r="EB433" s="18"/>
      <c r="EC433" s="18"/>
      <c r="ED433" s="18"/>
      <c r="EE433" s="18"/>
      <c r="EF433" s="18"/>
      <c r="EG433" s="18"/>
      <c r="EH433" s="18"/>
      <c r="EI433" s="18"/>
      <c r="EJ433" s="18"/>
      <c r="EK433" s="18"/>
      <c r="EL433" s="18"/>
      <c r="EM433" s="18"/>
      <c r="EN433" s="18"/>
      <c r="EO433" s="18"/>
      <c r="EP433" s="18"/>
      <c r="EQ433" s="18"/>
      <c r="ER433" s="18"/>
      <c r="ES433" s="18"/>
      <c r="ET433" s="18"/>
      <c r="EU433" s="18"/>
      <c r="EV433" s="18"/>
      <c r="EW433" s="18"/>
      <c r="EX433" s="18"/>
    </row>
    <row r="434">
      <c r="A434" s="101"/>
      <c r="B434" s="105"/>
      <c r="C434" s="105"/>
      <c r="D434" s="106" t="str">
        <f>IFERROR(__xludf.DUMMYFUNCTION("""COMPUTED_VALUE"""),"")</f>
        <v/>
      </c>
      <c r="E434" s="110"/>
      <c r="F434" s="92"/>
      <c r="G434" s="18"/>
      <c r="H434" s="101" t="str">
        <f>IFERROR(__xludf.DUMMYFUNCTION("""COMPUTED_VALUE"""),"")</f>
        <v/>
      </c>
      <c r="I434" s="67" t="str">
        <f>IFERROR(__xludf.DUMMYFUNCTION("""COMPUTED_VALUE"""),"")</f>
        <v/>
      </c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  <c r="DQ434" s="18"/>
      <c r="DR434" s="18"/>
      <c r="DS434" s="18"/>
      <c r="DT434" s="18"/>
      <c r="DU434" s="18"/>
      <c r="DV434" s="18"/>
      <c r="DW434" s="18"/>
      <c r="DX434" s="18"/>
      <c r="DY434" s="18"/>
      <c r="DZ434" s="18"/>
      <c r="EA434" s="18"/>
      <c r="EB434" s="18"/>
      <c r="EC434" s="18"/>
      <c r="ED434" s="18"/>
      <c r="EE434" s="18"/>
      <c r="EF434" s="18"/>
      <c r="EG434" s="18"/>
      <c r="EH434" s="18"/>
      <c r="EI434" s="18"/>
      <c r="EJ434" s="18"/>
      <c r="EK434" s="18"/>
      <c r="EL434" s="18"/>
      <c r="EM434" s="18"/>
      <c r="EN434" s="18"/>
      <c r="EO434" s="18"/>
      <c r="EP434" s="18"/>
      <c r="EQ434" s="18"/>
      <c r="ER434" s="18"/>
      <c r="ES434" s="18"/>
      <c r="ET434" s="18"/>
      <c r="EU434" s="18"/>
      <c r="EV434" s="18"/>
      <c r="EW434" s="18"/>
      <c r="EX434" s="18"/>
    </row>
    <row r="435">
      <c r="A435" s="101"/>
      <c r="B435" s="105"/>
      <c r="C435" s="105"/>
      <c r="D435" s="106" t="str">
        <f>IFERROR(__xludf.DUMMYFUNCTION("""COMPUTED_VALUE"""),"")</f>
        <v/>
      </c>
      <c r="E435" s="110"/>
      <c r="F435" s="92"/>
      <c r="G435" s="18"/>
      <c r="H435" s="101" t="str">
        <f>IFERROR(__xludf.DUMMYFUNCTION("""COMPUTED_VALUE"""),"")</f>
        <v/>
      </c>
      <c r="I435" s="67" t="str">
        <f>IFERROR(__xludf.DUMMYFUNCTION("""COMPUTED_VALUE"""),"")</f>
        <v/>
      </c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  <c r="DW435" s="18"/>
      <c r="DX435" s="18"/>
      <c r="DY435" s="18"/>
      <c r="DZ435" s="18"/>
      <c r="EA435" s="18"/>
      <c r="EB435" s="18"/>
      <c r="EC435" s="18"/>
      <c r="ED435" s="18"/>
      <c r="EE435" s="18"/>
      <c r="EF435" s="18"/>
      <c r="EG435" s="18"/>
      <c r="EH435" s="18"/>
      <c r="EI435" s="18"/>
      <c r="EJ435" s="18"/>
      <c r="EK435" s="18"/>
      <c r="EL435" s="18"/>
      <c r="EM435" s="18"/>
      <c r="EN435" s="18"/>
      <c r="EO435" s="18"/>
      <c r="EP435" s="18"/>
      <c r="EQ435" s="18"/>
      <c r="ER435" s="18"/>
      <c r="ES435" s="18"/>
      <c r="ET435" s="18"/>
      <c r="EU435" s="18"/>
      <c r="EV435" s="18"/>
      <c r="EW435" s="18"/>
      <c r="EX435" s="18"/>
    </row>
    <row r="436">
      <c r="A436" s="101"/>
      <c r="B436" s="105"/>
      <c r="C436" s="105"/>
      <c r="D436" s="106" t="str">
        <f>IFERROR(__xludf.DUMMYFUNCTION("""COMPUTED_VALUE"""),"")</f>
        <v/>
      </c>
      <c r="E436" s="110"/>
      <c r="F436" s="92"/>
      <c r="G436" s="18"/>
      <c r="H436" s="101" t="str">
        <f>IFERROR(__xludf.DUMMYFUNCTION("""COMPUTED_VALUE"""),"")</f>
        <v/>
      </c>
      <c r="I436" s="67" t="str">
        <f>IFERROR(__xludf.DUMMYFUNCTION("""COMPUTED_VALUE"""),"")</f>
        <v/>
      </c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/>
      <c r="DN436" s="18"/>
      <c r="DO436" s="18"/>
      <c r="DP436" s="18"/>
      <c r="DQ436" s="18"/>
      <c r="DR436" s="18"/>
      <c r="DS436" s="18"/>
      <c r="DT436" s="18"/>
      <c r="DU436" s="18"/>
      <c r="DV436" s="18"/>
      <c r="DW436" s="18"/>
      <c r="DX436" s="18"/>
      <c r="DY436" s="18"/>
      <c r="DZ436" s="18"/>
      <c r="EA436" s="18"/>
      <c r="EB436" s="18"/>
      <c r="EC436" s="18"/>
      <c r="ED436" s="18"/>
      <c r="EE436" s="18"/>
      <c r="EF436" s="18"/>
      <c r="EG436" s="18"/>
      <c r="EH436" s="18"/>
      <c r="EI436" s="18"/>
      <c r="EJ436" s="18"/>
      <c r="EK436" s="18"/>
      <c r="EL436" s="18"/>
      <c r="EM436" s="18"/>
      <c r="EN436" s="18"/>
      <c r="EO436" s="18"/>
      <c r="EP436" s="18"/>
      <c r="EQ436" s="18"/>
      <c r="ER436" s="18"/>
      <c r="ES436" s="18"/>
      <c r="ET436" s="18"/>
      <c r="EU436" s="18"/>
      <c r="EV436" s="18"/>
      <c r="EW436" s="18"/>
      <c r="EX436" s="18"/>
    </row>
    <row r="437">
      <c r="A437" s="101"/>
      <c r="B437" s="105"/>
      <c r="C437" s="105"/>
      <c r="D437" s="106" t="str">
        <f>IFERROR(__xludf.DUMMYFUNCTION("""COMPUTED_VALUE"""),"")</f>
        <v/>
      </c>
      <c r="E437" s="110"/>
      <c r="F437" s="92"/>
      <c r="G437" s="18"/>
      <c r="H437" s="101" t="str">
        <f>IFERROR(__xludf.DUMMYFUNCTION("""COMPUTED_VALUE"""),"")</f>
        <v/>
      </c>
      <c r="I437" s="67" t="str">
        <f>IFERROR(__xludf.DUMMYFUNCTION("""COMPUTED_VALUE"""),"")</f>
        <v/>
      </c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/>
      <c r="DN437" s="18"/>
      <c r="DO437" s="18"/>
      <c r="DP437" s="18"/>
      <c r="DQ437" s="18"/>
      <c r="DR437" s="18"/>
      <c r="DS437" s="18"/>
      <c r="DT437" s="18"/>
      <c r="DU437" s="18"/>
      <c r="DV437" s="18"/>
      <c r="DW437" s="18"/>
      <c r="DX437" s="18"/>
      <c r="DY437" s="18"/>
      <c r="DZ437" s="18"/>
      <c r="EA437" s="18"/>
      <c r="EB437" s="18"/>
      <c r="EC437" s="18"/>
      <c r="ED437" s="18"/>
      <c r="EE437" s="18"/>
      <c r="EF437" s="18"/>
      <c r="EG437" s="18"/>
      <c r="EH437" s="18"/>
      <c r="EI437" s="18"/>
      <c r="EJ437" s="18"/>
      <c r="EK437" s="18"/>
      <c r="EL437" s="18"/>
      <c r="EM437" s="18"/>
      <c r="EN437" s="18"/>
      <c r="EO437" s="18"/>
      <c r="EP437" s="18"/>
      <c r="EQ437" s="18"/>
      <c r="ER437" s="18"/>
      <c r="ES437" s="18"/>
      <c r="ET437" s="18"/>
      <c r="EU437" s="18"/>
      <c r="EV437" s="18"/>
      <c r="EW437" s="18"/>
      <c r="EX437" s="18"/>
    </row>
    <row r="438">
      <c r="A438" s="101"/>
      <c r="B438" s="105"/>
      <c r="C438" s="105"/>
      <c r="D438" s="106" t="str">
        <f>IFERROR(__xludf.DUMMYFUNCTION("""COMPUTED_VALUE"""),"")</f>
        <v/>
      </c>
      <c r="E438" s="110"/>
      <c r="F438" s="92"/>
      <c r="G438" s="18"/>
      <c r="H438" s="101" t="str">
        <f>IFERROR(__xludf.DUMMYFUNCTION("""COMPUTED_VALUE"""),"")</f>
        <v/>
      </c>
      <c r="I438" s="67" t="str">
        <f>IFERROR(__xludf.DUMMYFUNCTION("""COMPUTED_VALUE"""),"")</f>
        <v/>
      </c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  <c r="DW438" s="18"/>
      <c r="DX438" s="18"/>
      <c r="DY438" s="18"/>
      <c r="DZ438" s="18"/>
      <c r="EA438" s="18"/>
      <c r="EB438" s="18"/>
      <c r="EC438" s="18"/>
      <c r="ED438" s="18"/>
      <c r="EE438" s="18"/>
      <c r="EF438" s="18"/>
      <c r="EG438" s="18"/>
      <c r="EH438" s="18"/>
      <c r="EI438" s="18"/>
      <c r="EJ438" s="18"/>
      <c r="EK438" s="18"/>
      <c r="EL438" s="18"/>
      <c r="EM438" s="18"/>
      <c r="EN438" s="18"/>
      <c r="EO438" s="18"/>
      <c r="EP438" s="18"/>
      <c r="EQ438" s="18"/>
      <c r="ER438" s="18"/>
      <c r="ES438" s="18"/>
      <c r="ET438" s="18"/>
      <c r="EU438" s="18"/>
      <c r="EV438" s="18"/>
      <c r="EW438" s="18"/>
      <c r="EX438" s="18"/>
    </row>
    <row r="439">
      <c r="A439" s="101"/>
      <c r="B439" s="105"/>
      <c r="C439" s="105"/>
      <c r="D439" s="106" t="str">
        <f>IFERROR(__xludf.DUMMYFUNCTION("""COMPUTED_VALUE"""),"")</f>
        <v/>
      </c>
      <c r="E439" s="110"/>
      <c r="F439" s="92"/>
      <c r="G439" s="18"/>
      <c r="H439" s="101" t="str">
        <f>IFERROR(__xludf.DUMMYFUNCTION("""COMPUTED_VALUE"""),"")</f>
        <v/>
      </c>
      <c r="I439" s="67" t="str">
        <f>IFERROR(__xludf.DUMMYFUNCTION("""COMPUTED_VALUE"""),"")</f>
        <v/>
      </c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/>
      <c r="DN439" s="18"/>
      <c r="DO439" s="18"/>
      <c r="DP439" s="18"/>
      <c r="DQ439" s="18"/>
      <c r="DR439" s="18"/>
      <c r="DS439" s="18"/>
      <c r="DT439" s="18"/>
      <c r="DU439" s="18"/>
      <c r="DV439" s="18"/>
      <c r="DW439" s="18"/>
      <c r="DX439" s="18"/>
      <c r="DY439" s="18"/>
      <c r="DZ439" s="18"/>
      <c r="EA439" s="18"/>
      <c r="EB439" s="18"/>
      <c r="EC439" s="18"/>
      <c r="ED439" s="18"/>
      <c r="EE439" s="18"/>
      <c r="EF439" s="18"/>
      <c r="EG439" s="18"/>
      <c r="EH439" s="18"/>
      <c r="EI439" s="18"/>
      <c r="EJ439" s="18"/>
      <c r="EK439" s="18"/>
      <c r="EL439" s="18"/>
      <c r="EM439" s="18"/>
      <c r="EN439" s="18"/>
      <c r="EO439" s="18"/>
      <c r="EP439" s="18"/>
      <c r="EQ439" s="18"/>
      <c r="ER439" s="18"/>
      <c r="ES439" s="18"/>
      <c r="ET439" s="18"/>
      <c r="EU439" s="18"/>
      <c r="EV439" s="18"/>
      <c r="EW439" s="18"/>
      <c r="EX439" s="18"/>
    </row>
    <row r="440">
      <c r="A440" s="101"/>
      <c r="B440" s="105"/>
      <c r="C440" s="105"/>
      <c r="D440" s="106" t="str">
        <f>IFERROR(__xludf.DUMMYFUNCTION("""COMPUTED_VALUE"""),"")</f>
        <v/>
      </c>
      <c r="E440" s="110"/>
      <c r="F440" s="92"/>
      <c r="G440" s="18"/>
      <c r="H440" s="101" t="str">
        <f>IFERROR(__xludf.DUMMYFUNCTION("""COMPUTED_VALUE"""),"")</f>
        <v/>
      </c>
      <c r="I440" s="67" t="str">
        <f>IFERROR(__xludf.DUMMYFUNCTION("""COMPUTED_VALUE"""),"")</f>
        <v/>
      </c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/>
      <c r="DN440" s="18"/>
      <c r="DO440" s="18"/>
      <c r="DP440" s="18"/>
      <c r="DQ440" s="18"/>
      <c r="DR440" s="18"/>
      <c r="DS440" s="18"/>
      <c r="DT440" s="18"/>
      <c r="DU440" s="18"/>
      <c r="DV440" s="18"/>
      <c r="DW440" s="18"/>
      <c r="DX440" s="18"/>
      <c r="DY440" s="18"/>
      <c r="DZ440" s="18"/>
      <c r="EA440" s="18"/>
      <c r="EB440" s="18"/>
      <c r="EC440" s="18"/>
      <c r="ED440" s="18"/>
      <c r="EE440" s="18"/>
      <c r="EF440" s="18"/>
      <c r="EG440" s="18"/>
      <c r="EH440" s="18"/>
      <c r="EI440" s="18"/>
      <c r="EJ440" s="18"/>
      <c r="EK440" s="18"/>
      <c r="EL440" s="18"/>
      <c r="EM440" s="18"/>
      <c r="EN440" s="18"/>
      <c r="EO440" s="18"/>
      <c r="EP440" s="18"/>
      <c r="EQ440" s="18"/>
      <c r="ER440" s="18"/>
      <c r="ES440" s="18"/>
      <c r="ET440" s="18"/>
      <c r="EU440" s="18"/>
      <c r="EV440" s="18"/>
      <c r="EW440" s="18"/>
      <c r="EX440" s="18"/>
    </row>
    <row r="441">
      <c r="A441" s="101"/>
      <c r="B441" s="105"/>
      <c r="C441" s="105"/>
      <c r="D441" s="106" t="str">
        <f>IFERROR(__xludf.DUMMYFUNCTION("""COMPUTED_VALUE"""),"")</f>
        <v/>
      </c>
      <c r="E441" s="110"/>
      <c r="F441" s="92"/>
      <c r="G441" s="18"/>
      <c r="H441" s="101" t="str">
        <f>IFERROR(__xludf.DUMMYFUNCTION("""COMPUTED_VALUE"""),"")</f>
        <v/>
      </c>
      <c r="I441" s="67" t="str">
        <f>IFERROR(__xludf.DUMMYFUNCTION("""COMPUTED_VALUE"""),"")</f>
        <v/>
      </c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  <c r="DW441" s="18"/>
      <c r="DX441" s="18"/>
      <c r="DY441" s="18"/>
      <c r="DZ441" s="18"/>
      <c r="EA441" s="18"/>
      <c r="EB441" s="18"/>
      <c r="EC441" s="18"/>
      <c r="ED441" s="18"/>
      <c r="EE441" s="18"/>
      <c r="EF441" s="18"/>
      <c r="EG441" s="18"/>
      <c r="EH441" s="18"/>
      <c r="EI441" s="18"/>
      <c r="EJ441" s="18"/>
      <c r="EK441" s="18"/>
      <c r="EL441" s="18"/>
      <c r="EM441" s="18"/>
      <c r="EN441" s="18"/>
      <c r="EO441" s="18"/>
      <c r="EP441" s="18"/>
      <c r="EQ441" s="18"/>
      <c r="ER441" s="18"/>
      <c r="ES441" s="18"/>
      <c r="ET441" s="18"/>
      <c r="EU441" s="18"/>
      <c r="EV441" s="18"/>
      <c r="EW441" s="18"/>
      <c r="EX441" s="18"/>
    </row>
    <row r="442">
      <c r="A442" s="101"/>
      <c r="B442" s="105"/>
      <c r="C442" s="105"/>
      <c r="D442" s="106" t="str">
        <f>IFERROR(__xludf.DUMMYFUNCTION("""COMPUTED_VALUE"""),"")</f>
        <v/>
      </c>
      <c r="E442" s="110"/>
      <c r="F442" s="92"/>
      <c r="G442" s="18"/>
      <c r="H442" s="101" t="str">
        <f>IFERROR(__xludf.DUMMYFUNCTION("""COMPUTED_VALUE"""),"")</f>
        <v/>
      </c>
      <c r="I442" s="67" t="str">
        <f>IFERROR(__xludf.DUMMYFUNCTION("""COMPUTED_VALUE"""),"")</f>
        <v/>
      </c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</row>
    <row r="443">
      <c r="A443" s="101"/>
      <c r="B443" s="105"/>
      <c r="C443" s="105"/>
      <c r="D443" s="106" t="str">
        <f>IFERROR(__xludf.DUMMYFUNCTION("""COMPUTED_VALUE"""),"")</f>
        <v/>
      </c>
      <c r="E443" s="110"/>
      <c r="F443" s="92"/>
      <c r="G443" s="18"/>
      <c r="H443" s="101" t="str">
        <f>IFERROR(__xludf.DUMMYFUNCTION("""COMPUTED_VALUE"""),"")</f>
        <v/>
      </c>
      <c r="I443" s="67" t="str">
        <f>IFERROR(__xludf.DUMMYFUNCTION("""COMPUTED_VALUE"""),"")</f>
        <v/>
      </c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/>
      <c r="DN443" s="18"/>
      <c r="DO443" s="18"/>
      <c r="DP443" s="18"/>
      <c r="DQ443" s="18"/>
      <c r="DR443" s="18"/>
      <c r="DS443" s="18"/>
      <c r="DT443" s="18"/>
      <c r="DU443" s="18"/>
      <c r="DV443" s="18"/>
      <c r="DW443" s="18"/>
      <c r="DX443" s="18"/>
      <c r="DY443" s="18"/>
      <c r="DZ443" s="18"/>
      <c r="EA443" s="18"/>
      <c r="EB443" s="18"/>
      <c r="EC443" s="18"/>
      <c r="ED443" s="18"/>
      <c r="EE443" s="18"/>
      <c r="EF443" s="18"/>
      <c r="EG443" s="18"/>
      <c r="EH443" s="18"/>
      <c r="EI443" s="18"/>
      <c r="EJ443" s="18"/>
      <c r="EK443" s="18"/>
      <c r="EL443" s="18"/>
      <c r="EM443" s="18"/>
      <c r="EN443" s="18"/>
      <c r="EO443" s="18"/>
      <c r="EP443" s="18"/>
      <c r="EQ443" s="18"/>
      <c r="ER443" s="18"/>
      <c r="ES443" s="18"/>
      <c r="ET443" s="18"/>
      <c r="EU443" s="18"/>
      <c r="EV443" s="18"/>
      <c r="EW443" s="18"/>
      <c r="EX443" s="18"/>
    </row>
    <row r="444">
      <c r="A444" s="101"/>
      <c r="B444" s="105"/>
      <c r="C444" s="105"/>
      <c r="D444" s="106" t="str">
        <f>IFERROR(__xludf.DUMMYFUNCTION("""COMPUTED_VALUE"""),"")</f>
        <v/>
      </c>
      <c r="E444" s="110"/>
      <c r="F444" s="92"/>
      <c r="G444" s="18"/>
      <c r="H444" s="101" t="str">
        <f>IFERROR(__xludf.DUMMYFUNCTION("""COMPUTED_VALUE"""),"")</f>
        <v/>
      </c>
      <c r="I444" s="67" t="str">
        <f>IFERROR(__xludf.DUMMYFUNCTION("""COMPUTED_VALUE"""),"")</f>
        <v/>
      </c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  <c r="DW444" s="18"/>
      <c r="DX444" s="18"/>
      <c r="DY444" s="18"/>
      <c r="DZ444" s="18"/>
      <c r="EA444" s="18"/>
      <c r="EB444" s="18"/>
      <c r="EC444" s="18"/>
      <c r="ED444" s="18"/>
      <c r="EE444" s="18"/>
      <c r="EF444" s="18"/>
      <c r="EG444" s="18"/>
      <c r="EH444" s="18"/>
      <c r="EI444" s="18"/>
      <c r="EJ444" s="18"/>
      <c r="EK444" s="18"/>
      <c r="EL444" s="18"/>
      <c r="EM444" s="18"/>
      <c r="EN444" s="18"/>
      <c r="EO444" s="18"/>
      <c r="EP444" s="18"/>
      <c r="EQ444" s="18"/>
      <c r="ER444" s="18"/>
      <c r="ES444" s="18"/>
      <c r="ET444" s="18"/>
      <c r="EU444" s="18"/>
      <c r="EV444" s="18"/>
      <c r="EW444" s="18"/>
      <c r="EX444" s="18"/>
    </row>
    <row r="445">
      <c r="A445" s="101"/>
      <c r="B445" s="105"/>
      <c r="C445" s="105"/>
      <c r="D445" s="106"/>
      <c r="E445" s="110"/>
      <c r="F445" s="92"/>
      <c r="G445" s="18"/>
      <c r="H445" s="101" t="str">
        <f>IFERROR(__xludf.DUMMYFUNCTION("""COMPUTED_VALUE"""),"")</f>
        <v/>
      </c>
      <c r="I445" s="67" t="str">
        <f>IFERROR(__xludf.DUMMYFUNCTION("""COMPUTED_VALUE"""),"")</f>
        <v/>
      </c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/>
      <c r="DN445" s="18"/>
      <c r="DO445" s="18"/>
      <c r="DP445" s="18"/>
      <c r="DQ445" s="18"/>
      <c r="DR445" s="18"/>
      <c r="DS445" s="18"/>
      <c r="DT445" s="18"/>
      <c r="DU445" s="18"/>
      <c r="DV445" s="18"/>
      <c r="DW445" s="18"/>
      <c r="DX445" s="18"/>
      <c r="DY445" s="18"/>
      <c r="DZ445" s="18"/>
      <c r="EA445" s="18"/>
      <c r="EB445" s="18"/>
      <c r="EC445" s="18"/>
      <c r="ED445" s="18"/>
      <c r="EE445" s="18"/>
      <c r="EF445" s="18"/>
      <c r="EG445" s="18"/>
      <c r="EH445" s="18"/>
      <c r="EI445" s="18"/>
      <c r="EJ445" s="18"/>
      <c r="EK445" s="18"/>
      <c r="EL445" s="18"/>
      <c r="EM445" s="18"/>
      <c r="EN445" s="18"/>
      <c r="EO445" s="18"/>
      <c r="EP445" s="18"/>
      <c r="EQ445" s="18"/>
      <c r="ER445" s="18"/>
      <c r="ES445" s="18"/>
      <c r="ET445" s="18"/>
      <c r="EU445" s="18"/>
      <c r="EV445" s="18"/>
      <c r="EW445" s="18"/>
      <c r="EX445" s="18"/>
    </row>
    <row r="446">
      <c r="A446" s="101"/>
      <c r="B446" s="105"/>
      <c r="C446" s="105"/>
      <c r="D446" s="106"/>
      <c r="E446" s="110"/>
      <c r="F446" s="92"/>
      <c r="G446" s="18"/>
      <c r="H446" s="101" t="str">
        <f>IFERROR(__xludf.DUMMYFUNCTION("""COMPUTED_VALUE"""),"")</f>
        <v/>
      </c>
      <c r="I446" s="67" t="str">
        <f>IFERROR(__xludf.DUMMYFUNCTION("""COMPUTED_VALUE"""),"")</f>
        <v/>
      </c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/>
      <c r="DN446" s="18"/>
      <c r="DO446" s="18"/>
      <c r="DP446" s="18"/>
      <c r="DQ446" s="18"/>
      <c r="DR446" s="18"/>
      <c r="DS446" s="18"/>
      <c r="DT446" s="18"/>
      <c r="DU446" s="18"/>
      <c r="DV446" s="18"/>
      <c r="DW446" s="18"/>
      <c r="DX446" s="18"/>
      <c r="DY446" s="18"/>
      <c r="DZ446" s="18"/>
      <c r="EA446" s="18"/>
      <c r="EB446" s="18"/>
      <c r="EC446" s="18"/>
      <c r="ED446" s="18"/>
      <c r="EE446" s="18"/>
      <c r="EF446" s="18"/>
      <c r="EG446" s="18"/>
      <c r="EH446" s="18"/>
      <c r="EI446" s="18"/>
      <c r="EJ446" s="18"/>
      <c r="EK446" s="18"/>
      <c r="EL446" s="18"/>
      <c r="EM446" s="18"/>
      <c r="EN446" s="18"/>
      <c r="EO446" s="18"/>
      <c r="EP446" s="18"/>
      <c r="EQ446" s="18"/>
      <c r="ER446" s="18"/>
      <c r="ES446" s="18"/>
      <c r="ET446" s="18"/>
      <c r="EU446" s="18"/>
      <c r="EV446" s="18"/>
      <c r="EW446" s="18"/>
      <c r="EX446" s="18"/>
    </row>
    <row r="447">
      <c r="A447" s="101"/>
      <c r="B447" s="105"/>
      <c r="C447" s="105"/>
      <c r="D447" s="106"/>
      <c r="E447" s="110"/>
      <c r="F447" s="92"/>
      <c r="G447" s="18"/>
      <c r="H447" s="101" t="str">
        <f>IFERROR(__xludf.DUMMYFUNCTION("""COMPUTED_VALUE"""),"")</f>
        <v/>
      </c>
      <c r="I447" s="67" t="str">
        <f>IFERROR(__xludf.DUMMYFUNCTION("""COMPUTED_VALUE"""),"")</f>
        <v/>
      </c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  <c r="DW447" s="18"/>
      <c r="DX447" s="18"/>
      <c r="DY447" s="18"/>
      <c r="DZ447" s="18"/>
      <c r="EA447" s="18"/>
      <c r="EB447" s="18"/>
      <c r="EC447" s="18"/>
      <c r="ED447" s="18"/>
      <c r="EE447" s="18"/>
      <c r="EF447" s="18"/>
      <c r="EG447" s="18"/>
      <c r="EH447" s="18"/>
      <c r="EI447" s="18"/>
      <c r="EJ447" s="18"/>
      <c r="EK447" s="18"/>
      <c r="EL447" s="18"/>
      <c r="EM447" s="18"/>
      <c r="EN447" s="18"/>
      <c r="EO447" s="18"/>
      <c r="EP447" s="18"/>
      <c r="EQ447" s="18"/>
      <c r="ER447" s="18"/>
      <c r="ES447" s="18"/>
      <c r="ET447" s="18"/>
      <c r="EU447" s="18"/>
      <c r="EV447" s="18"/>
      <c r="EW447" s="18"/>
      <c r="EX447" s="18"/>
    </row>
    <row r="448">
      <c r="A448" s="101"/>
      <c r="B448" s="105"/>
      <c r="C448" s="105"/>
      <c r="D448" s="106"/>
      <c r="E448" s="110"/>
      <c r="F448" s="92"/>
      <c r="G448" s="18"/>
      <c r="H448" s="101" t="str">
        <f>IFERROR(__xludf.DUMMYFUNCTION("""COMPUTED_VALUE"""),"")</f>
        <v/>
      </c>
      <c r="I448" s="67" t="str">
        <f>IFERROR(__xludf.DUMMYFUNCTION("""COMPUTED_VALUE"""),"")</f>
        <v/>
      </c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/>
      <c r="DN448" s="18"/>
      <c r="DO448" s="18"/>
      <c r="DP448" s="18"/>
      <c r="DQ448" s="18"/>
      <c r="DR448" s="18"/>
      <c r="DS448" s="18"/>
      <c r="DT448" s="18"/>
      <c r="DU448" s="18"/>
      <c r="DV448" s="18"/>
      <c r="DW448" s="18"/>
      <c r="DX448" s="18"/>
      <c r="DY448" s="18"/>
      <c r="DZ448" s="18"/>
      <c r="EA448" s="18"/>
      <c r="EB448" s="18"/>
      <c r="EC448" s="18"/>
      <c r="ED448" s="18"/>
      <c r="EE448" s="18"/>
      <c r="EF448" s="18"/>
      <c r="EG448" s="18"/>
      <c r="EH448" s="18"/>
      <c r="EI448" s="18"/>
      <c r="EJ448" s="18"/>
      <c r="EK448" s="18"/>
      <c r="EL448" s="18"/>
      <c r="EM448" s="18"/>
      <c r="EN448" s="18"/>
      <c r="EO448" s="18"/>
      <c r="EP448" s="18"/>
      <c r="EQ448" s="18"/>
      <c r="ER448" s="18"/>
      <c r="ES448" s="18"/>
      <c r="ET448" s="18"/>
      <c r="EU448" s="18"/>
      <c r="EV448" s="18"/>
      <c r="EW448" s="18"/>
      <c r="EX448" s="18"/>
    </row>
    <row r="449">
      <c r="A449" s="101"/>
      <c r="B449" s="105"/>
      <c r="C449" s="105"/>
      <c r="D449" s="106"/>
      <c r="E449" s="110"/>
      <c r="F449" s="92"/>
      <c r="G449" s="18"/>
      <c r="H449" s="101" t="str">
        <f>IFERROR(__xludf.DUMMYFUNCTION("""COMPUTED_VALUE"""),"")</f>
        <v/>
      </c>
      <c r="I449" s="67" t="str">
        <f>IFERROR(__xludf.DUMMYFUNCTION("""COMPUTED_VALUE"""),"")</f>
        <v/>
      </c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/>
      <c r="DN449" s="18"/>
      <c r="DO449" s="18"/>
      <c r="DP449" s="18"/>
      <c r="DQ449" s="18"/>
      <c r="DR449" s="18"/>
      <c r="DS449" s="18"/>
      <c r="DT449" s="18"/>
      <c r="DU449" s="18"/>
      <c r="DV449" s="18"/>
      <c r="DW449" s="18"/>
      <c r="DX449" s="18"/>
      <c r="DY449" s="18"/>
      <c r="DZ449" s="18"/>
      <c r="EA449" s="18"/>
      <c r="EB449" s="18"/>
      <c r="EC449" s="18"/>
      <c r="ED449" s="18"/>
      <c r="EE449" s="18"/>
      <c r="EF449" s="18"/>
      <c r="EG449" s="18"/>
      <c r="EH449" s="18"/>
      <c r="EI449" s="18"/>
      <c r="EJ449" s="18"/>
      <c r="EK449" s="18"/>
      <c r="EL449" s="18"/>
      <c r="EM449" s="18"/>
      <c r="EN449" s="18"/>
      <c r="EO449" s="18"/>
      <c r="EP449" s="18"/>
      <c r="EQ449" s="18"/>
      <c r="ER449" s="18"/>
      <c r="ES449" s="18"/>
      <c r="ET449" s="18"/>
      <c r="EU449" s="18"/>
      <c r="EV449" s="18"/>
      <c r="EW449" s="18"/>
      <c r="EX449" s="18"/>
    </row>
    <row r="450">
      <c r="A450" s="101"/>
      <c r="B450" s="105"/>
      <c r="C450" s="105"/>
      <c r="D450" s="106"/>
      <c r="E450" s="110"/>
      <c r="F450" s="92"/>
      <c r="G450" s="18"/>
      <c r="H450" s="101" t="str">
        <f>IFERROR(__xludf.DUMMYFUNCTION("""COMPUTED_VALUE"""),"")</f>
        <v/>
      </c>
      <c r="I450" s="67" t="str">
        <f>IFERROR(__xludf.DUMMYFUNCTION("""COMPUTED_VALUE"""),"")</f>
        <v/>
      </c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8"/>
      <c r="DY450" s="18"/>
      <c r="DZ450" s="18"/>
      <c r="EA450" s="18"/>
      <c r="EB450" s="18"/>
      <c r="EC450" s="18"/>
      <c r="ED450" s="18"/>
      <c r="EE450" s="18"/>
      <c r="EF450" s="18"/>
      <c r="EG450" s="18"/>
      <c r="EH450" s="18"/>
      <c r="EI450" s="18"/>
      <c r="EJ450" s="18"/>
      <c r="EK450" s="18"/>
      <c r="EL450" s="18"/>
      <c r="EM450" s="18"/>
      <c r="EN450" s="18"/>
      <c r="EO450" s="18"/>
      <c r="EP450" s="18"/>
      <c r="EQ450" s="18"/>
      <c r="ER450" s="18"/>
      <c r="ES450" s="18"/>
      <c r="ET450" s="18"/>
      <c r="EU450" s="18"/>
      <c r="EV450" s="18"/>
      <c r="EW450" s="18"/>
      <c r="EX450" s="18"/>
    </row>
    <row r="451">
      <c r="A451" s="101"/>
      <c r="B451" s="105"/>
      <c r="C451" s="105"/>
      <c r="D451" s="106"/>
      <c r="E451" s="110"/>
      <c r="F451" s="92"/>
      <c r="G451" s="18"/>
      <c r="H451" s="101" t="str">
        <f>IFERROR(__xludf.DUMMYFUNCTION("""COMPUTED_VALUE"""),"")</f>
        <v/>
      </c>
      <c r="I451" s="67" t="str">
        <f>IFERROR(__xludf.DUMMYFUNCTION("""COMPUTED_VALUE"""),"")</f>
        <v/>
      </c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/>
      <c r="DN451" s="18"/>
      <c r="DO451" s="18"/>
      <c r="DP451" s="18"/>
      <c r="DQ451" s="18"/>
      <c r="DR451" s="18"/>
      <c r="DS451" s="18"/>
      <c r="DT451" s="18"/>
      <c r="DU451" s="18"/>
      <c r="DV451" s="18"/>
      <c r="DW451" s="18"/>
      <c r="DX451" s="18"/>
      <c r="DY451" s="18"/>
      <c r="DZ451" s="18"/>
      <c r="EA451" s="18"/>
      <c r="EB451" s="18"/>
      <c r="EC451" s="18"/>
      <c r="ED451" s="18"/>
      <c r="EE451" s="18"/>
      <c r="EF451" s="18"/>
      <c r="EG451" s="18"/>
      <c r="EH451" s="18"/>
      <c r="EI451" s="18"/>
      <c r="EJ451" s="18"/>
      <c r="EK451" s="18"/>
      <c r="EL451" s="18"/>
      <c r="EM451" s="18"/>
      <c r="EN451" s="18"/>
      <c r="EO451" s="18"/>
      <c r="EP451" s="18"/>
      <c r="EQ451" s="18"/>
      <c r="ER451" s="18"/>
      <c r="ES451" s="18"/>
      <c r="ET451" s="18"/>
      <c r="EU451" s="18"/>
      <c r="EV451" s="18"/>
      <c r="EW451" s="18"/>
      <c r="EX451" s="18"/>
    </row>
    <row r="452">
      <c r="A452" s="101"/>
      <c r="B452" s="105"/>
      <c r="C452" s="105"/>
      <c r="D452" s="106"/>
      <c r="E452" s="110"/>
      <c r="F452" s="92"/>
      <c r="G452" s="18"/>
      <c r="H452" s="101" t="str">
        <f>IFERROR(__xludf.DUMMYFUNCTION("""COMPUTED_VALUE"""),"")</f>
        <v/>
      </c>
      <c r="I452" s="67" t="str">
        <f>IFERROR(__xludf.DUMMYFUNCTION("""COMPUTED_VALUE"""),"")</f>
        <v/>
      </c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/>
      <c r="DN452" s="18"/>
      <c r="DO452" s="18"/>
      <c r="DP452" s="18"/>
      <c r="DQ452" s="18"/>
      <c r="DR452" s="18"/>
      <c r="DS452" s="18"/>
      <c r="DT452" s="18"/>
      <c r="DU452" s="18"/>
      <c r="DV452" s="18"/>
      <c r="DW452" s="18"/>
      <c r="DX452" s="18"/>
      <c r="DY452" s="18"/>
      <c r="DZ452" s="18"/>
      <c r="EA452" s="18"/>
      <c r="EB452" s="18"/>
      <c r="EC452" s="18"/>
      <c r="ED452" s="18"/>
      <c r="EE452" s="18"/>
      <c r="EF452" s="18"/>
      <c r="EG452" s="18"/>
      <c r="EH452" s="18"/>
      <c r="EI452" s="18"/>
      <c r="EJ452" s="18"/>
      <c r="EK452" s="18"/>
      <c r="EL452" s="18"/>
      <c r="EM452" s="18"/>
      <c r="EN452" s="18"/>
      <c r="EO452" s="18"/>
      <c r="EP452" s="18"/>
      <c r="EQ452" s="18"/>
      <c r="ER452" s="18"/>
      <c r="ES452" s="18"/>
      <c r="ET452" s="18"/>
      <c r="EU452" s="18"/>
      <c r="EV452" s="18"/>
      <c r="EW452" s="18"/>
      <c r="EX452" s="18"/>
    </row>
    <row r="453">
      <c r="A453" s="101"/>
      <c r="B453" s="105"/>
      <c r="C453" s="105"/>
      <c r="D453" s="106"/>
      <c r="E453" s="110"/>
      <c r="F453" s="92"/>
      <c r="G453" s="18"/>
      <c r="H453" s="101" t="str">
        <f>IFERROR(__xludf.DUMMYFUNCTION("""COMPUTED_VALUE"""),"")</f>
        <v/>
      </c>
      <c r="I453" s="67" t="str">
        <f>IFERROR(__xludf.DUMMYFUNCTION("""COMPUTED_VALUE"""),"")</f>
        <v/>
      </c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  <c r="DW453" s="18"/>
      <c r="DX453" s="18"/>
      <c r="DY453" s="18"/>
      <c r="DZ453" s="18"/>
      <c r="EA453" s="18"/>
      <c r="EB453" s="18"/>
      <c r="EC453" s="18"/>
      <c r="ED453" s="18"/>
      <c r="EE453" s="18"/>
      <c r="EF453" s="18"/>
      <c r="EG453" s="18"/>
      <c r="EH453" s="18"/>
      <c r="EI453" s="18"/>
      <c r="EJ453" s="18"/>
      <c r="EK453" s="18"/>
      <c r="EL453" s="18"/>
      <c r="EM453" s="18"/>
      <c r="EN453" s="18"/>
      <c r="EO453" s="18"/>
      <c r="EP453" s="18"/>
      <c r="EQ453" s="18"/>
      <c r="ER453" s="18"/>
      <c r="ES453" s="18"/>
      <c r="ET453" s="18"/>
      <c r="EU453" s="18"/>
      <c r="EV453" s="18"/>
      <c r="EW453" s="18"/>
      <c r="EX453" s="18"/>
    </row>
    <row r="454">
      <c r="A454" s="101"/>
      <c r="B454" s="105"/>
      <c r="C454" s="105"/>
      <c r="D454" s="106"/>
      <c r="E454" s="110"/>
      <c r="F454" s="92"/>
      <c r="G454" s="18"/>
      <c r="H454" s="101" t="str">
        <f>IFERROR(__xludf.DUMMYFUNCTION("""COMPUTED_VALUE"""),"")</f>
        <v/>
      </c>
      <c r="I454" s="67" t="str">
        <f>IFERROR(__xludf.DUMMYFUNCTION("""COMPUTED_VALUE"""),"")</f>
        <v/>
      </c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/>
      <c r="DN454" s="18"/>
      <c r="DO454" s="18"/>
      <c r="DP454" s="18"/>
      <c r="DQ454" s="18"/>
      <c r="DR454" s="18"/>
      <c r="DS454" s="18"/>
      <c r="DT454" s="18"/>
      <c r="DU454" s="18"/>
      <c r="DV454" s="18"/>
      <c r="DW454" s="18"/>
      <c r="DX454" s="18"/>
      <c r="DY454" s="18"/>
      <c r="DZ454" s="18"/>
      <c r="EA454" s="18"/>
      <c r="EB454" s="18"/>
      <c r="EC454" s="18"/>
      <c r="ED454" s="18"/>
      <c r="EE454" s="18"/>
      <c r="EF454" s="18"/>
      <c r="EG454" s="18"/>
      <c r="EH454" s="18"/>
      <c r="EI454" s="18"/>
      <c r="EJ454" s="18"/>
      <c r="EK454" s="18"/>
      <c r="EL454" s="18"/>
      <c r="EM454" s="18"/>
      <c r="EN454" s="18"/>
      <c r="EO454" s="18"/>
      <c r="EP454" s="18"/>
      <c r="EQ454" s="18"/>
      <c r="ER454" s="18"/>
      <c r="ES454" s="18"/>
      <c r="ET454" s="18"/>
      <c r="EU454" s="18"/>
      <c r="EV454" s="18"/>
      <c r="EW454" s="18"/>
      <c r="EX454" s="18"/>
    </row>
    <row r="455">
      <c r="A455" s="101"/>
      <c r="B455" s="105"/>
      <c r="C455" s="105"/>
      <c r="D455" s="106"/>
      <c r="E455" s="110"/>
      <c r="F455" s="92"/>
      <c r="G455" s="18"/>
      <c r="H455" s="101" t="str">
        <f>IFERROR(__xludf.DUMMYFUNCTION("""COMPUTED_VALUE"""),"")</f>
        <v/>
      </c>
      <c r="I455" s="67" t="str">
        <f>IFERROR(__xludf.DUMMYFUNCTION("""COMPUTED_VALUE"""),"")</f>
        <v/>
      </c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/>
      <c r="DN455" s="18"/>
      <c r="DO455" s="18"/>
      <c r="DP455" s="18"/>
      <c r="DQ455" s="18"/>
      <c r="DR455" s="18"/>
      <c r="DS455" s="18"/>
      <c r="DT455" s="18"/>
      <c r="DU455" s="18"/>
      <c r="DV455" s="18"/>
      <c r="DW455" s="18"/>
      <c r="DX455" s="18"/>
      <c r="DY455" s="18"/>
      <c r="DZ455" s="18"/>
      <c r="EA455" s="18"/>
      <c r="EB455" s="18"/>
      <c r="EC455" s="18"/>
      <c r="ED455" s="18"/>
      <c r="EE455" s="18"/>
      <c r="EF455" s="18"/>
      <c r="EG455" s="18"/>
      <c r="EH455" s="18"/>
      <c r="EI455" s="18"/>
      <c r="EJ455" s="18"/>
      <c r="EK455" s="18"/>
      <c r="EL455" s="18"/>
      <c r="EM455" s="18"/>
      <c r="EN455" s="18"/>
      <c r="EO455" s="18"/>
      <c r="EP455" s="18"/>
      <c r="EQ455" s="18"/>
      <c r="ER455" s="18"/>
      <c r="ES455" s="18"/>
      <c r="ET455" s="18"/>
      <c r="EU455" s="18"/>
      <c r="EV455" s="18"/>
      <c r="EW455" s="18"/>
      <c r="EX455" s="18"/>
    </row>
    <row r="456">
      <c r="A456" s="101"/>
      <c r="B456" s="105"/>
      <c r="C456" s="105"/>
      <c r="D456" s="106"/>
      <c r="E456" s="110"/>
      <c r="F456" s="92"/>
      <c r="G456" s="18"/>
      <c r="H456" s="101" t="str">
        <f>IFERROR(__xludf.DUMMYFUNCTION("""COMPUTED_VALUE"""),"")</f>
        <v/>
      </c>
      <c r="I456" s="67" t="str">
        <f>IFERROR(__xludf.DUMMYFUNCTION("""COMPUTED_VALUE"""),"")</f>
        <v/>
      </c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  <c r="DW456" s="18"/>
      <c r="DX456" s="18"/>
      <c r="DY456" s="18"/>
      <c r="DZ456" s="18"/>
      <c r="EA456" s="18"/>
      <c r="EB456" s="18"/>
      <c r="EC456" s="18"/>
      <c r="ED456" s="18"/>
      <c r="EE456" s="18"/>
      <c r="EF456" s="18"/>
      <c r="EG456" s="18"/>
      <c r="EH456" s="18"/>
      <c r="EI456" s="18"/>
      <c r="EJ456" s="18"/>
      <c r="EK456" s="18"/>
      <c r="EL456" s="18"/>
      <c r="EM456" s="18"/>
      <c r="EN456" s="18"/>
      <c r="EO456" s="18"/>
      <c r="EP456" s="18"/>
      <c r="EQ456" s="18"/>
      <c r="ER456" s="18"/>
      <c r="ES456" s="18"/>
      <c r="ET456" s="18"/>
      <c r="EU456" s="18"/>
      <c r="EV456" s="18"/>
      <c r="EW456" s="18"/>
      <c r="EX456" s="18"/>
    </row>
    <row r="457">
      <c r="A457" s="101"/>
      <c r="B457" s="105"/>
      <c r="C457" s="105"/>
      <c r="D457" s="106"/>
      <c r="E457" s="110"/>
      <c r="F457" s="92"/>
      <c r="G457" s="18"/>
      <c r="H457" s="101" t="str">
        <f>IFERROR(__xludf.DUMMYFUNCTION("""COMPUTED_VALUE"""),"")</f>
        <v/>
      </c>
      <c r="I457" s="67" t="str">
        <f>IFERROR(__xludf.DUMMYFUNCTION("""COMPUTED_VALUE"""),"")</f>
        <v/>
      </c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/>
      <c r="DN457" s="18"/>
      <c r="DO457" s="18"/>
      <c r="DP457" s="18"/>
      <c r="DQ457" s="18"/>
      <c r="DR457" s="18"/>
      <c r="DS457" s="18"/>
      <c r="DT457" s="18"/>
      <c r="DU457" s="18"/>
      <c r="DV457" s="18"/>
      <c r="DW457" s="18"/>
      <c r="DX457" s="18"/>
      <c r="DY457" s="18"/>
      <c r="DZ457" s="18"/>
      <c r="EA457" s="18"/>
      <c r="EB457" s="18"/>
      <c r="EC457" s="18"/>
      <c r="ED457" s="18"/>
      <c r="EE457" s="18"/>
      <c r="EF457" s="18"/>
      <c r="EG457" s="18"/>
      <c r="EH457" s="18"/>
      <c r="EI457" s="18"/>
      <c r="EJ457" s="18"/>
      <c r="EK457" s="18"/>
      <c r="EL457" s="18"/>
      <c r="EM457" s="18"/>
      <c r="EN457" s="18"/>
      <c r="EO457" s="18"/>
      <c r="EP457" s="18"/>
      <c r="EQ457" s="18"/>
      <c r="ER457" s="18"/>
      <c r="ES457" s="18"/>
      <c r="ET457" s="18"/>
      <c r="EU457" s="18"/>
      <c r="EV457" s="18"/>
      <c r="EW457" s="18"/>
      <c r="EX457" s="18"/>
    </row>
    <row r="458">
      <c r="A458" s="101"/>
      <c r="B458" s="105"/>
      <c r="C458" s="105"/>
      <c r="D458" s="106"/>
      <c r="E458" s="110"/>
      <c r="F458" s="92"/>
      <c r="G458" s="18"/>
      <c r="H458" s="101" t="str">
        <f>IFERROR(__xludf.DUMMYFUNCTION("""COMPUTED_VALUE"""),"")</f>
        <v/>
      </c>
      <c r="I458" s="67" t="str">
        <f>IFERROR(__xludf.DUMMYFUNCTION("""COMPUTED_VALUE"""),"")</f>
        <v/>
      </c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/>
      <c r="DN458" s="18"/>
      <c r="DO458" s="18"/>
      <c r="DP458" s="18"/>
      <c r="DQ458" s="18"/>
      <c r="DR458" s="18"/>
      <c r="DS458" s="18"/>
      <c r="DT458" s="18"/>
      <c r="DU458" s="18"/>
      <c r="DV458" s="18"/>
      <c r="DW458" s="18"/>
      <c r="DX458" s="18"/>
      <c r="DY458" s="18"/>
      <c r="DZ458" s="18"/>
      <c r="EA458" s="18"/>
      <c r="EB458" s="18"/>
      <c r="EC458" s="18"/>
      <c r="ED458" s="18"/>
      <c r="EE458" s="18"/>
      <c r="EF458" s="18"/>
      <c r="EG458" s="18"/>
      <c r="EH458" s="18"/>
      <c r="EI458" s="18"/>
      <c r="EJ458" s="18"/>
      <c r="EK458" s="18"/>
      <c r="EL458" s="18"/>
      <c r="EM458" s="18"/>
      <c r="EN458" s="18"/>
      <c r="EO458" s="18"/>
      <c r="EP458" s="18"/>
      <c r="EQ458" s="18"/>
      <c r="ER458" s="18"/>
      <c r="ES458" s="18"/>
      <c r="ET458" s="18"/>
      <c r="EU458" s="18"/>
      <c r="EV458" s="18"/>
      <c r="EW458" s="18"/>
      <c r="EX458" s="18"/>
    </row>
    <row r="459">
      <c r="A459" s="101"/>
      <c r="B459" s="105"/>
      <c r="C459" s="105"/>
      <c r="D459" s="106"/>
      <c r="E459" s="110"/>
      <c r="F459" s="92"/>
      <c r="G459" s="18"/>
      <c r="H459" s="101" t="str">
        <f>IFERROR(__xludf.DUMMYFUNCTION("""COMPUTED_VALUE"""),"")</f>
        <v/>
      </c>
      <c r="I459" s="67" t="str">
        <f>IFERROR(__xludf.DUMMYFUNCTION("""COMPUTED_VALUE"""),"")</f>
        <v/>
      </c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  <c r="DW459" s="18"/>
      <c r="DX459" s="18"/>
      <c r="DY459" s="18"/>
      <c r="DZ459" s="18"/>
      <c r="EA459" s="18"/>
      <c r="EB459" s="18"/>
      <c r="EC459" s="18"/>
      <c r="ED459" s="18"/>
      <c r="EE459" s="18"/>
      <c r="EF459" s="18"/>
      <c r="EG459" s="18"/>
      <c r="EH459" s="18"/>
      <c r="EI459" s="18"/>
      <c r="EJ459" s="18"/>
      <c r="EK459" s="18"/>
      <c r="EL459" s="18"/>
      <c r="EM459" s="18"/>
      <c r="EN459" s="18"/>
      <c r="EO459" s="18"/>
      <c r="EP459" s="18"/>
      <c r="EQ459" s="18"/>
      <c r="ER459" s="18"/>
      <c r="ES459" s="18"/>
      <c r="ET459" s="18"/>
      <c r="EU459" s="18"/>
      <c r="EV459" s="18"/>
      <c r="EW459" s="18"/>
      <c r="EX459" s="18"/>
    </row>
    <row r="460">
      <c r="A460" s="101"/>
      <c r="B460" s="105"/>
      <c r="C460" s="105"/>
      <c r="D460" s="106"/>
      <c r="E460" s="110"/>
      <c r="F460" s="92"/>
      <c r="G460" s="18"/>
      <c r="H460" s="101" t="str">
        <f>IFERROR(__xludf.DUMMYFUNCTION("""COMPUTED_VALUE"""),"")</f>
        <v/>
      </c>
      <c r="I460" s="67" t="str">
        <f>IFERROR(__xludf.DUMMYFUNCTION("""COMPUTED_VALUE"""),"")</f>
        <v/>
      </c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/>
      <c r="DN460" s="18"/>
      <c r="DO460" s="18"/>
      <c r="DP460" s="18"/>
      <c r="DQ460" s="18"/>
      <c r="DR460" s="18"/>
      <c r="DS460" s="18"/>
      <c r="DT460" s="18"/>
      <c r="DU460" s="18"/>
      <c r="DV460" s="18"/>
      <c r="DW460" s="18"/>
      <c r="DX460" s="18"/>
      <c r="DY460" s="18"/>
      <c r="DZ460" s="18"/>
      <c r="EA460" s="18"/>
      <c r="EB460" s="18"/>
      <c r="EC460" s="18"/>
      <c r="ED460" s="18"/>
      <c r="EE460" s="18"/>
      <c r="EF460" s="18"/>
      <c r="EG460" s="18"/>
      <c r="EH460" s="18"/>
      <c r="EI460" s="18"/>
      <c r="EJ460" s="18"/>
      <c r="EK460" s="18"/>
      <c r="EL460" s="18"/>
      <c r="EM460" s="18"/>
      <c r="EN460" s="18"/>
      <c r="EO460" s="18"/>
      <c r="EP460" s="18"/>
      <c r="EQ460" s="18"/>
      <c r="ER460" s="18"/>
      <c r="ES460" s="18"/>
      <c r="ET460" s="18"/>
      <c r="EU460" s="18"/>
      <c r="EV460" s="18"/>
      <c r="EW460" s="18"/>
      <c r="EX460" s="18"/>
    </row>
    <row r="461">
      <c r="A461" s="101"/>
      <c r="B461" s="105"/>
      <c r="C461" s="105"/>
      <c r="D461" s="106"/>
      <c r="E461" s="110"/>
      <c r="F461" s="92"/>
      <c r="G461" s="18"/>
      <c r="H461" s="101" t="str">
        <f>IFERROR(__xludf.DUMMYFUNCTION("""COMPUTED_VALUE"""),"")</f>
        <v/>
      </c>
      <c r="I461" s="67" t="str">
        <f>IFERROR(__xludf.DUMMYFUNCTION("""COMPUTED_VALUE"""),"")</f>
        <v/>
      </c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/>
      <c r="DN461" s="18"/>
      <c r="DO461" s="18"/>
      <c r="DP461" s="18"/>
      <c r="DQ461" s="18"/>
      <c r="DR461" s="18"/>
      <c r="DS461" s="18"/>
      <c r="DT461" s="18"/>
      <c r="DU461" s="18"/>
      <c r="DV461" s="18"/>
      <c r="DW461" s="18"/>
      <c r="DX461" s="18"/>
      <c r="DY461" s="18"/>
      <c r="DZ461" s="18"/>
      <c r="EA461" s="18"/>
      <c r="EB461" s="18"/>
      <c r="EC461" s="18"/>
      <c r="ED461" s="18"/>
      <c r="EE461" s="18"/>
      <c r="EF461" s="18"/>
      <c r="EG461" s="18"/>
      <c r="EH461" s="18"/>
      <c r="EI461" s="18"/>
      <c r="EJ461" s="18"/>
      <c r="EK461" s="18"/>
      <c r="EL461" s="18"/>
      <c r="EM461" s="18"/>
      <c r="EN461" s="18"/>
      <c r="EO461" s="18"/>
      <c r="EP461" s="18"/>
      <c r="EQ461" s="18"/>
      <c r="ER461" s="18"/>
      <c r="ES461" s="18"/>
      <c r="ET461" s="18"/>
      <c r="EU461" s="18"/>
      <c r="EV461" s="18"/>
      <c r="EW461" s="18"/>
      <c r="EX461" s="18"/>
    </row>
    <row r="462">
      <c r="A462" s="101"/>
      <c r="B462" s="105"/>
      <c r="C462" s="105"/>
      <c r="D462" s="106"/>
      <c r="E462" s="110"/>
      <c r="F462" s="92"/>
      <c r="G462" s="18"/>
      <c r="H462" s="101" t="str">
        <f>IFERROR(__xludf.DUMMYFUNCTION("""COMPUTED_VALUE"""),"")</f>
        <v/>
      </c>
      <c r="I462" s="67" t="str">
        <f>IFERROR(__xludf.DUMMYFUNCTION("""COMPUTED_VALUE"""),"")</f>
        <v/>
      </c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8"/>
      <c r="DY462" s="18"/>
      <c r="DZ462" s="18"/>
      <c r="EA462" s="18"/>
      <c r="EB462" s="18"/>
      <c r="EC462" s="18"/>
      <c r="ED462" s="18"/>
      <c r="EE462" s="18"/>
      <c r="EF462" s="18"/>
      <c r="EG462" s="18"/>
      <c r="EH462" s="18"/>
      <c r="EI462" s="18"/>
      <c r="EJ462" s="18"/>
      <c r="EK462" s="18"/>
      <c r="EL462" s="18"/>
      <c r="EM462" s="18"/>
      <c r="EN462" s="18"/>
      <c r="EO462" s="18"/>
      <c r="EP462" s="18"/>
      <c r="EQ462" s="18"/>
      <c r="ER462" s="18"/>
      <c r="ES462" s="18"/>
      <c r="ET462" s="18"/>
      <c r="EU462" s="18"/>
      <c r="EV462" s="18"/>
      <c r="EW462" s="18"/>
      <c r="EX462" s="18"/>
    </row>
    <row r="463">
      <c r="A463" s="101"/>
      <c r="B463" s="105"/>
      <c r="C463" s="105"/>
      <c r="D463" s="106"/>
      <c r="E463" s="110"/>
      <c r="F463" s="92"/>
      <c r="G463" s="18"/>
      <c r="H463" s="101" t="str">
        <f>IFERROR(__xludf.DUMMYFUNCTION("""COMPUTED_VALUE"""),"")</f>
        <v/>
      </c>
      <c r="I463" s="67" t="str">
        <f>IFERROR(__xludf.DUMMYFUNCTION("""COMPUTED_VALUE"""),"")</f>
        <v/>
      </c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/>
      <c r="DN463" s="18"/>
      <c r="DO463" s="18"/>
      <c r="DP463" s="18"/>
      <c r="DQ463" s="18"/>
      <c r="DR463" s="18"/>
      <c r="DS463" s="18"/>
      <c r="DT463" s="18"/>
      <c r="DU463" s="18"/>
      <c r="DV463" s="18"/>
      <c r="DW463" s="18"/>
      <c r="DX463" s="18"/>
      <c r="DY463" s="18"/>
      <c r="DZ463" s="18"/>
      <c r="EA463" s="18"/>
      <c r="EB463" s="18"/>
      <c r="EC463" s="18"/>
      <c r="ED463" s="18"/>
      <c r="EE463" s="18"/>
      <c r="EF463" s="18"/>
      <c r="EG463" s="18"/>
      <c r="EH463" s="18"/>
      <c r="EI463" s="18"/>
      <c r="EJ463" s="18"/>
      <c r="EK463" s="18"/>
      <c r="EL463" s="18"/>
      <c r="EM463" s="18"/>
      <c r="EN463" s="18"/>
      <c r="EO463" s="18"/>
      <c r="EP463" s="18"/>
      <c r="EQ463" s="18"/>
      <c r="ER463" s="18"/>
      <c r="ES463" s="18"/>
      <c r="ET463" s="18"/>
      <c r="EU463" s="18"/>
      <c r="EV463" s="18"/>
      <c r="EW463" s="18"/>
      <c r="EX463" s="18"/>
    </row>
    <row r="464">
      <c r="A464" s="101"/>
      <c r="B464" s="105"/>
      <c r="C464" s="105"/>
      <c r="D464" s="106"/>
      <c r="E464" s="110"/>
      <c r="F464" s="92"/>
      <c r="G464" s="18"/>
      <c r="H464" s="101" t="str">
        <f>IFERROR(__xludf.DUMMYFUNCTION("""COMPUTED_VALUE"""),"")</f>
        <v/>
      </c>
      <c r="I464" s="67" t="str">
        <f>IFERROR(__xludf.DUMMYFUNCTION("""COMPUTED_VALUE"""),"")</f>
        <v/>
      </c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/>
      <c r="DN464" s="18"/>
      <c r="DO464" s="18"/>
      <c r="DP464" s="18"/>
      <c r="DQ464" s="18"/>
      <c r="DR464" s="18"/>
      <c r="DS464" s="18"/>
      <c r="DT464" s="18"/>
      <c r="DU464" s="18"/>
      <c r="DV464" s="18"/>
      <c r="DW464" s="18"/>
      <c r="DX464" s="18"/>
      <c r="DY464" s="18"/>
      <c r="DZ464" s="18"/>
      <c r="EA464" s="18"/>
      <c r="EB464" s="18"/>
      <c r="EC464" s="18"/>
      <c r="ED464" s="18"/>
      <c r="EE464" s="18"/>
      <c r="EF464" s="18"/>
      <c r="EG464" s="18"/>
      <c r="EH464" s="18"/>
      <c r="EI464" s="18"/>
      <c r="EJ464" s="18"/>
      <c r="EK464" s="18"/>
      <c r="EL464" s="18"/>
      <c r="EM464" s="18"/>
      <c r="EN464" s="18"/>
      <c r="EO464" s="18"/>
      <c r="EP464" s="18"/>
      <c r="EQ464" s="18"/>
      <c r="ER464" s="18"/>
      <c r="ES464" s="18"/>
      <c r="ET464" s="18"/>
      <c r="EU464" s="18"/>
      <c r="EV464" s="18"/>
      <c r="EW464" s="18"/>
      <c r="EX464" s="18"/>
    </row>
    <row r="465">
      <c r="A465" s="101"/>
      <c r="B465" s="105"/>
      <c r="C465" s="105"/>
      <c r="D465" s="106"/>
      <c r="E465" s="110"/>
      <c r="F465" s="92"/>
      <c r="G465" s="18"/>
      <c r="H465" s="101" t="str">
        <f>IFERROR(__xludf.DUMMYFUNCTION("""COMPUTED_VALUE"""),"")</f>
        <v/>
      </c>
      <c r="I465" s="67" t="str">
        <f>IFERROR(__xludf.DUMMYFUNCTION("""COMPUTED_VALUE"""),"")</f>
        <v/>
      </c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  <c r="DW465" s="18"/>
      <c r="DX465" s="18"/>
      <c r="DY465" s="18"/>
      <c r="DZ465" s="18"/>
      <c r="EA465" s="18"/>
      <c r="EB465" s="18"/>
      <c r="EC465" s="18"/>
      <c r="ED465" s="18"/>
      <c r="EE465" s="18"/>
      <c r="EF465" s="18"/>
      <c r="EG465" s="18"/>
      <c r="EH465" s="18"/>
      <c r="EI465" s="18"/>
      <c r="EJ465" s="18"/>
      <c r="EK465" s="18"/>
      <c r="EL465" s="18"/>
      <c r="EM465" s="18"/>
      <c r="EN465" s="18"/>
      <c r="EO465" s="18"/>
      <c r="EP465" s="18"/>
      <c r="EQ465" s="18"/>
      <c r="ER465" s="18"/>
      <c r="ES465" s="18"/>
      <c r="ET465" s="18"/>
      <c r="EU465" s="18"/>
      <c r="EV465" s="18"/>
      <c r="EW465" s="18"/>
      <c r="EX465" s="18"/>
    </row>
    <row r="466">
      <c r="A466" s="101"/>
      <c r="B466" s="105"/>
      <c r="C466" s="105"/>
      <c r="D466" s="106"/>
      <c r="E466" s="110"/>
      <c r="F466" s="92"/>
      <c r="G466" s="18"/>
      <c r="H466" s="101" t="str">
        <f>IFERROR(__xludf.DUMMYFUNCTION("""COMPUTED_VALUE"""),"")</f>
        <v/>
      </c>
      <c r="I466" s="67" t="str">
        <f>IFERROR(__xludf.DUMMYFUNCTION("""COMPUTED_VALUE"""),"")</f>
        <v/>
      </c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  <c r="DW466" s="18"/>
      <c r="DX466" s="18"/>
      <c r="DY466" s="18"/>
      <c r="DZ466" s="18"/>
      <c r="EA466" s="18"/>
      <c r="EB466" s="18"/>
      <c r="EC466" s="18"/>
      <c r="ED466" s="18"/>
      <c r="EE466" s="18"/>
      <c r="EF466" s="18"/>
      <c r="EG466" s="18"/>
      <c r="EH466" s="18"/>
      <c r="EI466" s="18"/>
      <c r="EJ466" s="18"/>
      <c r="EK466" s="18"/>
      <c r="EL466" s="18"/>
      <c r="EM466" s="18"/>
      <c r="EN466" s="18"/>
      <c r="EO466" s="18"/>
      <c r="EP466" s="18"/>
      <c r="EQ466" s="18"/>
      <c r="ER466" s="18"/>
      <c r="ES466" s="18"/>
      <c r="ET466" s="18"/>
      <c r="EU466" s="18"/>
      <c r="EV466" s="18"/>
      <c r="EW466" s="18"/>
      <c r="EX466" s="18"/>
    </row>
    <row r="467">
      <c r="A467" s="101"/>
      <c r="B467" s="105"/>
      <c r="C467" s="105"/>
      <c r="D467" s="106"/>
      <c r="E467" s="110"/>
      <c r="F467" s="92"/>
      <c r="G467" s="18"/>
      <c r="H467" s="101" t="str">
        <f>IFERROR(__xludf.DUMMYFUNCTION("""COMPUTED_VALUE"""),"")</f>
        <v/>
      </c>
      <c r="I467" s="67" t="str">
        <f>IFERROR(__xludf.DUMMYFUNCTION("""COMPUTED_VALUE"""),"")</f>
        <v/>
      </c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  <c r="DW467" s="18"/>
      <c r="DX467" s="18"/>
      <c r="DY467" s="18"/>
      <c r="DZ467" s="18"/>
      <c r="EA467" s="18"/>
      <c r="EB467" s="18"/>
      <c r="EC467" s="18"/>
      <c r="ED467" s="18"/>
      <c r="EE467" s="18"/>
      <c r="EF467" s="18"/>
      <c r="EG467" s="18"/>
      <c r="EH467" s="18"/>
      <c r="EI467" s="18"/>
      <c r="EJ467" s="18"/>
      <c r="EK467" s="18"/>
      <c r="EL467" s="18"/>
      <c r="EM467" s="18"/>
      <c r="EN467" s="18"/>
      <c r="EO467" s="18"/>
      <c r="EP467" s="18"/>
      <c r="EQ467" s="18"/>
      <c r="ER467" s="18"/>
      <c r="ES467" s="18"/>
      <c r="ET467" s="18"/>
      <c r="EU467" s="18"/>
      <c r="EV467" s="18"/>
      <c r="EW467" s="18"/>
      <c r="EX467" s="18"/>
    </row>
    <row r="468">
      <c r="A468" s="101"/>
      <c r="B468" s="105"/>
      <c r="C468" s="105"/>
      <c r="D468" s="106"/>
      <c r="E468" s="110"/>
      <c r="F468" s="92"/>
      <c r="G468" s="18"/>
      <c r="H468" s="101" t="str">
        <f>IFERROR(__xludf.DUMMYFUNCTION("""COMPUTED_VALUE"""),"")</f>
        <v/>
      </c>
      <c r="I468" s="67" t="str">
        <f>IFERROR(__xludf.DUMMYFUNCTION("""COMPUTED_VALUE"""),"")</f>
        <v/>
      </c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8"/>
      <c r="DY468" s="18"/>
      <c r="DZ468" s="18"/>
      <c r="EA468" s="18"/>
      <c r="EB468" s="18"/>
      <c r="EC468" s="18"/>
      <c r="ED468" s="18"/>
      <c r="EE468" s="18"/>
      <c r="EF468" s="18"/>
      <c r="EG468" s="18"/>
      <c r="EH468" s="18"/>
      <c r="EI468" s="18"/>
      <c r="EJ468" s="18"/>
      <c r="EK468" s="18"/>
      <c r="EL468" s="18"/>
      <c r="EM468" s="18"/>
      <c r="EN468" s="18"/>
      <c r="EO468" s="18"/>
      <c r="EP468" s="18"/>
      <c r="EQ468" s="18"/>
      <c r="ER468" s="18"/>
      <c r="ES468" s="18"/>
      <c r="ET468" s="18"/>
      <c r="EU468" s="18"/>
      <c r="EV468" s="18"/>
      <c r="EW468" s="18"/>
      <c r="EX468" s="18"/>
    </row>
    <row r="469">
      <c r="A469" s="101"/>
      <c r="B469" s="105"/>
      <c r="C469" s="105"/>
      <c r="D469" s="106"/>
      <c r="E469" s="110"/>
      <c r="F469" s="92"/>
      <c r="G469" s="18"/>
      <c r="H469" s="101" t="str">
        <f>IFERROR(__xludf.DUMMYFUNCTION("""COMPUTED_VALUE"""),"")</f>
        <v/>
      </c>
      <c r="I469" s="67" t="str">
        <f>IFERROR(__xludf.DUMMYFUNCTION("""COMPUTED_VALUE"""),"")</f>
        <v/>
      </c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  <c r="DW469" s="18"/>
      <c r="DX469" s="18"/>
      <c r="DY469" s="18"/>
      <c r="DZ469" s="18"/>
      <c r="EA469" s="18"/>
      <c r="EB469" s="18"/>
      <c r="EC469" s="18"/>
      <c r="ED469" s="18"/>
      <c r="EE469" s="18"/>
      <c r="EF469" s="18"/>
      <c r="EG469" s="18"/>
      <c r="EH469" s="18"/>
      <c r="EI469" s="18"/>
      <c r="EJ469" s="18"/>
      <c r="EK469" s="18"/>
      <c r="EL469" s="18"/>
      <c r="EM469" s="18"/>
      <c r="EN469" s="18"/>
      <c r="EO469" s="18"/>
      <c r="EP469" s="18"/>
      <c r="EQ469" s="18"/>
      <c r="ER469" s="18"/>
      <c r="ES469" s="18"/>
      <c r="ET469" s="18"/>
      <c r="EU469" s="18"/>
      <c r="EV469" s="18"/>
      <c r="EW469" s="18"/>
      <c r="EX469" s="18"/>
    </row>
    <row r="470">
      <c r="A470" s="101"/>
      <c r="B470" s="105"/>
      <c r="C470" s="105"/>
      <c r="D470" s="106"/>
      <c r="E470" s="110"/>
      <c r="F470" s="92"/>
      <c r="G470" s="18"/>
      <c r="H470" s="101" t="str">
        <f>IFERROR(__xludf.DUMMYFUNCTION("""COMPUTED_VALUE"""),"")</f>
        <v/>
      </c>
      <c r="I470" s="67" t="str">
        <f>IFERROR(__xludf.DUMMYFUNCTION("""COMPUTED_VALUE"""),"")</f>
        <v/>
      </c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8"/>
      <c r="DV470" s="18"/>
      <c r="DW470" s="18"/>
      <c r="DX470" s="18"/>
      <c r="DY470" s="18"/>
      <c r="DZ470" s="18"/>
      <c r="EA470" s="18"/>
      <c r="EB470" s="18"/>
      <c r="EC470" s="18"/>
      <c r="ED470" s="18"/>
      <c r="EE470" s="18"/>
      <c r="EF470" s="18"/>
      <c r="EG470" s="18"/>
      <c r="EH470" s="18"/>
      <c r="EI470" s="18"/>
      <c r="EJ470" s="18"/>
      <c r="EK470" s="18"/>
      <c r="EL470" s="18"/>
      <c r="EM470" s="18"/>
      <c r="EN470" s="18"/>
      <c r="EO470" s="18"/>
      <c r="EP470" s="18"/>
      <c r="EQ470" s="18"/>
      <c r="ER470" s="18"/>
      <c r="ES470" s="18"/>
      <c r="ET470" s="18"/>
      <c r="EU470" s="18"/>
      <c r="EV470" s="18"/>
      <c r="EW470" s="18"/>
      <c r="EX470" s="18"/>
    </row>
    <row r="471">
      <c r="A471" s="101"/>
      <c r="B471" s="105"/>
      <c r="C471" s="105"/>
      <c r="D471" s="106"/>
      <c r="E471" s="110"/>
      <c r="F471" s="92"/>
      <c r="G471" s="18"/>
      <c r="H471" s="101" t="str">
        <f>IFERROR(__xludf.DUMMYFUNCTION("""COMPUTED_VALUE"""),"")</f>
        <v/>
      </c>
      <c r="I471" s="67" t="str">
        <f>IFERROR(__xludf.DUMMYFUNCTION("""COMPUTED_VALUE"""),"")</f>
        <v/>
      </c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  <c r="DW471" s="18"/>
      <c r="DX471" s="18"/>
      <c r="DY471" s="18"/>
      <c r="DZ471" s="18"/>
      <c r="EA471" s="18"/>
      <c r="EB471" s="18"/>
      <c r="EC471" s="18"/>
      <c r="ED471" s="18"/>
      <c r="EE471" s="18"/>
      <c r="EF471" s="18"/>
      <c r="EG471" s="18"/>
      <c r="EH471" s="18"/>
      <c r="EI471" s="18"/>
      <c r="EJ471" s="18"/>
      <c r="EK471" s="18"/>
      <c r="EL471" s="18"/>
      <c r="EM471" s="18"/>
      <c r="EN471" s="18"/>
      <c r="EO471" s="18"/>
      <c r="EP471" s="18"/>
      <c r="EQ471" s="18"/>
      <c r="ER471" s="18"/>
      <c r="ES471" s="18"/>
      <c r="ET471" s="18"/>
      <c r="EU471" s="18"/>
      <c r="EV471" s="18"/>
      <c r="EW471" s="18"/>
      <c r="EX471" s="18"/>
    </row>
    <row r="472">
      <c r="A472" s="101"/>
      <c r="B472" s="105"/>
      <c r="C472" s="105"/>
      <c r="D472" s="106"/>
      <c r="E472" s="110"/>
      <c r="F472" s="92"/>
      <c r="G472" s="18"/>
      <c r="H472" s="101" t="str">
        <f>IFERROR(__xludf.DUMMYFUNCTION("""COMPUTED_VALUE"""),"")</f>
        <v/>
      </c>
      <c r="I472" s="67" t="str">
        <f>IFERROR(__xludf.DUMMYFUNCTION("""COMPUTED_VALUE"""),"")</f>
        <v/>
      </c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8"/>
      <c r="DT472" s="18"/>
      <c r="DU472" s="18"/>
      <c r="DV472" s="18"/>
      <c r="DW472" s="18"/>
      <c r="DX472" s="18"/>
      <c r="DY472" s="18"/>
      <c r="DZ472" s="18"/>
      <c r="EA472" s="18"/>
      <c r="EB472" s="18"/>
      <c r="EC472" s="18"/>
      <c r="ED472" s="18"/>
      <c r="EE472" s="18"/>
      <c r="EF472" s="18"/>
      <c r="EG472" s="18"/>
      <c r="EH472" s="18"/>
      <c r="EI472" s="18"/>
      <c r="EJ472" s="18"/>
      <c r="EK472" s="18"/>
      <c r="EL472" s="18"/>
      <c r="EM472" s="18"/>
      <c r="EN472" s="18"/>
      <c r="EO472" s="18"/>
      <c r="EP472" s="18"/>
      <c r="EQ472" s="18"/>
      <c r="ER472" s="18"/>
      <c r="ES472" s="18"/>
      <c r="ET472" s="18"/>
      <c r="EU472" s="18"/>
      <c r="EV472" s="18"/>
      <c r="EW472" s="18"/>
      <c r="EX472" s="18"/>
    </row>
    <row r="473">
      <c r="A473" s="101"/>
      <c r="B473" s="105"/>
      <c r="C473" s="105"/>
      <c r="D473" s="106"/>
      <c r="E473" s="110"/>
      <c r="F473" s="92"/>
      <c r="G473" s="18"/>
      <c r="H473" s="101" t="str">
        <f>IFERROR(__xludf.DUMMYFUNCTION("""COMPUTED_VALUE"""),"")</f>
        <v/>
      </c>
      <c r="I473" s="67" t="str">
        <f>IFERROR(__xludf.DUMMYFUNCTION("""COMPUTED_VALUE"""),"")</f>
        <v/>
      </c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8"/>
      <c r="DS473" s="18"/>
      <c r="DT473" s="18"/>
      <c r="DU473" s="18"/>
      <c r="DV473" s="18"/>
      <c r="DW473" s="18"/>
      <c r="DX473" s="18"/>
      <c r="DY473" s="18"/>
      <c r="DZ473" s="18"/>
      <c r="EA473" s="18"/>
      <c r="EB473" s="18"/>
      <c r="EC473" s="18"/>
      <c r="ED473" s="18"/>
      <c r="EE473" s="18"/>
      <c r="EF473" s="18"/>
      <c r="EG473" s="18"/>
      <c r="EH473" s="18"/>
      <c r="EI473" s="18"/>
      <c r="EJ473" s="18"/>
      <c r="EK473" s="18"/>
      <c r="EL473" s="18"/>
      <c r="EM473" s="18"/>
      <c r="EN473" s="18"/>
      <c r="EO473" s="18"/>
      <c r="EP473" s="18"/>
      <c r="EQ473" s="18"/>
      <c r="ER473" s="18"/>
      <c r="ES473" s="18"/>
      <c r="ET473" s="18"/>
      <c r="EU473" s="18"/>
      <c r="EV473" s="18"/>
      <c r="EW473" s="18"/>
      <c r="EX473" s="18"/>
    </row>
    <row r="474">
      <c r="A474" s="101"/>
      <c r="B474" s="105"/>
      <c r="C474" s="105"/>
      <c r="D474" s="106"/>
      <c r="E474" s="110"/>
      <c r="F474" s="92"/>
      <c r="G474" s="18"/>
      <c r="H474" s="101" t="str">
        <f>IFERROR(__xludf.DUMMYFUNCTION("""COMPUTED_VALUE"""),"")</f>
        <v/>
      </c>
      <c r="I474" s="67" t="str">
        <f>IFERROR(__xludf.DUMMYFUNCTION("""COMPUTED_VALUE"""),"")</f>
        <v/>
      </c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  <c r="DW474" s="18"/>
      <c r="DX474" s="18"/>
      <c r="DY474" s="18"/>
      <c r="DZ474" s="18"/>
      <c r="EA474" s="18"/>
      <c r="EB474" s="18"/>
      <c r="EC474" s="18"/>
      <c r="ED474" s="18"/>
      <c r="EE474" s="18"/>
      <c r="EF474" s="18"/>
      <c r="EG474" s="18"/>
      <c r="EH474" s="18"/>
      <c r="EI474" s="18"/>
      <c r="EJ474" s="18"/>
      <c r="EK474" s="18"/>
      <c r="EL474" s="18"/>
      <c r="EM474" s="18"/>
      <c r="EN474" s="18"/>
      <c r="EO474" s="18"/>
      <c r="EP474" s="18"/>
      <c r="EQ474" s="18"/>
      <c r="ER474" s="18"/>
      <c r="ES474" s="18"/>
      <c r="ET474" s="18"/>
      <c r="EU474" s="18"/>
      <c r="EV474" s="18"/>
      <c r="EW474" s="18"/>
      <c r="EX474" s="18"/>
    </row>
    <row r="475">
      <c r="A475" s="101"/>
      <c r="B475" s="105"/>
      <c r="C475" s="105"/>
      <c r="D475" s="106"/>
      <c r="E475" s="110"/>
      <c r="F475" s="92"/>
      <c r="G475" s="18"/>
      <c r="H475" s="101" t="str">
        <f>IFERROR(__xludf.DUMMYFUNCTION("""COMPUTED_VALUE"""),"")</f>
        <v/>
      </c>
      <c r="I475" s="67" t="str">
        <f>IFERROR(__xludf.DUMMYFUNCTION("""COMPUTED_VALUE"""),"")</f>
        <v/>
      </c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8"/>
      <c r="DP475" s="18"/>
      <c r="DQ475" s="18"/>
      <c r="DR475" s="18"/>
      <c r="DS475" s="18"/>
      <c r="DT475" s="18"/>
      <c r="DU475" s="18"/>
      <c r="DV475" s="18"/>
      <c r="DW475" s="18"/>
      <c r="DX475" s="18"/>
      <c r="DY475" s="18"/>
      <c r="DZ475" s="18"/>
      <c r="EA475" s="18"/>
      <c r="EB475" s="18"/>
      <c r="EC475" s="18"/>
      <c r="ED475" s="18"/>
      <c r="EE475" s="18"/>
      <c r="EF475" s="18"/>
      <c r="EG475" s="18"/>
      <c r="EH475" s="18"/>
      <c r="EI475" s="18"/>
      <c r="EJ475" s="18"/>
      <c r="EK475" s="18"/>
      <c r="EL475" s="18"/>
      <c r="EM475" s="18"/>
      <c r="EN475" s="18"/>
      <c r="EO475" s="18"/>
      <c r="EP475" s="18"/>
      <c r="EQ475" s="18"/>
      <c r="ER475" s="18"/>
      <c r="ES475" s="18"/>
      <c r="ET475" s="18"/>
      <c r="EU475" s="18"/>
      <c r="EV475" s="18"/>
      <c r="EW475" s="18"/>
      <c r="EX475" s="18"/>
    </row>
    <row r="476">
      <c r="A476" s="101"/>
      <c r="B476" s="105"/>
      <c r="C476" s="105"/>
      <c r="D476" s="106"/>
      <c r="E476" s="110"/>
      <c r="F476" s="92"/>
      <c r="G476" s="18"/>
      <c r="H476" s="101" t="str">
        <f>IFERROR(__xludf.DUMMYFUNCTION("""COMPUTED_VALUE"""),"")</f>
        <v/>
      </c>
      <c r="I476" s="67" t="str">
        <f>IFERROR(__xludf.DUMMYFUNCTION("""COMPUTED_VALUE"""),"")</f>
        <v/>
      </c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8"/>
      <c r="DO476" s="18"/>
      <c r="DP476" s="18"/>
      <c r="DQ476" s="18"/>
      <c r="DR476" s="18"/>
      <c r="DS476" s="18"/>
      <c r="DT476" s="18"/>
      <c r="DU476" s="18"/>
      <c r="DV476" s="18"/>
      <c r="DW476" s="18"/>
      <c r="DX476" s="18"/>
      <c r="DY476" s="18"/>
      <c r="DZ476" s="18"/>
      <c r="EA476" s="18"/>
      <c r="EB476" s="18"/>
      <c r="EC476" s="18"/>
      <c r="ED476" s="18"/>
      <c r="EE476" s="18"/>
      <c r="EF476" s="18"/>
      <c r="EG476" s="18"/>
      <c r="EH476" s="18"/>
      <c r="EI476" s="18"/>
      <c r="EJ476" s="18"/>
      <c r="EK476" s="18"/>
      <c r="EL476" s="18"/>
      <c r="EM476" s="18"/>
      <c r="EN476" s="18"/>
      <c r="EO476" s="18"/>
      <c r="EP476" s="18"/>
      <c r="EQ476" s="18"/>
      <c r="ER476" s="18"/>
      <c r="ES476" s="18"/>
      <c r="ET476" s="18"/>
      <c r="EU476" s="18"/>
      <c r="EV476" s="18"/>
      <c r="EW476" s="18"/>
      <c r="EX476" s="18"/>
    </row>
    <row r="477">
      <c r="A477" s="101"/>
      <c r="B477" s="105"/>
      <c r="C477" s="105"/>
      <c r="D477" s="106"/>
      <c r="E477" s="110"/>
      <c r="F477" s="92"/>
      <c r="G477" s="18"/>
      <c r="H477" s="101" t="str">
        <f>IFERROR(__xludf.DUMMYFUNCTION("""COMPUTED_VALUE"""),"")</f>
        <v/>
      </c>
      <c r="I477" s="67" t="str">
        <f>IFERROR(__xludf.DUMMYFUNCTION("""COMPUTED_VALUE"""),"")</f>
        <v/>
      </c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8"/>
      <c r="DY477" s="18"/>
      <c r="DZ477" s="18"/>
      <c r="EA477" s="18"/>
      <c r="EB477" s="18"/>
      <c r="EC477" s="18"/>
      <c r="ED477" s="18"/>
      <c r="EE477" s="18"/>
      <c r="EF477" s="18"/>
      <c r="EG477" s="18"/>
      <c r="EH477" s="18"/>
      <c r="EI477" s="18"/>
      <c r="EJ477" s="18"/>
      <c r="EK477" s="18"/>
      <c r="EL477" s="18"/>
      <c r="EM477" s="18"/>
      <c r="EN477" s="18"/>
      <c r="EO477" s="18"/>
      <c r="EP477" s="18"/>
      <c r="EQ477" s="18"/>
      <c r="ER477" s="18"/>
      <c r="ES477" s="18"/>
      <c r="ET477" s="18"/>
      <c r="EU477" s="18"/>
      <c r="EV477" s="18"/>
      <c r="EW477" s="18"/>
      <c r="EX477" s="18"/>
    </row>
    <row r="478">
      <c r="A478" s="101"/>
      <c r="B478" s="105"/>
      <c r="C478" s="105"/>
      <c r="D478" s="106"/>
      <c r="E478" s="110"/>
      <c r="F478" s="92"/>
      <c r="G478" s="18"/>
      <c r="H478" s="101" t="str">
        <f>IFERROR(__xludf.DUMMYFUNCTION("""COMPUTED_VALUE"""),"")</f>
        <v/>
      </c>
      <c r="I478" s="67" t="str">
        <f>IFERROR(__xludf.DUMMYFUNCTION("""COMPUTED_VALUE"""),"")</f>
        <v/>
      </c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/>
      <c r="DN478" s="18"/>
      <c r="DO478" s="18"/>
      <c r="DP478" s="18"/>
      <c r="DQ478" s="18"/>
      <c r="DR478" s="18"/>
      <c r="DS478" s="18"/>
      <c r="DT478" s="18"/>
      <c r="DU478" s="18"/>
      <c r="DV478" s="18"/>
      <c r="DW478" s="18"/>
      <c r="DX478" s="18"/>
      <c r="DY478" s="18"/>
      <c r="DZ478" s="18"/>
      <c r="EA478" s="18"/>
      <c r="EB478" s="18"/>
      <c r="EC478" s="18"/>
      <c r="ED478" s="18"/>
      <c r="EE478" s="18"/>
      <c r="EF478" s="18"/>
      <c r="EG478" s="18"/>
      <c r="EH478" s="18"/>
      <c r="EI478" s="18"/>
      <c r="EJ478" s="18"/>
      <c r="EK478" s="18"/>
      <c r="EL478" s="18"/>
      <c r="EM478" s="18"/>
      <c r="EN478" s="18"/>
      <c r="EO478" s="18"/>
      <c r="EP478" s="18"/>
      <c r="EQ478" s="18"/>
      <c r="ER478" s="18"/>
      <c r="ES478" s="18"/>
      <c r="ET478" s="18"/>
      <c r="EU478" s="18"/>
      <c r="EV478" s="18"/>
      <c r="EW478" s="18"/>
      <c r="EX478" s="18"/>
    </row>
    <row r="479">
      <c r="A479" s="101"/>
      <c r="B479" s="105"/>
      <c r="C479" s="105"/>
      <c r="D479" s="106"/>
      <c r="E479" s="110"/>
      <c r="F479" s="92"/>
      <c r="G479" s="18"/>
      <c r="H479" s="101" t="str">
        <f>IFERROR(__xludf.DUMMYFUNCTION("""COMPUTED_VALUE"""),"")</f>
        <v/>
      </c>
      <c r="I479" s="67" t="str">
        <f>IFERROR(__xludf.DUMMYFUNCTION("""COMPUTED_VALUE"""),"")</f>
        <v/>
      </c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/>
      <c r="DN479" s="18"/>
      <c r="DO479" s="18"/>
      <c r="DP479" s="18"/>
      <c r="DQ479" s="18"/>
      <c r="DR479" s="18"/>
      <c r="DS479" s="18"/>
      <c r="DT479" s="18"/>
      <c r="DU479" s="18"/>
      <c r="DV479" s="18"/>
      <c r="DW479" s="18"/>
      <c r="DX479" s="18"/>
      <c r="DY479" s="18"/>
      <c r="DZ479" s="18"/>
      <c r="EA479" s="18"/>
      <c r="EB479" s="18"/>
      <c r="EC479" s="18"/>
      <c r="ED479" s="18"/>
      <c r="EE479" s="18"/>
      <c r="EF479" s="18"/>
      <c r="EG479" s="18"/>
      <c r="EH479" s="18"/>
      <c r="EI479" s="18"/>
      <c r="EJ479" s="18"/>
      <c r="EK479" s="18"/>
      <c r="EL479" s="18"/>
      <c r="EM479" s="18"/>
      <c r="EN479" s="18"/>
      <c r="EO479" s="18"/>
      <c r="EP479" s="18"/>
      <c r="EQ479" s="18"/>
      <c r="ER479" s="18"/>
      <c r="ES479" s="18"/>
      <c r="ET479" s="18"/>
      <c r="EU479" s="18"/>
      <c r="EV479" s="18"/>
      <c r="EW479" s="18"/>
      <c r="EX479" s="18"/>
    </row>
    <row r="480">
      <c r="A480" s="101"/>
      <c r="B480" s="105"/>
      <c r="C480" s="105"/>
      <c r="D480" s="106"/>
      <c r="E480" s="110"/>
      <c r="F480" s="92"/>
      <c r="G480" s="18"/>
      <c r="H480" s="101" t="str">
        <f>IFERROR(__xludf.DUMMYFUNCTION("""COMPUTED_VALUE"""),"")</f>
        <v/>
      </c>
      <c r="I480" s="67" t="str">
        <f>IFERROR(__xludf.DUMMYFUNCTION("""COMPUTED_VALUE"""),"")</f>
        <v/>
      </c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  <c r="DW480" s="18"/>
      <c r="DX480" s="18"/>
      <c r="DY480" s="18"/>
      <c r="DZ480" s="18"/>
      <c r="EA480" s="18"/>
      <c r="EB480" s="18"/>
      <c r="EC480" s="18"/>
      <c r="ED480" s="18"/>
      <c r="EE480" s="18"/>
      <c r="EF480" s="18"/>
      <c r="EG480" s="18"/>
      <c r="EH480" s="18"/>
      <c r="EI480" s="18"/>
      <c r="EJ480" s="18"/>
      <c r="EK480" s="18"/>
      <c r="EL480" s="18"/>
      <c r="EM480" s="18"/>
      <c r="EN480" s="18"/>
      <c r="EO480" s="18"/>
      <c r="EP480" s="18"/>
      <c r="EQ480" s="18"/>
      <c r="ER480" s="18"/>
      <c r="ES480" s="18"/>
      <c r="ET480" s="18"/>
      <c r="EU480" s="18"/>
      <c r="EV480" s="18"/>
      <c r="EW480" s="18"/>
      <c r="EX480" s="18"/>
    </row>
    <row r="481">
      <c r="A481" s="101"/>
      <c r="B481" s="105"/>
      <c r="C481" s="105"/>
      <c r="D481" s="106"/>
      <c r="E481" s="110"/>
      <c r="F481" s="92"/>
      <c r="G481" s="18"/>
      <c r="H481" s="101" t="str">
        <f>IFERROR(__xludf.DUMMYFUNCTION("""COMPUTED_VALUE"""),"")</f>
        <v/>
      </c>
      <c r="I481" s="67" t="str">
        <f>IFERROR(__xludf.DUMMYFUNCTION("""COMPUTED_VALUE"""),"")</f>
        <v/>
      </c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/>
      <c r="DN481" s="18"/>
      <c r="DO481" s="18"/>
      <c r="DP481" s="18"/>
      <c r="DQ481" s="18"/>
      <c r="DR481" s="18"/>
      <c r="DS481" s="18"/>
      <c r="DT481" s="18"/>
      <c r="DU481" s="18"/>
      <c r="DV481" s="18"/>
      <c r="DW481" s="18"/>
      <c r="DX481" s="18"/>
      <c r="DY481" s="18"/>
      <c r="DZ481" s="18"/>
      <c r="EA481" s="18"/>
      <c r="EB481" s="18"/>
      <c r="EC481" s="18"/>
      <c r="ED481" s="18"/>
      <c r="EE481" s="18"/>
      <c r="EF481" s="18"/>
      <c r="EG481" s="18"/>
      <c r="EH481" s="18"/>
      <c r="EI481" s="18"/>
      <c r="EJ481" s="18"/>
      <c r="EK481" s="18"/>
      <c r="EL481" s="18"/>
      <c r="EM481" s="18"/>
      <c r="EN481" s="18"/>
      <c r="EO481" s="18"/>
      <c r="EP481" s="18"/>
      <c r="EQ481" s="18"/>
      <c r="ER481" s="18"/>
      <c r="ES481" s="18"/>
      <c r="ET481" s="18"/>
      <c r="EU481" s="18"/>
      <c r="EV481" s="18"/>
      <c r="EW481" s="18"/>
      <c r="EX481" s="18"/>
    </row>
    <row r="482">
      <c r="A482" s="101"/>
      <c r="B482" s="105"/>
      <c r="C482" s="105"/>
      <c r="D482" s="106"/>
      <c r="E482" s="110"/>
      <c r="F482" s="92"/>
      <c r="G482" s="18"/>
      <c r="H482" s="101" t="str">
        <f>IFERROR(__xludf.DUMMYFUNCTION("""COMPUTED_VALUE"""),"")</f>
        <v/>
      </c>
      <c r="I482" s="67" t="str">
        <f>IFERROR(__xludf.DUMMYFUNCTION("""COMPUTED_VALUE"""),"")</f>
        <v/>
      </c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/>
      <c r="DN482" s="18"/>
      <c r="DO482" s="18"/>
      <c r="DP482" s="18"/>
      <c r="DQ482" s="18"/>
      <c r="DR482" s="18"/>
      <c r="DS482" s="18"/>
      <c r="DT482" s="18"/>
      <c r="DU482" s="18"/>
      <c r="DV482" s="18"/>
      <c r="DW482" s="18"/>
      <c r="DX482" s="18"/>
      <c r="DY482" s="18"/>
      <c r="DZ482" s="18"/>
      <c r="EA482" s="18"/>
      <c r="EB482" s="18"/>
      <c r="EC482" s="18"/>
      <c r="ED482" s="18"/>
      <c r="EE482" s="18"/>
      <c r="EF482" s="18"/>
      <c r="EG482" s="18"/>
      <c r="EH482" s="18"/>
      <c r="EI482" s="18"/>
      <c r="EJ482" s="18"/>
      <c r="EK482" s="18"/>
      <c r="EL482" s="18"/>
      <c r="EM482" s="18"/>
      <c r="EN482" s="18"/>
      <c r="EO482" s="18"/>
      <c r="EP482" s="18"/>
      <c r="EQ482" s="18"/>
      <c r="ER482" s="18"/>
      <c r="ES482" s="18"/>
      <c r="ET482" s="18"/>
      <c r="EU482" s="18"/>
      <c r="EV482" s="18"/>
      <c r="EW482" s="18"/>
      <c r="EX482" s="18"/>
    </row>
    <row r="483">
      <c r="A483" s="101"/>
      <c r="B483" s="105"/>
      <c r="C483" s="105"/>
      <c r="D483" s="106"/>
      <c r="E483" s="110"/>
      <c r="F483" s="92"/>
      <c r="G483" s="18"/>
      <c r="H483" s="101" t="str">
        <f>IFERROR(__xludf.DUMMYFUNCTION("""COMPUTED_VALUE"""),"")</f>
        <v/>
      </c>
      <c r="I483" s="67" t="str">
        <f>IFERROR(__xludf.DUMMYFUNCTION("""COMPUTED_VALUE"""),"")</f>
        <v/>
      </c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  <c r="DW483" s="18"/>
      <c r="DX483" s="18"/>
      <c r="DY483" s="18"/>
      <c r="DZ483" s="18"/>
      <c r="EA483" s="18"/>
      <c r="EB483" s="18"/>
      <c r="EC483" s="18"/>
      <c r="ED483" s="18"/>
      <c r="EE483" s="18"/>
      <c r="EF483" s="18"/>
      <c r="EG483" s="18"/>
      <c r="EH483" s="18"/>
      <c r="EI483" s="18"/>
      <c r="EJ483" s="18"/>
      <c r="EK483" s="18"/>
      <c r="EL483" s="18"/>
      <c r="EM483" s="18"/>
      <c r="EN483" s="18"/>
      <c r="EO483" s="18"/>
      <c r="EP483" s="18"/>
      <c r="EQ483" s="18"/>
      <c r="ER483" s="18"/>
      <c r="ES483" s="18"/>
      <c r="ET483" s="18"/>
      <c r="EU483" s="18"/>
      <c r="EV483" s="18"/>
      <c r="EW483" s="18"/>
      <c r="EX483" s="18"/>
    </row>
    <row r="484">
      <c r="A484" s="101"/>
      <c r="B484" s="105"/>
      <c r="C484" s="105"/>
      <c r="D484" s="106"/>
      <c r="E484" s="110"/>
      <c r="F484" s="92"/>
      <c r="G484" s="18"/>
      <c r="H484" s="101" t="str">
        <f>IFERROR(__xludf.DUMMYFUNCTION("""COMPUTED_VALUE"""),"")</f>
        <v/>
      </c>
      <c r="I484" s="67" t="str">
        <f>IFERROR(__xludf.DUMMYFUNCTION("""COMPUTED_VALUE"""),"")</f>
        <v/>
      </c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/>
      <c r="DN484" s="18"/>
      <c r="DO484" s="18"/>
      <c r="DP484" s="18"/>
      <c r="DQ484" s="18"/>
      <c r="DR484" s="18"/>
      <c r="DS484" s="18"/>
      <c r="DT484" s="18"/>
      <c r="DU484" s="18"/>
      <c r="DV484" s="18"/>
      <c r="DW484" s="18"/>
      <c r="DX484" s="18"/>
      <c r="DY484" s="18"/>
      <c r="DZ484" s="18"/>
      <c r="EA484" s="18"/>
      <c r="EB484" s="18"/>
      <c r="EC484" s="18"/>
      <c r="ED484" s="18"/>
      <c r="EE484" s="18"/>
      <c r="EF484" s="18"/>
      <c r="EG484" s="18"/>
      <c r="EH484" s="18"/>
      <c r="EI484" s="18"/>
      <c r="EJ484" s="18"/>
      <c r="EK484" s="18"/>
      <c r="EL484" s="18"/>
      <c r="EM484" s="18"/>
      <c r="EN484" s="18"/>
      <c r="EO484" s="18"/>
      <c r="EP484" s="18"/>
      <c r="EQ484" s="18"/>
      <c r="ER484" s="18"/>
      <c r="ES484" s="18"/>
      <c r="ET484" s="18"/>
      <c r="EU484" s="18"/>
      <c r="EV484" s="18"/>
      <c r="EW484" s="18"/>
      <c r="EX484" s="18"/>
    </row>
    <row r="485">
      <c r="A485" s="101"/>
      <c r="B485" s="105"/>
      <c r="C485" s="105"/>
      <c r="D485" s="106"/>
      <c r="E485" s="110"/>
      <c r="F485" s="92"/>
      <c r="G485" s="18"/>
      <c r="H485" s="101" t="str">
        <f>IFERROR(__xludf.DUMMYFUNCTION("""COMPUTED_VALUE"""),"")</f>
        <v/>
      </c>
      <c r="I485" s="67" t="str">
        <f>IFERROR(__xludf.DUMMYFUNCTION("""COMPUTED_VALUE"""),"")</f>
        <v/>
      </c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/>
      <c r="DN485" s="18"/>
      <c r="DO485" s="18"/>
      <c r="DP485" s="18"/>
      <c r="DQ485" s="18"/>
      <c r="DR485" s="18"/>
      <c r="DS485" s="18"/>
      <c r="DT485" s="18"/>
      <c r="DU485" s="18"/>
      <c r="DV485" s="18"/>
      <c r="DW485" s="18"/>
      <c r="DX485" s="18"/>
      <c r="DY485" s="18"/>
      <c r="DZ485" s="18"/>
      <c r="EA485" s="18"/>
      <c r="EB485" s="18"/>
      <c r="EC485" s="18"/>
      <c r="ED485" s="18"/>
      <c r="EE485" s="18"/>
      <c r="EF485" s="18"/>
      <c r="EG485" s="18"/>
      <c r="EH485" s="18"/>
      <c r="EI485" s="18"/>
      <c r="EJ485" s="18"/>
      <c r="EK485" s="18"/>
      <c r="EL485" s="18"/>
      <c r="EM485" s="18"/>
      <c r="EN485" s="18"/>
      <c r="EO485" s="18"/>
      <c r="EP485" s="18"/>
      <c r="EQ485" s="18"/>
      <c r="ER485" s="18"/>
      <c r="ES485" s="18"/>
      <c r="ET485" s="18"/>
      <c r="EU485" s="18"/>
      <c r="EV485" s="18"/>
      <c r="EW485" s="18"/>
      <c r="EX485" s="18"/>
    </row>
    <row r="486">
      <c r="A486" s="101"/>
      <c r="B486" s="105"/>
      <c r="C486" s="105"/>
      <c r="D486" s="106"/>
      <c r="E486" s="110"/>
      <c r="F486" s="92"/>
      <c r="G486" s="18"/>
      <c r="H486" s="101" t="str">
        <f>IFERROR(__xludf.DUMMYFUNCTION("""COMPUTED_VALUE"""),"")</f>
        <v/>
      </c>
      <c r="I486" s="67" t="str">
        <f>IFERROR(__xludf.DUMMYFUNCTION("""COMPUTED_VALUE"""),"")</f>
        <v/>
      </c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  <c r="DW486" s="18"/>
      <c r="DX486" s="18"/>
      <c r="DY486" s="18"/>
      <c r="DZ486" s="18"/>
      <c r="EA486" s="18"/>
      <c r="EB486" s="18"/>
      <c r="EC486" s="18"/>
      <c r="ED486" s="18"/>
      <c r="EE486" s="18"/>
      <c r="EF486" s="18"/>
      <c r="EG486" s="18"/>
      <c r="EH486" s="18"/>
      <c r="EI486" s="18"/>
      <c r="EJ486" s="18"/>
      <c r="EK486" s="18"/>
      <c r="EL486" s="18"/>
      <c r="EM486" s="18"/>
      <c r="EN486" s="18"/>
      <c r="EO486" s="18"/>
      <c r="EP486" s="18"/>
      <c r="EQ486" s="18"/>
      <c r="ER486" s="18"/>
      <c r="ES486" s="18"/>
      <c r="ET486" s="18"/>
      <c r="EU486" s="18"/>
      <c r="EV486" s="18"/>
      <c r="EW486" s="18"/>
      <c r="EX486" s="18"/>
    </row>
    <row r="487">
      <c r="A487" s="101"/>
      <c r="B487" s="105"/>
      <c r="C487" s="105"/>
      <c r="D487" s="106"/>
      <c r="E487" s="110"/>
      <c r="F487" s="92"/>
      <c r="G487" s="18"/>
      <c r="H487" s="101" t="str">
        <f>IFERROR(__xludf.DUMMYFUNCTION("""COMPUTED_VALUE"""),"")</f>
        <v/>
      </c>
      <c r="I487" s="67" t="str">
        <f>IFERROR(__xludf.DUMMYFUNCTION("""COMPUTED_VALUE"""),"")</f>
        <v/>
      </c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/>
      <c r="DN487" s="18"/>
      <c r="DO487" s="18"/>
      <c r="DP487" s="18"/>
      <c r="DQ487" s="18"/>
      <c r="DR487" s="18"/>
      <c r="DS487" s="18"/>
      <c r="DT487" s="18"/>
      <c r="DU487" s="18"/>
      <c r="DV487" s="18"/>
      <c r="DW487" s="18"/>
      <c r="DX487" s="18"/>
      <c r="DY487" s="18"/>
      <c r="DZ487" s="18"/>
      <c r="EA487" s="18"/>
      <c r="EB487" s="18"/>
      <c r="EC487" s="18"/>
      <c r="ED487" s="18"/>
      <c r="EE487" s="18"/>
      <c r="EF487" s="18"/>
      <c r="EG487" s="18"/>
      <c r="EH487" s="18"/>
      <c r="EI487" s="18"/>
      <c r="EJ487" s="18"/>
      <c r="EK487" s="18"/>
      <c r="EL487" s="18"/>
      <c r="EM487" s="18"/>
      <c r="EN487" s="18"/>
      <c r="EO487" s="18"/>
      <c r="EP487" s="18"/>
      <c r="EQ487" s="18"/>
      <c r="ER487" s="18"/>
      <c r="ES487" s="18"/>
      <c r="ET487" s="18"/>
      <c r="EU487" s="18"/>
      <c r="EV487" s="18"/>
      <c r="EW487" s="18"/>
      <c r="EX487" s="18"/>
    </row>
    <row r="488">
      <c r="A488" s="101"/>
      <c r="B488" s="105"/>
      <c r="C488" s="105"/>
      <c r="D488" s="106"/>
      <c r="E488" s="110"/>
      <c r="F488" s="92"/>
      <c r="G488" s="18"/>
      <c r="H488" s="101" t="str">
        <f>IFERROR(__xludf.DUMMYFUNCTION("""COMPUTED_VALUE"""),"")</f>
        <v/>
      </c>
      <c r="I488" s="67" t="str">
        <f>IFERROR(__xludf.DUMMYFUNCTION("""COMPUTED_VALUE"""),"")</f>
        <v/>
      </c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/>
      <c r="DN488" s="18"/>
      <c r="DO488" s="18"/>
      <c r="DP488" s="18"/>
      <c r="DQ488" s="18"/>
      <c r="DR488" s="18"/>
      <c r="DS488" s="18"/>
      <c r="DT488" s="18"/>
      <c r="DU488" s="18"/>
      <c r="DV488" s="18"/>
      <c r="DW488" s="18"/>
      <c r="DX488" s="18"/>
      <c r="DY488" s="18"/>
      <c r="DZ488" s="18"/>
      <c r="EA488" s="18"/>
      <c r="EB488" s="18"/>
      <c r="EC488" s="18"/>
      <c r="ED488" s="18"/>
      <c r="EE488" s="18"/>
      <c r="EF488" s="18"/>
      <c r="EG488" s="18"/>
      <c r="EH488" s="18"/>
      <c r="EI488" s="18"/>
      <c r="EJ488" s="18"/>
      <c r="EK488" s="18"/>
      <c r="EL488" s="18"/>
      <c r="EM488" s="18"/>
      <c r="EN488" s="18"/>
      <c r="EO488" s="18"/>
      <c r="EP488" s="18"/>
      <c r="EQ488" s="18"/>
      <c r="ER488" s="18"/>
      <c r="ES488" s="18"/>
      <c r="ET488" s="18"/>
      <c r="EU488" s="18"/>
      <c r="EV488" s="18"/>
      <c r="EW488" s="18"/>
      <c r="EX488" s="18"/>
    </row>
    <row r="489">
      <c r="A489" s="101"/>
      <c r="B489" s="105"/>
      <c r="C489" s="105"/>
      <c r="D489" s="106"/>
      <c r="E489" s="110"/>
      <c r="F489" s="92"/>
      <c r="G489" s="18"/>
      <c r="H489" s="101" t="str">
        <f>IFERROR(__xludf.DUMMYFUNCTION("""COMPUTED_VALUE"""),"")</f>
        <v/>
      </c>
      <c r="I489" s="67" t="str">
        <f>IFERROR(__xludf.DUMMYFUNCTION("""COMPUTED_VALUE"""),"")</f>
        <v/>
      </c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8"/>
      <c r="DY489" s="18"/>
      <c r="DZ489" s="18"/>
      <c r="EA489" s="18"/>
      <c r="EB489" s="18"/>
      <c r="EC489" s="18"/>
      <c r="ED489" s="18"/>
      <c r="EE489" s="18"/>
      <c r="EF489" s="18"/>
      <c r="EG489" s="18"/>
      <c r="EH489" s="18"/>
      <c r="EI489" s="18"/>
      <c r="EJ489" s="18"/>
      <c r="EK489" s="18"/>
      <c r="EL489" s="18"/>
      <c r="EM489" s="18"/>
      <c r="EN489" s="18"/>
      <c r="EO489" s="18"/>
      <c r="EP489" s="18"/>
      <c r="EQ489" s="18"/>
      <c r="ER489" s="18"/>
      <c r="ES489" s="18"/>
      <c r="ET489" s="18"/>
      <c r="EU489" s="18"/>
      <c r="EV489" s="18"/>
      <c r="EW489" s="18"/>
      <c r="EX489" s="18"/>
    </row>
    <row r="490">
      <c r="A490" s="101"/>
      <c r="B490" s="105"/>
      <c r="C490" s="105"/>
      <c r="D490" s="106"/>
      <c r="E490" s="110"/>
      <c r="F490" s="92"/>
      <c r="G490" s="18"/>
      <c r="H490" s="101" t="str">
        <f>IFERROR(__xludf.DUMMYFUNCTION("""COMPUTED_VALUE"""),"")</f>
        <v/>
      </c>
      <c r="I490" s="67" t="str">
        <f>IFERROR(__xludf.DUMMYFUNCTION("""COMPUTED_VALUE"""),"")</f>
        <v/>
      </c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/>
      <c r="DN490" s="18"/>
      <c r="DO490" s="18"/>
      <c r="DP490" s="18"/>
      <c r="DQ490" s="18"/>
      <c r="DR490" s="18"/>
      <c r="DS490" s="18"/>
      <c r="DT490" s="18"/>
      <c r="DU490" s="18"/>
      <c r="DV490" s="18"/>
      <c r="DW490" s="18"/>
      <c r="DX490" s="18"/>
      <c r="DY490" s="18"/>
      <c r="DZ490" s="18"/>
      <c r="EA490" s="18"/>
      <c r="EB490" s="18"/>
      <c r="EC490" s="18"/>
      <c r="ED490" s="18"/>
      <c r="EE490" s="18"/>
      <c r="EF490" s="18"/>
      <c r="EG490" s="18"/>
      <c r="EH490" s="18"/>
      <c r="EI490" s="18"/>
      <c r="EJ490" s="18"/>
      <c r="EK490" s="18"/>
      <c r="EL490" s="18"/>
      <c r="EM490" s="18"/>
      <c r="EN490" s="18"/>
      <c r="EO490" s="18"/>
      <c r="EP490" s="18"/>
      <c r="EQ490" s="18"/>
      <c r="ER490" s="18"/>
      <c r="ES490" s="18"/>
      <c r="ET490" s="18"/>
      <c r="EU490" s="18"/>
      <c r="EV490" s="18"/>
      <c r="EW490" s="18"/>
      <c r="EX490" s="18"/>
    </row>
    <row r="491">
      <c r="A491" s="101"/>
      <c r="B491" s="105"/>
      <c r="C491" s="105"/>
      <c r="D491" s="106"/>
      <c r="E491" s="110"/>
      <c r="F491" s="92"/>
      <c r="G491" s="18"/>
      <c r="H491" s="101" t="str">
        <f>IFERROR(__xludf.DUMMYFUNCTION("""COMPUTED_VALUE"""),"")</f>
        <v/>
      </c>
      <c r="I491" s="67" t="str">
        <f>IFERROR(__xludf.DUMMYFUNCTION("""COMPUTED_VALUE"""),"")</f>
        <v/>
      </c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/>
      <c r="DN491" s="18"/>
      <c r="DO491" s="18"/>
      <c r="DP491" s="18"/>
      <c r="DQ491" s="18"/>
      <c r="DR491" s="18"/>
      <c r="DS491" s="18"/>
      <c r="DT491" s="18"/>
      <c r="DU491" s="18"/>
      <c r="DV491" s="18"/>
      <c r="DW491" s="18"/>
      <c r="DX491" s="18"/>
      <c r="DY491" s="18"/>
      <c r="DZ491" s="18"/>
      <c r="EA491" s="18"/>
      <c r="EB491" s="18"/>
      <c r="EC491" s="18"/>
      <c r="ED491" s="18"/>
      <c r="EE491" s="18"/>
      <c r="EF491" s="18"/>
      <c r="EG491" s="18"/>
      <c r="EH491" s="18"/>
      <c r="EI491" s="18"/>
      <c r="EJ491" s="18"/>
      <c r="EK491" s="18"/>
      <c r="EL491" s="18"/>
      <c r="EM491" s="18"/>
      <c r="EN491" s="18"/>
      <c r="EO491" s="18"/>
      <c r="EP491" s="18"/>
      <c r="EQ491" s="18"/>
      <c r="ER491" s="18"/>
      <c r="ES491" s="18"/>
      <c r="ET491" s="18"/>
      <c r="EU491" s="18"/>
      <c r="EV491" s="18"/>
      <c r="EW491" s="18"/>
      <c r="EX491" s="18"/>
    </row>
    <row r="492">
      <c r="A492" s="101"/>
      <c r="B492" s="105"/>
      <c r="C492" s="105"/>
      <c r="D492" s="106"/>
      <c r="E492" s="110"/>
      <c r="F492" s="92"/>
      <c r="G492" s="18"/>
      <c r="H492" s="101" t="str">
        <f>IFERROR(__xludf.DUMMYFUNCTION("""COMPUTED_VALUE"""),"")</f>
        <v/>
      </c>
      <c r="I492" s="67" t="str">
        <f>IFERROR(__xludf.DUMMYFUNCTION("""COMPUTED_VALUE"""),"")</f>
        <v/>
      </c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  <c r="DW492" s="18"/>
      <c r="DX492" s="18"/>
      <c r="DY492" s="18"/>
      <c r="DZ492" s="18"/>
      <c r="EA492" s="18"/>
      <c r="EB492" s="18"/>
      <c r="EC492" s="18"/>
      <c r="ED492" s="18"/>
      <c r="EE492" s="18"/>
      <c r="EF492" s="18"/>
      <c r="EG492" s="18"/>
      <c r="EH492" s="18"/>
      <c r="EI492" s="18"/>
      <c r="EJ492" s="18"/>
      <c r="EK492" s="18"/>
      <c r="EL492" s="18"/>
      <c r="EM492" s="18"/>
      <c r="EN492" s="18"/>
      <c r="EO492" s="18"/>
      <c r="EP492" s="18"/>
      <c r="EQ492" s="18"/>
      <c r="ER492" s="18"/>
      <c r="ES492" s="18"/>
      <c r="ET492" s="18"/>
      <c r="EU492" s="18"/>
      <c r="EV492" s="18"/>
      <c r="EW492" s="18"/>
      <c r="EX492" s="18"/>
    </row>
    <row r="493">
      <c r="A493" s="101"/>
      <c r="B493" s="105"/>
      <c r="C493" s="105"/>
      <c r="D493" s="106"/>
      <c r="E493" s="110"/>
      <c r="F493" s="92"/>
      <c r="G493" s="18"/>
      <c r="H493" s="101" t="str">
        <f>IFERROR(__xludf.DUMMYFUNCTION("""COMPUTED_VALUE"""),"")</f>
        <v/>
      </c>
      <c r="I493" s="67" t="str">
        <f>IFERROR(__xludf.DUMMYFUNCTION("""COMPUTED_VALUE"""),"")</f>
        <v/>
      </c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/>
      <c r="DN493" s="18"/>
      <c r="DO493" s="18"/>
      <c r="DP493" s="18"/>
      <c r="DQ493" s="18"/>
      <c r="DR493" s="18"/>
      <c r="DS493" s="18"/>
      <c r="DT493" s="18"/>
      <c r="DU493" s="18"/>
      <c r="DV493" s="18"/>
      <c r="DW493" s="18"/>
      <c r="DX493" s="18"/>
      <c r="DY493" s="18"/>
      <c r="DZ493" s="18"/>
      <c r="EA493" s="18"/>
      <c r="EB493" s="18"/>
      <c r="EC493" s="18"/>
      <c r="ED493" s="18"/>
      <c r="EE493" s="18"/>
      <c r="EF493" s="18"/>
      <c r="EG493" s="18"/>
      <c r="EH493" s="18"/>
      <c r="EI493" s="18"/>
      <c r="EJ493" s="18"/>
      <c r="EK493" s="18"/>
      <c r="EL493" s="18"/>
      <c r="EM493" s="18"/>
      <c r="EN493" s="18"/>
      <c r="EO493" s="18"/>
      <c r="EP493" s="18"/>
      <c r="EQ493" s="18"/>
      <c r="ER493" s="18"/>
      <c r="ES493" s="18"/>
      <c r="ET493" s="18"/>
      <c r="EU493" s="18"/>
      <c r="EV493" s="18"/>
      <c r="EW493" s="18"/>
      <c r="EX493" s="18"/>
    </row>
    <row r="494">
      <c r="A494" s="101"/>
      <c r="B494" s="105"/>
      <c r="C494" s="105"/>
      <c r="D494" s="106"/>
      <c r="E494" s="110"/>
      <c r="F494" s="92"/>
      <c r="G494" s="18"/>
      <c r="H494" s="101" t="str">
        <f>IFERROR(__xludf.DUMMYFUNCTION("""COMPUTED_VALUE"""),"")</f>
        <v/>
      </c>
      <c r="I494" s="67" t="str">
        <f>IFERROR(__xludf.DUMMYFUNCTION("""COMPUTED_VALUE"""),"")</f>
        <v/>
      </c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/>
      <c r="DN494" s="18"/>
      <c r="DO494" s="18"/>
      <c r="DP494" s="18"/>
      <c r="DQ494" s="18"/>
      <c r="DR494" s="18"/>
      <c r="DS494" s="18"/>
      <c r="DT494" s="18"/>
      <c r="DU494" s="18"/>
      <c r="DV494" s="18"/>
      <c r="DW494" s="18"/>
      <c r="DX494" s="18"/>
      <c r="DY494" s="18"/>
      <c r="DZ494" s="18"/>
      <c r="EA494" s="18"/>
      <c r="EB494" s="18"/>
      <c r="EC494" s="18"/>
      <c r="ED494" s="18"/>
      <c r="EE494" s="18"/>
      <c r="EF494" s="18"/>
      <c r="EG494" s="18"/>
      <c r="EH494" s="18"/>
      <c r="EI494" s="18"/>
      <c r="EJ494" s="18"/>
      <c r="EK494" s="18"/>
      <c r="EL494" s="18"/>
      <c r="EM494" s="18"/>
      <c r="EN494" s="18"/>
      <c r="EO494" s="18"/>
      <c r="EP494" s="18"/>
      <c r="EQ494" s="18"/>
      <c r="ER494" s="18"/>
      <c r="ES494" s="18"/>
      <c r="ET494" s="18"/>
      <c r="EU494" s="18"/>
      <c r="EV494" s="18"/>
      <c r="EW494" s="18"/>
      <c r="EX494" s="18"/>
    </row>
    <row r="495">
      <c r="A495" s="101"/>
      <c r="B495" s="105"/>
      <c r="C495" s="105"/>
      <c r="D495" s="106"/>
      <c r="E495" s="110"/>
      <c r="F495" s="92"/>
      <c r="G495" s="18"/>
      <c r="H495" s="101" t="str">
        <f>IFERROR(__xludf.DUMMYFUNCTION("""COMPUTED_VALUE"""),"")</f>
        <v/>
      </c>
      <c r="I495" s="67" t="str">
        <f>IFERROR(__xludf.DUMMYFUNCTION("""COMPUTED_VALUE"""),"")</f>
        <v/>
      </c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/>
      <c r="DN495" s="18"/>
      <c r="DO495" s="18"/>
      <c r="DP495" s="18"/>
      <c r="DQ495" s="18"/>
      <c r="DR495" s="18"/>
      <c r="DS495" s="18"/>
      <c r="DT495" s="18"/>
      <c r="DU495" s="18"/>
      <c r="DV495" s="18"/>
      <c r="DW495" s="18"/>
      <c r="DX495" s="18"/>
      <c r="DY495" s="18"/>
      <c r="DZ495" s="18"/>
      <c r="EA495" s="18"/>
      <c r="EB495" s="18"/>
      <c r="EC495" s="18"/>
      <c r="ED495" s="18"/>
      <c r="EE495" s="18"/>
      <c r="EF495" s="18"/>
      <c r="EG495" s="18"/>
      <c r="EH495" s="18"/>
      <c r="EI495" s="18"/>
      <c r="EJ495" s="18"/>
      <c r="EK495" s="18"/>
      <c r="EL495" s="18"/>
      <c r="EM495" s="18"/>
      <c r="EN495" s="18"/>
      <c r="EO495" s="18"/>
      <c r="EP495" s="18"/>
      <c r="EQ495" s="18"/>
      <c r="ER495" s="18"/>
      <c r="ES495" s="18"/>
      <c r="ET495" s="18"/>
      <c r="EU495" s="18"/>
      <c r="EV495" s="18"/>
      <c r="EW495" s="18"/>
      <c r="EX495" s="18"/>
    </row>
    <row r="496">
      <c r="A496" s="101"/>
      <c r="B496" s="105"/>
      <c r="C496" s="105"/>
      <c r="D496" s="106"/>
      <c r="E496" s="110"/>
      <c r="F496" s="92"/>
      <c r="G496" s="18"/>
      <c r="H496" s="101" t="str">
        <f>IFERROR(__xludf.DUMMYFUNCTION("""COMPUTED_VALUE"""),"")</f>
        <v/>
      </c>
      <c r="I496" s="67" t="str">
        <f>IFERROR(__xludf.DUMMYFUNCTION("""COMPUTED_VALUE"""),"")</f>
        <v/>
      </c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  <c r="DW496" s="18"/>
      <c r="DX496" s="18"/>
      <c r="DY496" s="18"/>
      <c r="DZ496" s="18"/>
      <c r="EA496" s="18"/>
      <c r="EB496" s="18"/>
      <c r="EC496" s="18"/>
      <c r="ED496" s="18"/>
      <c r="EE496" s="18"/>
      <c r="EF496" s="18"/>
      <c r="EG496" s="18"/>
      <c r="EH496" s="18"/>
      <c r="EI496" s="18"/>
      <c r="EJ496" s="18"/>
      <c r="EK496" s="18"/>
      <c r="EL496" s="18"/>
      <c r="EM496" s="18"/>
      <c r="EN496" s="18"/>
      <c r="EO496" s="18"/>
      <c r="EP496" s="18"/>
      <c r="EQ496" s="18"/>
      <c r="ER496" s="18"/>
      <c r="ES496" s="18"/>
      <c r="ET496" s="18"/>
      <c r="EU496" s="18"/>
      <c r="EV496" s="18"/>
      <c r="EW496" s="18"/>
      <c r="EX496" s="18"/>
    </row>
    <row r="497">
      <c r="A497" s="101"/>
      <c r="B497" s="105"/>
      <c r="C497" s="105"/>
      <c r="D497" s="106"/>
      <c r="E497" s="110"/>
      <c r="F497" s="92"/>
      <c r="G497" s="18"/>
      <c r="H497" s="101" t="str">
        <f>IFERROR(__xludf.DUMMYFUNCTION("""COMPUTED_VALUE"""),"")</f>
        <v/>
      </c>
      <c r="I497" s="67" t="str">
        <f>IFERROR(__xludf.DUMMYFUNCTION("""COMPUTED_VALUE"""),"")</f>
        <v/>
      </c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/>
      <c r="DN497" s="18"/>
      <c r="DO497" s="18"/>
      <c r="DP497" s="18"/>
      <c r="DQ497" s="18"/>
      <c r="DR497" s="18"/>
      <c r="DS497" s="18"/>
      <c r="DT497" s="18"/>
      <c r="DU497" s="18"/>
      <c r="DV497" s="18"/>
      <c r="DW497" s="18"/>
      <c r="DX497" s="18"/>
      <c r="DY497" s="18"/>
      <c r="DZ497" s="18"/>
      <c r="EA497" s="18"/>
      <c r="EB497" s="18"/>
      <c r="EC497" s="18"/>
      <c r="ED497" s="18"/>
      <c r="EE497" s="18"/>
      <c r="EF497" s="18"/>
      <c r="EG497" s="18"/>
      <c r="EH497" s="18"/>
      <c r="EI497" s="18"/>
      <c r="EJ497" s="18"/>
      <c r="EK497" s="18"/>
      <c r="EL497" s="18"/>
      <c r="EM497" s="18"/>
      <c r="EN497" s="18"/>
      <c r="EO497" s="18"/>
      <c r="EP497" s="18"/>
      <c r="EQ497" s="18"/>
      <c r="ER497" s="18"/>
      <c r="ES497" s="18"/>
      <c r="ET497" s="18"/>
      <c r="EU497" s="18"/>
      <c r="EV497" s="18"/>
      <c r="EW497" s="18"/>
      <c r="EX497" s="18"/>
    </row>
    <row r="498">
      <c r="A498" s="101"/>
      <c r="B498" s="105"/>
      <c r="C498" s="105"/>
      <c r="D498" s="106"/>
      <c r="E498" s="110"/>
      <c r="F498" s="92"/>
      <c r="G498" s="18"/>
      <c r="H498" s="101" t="str">
        <f>IFERROR(__xludf.DUMMYFUNCTION("""COMPUTED_VALUE"""),"")</f>
        <v/>
      </c>
      <c r="I498" s="67" t="str">
        <f>IFERROR(__xludf.DUMMYFUNCTION("""COMPUTED_VALUE"""),"")</f>
        <v/>
      </c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/>
      <c r="DN498" s="18"/>
      <c r="DO498" s="18"/>
      <c r="DP498" s="18"/>
      <c r="DQ498" s="18"/>
      <c r="DR498" s="18"/>
      <c r="DS498" s="18"/>
      <c r="DT498" s="18"/>
      <c r="DU498" s="18"/>
      <c r="DV498" s="18"/>
      <c r="DW498" s="18"/>
      <c r="DX498" s="18"/>
      <c r="DY498" s="18"/>
      <c r="DZ498" s="18"/>
      <c r="EA498" s="18"/>
      <c r="EB498" s="18"/>
      <c r="EC498" s="18"/>
      <c r="ED498" s="18"/>
      <c r="EE498" s="18"/>
      <c r="EF498" s="18"/>
      <c r="EG498" s="18"/>
      <c r="EH498" s="18"/>
      <c r="EI498" s="18"/>
      <c r="EJ498" s="18"/>
      <c r="EK498" s="18"/>
      <c r="EL498" s="18"/>
      <c r="EM498" s="18"/>
      <c r="EN498" s="18"/>
      <c r="EO498" s="18"/>
      <c r="EP498" s="18"/>
      <c r="EQ498" s="18"/>
      <c r="ER498" s="18"/>
      <c r="ES498" s="18"/>
      <c r="ET498" s="18"/>
      <c r="EU498" s="18"/>
      <c r="EV498" s="18"/>
      <c r="EW498" s="18"/>
      <c r="EX498" s="18"/>
    </row>
    <row r="499">
      <c r="A499" s="101"/>
      <c r="B499" s="105"/>
      <c r="C499" s="105"/>
      <c r="D499" s="106"/>
      <c r="E499" s="110"/>
      <c r="F499" s="92"/>
      <c r="G499" s="18"/>
      <c r="H499" s="101" t="str">
        <f>IFERROR(__xludf.DUMMYFUNCTION("""COMPUTED_VALUE"""),"")</f>
        <v/>
      </c>
      <c r="I499" s="67" t="str">
        <f>IFERROR(__xludf.DUMMYFUNCTION("""COMPUTED_VALUE"""),"")</f>
        <v/>
      </c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/>
      <c r="DN499" s="18"/>
      <c r="DO499" s="18"/>
      <c r="DP499" s="18"/>
      <c r="DQ499" s="18"/>
      <c r="DR499" s="18"/>
      <c r="DS499" s="18"/>
      <c r="DT499" s="18"/>
      <c r="DU499" s="18"/>
      <c r="DV499" s="18"/>
      <c r="DW499" s="18"/>
      <c r="DX499" s="18"/>
      <c r="DY499" s="18"/>
      <c r="DZ499" s="18"/>
      <c r="EA499" s="18"/>
      <c r="EB499" s="18"/>
      <c r="EC499" s="18"/>
      <c r="ED499" s="18"/>
      <c r="EE499" s="18"/>
      <c r="EF499" s="18"/>
      <c r="EG499" s="18"/>
      <c r="EH499" s="18"/>
      <c r="EI499" s="18"/>
      <c r="EJ499" s="18"/>
      <c r="EK499" s="18"/>
      <c r="EL499" s="18"/>
      <c r="EM499" s="18"/>
      <c r="EN499" s="18"/>
      <c r="EO499" s="18"/>
      <c r="EP499" s="18"/>
      <c r="EQ499" s="18"/>
      <c r="ER499" s="18"/>
      <c r="ES499" s="18"/>
      <c r="ET499" s="18"/>
      <c r="EU499" s="18"/>
      <c r="EV499" s="18"/>
      <c r="EW499" s="18"/>
      <c r="EX499" s="18"/>
    </row>
    <row r="500">
      <c r="A500" s="101"/>
      <c r="B500" s="105"/>
      <c r="C500" s="105"/>
      <c r="D500" s="106"/>
      <c r="E500" s="110"/>
      <c r="F500" s="92"/>
      <c r="G500" s="18"/>
      <c r="H500" s="101" t="str">
        <f>IFERROR(__xludf.DUMMYFUNCTION("""COMPUTED_VALUE"""),"")</f>
        <v/>
      </c>
      <c r="I500" s="67" t="str">
        <f>IFERROR(__xludf.DUMMYFUNCTION("""COMPUTED_VALUE"""),"")</f>
        <v/>
      </c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/>
      <c r="DN500" s="18"/>
      <c r="DO500" s="18"/>
      <c r="DP500" s="18"/>
      <c r="DQ500" s="18"/>
      <c r="DR500" s="18"/>
      <c r="DS500" s="18"/>
      <c r="DT500" s="18"/>
      <c r="DU500" s="18"/>
      <c r="DV500" s="18"/>
      <c r="DW500" s="18"/>
      <c r="DX500" s="18"/>
      <c r="DY500" s="18"/>
      <c r="DZ500" s="18"/>
      <c r="EA500" s="18"/>
      <c r="EB500" s="18"/>
      <c r="EC500" s="18"/>
      <c r="ED500" s="18"/>
      <c r="EE500" s="18"/>
      <c r="EF500" s="18"/>
      <c r="EG500" s="18"/>
      <c r="EH500" s="18"/>
      <c r="EI500" s="18"/>
      <c r="EJ500" s="18"/>
      <c r="EK500" s="18"/>
      <c r="EL500" s="18"/>
      <c r="EM500" s="18"/>
      <c r="EN500" s="18"/>
      <c r="EO500" s="18"/>
      <c r="EP500" s="18"/>
      <c r="EQ500" s="18"/>
      <c r="ER500" s="18"/>
      <c r="ES500" s="18"/>
      <c r="ET500" s="18"/>
      <c r="EU500" s="18"/>
      <c r="EV500" s="18"/>
      <c r="EW500" s="18"/>
      <c r="EX500" s="18"/>
    </row>
    <row r="501">
      <c r="A501" s="101"/>
      <c r="B501" s="105"/>
      <c r="C501" s="105"/>
      <c r="D501" s="106"/>
      <c r="E501" s="110"/>
      <c r="F501" s="92"/>
      <c r="G501" s="18"/>
      <c r="H501" s="101" t="str">
        <f>IFERROR(__xludf.DUMMYFUNCTION("""COMPUTED_VALUE"""),"")</f>
        <v/>
      </c>
      <c r="I501" s="67" t="str">
        <f>IFERROR(__xludf.DUMMYFUNCTION("""COMPUTED_VALUE"""),"")</f>
        <v/>
      </c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  <c r="DW501" s="18"/>
      <c r="DX501" s="18"/>
      <c r="DY501" s="18"/>
      <c r="DZ501" s="18"/>
      <c r="EA501" s="18"/>
      <c r="EB501" s="18"/>
      <c r="EC501" s="18"/>
      <c r="ED501" s="18"/>
      <c r="EE501" s="18"/>
      <c r="EF501" s="18"/>
      <c r="EG501" s="18"/>
      <c r="EH501" s="18"/>
      <c r="EI501" s="18"/>
      <c r="EJ501" s="18"/>
      <c r="EK501" s="18"/>
      <c r="EL501" s="18"/>
      <c r="EM501" s="18"/>
      <c r="EN501" s="18"/>
      <c r="EO501" s="18"/>
      <c r="EP501" s="18"/>
      <c r="EQ501" s="18"/>
      <c r="ER501" s="18"/>
      <c r="ES501" s="18"/>
      <c r="ET501" s="18"/>
      <c r="EU501" s="18"/>
      <c r="EV501" s="18"/>
      <c r="EW501" s="18"/>
      <c r="EX501" s="18"/>
    </row>
    <row r="502">
      <c r="A502" s="101"/>
      <c r="B502" s="105"/>
      <c r="C502" s="105"/>
      <c r="D502" s="106"/>
      <c r="E502" s="110"/>
      <c r="F502" s="92"/>
      <c r="G502" s="18"/>
      <c r="H502" s="101" t="str">
        <f>IFERROR(__xludf.DUMMYFUNCTION("""COMPUTED_VALUE"""),"")</f>
        <v/>
      </c>
      <c r="I502" s="67" t="str">
        <f>IFERROR(__xludf.DUMMYFUNCTION("""COMPUTED_VALUE"""),"")</f>
        <v/>
      </c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/>
      <c r="DN502" s="18"/>
      <c r="DO502" s="18"/>
      <c r="DP502" s="18"/>
      <c r="DQ502" s="18"/>
      <c r="DR502" s="18"/>
      <c r="DS502" s="18"/>
      <c r="DT502" s="18"/>
      <c r="DU502" s="18"/>
      <c r="DV502" s="18"/>
      <c r="DW502" s="18"/>
      <c r="DX502" s="18"/>
      <c r="DY502" s="18"/>
      <c r="DZ502" s="18"/>
      <c r="EA502" s="18"/>
      <c r="EB502" s="18"/>
      <c r="EC502" s="18"/>
      <c r="ED502" s="18"/>
      <c r="EE502" s="18"/>
      <c r="EF502" s="18"/>
      <c r="EG502" s="18"/>
      <c r="EH502" s="18"/>
      <c r="EI502" s="18"/>
      <c r="EJ502" s="18"/>
      <c r="EK502" s="18"/>
      <c r="EL502" s="18"/>
      <c r="EM502" s="18"/>
      <c r="EN502" s="18"/>
      <c r="EO502" s="18"/>
      <c r="EP502" s="18"/>
      <c r="EQ502" s="18"/>
      <c r="ER502" s="18"/>
      <c r="ES502" s="18"/>
      <c r="ET502" s="18"/>
      <c r="EU502" s="18"/>
      <c r="EV502" s="18"/>
      <c r="EW502" s="18"/>
      <c r="EX502" s="18"/>
    </row>
    <row r="503">
      <c r="A503" s="101"/>
      <c r="B503" s="105"/>
      <c r="C503" s="105"/>
      <c r="D503" s="106"/>
      <c r="E503" s="110"/>
      <c r="F503" s="92"/>
      <c r="G503" s="18"/>
      <c r="H503" s="101" t="str">
        <f>IFERROR(__xludf.DUMMYFUNCTION("""COMPUTED_VALUE"""),"")</f>
        <v/>
      </c>
      <c r="I503" s="67" t="str">
        <f>IFERROR(__xludf.DUMMYFUNCTION("""COMPUTED_VALUE"""),"")</f>
        <v/>
      </c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/>
      <c r="DN503" s="18"/>
      <c r="DO503" s="18"/>
      <c r="DP503" s="18"/>
      <c r="DQ503" s="18"/>
      <c r="DR503" s="18"/>
      <c r="DS503" s="18"/>
      <c r="DT503" s="18"/>
      <c r="DU503" s="18"/>
      <c r="DV503" s="18"/>
      <c r="DW503" s="18"/>
      <c r="DX503" s="18"/>
      <c r="DY503" s="18"/>
      <c r="DZ503" s="18"/>
      <c r="EA503" s="18"/>
      <c r="EB503" s="18"/>
      <c r="EC503" s="18"/>
      <c r="ED503" s="18"/>
      <c r="EE503" s="18"/>
      <c r="EF503" s="18"/>
      <c r="EG503" s="18"/>
      <c r="EH503" s="18"/>
      <c r="EI503" s="18"/>
      <c r="EJ503" s="18"/>
      <c r="EK503" s="18"/>
      <c r="EL503" s="18"/>
      <c r="EM503" s="18"/>
      <c r="EN503" s="18"/>
      <c r="EO503" s="18"/>
      <c r="EP503" s="18"/>
      <c r="EQ503" s="18"/>
      <c r="ER503" s="18"/>
      <c r="ES503" s="18"/>
      <c r="ET503" s="18"/>
      <c r="EU503" s="18"/>
      <c r="EV503" s="18"/>
      <c r="EW503" s="18"/>
      <c r="EX503" s="18"/>
    </row>
    <row r="504">
      <c r="A504" s="101"/>
      <c r="B504" s="105"/>
      <c r="C504" s="105"/>
      <c r="D504" s="106"/>
      <c r="E504" s="110"/>
      <c r="F504" s="92"/>
      <c r="G504" s="18"/>
      <c r="H504" s="101" t="str">
        <f>IFERROR(__xludf.DUMMYFUNCTION("""COMPUTED_VALUE"""),"")</f>
        <v/>
      </c>
      <c r="I504" s="67" t="str">
        <f>IFERROR(__xludf.DUMMYFUNCTION("""COMPUTED_VALUE"""),"")</f>
        <v/>
      </c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  <c r="DY504" s="18"/>
      <c r="DZ504" s="18"/>
      <c r="EA504" s="18"/>
      <c r="EB504" s="18"/>
      <c r="EC504" s="18"/>
      <c r="ED504" s="18"/>
      <c r="EE504" s="18"/>
      <c r="EF504" s="18"/>
      <c r="EG504" s="18"/>
      <c r="EH504" s="18"/>
      <c r="EI504" s="18"/>
      <c r="EJ504" s="18"/>
      <c r="EK504" s="18"/>
      <c r="EL504" s="18"/>
      <c r="EM504" s="18"/>
      <c r="EN504" s="18"/>
      <c r="EO504" s="18"/>
      <c r="EP504" s="18"/>
      <c r="EQ504" s="18"/>
      <c r="ER504" s="18"/>
      <c r="ES504" s="18"/>
      <c r="ET504" s="18"/>
      <c r="EU504" s="18"/>
      <c r="EV504" s="18"/>
      <c r="EW504" s="18"/>
      <c r="EX504" s="18"/>
    </row>
    <row r="505">
      <c r="A505" s="101"/>
      <c r="B505" s="105"/>
      <c r="C505" s="105"/>
      <c r="D505" s="106"/>
      <c r="E505" s="110"/>
      <c r="F505" s="92"/>
      <c r="G505" s="18"/>
      <c r="H505" s="101" t="str">
        <f>IFERROR(__xludf.DUMMYFUNCTION("""COMPUTED_VALUE"""),"")</f>
        <v/>
      </c>
      <c r="I505" s="67" t="str">
        <f>IFERROR(__xludf.DUMMYFUNCTION("""COMPUTED_VALUE"""),"")</f>
        <v/>
      </c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  <c r="DW505" s="18"/>
      <c r="DX505" s="18"/>
      <c r="DY505" s="18"/>
      <c r="DZ505" s="18"/>
      <c r="EA505" s="18"/>
      <c r="EB505" s="18"/>
      <c r="EC505" s="18"/>
      <c r="ED505" s="18"/>
      <c r="EE505" s="18"/>
      <c r="EF505" s="18"/>
      <c r="EG505" s="18"/>
      <c r="EH505" s="18"/>
      <c r="EI505" s="18"/>
      <c r="EJ505" s="18"/>
      <c r="EK505" s="18"/>
      <c r="EL505" s="18"/>
      <c r="EM505" s="18"/>
      <c r="EN505" s="18"/>
      <c r="EO505" s="18"/>
      <c r="EP505" s="18"/>
      <c r="EQ505" s="18"/>
      <c r="ER505" s="18"/>
      <c r="ES505" s="18"/>
      <c r="ET505" s="18"/>
      <c r="EU505" s="18"/>
      <c r="EV505" s="18"/>
      <c r="EW505" s="18"/>
      <c r="EX505" s="18"/>
    </row>
    <row r="506">
      <c r="A506" s="101"/>
      <c r="B506" s="105"/>
      <c r="C506" s="105"/>
      <c r="D506" s="106"/>
      <c r="E506" s="110"/>
      <c r="F506" s="92"/>
      <c r="G506" s="18"/>
      <c r="H506" s="101" t="str">
        <f>IFERROR(__xludf.DUMMYFUNCTION("""COMPUTED_VALUE"""),"")</f>
        <v/>
      </c>
      <c r="I506" s="67" t="str">
        <f>IFERROR(__xludf.DUMMYFUNCTION("""COMPUTED_VALUE"""),"")</f>
        <v/>
      </c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  <c r="DW506" s="18"/>
      <c r="DX506" s="18"/>
      <c r="DY506" s="18"/>
      <c r="DZ506" s="18"/>
      <c r="EA506" s="18"/>
      <c r="EB506" s="18"/>
      <c r="EC506" s="18"/>
      <c r="ED506" s="18"/>
      <c r="EE506" s="18"/>
      <c r="EF506" s="18"/>
      <c r="EG506" s="18"/>
      <c r="EH506" s="18"/>
      <c r="EI506" s="18"/>
      <c r="EJ506" s="18"/>
      <c r="EK506" s="18"/>
      <c r="EL506" s="18"/>
      <c r="EM506" s="18"/>
      <c r="EN506" s="18"/>
      <c r="EO506" s="18"/>
      <c r="EP506" s="18"/>
      <c r="EQ506" s="18"/>
      <c r="ER506" s="18"/>
      <c r="ES506" s="18"/>
      <c r="ET506" s="18"/>
      <c r="EU506" s="18"/>
      <c r="EV506" s="18"/>
      <c r="EW506" s="18"/>
      <c r="EX506" s="18"/>
    </row>
    <row r="507">
      <c r="A507" s="101"/>
      <c r="B507" s="105"/>
      <c r="C507" s="105"/>
      <c r="D507" s="106"/>
      <c r="E507" s="110"/>
      <c r="F507" s="92"/>
      <c r="G507" s="18"/>
      <c r="H507" s="101" t="str">
        <f>IFERROR(__xludf.DUMMYFUNCTION("""COMPUTED_VALUE"""),"")</f>
        <v/>
      </c>
      <c r="I507" s="67" t="str">
        <f>IFERROR(__xludf.DUMMYFUNCTION("""COMPUTED_VALUE"""),"")</f>
        <v/>
      </c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8"/>
      <c r="DX507" s="18"/>
      <c r="DY507" s="18"/>
      <c r="DZ507" s="18"/>
      <c r="EA507" s="18"/>
      <c r="EB507" s="18"/>
      <c r="EC507" s="18"/>
      <c r="ED507" s="18"/>
      <c r="EE507" s="18"/>
      <c r="EF507" s="18"/>
      <c r="EG507" s="18"/>
      <c r="EH507" s="18"/>
      <c r="EI507" s="18"/>
      <c r="EJ507" s="18"/>
      <c r="EK507" s="18"/>
      <c r="EL507" s="18"/>
      <c r="EM507" s="18"/>
      <c r="EN507" s="18"/>
      <c r="EO507" s="18"/>
      <c r="EP507" s="18"/>
      <c r="EQ507" s="18"/>
      <c r="ER507" s="18"/>
      <c r="ES507" s="18"/>
      <c r="ET507" s="18"/>
      <c r="EU507" s="18"/>
      <c r="EV507" s="18"/>
      <c r="EW507" s="18"/>
      <c r="EX507" s="18"/>
    </row>
    <row r="508">
      <c r="A508" s="101"/>
      <c r="B508" s="105"/>
      <c r="C508" s="105"/>
      <c r="D508" s="106"/>
      <c r="E508" s="110"/>
      <c r="F508" s="92"/>
      <c r="G508" s="18"/>
      <c r="H508" s="101" t="str">
        <f>IFERROR(__xludf.DUMMYFUNCTION("""COMPUTED_VALUE"""),"")</f>
        <v/>
      </c>
      <c r="I508" s="67" t="str">
        <f>IFERROR(__xludf.DUMMYFUNCTION("""COMPUTED_VALUE"""),"")</f>
        <v/>
      </c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8"/>
      <c r="DV508" s="18"/>
      <c r="DW508" s="18"/>
      <c r="DX508" s="18"/>
      <c r="DY508" s="18"/>
      <c r="DZ508" s="18"/>
      <c r="EA508" s="18"/>
      <c r="EB508" s="18"/>
      <c r="EC508" s="18"/>
      <c r="ED508" s="18"/>
      <c r="EE508" s="18"/>
      <c r="EF508" s="18"/>
      <c r="EG508" s="18"/>
      <c r="EH508" s="18"/>
      <c r="EI508" s="18"/>
      <c r="EJ508" s="18"/>
      <c r="EK508" s="18"/>
      <c r="EL508" s="18"/>
      <c r="EM508" s="18"/>
      <c r="EN508" s="18"/>
      <c r="EO508" s="18"/>
      <c r="EP508" s="18"/>
      <c r="EQ508" s="18"/>
      <c r="ER508" s="18"/>
      <c r="ES508" s="18"/>
      <c r="ET508" s="18"/>
      <c r="EU508" s="18"/>
      <c r="EV508" s="18"/>
      <c r="EW508" s="18"/>
      <c r="EX508" s="18"/>
    </row>
    <row r="509">
      <c r="A509" s="101"/>
      <c r="B509" s="105"/>
      <c r="C509" s="105"/>
      <c r="D509" s="106"/>
      <c r="E509" s="110"/>
      <c r="F509" s="92"/>
      <c r="G509" s="18"/>
      <c r="H509" s="101" t="str">
        <f>IFERROR(__xludf.DUMMYFUNCTION("""COMPUTED_VALUE"""),"")</f>
        <v/>
      </c>
      <c r="I509" s="67" t="str">
        <f>IFERROR(__xludf.DUMMYFUNCTION("""COMPUTED_VALUE"""),"")</f>
        <v/>
      </c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8"/>
      <c r="DU509" s="18"/>
      <c r="DV509" s="18"/>
      <c r="DW509" s="18"/>
      <c r="DX509" s="18"/>
      <c r="DY509" s="18"/>
      <c r="DZ509" s="18"/>
      <c r="EA509" s="18"/>
      <c r="EB509" s="18"/>
      <c r="EC509" s="18"/>
      <c r="ED509" s="18"/>
      <c r="EE509" s="18"/>
      <c r="EF509" s="18"/>
      <c r="EG509" s="18"/>
      <c r="EH509" s="18"/>
      <c r="EI509" s="18"/>
      <c r="EJ509" s="18"/>
      <c r="EK509" s="18"/>
      <c r="EL509" s="18"/>
      <c r="EM509" s="18"/>
      <c r="EN509" s="18"/>
      <c r="EO509" s="18"/>
      <c r="EP509" s="18"/>
      <c r="EQ509" s="18"/>
      <c r="ER509" s="18"/>
      <c r="ES509" s="18"/>
      <c r="ET509" s="18"/>
      <c r="EU509" s="18"/>
      <c r="EV509" s="18"/>
      <c r="EW509" s="18"/>
      <c r="EX509" s="18"/>
    </row>
    <row r="510">
      <c r="A510" s="101"/>
      <c r="B510" s="105"/>
      <c r="C510" s="105"/>
      <c r="D510" s="106"/>
      <c r="E510" s="110"/>
      <c r="F510" s="92"/>
      <c r="G510" s="18"/>
      <c r="H510" s="101" t="str">
        <f>IFERROR(__xludf.DUMMYFUNCTION("""COMPUTED_VALUE"""),"")</f>
        <v/>
      </c>
      <c r="I510" s="67" t="str">
        <f>IFERROR(__xludf.DUMMYFUNCTION("""COMPUTED_VALUE"""),"")</f>
        <v/>
      </c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8"/>
      <c r="DT510" s="18"/>
      <c r="DU510" s="18"/>
      <c r="DV510" s="18"/>
      <c r="DW510" s="18"/>
      <c r="DX510" s="18"/>
      <c r="DY510" s="18"/>
      <c r="DZ510" s="18"/>
      <c r="EA510" s="18"/>
      <c r="EB510" s="18"/>
      <c r="EC510" s="18"/>
      <c r="ED510" s="18"/>
      <c r="EE510" s="18"/>
      <c r="EF510" s="18"/>
      <c r="EG510" s="18"/>
      <c r="EH510" s="18"/>
      <c r="EI510" s="18"/>
      <c r="EJ510" s="18"/>
      <c r="EK510" s="18"/>
      <c r="EL510" s="18"/>
      <c r="EM510" s="18"/>
      <c r="EN510" s="18"/>
      <c r="EO510" s="18"/>
      <c r="EP510" s="18"/>
      <c r="EQ510" s="18"/>
      <c r="ER510" s="18"/>
      <c r="ES510" s="18"/>
      <c r="ET510" s="18"/>
      <c r="EU510" s="18"/>
      <c r="EV510" s="18"/>
      <c r="EW510" s="18"/>
      <c r="EX510" s="18"/>
    </row>
    <row r="511">
      <c r="A511" s="101"/>
      <c r="B511" s="105"/>
      <c r="C511" s="105"/>
      <c r="D511" s="106"/>
      <c r="E511" s="110"/>
      <c r="F511" s="92"/>
      <c r="G511" s="18"/>
      <c r="H511" s="101" t="str">
        <f>IFERROR(__xludf.DUMMYFUNCTION("""COMPUTED_VALUE"""),"")</f>
        <v/>
      </c>
      <c r="I511" s="67" t="str">
        <f>IFERROR(__xludf.DUMMYFUNCTION("""COMPUTED_VALUE"""),"")</f>
        <v/>
      </c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8"/>
      <c r="DS511" s="18"/>
      <c r="DT511" s="18"/>
      <c r="DU511" s="18"/>
      <c r="DV511" s="18"/>
      <c r="DW511" s="18"/>
      <c r="DX511" s="18"/>
      <c r="DY511" s="18"/>
      <c r="DZ511" s="18"/>
      <c r="EA511" s="18"/>
      <c r="EB511" s="18"/>
      <c r="EC511" s="18"/>
      <c r="ED511" s="18"/>
      <c r="EE511" s="18"/>
      <c r="EF511" s="18"/>
      <c r="EG511" s="18"/>
      <c r="EH511" s="18"/>
      <c r="EI511" s="18"/>
      <c r="EJ511" s="18"/>
      <c r="EK511" s="18"/>
      <c r="EL511" s="18"/>
      <c r="EM511" s="18"/>
      <c r="EN511" s="18"/>
      <c r="EO511" s="18"/>
      <c r="EP511" s="18"/>
      <c r="EQ511" s="18"/>
      <c r="ER511" s="18"/>
      <c r="ES511" s="18"/>
      <c r="ET511" s="18"/>
      <c r="EU511" s="18"/>
      <c r="EV511" s="18"/>
      <c r="EW511" s="18"/>
      <c r="EX511" s="18"/>
    </row>
    <row r="512">
      <c r="A512" s="101"/>
      <c r="B512" s="105"/>
      <c r="C512" s="105"/>
      <c r="D512" s="106"/>
      <c r="E512" s="110"/>
      <c r="F512" s="92"/>
      <c r="G512" s="18"/>
      <c r="H512" s="101" t="str">
        <f>IFERROR(__xludf.DUMMYFUNCTION("""COMPUTED_VALUE"""),"")</f>
        <v/>
      </c>
      <c r="I512" s="67" t="str">
        <f>IFERROR(__xludf.DUMMYFUNCTION("""COMPUTED_VALUE"""),"")</f>
        <v/>
      </c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8"/>
      <c r="DR512" s="18"/>
      <c r="DS512" s="18"/>
      <c r="DT512" s="18"/>
      <c r="DU512" s="18"/>
      <c r="DV512" s="18"/>
      <c r="DW512" s="18"/>
      <c r="DX512" s="18"/>
      <c r="DY512" s="18"/>
      <c r="DZ512" s="18"/>
      <c r="EA512" s="18"/>
      <c r="EB512" s="18"/>
      <c r="EC512" s="18"/>
      <c r="ED512" s="18"/>
      <c r="EE512" s="18"/>
      <c r="EF512" s="18"/>
      <c r="EG512" s="18"/>
      <c r="EH512" s="18"/>
      <c r="EI512" s="18"/>
      <c r="EJ512" s="18"/>
      <c r="EK512" s="18"/>
      <c r="EL512" s="18"/>
      <c r="EM512" s="18"/>
      <c r="EN512" s="18"/>
      <c r="EO512" s="18"/>
      <c r="EP512" s="18"/>
      <c r="EQ512" s="18"/>
      <c r="ER512" s="18"/>
      <c r="ES512" s="18"/>
      <c r="ET512" s="18"/>
      <c r="EU512" s="18"/>
      <c r="EV512" s="18"/>
      <c r="EW512" s="18"/>
      <c r="EX512" s="18"/>
    </row>
    <row r="513">
      <c r="A513" s="101"/>
      <c r="B513" s="105"/>
      <c r="C513" s="105"/>
      <c r="D513" s="106"/>
      <c r="E513" s="110"/>
      <c r="F513" s="92"/>
      <c r="G513" s="18"/>
      <c r="H513" s="101" t="str">
        <f>IFERROR(__xludf.DUMMYFUNCTION("""COMPUTED_VALUE"""),"")</f>
        <v/>
      </c>
      <c r="I513" s="67" t="str">
        <f>IFERROR(__xludf.DUMMYFUNCTION("""COMPUTED_VALUE"""),"")</f>
        <v/>
      </c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  <c r="DO513" s="18"/>
      <c r="DP513" s="18"/>
      <c r="DQ513" s="18"/>
      <c r="DR513" s="18"/>
      <c r="DS513" s="18"/>
      <c r="DT513" s="18"/>
      <c r="DU513" s="18"/>
      <c r="DV513" s="18"/>
      <c r="DW513" s="18"/>
      <c r="DX513" s="18"/>
      <c r="DY513" s="18"/>
      <c r="DZ513" s="18"/>
      <c r="EA513" s="18"/>
      <c r="EB513" s="18"/>
      <c r="EC513" s="18"/>
      <c r="ED513" s="18"/>
      <c r="EE513" s="18"/>
      <c r="EF513" s="18"/>
      <c r="EG513" s="18"/>
      <c r="EH513" s="18"/>
      <c r="EI513" s="18"/>
      <c r="EJ513" s="18"/>
      <c r="EK513" s="18"/>
      <c r="EL513" s="18"/>
      <c r="EM513" s="18"/>
      <c r="EN513" s="18"/>
      <c r="EO513" s="18"/>
      <c r="EP513" s="18"/>
      <c r="EQ513" s="18"/>
      <c r="ER513" s="18"/>
      <c r="ES513" s="18"/>
      <c r="ET513" s="18"/>
      <c r="EU513" s="18"/>
      <c r="EV513" s="18"/>
      <c r="EW513" s="18"/>
      <c r="EX513" s="18"/>
    </row>
    <row r="514">
      <c r="A514" s="101"/>
      <c r="B514" s="105"/>
      <c r="C514" s="105"/>
      <c r="D514" s="106"/>
      <c r="E514" s="110"/>
      <c r="F514" s="92"/>
      <c r="G514" s="18"/>
      <c r="H514" s="101" t="str">
        <f>IFERROR(__xludf.DUMMYFUNCTION("""COMPUTED_VALUE"""),"")</f>
        <v/>
      </c>
      <c r="I514" s="67" t="str">
        <f>IFERROR(__xludf.DUMMYFUNCTION("""COMPUTED_VALUE"""),"")</f>
        <v/>
      </c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8"/>
      <c r="DO514" s="18"/>
      <c r="DP514" s="18"/>
      <c r="DQ514" s="18"/>
      <c r="DR514" s="18"/>
      <c r="DS514" s="18"/>
      <c r="DT514" s="18"/>
      <c r="DU514" s="18"/>
      <c r="DV514" s="18"/>
      <c r="DW514" s="18"/>
      <c r="DX514" s="18"/>
      <c r="DY514" s="18"/>
      <c r="DZ514" s="18"/>
      <c r="EA514" s="18"/>
      <c r="EB514" s="18"/>
      <c r="EC514" s="18"/>
      <c r="ED514" s="18"/>
      <c r="EE514" s="18"/>
      <c r="EF514" s="18"/>
      <c r="EG514" s="18"/>
      <c r="EH514" s="18"/>
      <c r="EI514" s="18"/>
      <c r="EJ514" s="18"/>
      <c r="EK514" s="18"/>
      <c r="EL514" s="18"/>
      <c r="EM514" s="18"/>
      <c r="EN514" s="18"/>
      <c r="EO514" s="18"/>
      <c r="EP514" s="18"/>
      <c r="EQ514" s="18"/>
      <c r="ER514" s="18"/>
      <c r="ES514" s="18"/>
      <c r="ET514" s="18"/>
      <c r="EU514" s="18"/>
      <c r="EV514" s="18"/>
      <c r="EW514" s="18"/>
      <c r="EX514" s="18"/>
    </row>
    <row r="515">
      <c r="A515" s="101"/>
      <c r="B515" s="105"/>
      <c r="C515" s="105"/>
      <c r="D515" s="106"/>
      <c r="E515" s="110"/>
      <c r="F515" s="92"/>
      <c r="G515" s="18"/>
      <c r="H515" s="101" t="str">
        <f>IFERROR(__xludf.DUMMYFUNCTION("""COMPUTED_VALUE"""),"")</f>
        <v/>
      </c>
      <c r="I515" s="67" t="str">
        <f>IFERROR(__xludf.DUMMYFUNCTION("""COMPUTED_VALUE"""),"")</f>
        <v/>
      </c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/>
      <c r="DN515" s="18"/>
      <c r="DO515" s="18"/>
      <c r="DP515" s="18"/>
      <c r="DQ515" s="18"/>
      <c r="DR515" s="18"/>
      <c r="DS515" s="18"/>
      <c r="DT515" s="18"/>
      <c r="DU515" s="18"/>
      <c r="DV515" s="18"/>
      <c r="DW515" s="18"/>
      <c r="DX515" s="18"/>
      <c r="DY515" s="18"/>
      <c r="DZ515" s="18"/>
      <c r="EA515" s="18"/>
      <c r="EB515" s="18"/>
      <c r="EC515" s="18"/>
      <c r="ED515" s="18"/>
      <c r="EE515" s="18"/>
      <c r="EF515" s="18"/>
      <c r="EG515" s="18"/>
      <c r="EH515" s="18"/>
      <c r="EI515" s="18"/>
      <c r="EJ515" s="18"/>
      <c r="EK515" s="18"/>
      <c r="EL515" s="18"/>
      <c r="EM515" s="18"/>
      <c r="EN515" s="18"/>
      <c r="EO515" s="18"/>
      <c r="EP515" s="18"/>
      <c r="EQ515" s="18"/>
      <c r="ER515" s="18"/>
      <c r="ES515" s="18"/>
      <c r="ET515" s="18"/>
      <c r="EU515" s="18"/>
      <c r="EV515" s="18"/>
      <c r="EW515" s="18"/>
      <c r="EX515" s="18"/>
    </row>
    <row r="516">
      <c r="A516" s="101"/>
      <c r="B516" s="105"/>
      <c r="C516" s="105"/>
      <c r="D516" s="106"/>
      <c r="E516" s="110"/>
      <c r="F516" s="92"/>
      <c r="G516" s="18"/>
      <c r="H516" s="101" t="str">
        <f>IFERROR(__xludf.DUMMYFUNCTION("""COMPUTED_VALUE"""),"")</f>
        <v/>
      </c>
      <c r="I516" s="67" t="str">
        <f>IFERROR(__xludf.DUMMYFUNCTION("""COMPUTED_VALUE"""),"")</f>
        <v/>
      </c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/>
      <c r="DN516" s="18"/>
      <c r="DO516" s="18"/>
      <c r="DP516" s="18"/>
      <c r="DQ516" s="18"/>
      <c r="DR516" s="18"/>
      <c r="DS516" s="18"/>
      <c r="DT516" s="18"/>
      <c r="DU516" s="18"/>
      <c r="DV516" s="18"/>
      <c r="DW516" s="18"/>
      <c r="DX516" s="18"/>
      <c r="DY516" s="18"/>
      <c r="DZ516" s="18"/>
      <c r="EA516" s="18"/>
      <c r="EB516" s="18"/>
      <c r="EC516" s="18"/>
      <c r="ED516" s="18"/>
      <c r="EE516" s="18"/>
      <c r="EF516" s="18"/>
      <c r="EG516" s="18"/>
      <c r="EH516" s="18"/>
      <c r="EI516" s="18"/>
      <c r="EJ516" s="18"/>
      <c r="EK516" s="18"/>
      <c r="EL516" s="18"/>
      <c r="EM516" s="18"/>
      <c r="EN516" s="18"/>
      <c r="EO516" s="18"/>
      <c r="EP516" s="18"/>
      <c r="EQ516" s="18"/>
      <c r="ER516" s="18"/>
      <c r="ES516" s="18"/>
      <c r="ET516" s="18"/>
      <c r="EU516" s="18"/>
      <c r="EV516" s="18"/>
      <c r="EW516" s="18"/>
      <c r="EX516" s="18"/>
    </row>
    <row r="517">
      <c r="A517" s="101"/>
      <c r="B517" s="105"/>
      <c r="C517" s="105"/>
      <c r="D517" s="106"/>
      <c r="E517" s="110"/>
      <c r="F517" s="92"/>
      <c r="G517" s="18"/>
      <c r="H517" s="101" t="str">
        <f>IFERROR(__xludf.DUMMYFUNCTION("""COMPUTED_VALUE"""),"")</f>
        <v/>
      </c>
      <c r="I517" s="67" t="str">
        <f>IFERROR(__xludf.DUMMYFUNCTION("""COMPUTED_VALUE"""),"")</f>
        <v/>
      </c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/>
      <c r="DN517" s="18"/>
      <c r="DO517" s="18"/>
      <c r="DP517" s="18"/>
      <c r="DQ517" s="18"/>
      <c r="DR517" s="18"/>
      <c r="DS517" s="18"/>
      <c r="DT517" s="18"/>
      <c r="DU517" s="18"/>
      <c r="DV517" s="18"/>
      <c r="DW517" s="18"/>
      <c r="DX517" s="18"/>
      <c r="DY517" s="18"/>
      <c r="DZ517" s="18"/>
      <c r="EA517" s="18"/>
      <c r="EB517" s="18"/>
      <c r="EC517" s="18"/>
      <c r="ED517" s="18"/>
      <c r="EE517" s="18"/>
      <c r="EF517" s="18"/>
      <c r="EG517" s="18"/>
      <c r="EH517" s="18"/>
      <c r="EI517" s="18"/>
      <c r="EJ517" s="18"/>
      <c r="EK517" s="18"/>
      <c r="EL517" s="18"/>
      <c r="EM517" s="18"/>
      <c r="EN517" s="18"/>
      <c r="EO517" s="18"/>
      <c r="EP517" s="18"/>
      <c r="EQ517" s="18"/>
      <c r="ER517" s="18"/>
      <c r="ES517" s="18"/>
      <c r="ET517" s="18"/>
      <c r="EU517" s="18"/>
      <c r="EV517" s="18"/>
      <c r="EW517" s="18"/>
      <c r="EX517" s="18"/>
    </row>
    <row r="518">
      <c r="A518" s="101"/>
      <c r="B518" s="105"/>
      <c r="C518" s="105"/>
      <c r="D518" s="106"/>
      <c r="E518" s="110"/>
      <c r="F518" s="92"/>
      <c r="G518" s="18"/>
      <c r="H518" s="101" t="str">
        <f>IFERROR(__xludf.DUMMYFUNCTION("""COMPUTED_VALUE"""),"")</f>
        <v/>
      </c>
      <c r="I518" s="67" t="str">
        <f>IFERROR(__xludf.DUMMYFUNCTION("""COMPUTED_VALUE"""),"")</f>
        <v/>
      </c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/>
      <c r="DN518" s="18"/>
      <c r="DO518" s="18"/>
      <c r="DP518" s="18"/>
      <c r="DQ518" s="18"/>
      <c r="DR518" s="18"/>
      <c r="DS518" s="18"/>
      <c r="DT518" s="18"/>
      <c r="DU518" s="18"/>
      <c r="DV518" s="18"/>
      <c r="DW518" s="18"/>
      <c r="DX518" s="18"/>
      <c r="DY518" s="18"/>
      <c r="DZ518" s="18"/>
      <c r="EA518" s="18"/>
      <c r="EB518" s="18"/>
      <c r="EC518" s="18"/>
      <c r="ED518" s="18"/>
      <c r="EE518" s="18"/>
      <c r="EF518" s="18"/>
      <c r="EG518" s="18"/>
      <c r="EH518" s="18"/>
      <c r="EI518" s="18"/>
      <c r="EJ518" s="18"/>
      <c r="EK518" s="18"/>
      <c r="EL518" s="18"/>
      <c r="EM518" s="18"/>
      <c r="EN518" s="18"/>
      <c r="EO518" s="18"/>
      <c r="EP518" s="18"/>
      <c r="EQ518" s="18"/>
      <c r="ER518" s="18"/>
      <c r="ES518" s="18"/>
      <c r="ET518" s="18"/>
      <c r="EU518" s="18"/>
      <c r="EV518" s="18"/>
      <c r="EW518" s="18"/>
      <c r="EX518" s="18"/>
    </row>
    <row r="519">
      <c r="A519" s="101"/>
      <c r="B519" s="105"/>
      <c r="C519" s="105"/>
      <c r="D519" s="106"/>
      <c r="E519" s="110"/>
      <c r="F519" s="92"/>
      <c r="G519" s="18"/>
      <c r="H519" s="101" t="str">
        <f>IFERROR(__xludf.DUMMYFUNCTION("""COMPUTED_VALUE"""),"")</f>
        <v/>
      </c>
      <c r="I519" s="67" t="str">
        <f>IFERROR(__xludf.DUMMYFUNCTION("""COMPUTED_VALUE"""),"")</f>
        <v/>
      </c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/>
      <c r="DN519" s="18"/>
      <c r="DO519" s="18"/>
      <c r="DP519" s="18"/>
      <c r="DQ519" s="18"/>
      <c r="DR519" s="18"/>
      <c r="DS519" s="18"/>
      <c r="DT519" s="18"/>
      <c r="DU519" s="18"/>
      <c r="DV519" s="18"/>
      <c r="DW519" s="18"/>
      <c r="DX519" s="18"/>
      <c r="DY519" s="18"/>
      <c r="DZ519" s="18"/>
      <c r="EA519" s="18"/>
      <c r="EB519" s="18"/>
      <c r="EC519" s="18"/>
      <c r="ED519" s="18"/>
      <c r="EE519" s="18"/>
      <c r="EF519" s="18"/>
      <c r="EG519" s="18"/>
      <c r="EH519" s="18"/>
      <c r="EI519" s="18"/>
      <c r="EJ519" s="18"/>
      <c r="EK519" s="18"/>
      <c r="EL519" s="18"/>
      <c r="EM519" s="18"/>
      <c r="EN519" s="18"/>
      <c r="EO519" s="18"/>
      <c r="EP519" s="18"/>
      <c r="EQ519" s="18"/>
      <c r="ER519" s="18"/>
      <c r="ES519" s="18"/>
      <c r="ET519" s="18"/>
      <c r="EU519" s="18"/>
      <c r="EV519" s="18"/>
      <c r="EW519" s="18"/>
      <c r="EX519" s="18"/>
    </row>
    <row r="520">
      <c r="A520" s="101"/>
      <c r="B520" s="105"/>
      <c r="C520" s="105"/>
      <c r="D520" s="106"/>
      <c r="E520" s="110"/>
      <c r="F520" s="92"/>
      <c r="G520" s="18"/>
      <c r="H520" s="101" t="str">
        <f>IFERROR(__xludf.DUMMYFUNCTION("""COMPUTED_VALUE"""),"")</f>
        <v/>
      </c>
      <c r="I520" s="67" t="str">
        <f>IFERROR(__xludf.DUMMYFUNCTION("""COMPUTED_VALUE"""),"")</f>
        <v/>
      </c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/>
      <c r="DN520" s="18"/>
      <c r="DO520" s="18"/>
      <c r="DP520" s="18"/>
      <c r="DQ520" s="18"/>
      <c r="DR520" s="18"/>
      <c r="DS520" s="18"/>
      <c r="DT520" s="18"/>
      <c r="DU520" s="18"/>
      <c r="DV520" s="18"/>
      <c r="DW520" s="18"/>
      <c r="DX520" s="18"/>
      <c r="DY520" s="18"/>
      <c r="DZ520" s="18"/>
      <c r="EA520" s="18"/>
      <c r="EB520" s="18"/>
      <c r="EC520" s="18"/>
      <c r="ED520" s="18"/>
      <c r="EE520" s="18"/>
      <c r="EF520" s="18"/>
      <c r="EG520" s="18"/>
      <c r="EH520" s="18"/>
      <c r="EI520" s="18"/>
      <c r="EJ520" s="18"/>
      <c r="EK520" s="18"/>
      <c r="EL520" s="18"/>
      <c r="EM520" s="18"/>
      <c r="EN520" s="18"/>
      <c r="EO520" s="18"/>
      <c r="EP520" s="18"/>
      <c r="EQ520" s="18"/>
      <c r="ER520" s="18"/>
      <c r="ES520" s="18"/>
      <c r="ET520" s="18"/>
      <c r="EU520" s="18"/>
      <c r="EV520" s="18"/>
      <c r="EW520" s="18"/>
      <c r="EX520" s="18"/>
    </row>
    <row r="521">
      <c r="A521" s="101"/>
      <c r="B521" s="105"/>
      <c r="C521" s="105"/>
      <c r="D521" s="106"/>
      <c r="E521" s="110"/>
      <c r="F521" s="92"/>
      <c r="G521" s="18"/>
      <c r="H521" s="101" t="str">
        <f>IFERROR(__xludf.DUMMYFUNCTION("""COMPUTED_VALUE"""),"")</f>
        <v/>
      </c>
      <c r="I521" s="67" t="str">
        <f>IFERROR(__xludf.DUMMYFUNCTION("""COMPUTED_VALUE"""),"")</f>
        <v/>
      </c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/>
      <c r="DN521" s="18"/>
      <c r="DO521" s="18"/>
      <c r="DP521" s="18"/>
      <c r="DQ521" s="18"/>
      <c r="DR521" s="18"/>
      <c r="DS521" s="18"/>
      <c r="DT521" s="18"/>
      <c r="DU521" s="18"/>
      <c r="DV521" s="18"/>
      <c r="DW521" s="18"/>
      <c r="DX521" s="18"/>
      <c r="DY521" s="18"/>
      <c r="DZ521" s="18"/>
      <c r="EA521" s="18"/>
      <c r="EB521" s="18"/>
      <c r="EC521" s="18"/>
      <c r="ED521" s="18"/>
      <c r="EE521" s="18"/>
      <c r="EF521" s="18"/>
      <c r="EG521" s="18"/>
      <c r="EH521" s="18"/>
      <c r="EI521" s="18"/>
      <c r="EJ521" s="18"/>
      <c r="EK521" s="18"/>
      <c r="EL521" s="18"/>
      <c r="EM521" s="18"/>
      <c r="EN521" s="18"/>
      <c r="EO521" s="18"/>
      <c r="EP521" s="18"/>
      <c r="EQ521" s="18"/>
      <c r="ER521" s="18"/>
      <c r="ES521" s="18"/>
      <c r="ET521" s="18"/>
      <c r="EU521" s="18"/>
      <c r="EV521" s="18"/>
      <c r="EW521" s="18"/>
      <c r="EX521" s="18"/>
    </row>
    <row r="522">
      <c r="A522" s="101"/>
      <c r="B522" s="105"/>
      <c r="C522" s="105"/>
      <c r="D522" s="106"/>
      <c r="E522" s="110"/>
      <c r="F522" s="92"/>
      <c r="G522" s="18"/>
      <c r="H522" s="101" t="str">
        <f>IFERROR(__xludf.DUMMYFUNCTION("""COMPUTED_VALUE"""),"")</f>
        <v/>
      </c>
      <c r="I522" s="67" t="str">
        <f>IFERROR(__xludf.DUMMYFUNCTION("""COMPUTED_VALUE"""),"")</f>
        <v/>
      </c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/>
      <c r="DN522" s="18"/>
      <c r="DO522" s="18"/>
      <c r="DP522" s="18"/>
      <c r="DQ522" s="18"/>
      <c r="DR522" s="18"/>
      <c r="DS522" s="18"/>
      <c r="DT522" s="18"/>
      <c r="DU522" s="18"/>
      <c r="DV522" s="18"/>
      <c r="DW522" s="18"/>
      <c r="DX522" s="18"/>
      <c r="DY522" s="18"/>
      <c r="DZ522" s="18"/>
      <c r="EA522" s="18"/>
      <c r="EB522" s="18"/>
      <c r="EC522" s="18"/>
      <c r="ED522" s="18"/>
      <c r="EE522" s="18"/>
      <c r="EF522" s="18"/>
      <c r="EG522" s="18"/>
      <c r="EH522" s="18"/>
      <c r="EI522" s="18"/>
      <c r="EJ522" s="18"/>
      <c r="EK522" s="18"/>
      <c r="EL522" s="18"/>
      <c r="EM522" s="18"/>
      <c r="EN522" s="18"/>
      <c r="EO522" s="18"/>
      <c r="EP522" s="18"/>
      <c r="EQ522" s="18"/>
      <c r="ER522" s="18"/>
      <c r="ES522" s="18"/>
      <c r="ET522" s="18"/>
      <c r="EU522" s="18"/>
      <c r="EV522" s="18"/>
      <c r="EW522" s="18"/>
      <c r="EX522" s="18"/>
    </row>
    <row r="523">
      <c r="A523" s="101"/>
      <c r="B523" s="105"/>
      <c r="C523" s="105"/>
      <c r="D523" s="106"/>
      <c r="E523" s="110"/>
      <c r="F523" s="92"/>
      <c r="G523" s="18"/>
      <c r="H523" s="101" t="str">
        <f>IFERROR(__xludf.DUMMYFUNCTION("""COMPUTED_VALUE"""),"")</f>
        <v/>
      </c>
      <c r="I523" s="67" t="str">
        <f>IFERROR(__xludf.DUMMYFUNCTION("""COMPUTED_VALUE"""),"")</f>
        <v/>
      </c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/>
      <c r="DN523" s="18"/>
      <c r="DO523" s="18"/>
      <c r="DP523" s="18"/>
      <c r="DQ523" s="18"/>
      <c r="DR523" s="18"/>
      <c r="DS523" s="18"/>
      <c r="DT523" s="18"/>
      <c r="DU523" s="18"/>
      <c r="DV523" s="18"/>
      <c r="DW523" s="18"/>
      <c r="DX523" s="18"/>
      <c r="DY523" s="18"/>
      <c r="DZ523" s="18"/>
      <c r="EA523" s="18"/>
      <c r="EB523" s="18"/>
      <c r="EC523" s="18"/>
      <c r="ED523" s="18"/>
      <c r="EE523" s="18"/>
      <c r="EF523" s="18"/>
      <c r="EG523" s="18"/>
      <c r="EH523" s="18"/>
      <c r="EI523" s="18"/>
      <c r="EJ523" s="18"/>
      <c r="EK523" s="18"/>
      <c r="EL523" s="18"/>
      <c r="EM523" s="18"/>
      <c r="EN523" s="18"/>
      <c r="EO523" s="18"/>
      <c r="EP523" s="18"/>
      <c r="EQ523" s="18"/>
      <c r="ER523" s="18"/>
      <c r="ES523" s="18"/>
      <c r="ET523" s="18"/>
      <c r="EU523" s="18"/>
      <c r="EV523" s="18"/>
      <c r="EW523" s="18"/>
      <c r="EX523" s="18"/>
    </row>
    <row r="524">
      <c r="A524" s="101"/>
      <c r="B524" s="105"/>
      <c r="C524" s="105"/>
      <c r="D524" s="106"/>
      <c r="E524" s="110"/>
      <c r="F524" s="92"/>
      <c r="G524" s="18"/>
      <c r="H524" s="101" t="str">
        <f>IFERROR(__xludf.DUMMYFUNCTION("""COMPUTED_VALUE"""),"")</f>
        <v/>
      </c>
      <c r="I524" s="67" t="str">
        <f>IFERROR(__xludf.DUMMYFUNCTION("""COMPUTED_VALUE"""),"")</f>
        <v/>
      </c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/>
      <c r="DN524" s="18"/>
      <c r="DO524" s="18"/>
      <c r="DP524" s="18"/>
      <c r="DQ524" s="18"/>
      <c r="DR524" s="18"/>
      <c r="DS524" s="18"/>
      <c r="DT524" s="18"/>
      <c r="DU524" s="18"/>
      <c r="DV524" s="18"/>
      <c r="DW524" s="18"/>
      <c r="DX524" s="18"/>
      <c r="DY524" s="18"/>
      <c r="DZ524" s="18"/>
      <c r="EA524" s="18"/>
      <c r="EB524" s="18"/>
      <c r="EC524" s="18"/>
      <c r="ED524" s="18"/>
      <c r="EE524" s="18"/>
      <c r="EF524" s="18"/>
      <c r="EG524" s="18"/>
      <c r="EH524" s="18"/>
      <c r="EI524" s="18"/>
      <c r="EJ524" s="18"/>
      <c r="EK524" s="18"/>
      <c r="EL524" s="18"/>
      <c r="EM524" s="18"/>
      <c r="EN524" s="18"/>
      <c r="EO524" s="18"/>
      <c r="EP524" s="18"/>
      <c r="EQ524" s="18"/>
      <c r="ER524" s="18"/>
      <c r="ES524" s="18"/>
      <c r="ET524" s="18"/>
      <c r="EU524" s="18"/>
      <c r="EV524" s="18"/>
      <c r="EW524" s="18"/>
      <c r="EX524" s="18"/>
    </row>
    <row r="525">
      <c r="A525" s="101"/>
      <c r="B525" s="105"/>
      <c r="C525" s="105"/>
      <c r="D525" s="106"/>
      <c r="E525" s="110"/>
      <c r="F525" s="92"/>
      <c r="G525" s="18"/>
      <c r="H525" s="101" t="str">
        <f>IFERROR(__xludf.DUMMYFUNCTION("""COMPUTED_VALUE"""),"")</f>
        <v/>
      </c>
      <c r="I525" s="67" t="str">
        <f>IFERROR(__xludf.DUMMYFUNCTION("""COMPUTED_VALUE"""),"")</f>
        <v/>
      </c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/>
      <c r="DN525" s="18"/>
      <c r="DO525" s="18"/>
      <c r="DP525" s="18"/>
      <c r="DQ525" s="18"/>
      <c r="DR525" s="18"/>
      <c r="DS525" s="18"/>
      <c r="DT525" s="18"/>
      <c r="DU525" s="18"/>
      <c r="DV525" s="18"/>
      <c r="DW525" s="18"/>
      <c r="DX525" s="18"/>
      <c r="DY525" s="18"/>
      <c r="DZ525" s="18"/>
      <c r="EA525" s="18"/>
      <c r="EB525" s="18"/>
      <c r="EC525" s="18"/>
      <c r="ED525" s="18"/>
      <c r="EE525" s="18"/>
      <c r="EF525" s="18"/>
      <c r="EG525" s="18"/>
      <c r="EH525" s="18"/>
      <c r="EI525" s="18"/>
      <c r="EJ525" s="18"/>
      <c r="EK525" s="18"/>
      <c r="EL525" s="18"/>
      <c r="EM525" s="18"/>
      <c r="EN525" s="18"/>
      <c r="EO525" s="18"/>
      <c r="EP525" s="18"/>
      <c r="EQ525" s="18"/>
      <c r="ER525" s="18"/>
      <c r="ES525" s="18"/>
      <c r="ET525" s="18"/>
      <c r="EU525" s="18"/>
      <c r="EV525" s="18"/>
      <c r="EW525" s="18"/>
      <c r="EX525" s="18"/>
    </row>
    <row r="526">
      <c r="A526" s="101"/>
      <c r="B526" s="105"/>
      <c r="C526" s="105"/>
      <c r="D526" s="106"/>
      <c r="E526" s="110"/>
      <c r="F526" s="92"/>
      <c r="G526" s="18"/>
      <c r="H526" s="101" t="str">
        <f>IFERROR(__xludf.DUMMYFUNCTION("""COMPUTED_VALUE"""),"")</f>
        <v/>
      </c>
      <c r="I526" s="67" t="str">
        <f>IFERROR(__xludf.DUMMYFUNCTION("""COMPUTED_VALUE"""),"")</f>
        <v/>
      </c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/>
      <c r="DN526" s="18"/>
      <c r="DO526" s="18"/>
      <c r="DP526" s="18"/>
      <c r="DQ526" s="18"/>
      <c r="DR526" s="18"/>
      <c r="DS526" s="18"/>
      <c r="DT526" s="18"/>
      <c r="DU526" s="18"/>
      <c r="DV526" s="18"/>
      <c r="DW526" s="18"/>
      <c r="DX526" s="18"/>
      <c r="DY526" s="18"/>
      <c r="DZ526" s="18"/>
      <c r="EA526" s="18"/>
      <c r="EB526" s="18"/>
      <c r="EC526" s="18"/>
      <c r="ED526" s="18"/>
      <c r="EE526" s="18"/>
      <c r="EF526" s="18"/>
      <c r="EG526" s="18"/>
      <c r="EH526" s="18"/>
      <c r="EI526" s="18"/>
      <c r="EJ526" s="18"/>
      <c r="EK526" s="18"/>
      <c r="EL526" s="18"/>
      <c r="EM526" s="18"/>
      <c r="EN526" s="18"/>
      <c r="EO526" s="18"/>
      <c r="EP526" s="18"/>
      <c r="EQ526" s="18"/>
      <c r="ER526" s="18"/>
      <c r="ES526" s="18"/>
      <c r="ET526" s="18"/>
      <c r="EU526" s="18"/>
      <c r="EV526" s="18"/>
      <c r="EW526" s="18"/>
      <c r="EX526" s="18"/>
    </row>
    <row r="527">
      <c r="A527" s="101"/>
      <c r="B527" s="105"/>
      <c r="C527" s="105"/>
      <c r="D527" s="106"/>
      <c r="E527" s="110"/>
      <c r="F527" s="92"/>
      <c r="G527" s="18"/>
      <c r="H527" s="101" t="str">
        <f>IFERROR(__xludf.DUMMYFUNCTION("""COMPUTED_VALUE"""),"")</f>
        <v/>
      </c>
      <c r="I527" s="67" t="str">
        <f>IFERROR(__xludf.DUMMYFUNCTION("""COMPUTED_VALUE"""),"")</f>
        <v/>
      </c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/>
      <c r="DN527" s="18"/>
      <c r="DO527" s="18"/>
      <c r="DP527" s="18"/>
      <c r="DQ527" s="18"/>
      <c r="DR527" s="18"/>
      <c r="DS527" s="18"/>
      <c r="DT527" s="18"/>
      <c r="DU527" s="18"/>
      <c r="DV527" s="18"/>
      <c r="DW527" s="18"/>
      <c r="DX527" s="18"/>
      <c r="DY527" s="18"/>
      <c r="DZ527" s="18"/>
      <c r="EA527" s="18"/>
      <c r="EB527" s="18"/>
      <c r="EC527" s="18"/>
      <c r="ED527" s="18"/>
      <c r="EE527" s="18"/>
      <c r="EF527" s="18"/>
      <c r="EG527" s="18"/>
      <c r="EH527" s="18"/>
      <c r="EI527" s="18"/>
      <c r="EJ527" s="18"/>
      <c r="EK527" s="18"/>
      <c r="EL527" s="18"/>
      <c r="EM527" s="18"/>
      <c r="EN527" s="18"/>
      <c r="EO527" s="18"/>
      <c r="EP527" s="18"/>
      <c r="EQ527" s="18"/>
      <c r="ER527" s="18"/>
      <c r="ES527" s="18"/>
      <c r="ET527" s="18"/>
      <c r="EU527" s="18"/>
      <c r="EV527" s="18"/>
      <c r="EW527" s="18"/>
      <c r="EX527" s="18"/>
    </row>
    <row r="528">
      <c r="A528" s="101"/>
      <c r="B528" s="105"/>
      <c r="C528" s="105"/>
      <c r="D528" s="106"/>
      <c r="E528" s="110"/>
      <c r="F528" s="92"/>
      <c r="G528" s="18"/>
      <c r="H528" s="101" t="str">
        <f>IFERROR(__xludf.DUMMYFUNCTION("""COMPUTED_VALUE"""),"")</f>
        <v/>
      </c>
      <c r="I528" s="67" t="str">
        <f>IFERROR(__xludf.DUMMYFUNCTION("""COMPUTED_VALUE"""),"")</f>
        <v/>
      </c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/>
      <c r="DN528" s="18"/>
      <c r="DO528" s="18"/>
      <c r="DP528" s="18"/>
      <c r="DQ528" s="18"/>
      <c r="DR528" s="18"/>
      <c r="DS528" s="18"/>
      <c r="DT528" s="18"/>
      <c r="DU528" s="18"/>
      <c r="DV528" s="18"/>
      <c r="DW528" s="18"/>
      <c r="DX528" s="18"/>
      <c r="DY528" s="18"/>
      <c r="DZ528" s="18"/>
      <c r="EA528" s="18"/>
      <c r="EB528" s="18"/>
      <c r="EC528" s="18"/>
      <c r="ED528" s="18"/>
      <c r="EE528" s="18"/>
      <c r="EF528" s="18"/>
      <c r="EG528" s="18"/>
      <c r="EH528" s="18"/>
      <c r="EI528" s="18"/>
      <c r="EJ528" s="18"/>
      <c r="EK528" s="18"/>
      <c r="EL528" s="18"/>
      <c r="EM528" s="18"/>
      <c r="EN528" s="18"/>
      <c r="EO528" s="18"/>
      <c r="EP528" s="18"/>
      <c r="EQ528" s="18"/>
      <c r="ER528" s="18"/>
      <c r="ES528" s="18"/>
      <c r="ET528" s="18"/>
      <c r="EU528" s="18"/>
      <c r="EV528" s="18"/>
      <c r="EW528" s="18"/>
      <c r="EX528" s="18"/>
    </row>
    <row r="529">
      <c r="A529" s="101"/>
      <c r="B529" s="105"/>
      <c r="C529" s="105"/>
      <c r="D529" s="106"/>
      <c r="E529" s="110"/>
      <c r="F529" s="92"/>
      <c r="G529" s="18"/>
      <c r="H529" s="101" t="str">
        <f>IFERROR(__xludf.DUMMYFUNCTION("""COMPUTED_VALUE"""),"")</f>
        <v/>
      </c>
      <c r="I529" s="67" t="str">
        <f>IFERROR(__xludf.DUMMYFUNCTION("""COMPUTED_VALUE"""),"")</f>
        <v/>
      </c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/>
      <c r="DN529" s="18"/>
      <c r="DO529" s="18"/>
      <c r="DP529" s="18"/>
      <c r="DQ529" s="18"/>
      <c r="DR529" s="18"/>
      <c r="DS529" s="18"/>
      <c r="DT529" s="18"/>
      <c r="DU529" s="18"/>
      <c r="DV529" s="18"/>
      <c r="DW529" s="18"/>
      <c r="DX529" s="18"/>
      <c r="DY529" s="18"/>
      <c r="DZ529" s="18"/>
      <c r="EA529" s="18"/>
      <c r="EB529" s="18"/>
      <c r="EC529" s="18"/>
      <c r="ED529" s="18"/>
      <c r="EE529" s="18"/>
      <c r="EF529" s="18"/>
      <c r="EG529" s="18"/>
      <c r="EH529" s="18"/>
      <c r="EI529" s="18"/>
      <c r="EJ529" s="18"/>
      <c r="EK529" s="18"/>
      <c r="EL529" s="18"/>
      <c r="EM529" s="18"/>
      <c r="EN529" s="18"/>
      <c r="EO529" s="18"/>
      <c r="EP529" s="18"/>
      <c r="EQ529" s="18"/>
      <c r="ER529" s="18"/>
      <c r="ES529" s="18"/>
      <c r="ET529" s="18"/>
      <c r="EU529" s="18"/>
      <c r="EV529" s="18"/>
      <c r="EW529" s="18"/>
      <c r="EX529" s="18"/>
    </row>
    <row r="530">
      <c r="A530" s="101"/>
      <c r="B530" s="105"/>
      <c r="C530" s="105"/>
      <c r="D530" s="106"/>
      <c r="E530" s="110"/>
      <c r="F530" s="92"/>
      <c r="G530" s="18"/>
      <c r="H530" s="101" t="str">
        <f>IFERROR(__xludf.DUMMYFUNCTION("""COMPUTED_VALUE"""),"")</f>
        <v/>
      </c>
      <c r="I530" s="67" t="str">
        <f>IFERROR(__xludf.DUMMYFUNCTION("""COMPUTED_VALUE"""),"")</f>
        <v/>
      </c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/>
      <c r="DN530" s="18"/>
      <c r="DO530" s="18"/>
      <c r="DP530" s="18"/>
      <c r="DQ530" s="18"/>
      <c r="DR530" s="18"/>
      <c r="DS530" s="18"/>
      <c r="DT530" s="18"/>
      <c r="DU530" s="18"/>
      <c r="DV530" s="18"/>
      <c r="DW530" s="18"/>
      <c r="DX530" s="18"/>
      <c r="DY530" s="18"/>
      <c r="DZ530" s="18"/>
      <c r="EA530" s="18"/>
      <c r="EB530" s="18"/>
      <c r="EC530" s="18"/>
      <c r="ED530" s="18"/>
      <c r="EE530" s="18"/>
      <c r="EF530" s="18"/>
      <c r="EG530" s="18"/>
      <c r="EH530" s="18"/>
      <c r="EI530" s="18"/>
      <c r="EJ530" s="18"/>
      <c r="EK530" s="18"/>
      <c r="EL530" s="18"/>
      <c r="EM530" s="18"/>
      <c r="EN530" s="18"/>
      <c r="EO530" s="18"/>
      <c r="EP530" s="18"/>
      <c r="EQ530" s="18"/>
      <c r="ER530" s="18"/>
      <c r="ES530" s="18"/>
      <c r="ET530" s="18"/>
      <c r="EU530" s="18"/>
      <c r="EV530" s="18"/>
      <c r="EW530" s="18"/>
      <c r="EX530" s="18"/>
    </row>
    <row r="531">
      <c r="A531" s="101"/>
      <c r="B531" s="105"/>
      <c r="C531" s="105"/>
      <c r="D531" s="106"/>
      <c r="E531" s="110"/>
      <c r="F531" s="92"/>
      <c r="G531" s="18"/>
      <c r="H531" s="101" t="str">
        <f>IFERROR(__xludf.DUMMYFUNCTION("""COMPUTED_VALUE"""),"")</f>
        <v/>
      </c>
      <c r="I531" s="67" t="str">
        <f>IFERROR(__xludf.DUMMYFUNCTION("""COMPUTED_VALUE"""),"")</f>
        <v/>
      </c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/>
      <c r="DN531" s="18"/>
      <c r="DO531" s="18"/>
      <c r="DP531" s="18"/>
      <c r="DQ531" s="18"/>
      <c r="DR531" s="18"/>
      <c r="DS531" s="18"/>
      <c r="DT531" s="18"/>
      <c r="DU531" s="18"/>
      <c r="DV531" s="18"/>
      <c r="DW531" s="18"/>
      <c r="DX531" s="18"/>
      <c r="DY531" s="18"/>
      <c r="DZ531" s="18"/>
      <c r="EA531" s="18"/>
      <c r="EB531" s="18"/>
      <c r="EC531" s="18"/>
      <c r="ED531" s="18"/>
      <c r="EE531" s="18"/>
      <c r="EF531" s="18"/>
      <c r="EG531" s="18"/>
      <c r="EH531" s="18"/>
      <c r="EI531" s="18"/>
      <c r="EJ531" s="18"/>
      <c r="EK531" s="18"/>
      <c r="EL531" s="18"/>
      <c r="EM531" s="18"/>
      <c r="EN531" s="18"/>
      <c r="EO531" s="18"/>
      <c r="EP531" s="18"/>
      <c r="EQ531" s="18"/>
      <c r="ER531" s="18"/>
      <c r="ES531" s="18"/>
      <c r="ET531" s="18"/>
      <c r="EU531" s="18"/>
      <c r="EV531" s="18"/>
      <c r="EW531" s="18"/>
      <c r="EX531" s="18"/>
    </row>
    <row r="532">
      <c r="A532" s="101"/>
      <c r="B532" s="105"/>
      <c r="C532" s="105"/>
      <c r="D532" s="106"/>
      <c r="E532" s="110"/>
      <c r="F532" s="92"/>
      <c r="G532" s="18"/>
      <c r="H532" s="101" t="str">
        <f>IFERROR(__xludf.DUMMYFUNCTION("""COMPUTED_VALUE"""),"")</f>
        <v/>
      </c>
      <c r="I532" s="67" t="str">
        <f>IFERROR(__xludf.DUMMYFUNCTION("""COMPUTED_VALUE"""),"")</f>
        <v/>
      </c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/>
      <c r="DN532" s="18"/>
      <c r="DO532" s="18"/>
      <c r="DP532" s="18"/>
      <c r="DQ532" s="18"/>
      <c r="DR532" s="18"/>
      <c r="DS532" s="18"/>
      <c r="DT532" s="18"/>
      <c r="DU532" s="18"/>
      <c r="DV532" s="18"/>
      <c r="DW532" s="18"/>
      <c r="DX532" s="18"/>
      <c r="DY532" s="18"/>
      <c r="DZ532" s="18"/>
      <c r="EA532" s="18"/>
      <c r="EB532" s="18"/>
      <c r="EC532" s="18"/>
      <c r="ED532" s="18"/>
      <c r="EE532" s="18"/>
      <c r="EF532" s="18"/>
      <c r="EG532" s="18"/>
      <c r="EH532" s="18"/>
      <c r="EI532" s="18"/>
      <c r="EJ532" s="18"/>
      <c r="EK532" s="18"/>
      <c r="EL532" s="18"/>
      <c r="EM532" s="18"/>
      <c r="EN532" s="18"/>
      <c r="EO532" s="18"/>
      <c r="EP532" s="18"/>
      <c r="EQ532" s="18"/>
      <c r="ER532" s="18"/>
      <c r="ES532" s="18"/>
      <c r="ET532" s="18"/>
      <c r="EU532" s="18"/>
      <c r="EV532" s="18"/>
      <c r="EW532" s="18"/>
      <c r="EX532" s="18"/>
    </row>
    <row r="533">
      <c r="A533" s="101"/>
      <c r="B533" s="105"/>
      <c r="C533" s="105"/>
      <c r="D533" s="106"/>
      <c r="E533" s="110"/>
      <c r="F533" s="92"/>
      <c r="G533" s="18"/>
      <c r="H533" s="101" t="str">
        <f>IFERROR(__xludf.DUMMYFUNCTION("""COMPUTED_VALUE"""),"")</f>
        <v/>
      </c>
      <c r="I533" s="67" t="str">
        <f>IFERROR(__xludf.DUMMYFUNCTION("""COMPUTED_VALUE"""),"")</f>
        <v/>
      </c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/>
      <c r="DN533" s="18"/>
      <c r="DO533" s="18"/>
      <c r="DP533" s="18"/>
      <c r="DQ533" s="18"/>
      <c r="DR533" s="18"/>
      <c r="DS533" s="18"/>
      <c r="DT533" s="18"/>
      <c r="DU533" s="18"/>
      <c r="DV533" s="18"/>
      <c r="DW533" s="18"/>
      <c r="DX533" s="18"/>
      <c r="DY533" s="18"/>
      <c r="DZ533" s="18"/>
      <c r="EA533" s="18"/>
      <c r="EB533" s="18"/>
      <c r="EC533" s="18"/>
      <c r="ED533" s="18"/>
      <c r="EE533" s="18"/>
      <c r="EF533" s="18"/>
      <c r="EG533" s="18"/>
      <c r="EH533" s="18"/>
      <c r="EI533" s="18"/>
      <c r="EJ533" s="18"/>
      <c r="EK533" s="18"/>
      <c r="EL533" s="18"/>
      <c r="EM533" s="18"/>
      <c r="EN533" s="18"/>
      <c r="EO533" s="18"/>
      <c r="EP533" s="18"/>
      <c r="EQ533" s="18"/>
      <c r="ER533" s="18"/>
      <c r="ES533" s="18"/>
      <c r="ET533" s="18"/>
      <c r="EU533" s="18"/>
      <c r="EV533" s="18"/>
      <c r="EW533" s="18"/>
      <c r="EX533" s="18"/>
    </row>
    <row r="534">
      <c r="A534" s="101"/>
      <c r="B534" s="105"/>
      <c r="C534" s="105"/>
      <c r="D534" s="106"/>
      <c r="E534" s="110"/>
      <c r="F534" s="92"/>
      <c r="G534" s="18"/>
      <c r="H534" s="101" t="str">
        <f>IFERROR(__xludf.DUMMYFUNCTION("""COMPUTED_VALUE"""),"")</f>
        <v/>
      </c>
      <c r="I534" s="67" t="str">
        <f>IFERROR(__xludf.DUMMYFUNCTION("""COMPUTED_VALUE"""),"")</f>
        <v/>
      </c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/>
      <c r="DN534" s="18"/>
      <c r="DO534" s="18"/>
      <c r="DP534" s="18"/>
      <c r="DQ534" s="18"/>
      <c r="DR534" s="18"/>
      <c r="DS534" s="18"/>
      <c r="DT534" s="18"/>
      <c r="DU534" s="18"/>
      <c r="DV534" s="18"/>
      <c r="DW534" s="18"/>
      <c r="DX534" s="18"/>
      <c r="DY534" s="18"/>
      <c r="DZ534" s="18"/>
      <c r="EA534" s="18"/>
      <c r="EB534" s="18"/>
      <c r="EC534" s="18"/>
      <c r="ED534" s="18"/>
      <c r="EE534" s="18"/>
      <c r="EF534" s="18"/>
      <c r="EG534" s="18"/>
      <c r="EH534" s="18"/>
      <c r="EI534" s="18"/>
      <c r="EJ534" s="18"/>
      <c r="EK534" s="18"/>
      <c r="EL534" s="18"/>
      <c r="EM534" s="18"/>
      <c r="EN534" s="18"/>
      <c r="EO534" s="18"/>
      <c r="EP534" s="18"/>
      <c r="EQ534" s="18"/>
      <c r="ER534" s="18"/>
      <c r="ES534" s="18"/>
      <c r="ET534" s="18"/>
      <c r="EU534" s="18"/>
      <c r="EV534" s="18"/>
      <c r="EW534" s="18"/>
      <c r="EX534" s="18"/>
    </row>
    <row r="535">
      <c r="A535" s="101"/>
      <c r="B535" s="105"/>
      <c r="C535" s="105"/>
      <c r="D535" s="106"/>
      <c r="E535" s="110"/>
      <c r="F535" s="92"/>
      <c r="G535" s="18"/>
      <c r="H535" s="101" t="str">
        <f>IFERROR(__xludf.DUMMYFUNCTION("""COMPUTED_VALUE"""),"")</f>
        <v/>
      </c>
      <c r="I535" s="67" t="str">
        <f>IFERROR(__xludf.DUMMYFUNCTION("""COMPUTED_VALUE"""),"")</f>
        <v/>
      </c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/>
      <c r="DN535" s="18"/>
      <c r="DO535" s="18"/>
      <c r="DP535" s="18"/>
      <c r="DQ535" s="18"/>
      <c r="DR535" s="18"/>
      <c r="DS535" s="18"/>
      <c r="DT535" s="18"/>
      <c r="DU535" s="18"/>
      <c r="DV535" s="18"/>
      <c r="DW535" s="18"/>
      <c r="DX535" s="18"/>
      <c r="DY535" s="18"/>
      <c r="DZ535" s="18"/>
      <c r="EA535" s="18"/>
      <c r="EB535" s="18"/>
      <c r="EC535" s="18"/>
      <c r="ED535" s="18"/>
      <c r="EE535" s="18"/>
      <c r="EF535" s="18"/>
      <c r="EG535" s="18"/>
      <c r="EH535" s="18"/>
      <c r="EI535" s="18"/>
      <c r="EJ535" s="18"/>
      <c r="EK535" s="18"/>
      <c r="EL535" s="18"/>
      <c r="EM535" s="18"/>
      <c r="EN535" s="18"/>
      <c r="EO535" s="18"/>
      <c r="EP535" s="18"/>
      <c r="EQ535" s="18"/>
      <c r="ER535" s="18"/>
      <c r="ES535" s="18"/>
      <c r="ET535" s="18"/>
      <c r="EU535" s="18"/>
      <c r="EV535" s="18"/>
      <c r="EW535" s="18"/>
      <c r="EX535" s="18"/>
    </row>
    <row r="536">
      <c r="A536" s="101"/>
      <c r="B536" s="105"/>
      <c r="C536" s="105"/>
      <c r="D536" s="106"/>
      <c r="E536" s="110"/>
      <c r="F536" s="92"/>
      <c r="G536" s="18"/>
      <c r="H536" s="101" t="str">
        <f>IFERROR(__xludf.DUMMYFUNCTION("""COMPUTED_VALUE"""),"")</f>
        <v/>
      </c>
      <c r="I536" s="67" t="str">
        <f>IFERROR(__xludf.DUMMYFUNCTION("""COMPUTED_VALUE"""),"")</f>
        <v/>
      </c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/>
      <c r="DN536" s="18"/>
      <c r="DO536" s="18"/>
      <c r="DP536" s="18"/>
      <c r="DQ536" s="18"/>
      <c r="DR536" s="18"/>
      <c r="DS536" s="18"/>
      <c r="DT536" s="18"/>
      <c r="DU536" s="18"/>
      <c r="DV536" s="18"/>
      <c r="DW536" s="18"/>
      <c r="DX536" s="18"/>
      <c r="DY536" s="18"/>
      <c r="DZ536" s="18"/>
      <c r="EA536" s="18"/>
      <c r="EB536" s="18"/>
      <c r="EC536" s="18"/>
      <c r="ED536" s="18"/>
      <c r="EE536" s="18"/>
      <c r="EF536" s="18"/>
      <c r="EG536" s="18"/>
      <c r="EH536" s="18"/>
      <c r="EI536" s="18"/>
      <c r="EJ536" s="18"/>
      <c r="EK536" s="18"/>
      <c r="EL536" s="18"/>
      <c r="EM536" s="18"/>
      <c r="EN536" s="18"/>
      <c r="EO536" s="18"/>
      <c r="EP536" s="18"/>
      <c r="EQ536" s="18"/>
      <c r="ER536" s="18"/>
      <c r="ES536" s="18"/>
      <c r="ET536" s="18"/>
      <c r="EU536" s="18"/>
      <c r="EV536" s="18"/>
      <c r="EW536" s="18"/>
      <c r="EX536" s="18"/>
    </row>
    <row r="537">
      <c r="A537" s="101"/>
      <c r="B537" s="105"/>
      <c r="C537" s="105"/>
      <c r="D537" s="106"/>
      <c r="E537" s="110"/>
      <c r="F537" s="92"/>
      <c r="G537" s="18"/>
      <c r="H537" s="101" t="str">
        <f>IFERROR(__xludf.DUMMYFUNCTION("""COMPUTED_VALUE"""),"")</f>
        <v/>
      </c>
      <c r="I537" s="67" t="str">
        <f>IFERROR(__xludf.DUMMYFUNCTION("""COMPUTED_VALUE"""),"")</f>
        <v/>
      </c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/>
      <c r="DN537" s="18"/>
      <c r="DO537" s="18"/>
      <c r="DP537" s="18"/>
      <c r="DQ537" s="18"/>
      <c r="DR537" s="18"/>
      <c r="DS537" s="18"/>
      <c r="DT537" s="18"/>
      <c r="DU537" s="18"/>
      <c r="DV537" s="18"/>
      <c r="DW537" s="18"/>
      <c r="DX537" s="18"/>
      <c r="DY537" s="18"/>
      <c r="DZ537" s="18"/>
      <c r="EA537" s="18"/>
      <c r="EB537" s="18"/>
      <c r="EC537" s="18"/>
      <c r="ED537" s="18"/>
      <c r="EE537" s="18"/>
      <c r="EF537" s="18"/>
      <c r="EG537" s="18"/>
      <c r="EH537" s="18"/>
      <c r="EI537" s="18"/>
      <c r="EJ537" s="18"/>
      <c r="EK537" s="18"/>
      <c r="EL537" s="18"/>
      <c r="EM537" s="18"/>
      <c r="EN537" s="18"/>
      <c r="EO537" s="18"/>
      <c r="EP537" s="18"/>
      <c r="EQ537" s="18"/>
      <c r="ER537" s="18"/>
      <c r="ES537" s="18"/>
      <c r="ET537" s="18"/>
      <c r="EU537" s="18"/>
      <c r="EV537" s="18"/>
      <c r="EW537" s="18"/>
      <c r="EX537" s="18"/>
    </row>
    <row r="538">
      <c r="A538" s="101"/>
      <c r="B538" s="105"/>
      <c r="C538" s="105"/>
      <c r="D538" s="106"/>
      <c r="E538" s="110"/>
      <c r="F538" s="92"/>
      <c r="G538" s="18"/>
      <c r="H538" s="101" t="str">
        <f>IFERROR(__xludf.DUMMYFUNCTION("""COMPUTED_VALUE"""),"")</f>
        <v/>
      </c>
      <c r="I538" s="67" t="str">
        <f>IFERROR(__xludf.DUMMYFUNCTION("""COMPUTED_VALUE"""),"")</f>
        <v/>
      </c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/>
      <c r="DN538" s="18"/>
      <c r="DO538" s="18"/>
      <c r="DP538" s="18"/>
      <c r="DQ538" s="18"/>
      <c r="DR538" s="18"/>
      <c r="DS538" s="18"/>
      <c r="DT538" s="18"/>
      <c r="DU538" s="18"/>
      <c r="DV538" s="18"/>
      <c r="DW538" s="18"/>
      <c r="DX538" s="18"/>
      <c r="DY538" s="18"/>
      <c r="DZ538" s="18"/>
      <c r="EA538" s="18"/>
      <c r="EB538" s="18"/>
      <c r="EC538" s="18"/>
      <c r="ED538" s="18"/>
      <c r="EE538" s="18"/>
      <c r="EF538" s="18"/>
      <c r="EG538" s="18"/>
      <c r="EH538" s="18"/>
      <c r="EI538" s="18"/>
      <c r="EJ538" s="18"/>
      <c r="EK538" s="18"/>
      <c r="EL538" s="18"/>
      <c r="EM538" s="18"/>
      <c r="EN538" s="18"/>
      <c r="EO538" s="18"/>
      <c r="EP538" s="18"/>
      <c r="EQ538" s="18"/>
      <c r="ER538" s="18"/>
      <c r="ES538" s="18"/>
      <c r="ET538" s="18"/>
      <c r="EU538" s="18"/>
      <c r="EV538" s="18"/>
      <c r="EW538" s="18"/>
      <c r="EX538" s="18"/>
    </row>
    <row r="539">
      <c r="A539" s="101"/>
      <c r="B539" s="105"/>
      <c r="C539" s="105"/>
      <c r="D539" s="106"/>
      <c r="E539" s="110"/>
      <c r="F539" s="92"/>
      <c r="G539" s="18"/>
      <c r="H539" s="101" t="str">
        <f>IFERROR(__xludf.DUMMYFUNCTION("""COMPUTED_VALUE"""),"")</f>
        <v/>
      </c>
      <c r="I539" s="67" t="str">
        <f>IFERROR(__xludf.DUMMYFUNCTION("""COMPUTED_VALUE"""),"")</f>
        <v/>
      </c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/>
      <c r="DN539" s="18"/>
      <c r="DO539" s="18"/>
      <c r="DP539" s="18"/>
      <c r="DQ539" s="18"/>
      <c r="DR539" s="18"/>
      <c r="DS539" s="18"/>
      <c r="DT539" s="18"/>
      <c r="DU539" s="18"/>
      <c r="DV539" s="18"/>
      <c r="DW539" s="18"/>
      <c r="DX539" s="18"/>
      <c r="DY539" s="18"/>
      <c r="DZ539" s="18"/>
      <c r="EA539" s="18"/>
      <c r="EB539" s="18"/>
      <c r="EC539" s="18"/>
      <c r="ED539" s="18"/>
      <c r="EE539" s="18"/>
      <c r="EF539" s="18"/>
      <c r="EG539" s="18"/>
      <c r="EH539" s="18"/>
      <c r="EI539" s="18"/>
      <c r="EJ539" s="18"/>
      <c r="EK539" s="18"/>
      <c r="EL539" s="18"/>
      <c r="EM539" s="18"/>
      <c r="EN539" s="18"/>
      <c r="EO539" s="18"/>
      <c r="EP539" s="18"/>
      <c r="EQ539" s="18"/>
      <c r="ER539" s="18"/>
      <c r="ES539" s="18"/>
      <c r="ET539" s="18"/>
      <c r="EU539" s="18"/>
      <c r="EV539" s="18"/>
      <c r="EW539" s="18"/>
      <c r="EX539" s="18"/>
    </row>
    <row r="540">
      <c r="A540" s="101"/>
      <c r="B540" s="105"/>
      <c r="C540" s="105"/>
      <c r="D540" s="106"/>
      <c r="E540" s="110"/>
      <c r="F540" s="92"/>
      <c r="G540" s="18"/>
      <c r="H540" s="101" t="str">
        <f>IFERROR(__xludf.DUMMYFUNCTION("""COMPUTED_VALUE"""),"")</f>
        <v/>
      </c>
      <c r="I540" s="67" t="str">
        <f>IFERROR(__xludf.DUMMYFUNCTION("""COMPUTED_VALUE"""),"")</f>
        <v/>
      </c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/>
      <c r="DN540" s="18"/>
      <c r="DO540" s="18"/>
      <c r="DP540" s="18"/>
      <c r="DQ540" s="18"/>
      <c r="DR540" s="18"/>
      <c r="DS540" s="18"/>
      <c r="DT540" s="18"/>
      <c r="DU540" s="18"/>
      <c r="DV540" s="18"/>
      <c r="DW540" s="18"/>
      <c r="DX540" s="18"/>
      <c r="DY540" s="18"/>
      <c r="DZ540" s="18"/>
      <c r="EA540" s="18"/>
      <c r="EB540" s="18"/>
      <c r="EC540" s="18"/>
      <c r="ED540" s="18"/>
      <c r="EE540" s="18"/>
      <c r="EF540" s="18"/>
      <c r="EG540" s="18"/>
      <c r="EH540" s="18"/>
      <c r="EI540" s="18"/>
      <c r="EJ540" s="18"/>
      <c r="EK540" s="18"/>
      <c r="EL540" s="18"/>
      <c r="EM540" s="18"/>
      <c r="EN540" s="18"/>
      <c r="EO540" s="18"/>
      <c r="EP540" s="18"/>
      <c r="EQ540" s="18"/>
      <c r="ER540" s="18"/>
      <c r="ES540" s="18"/>
      <c r="ET540" s="18"/>
      <c r="EU540" s="18"/>
      <c r="EV540" s="18"/>
      <c r="EW540" s="18"/>
      <c r="EX540" s="18"/>
    </row>
    <row r="541">
      <c r="A541" s="101"/>
      <c r="B541" s="105"/>
      <c r="C541" s="105"/>
      <c r="D541" s="106"/>
      <c r="E541" s="110"/>
      <c r="F541" s="92"/>
      <c r="G541" s="18"/>
      <c r="H541" s="101" t="str">
        <f>IFERROR(__xludf.DUMMYFUNCTION("""COMPUTED_VALUE"""),"")</f>
        <v/>
      </c>
      <c r="I541" s="67" t="str">
        <f>IFERROR(__xludf.DUMMYFUNCTION("""COMPUTED_VALUE"""),"")</f>
        <v/>
      </c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  <c r="DR541" s="18"/>
      <c r="DS541" s="18"/>
      <c r="DT541" s="18"/>
      <c r="DU541" s="18"/>
      <c r="DV541" s="18"/>
      <c r="DW541" s="18"/>
      <c r="DX541" s="18"/>
      <c r="DY541" s="18"/>
      <c r="DZ541" s="18"/>
      <c r="EA541" s="18"/>
      <c r="EB541" s="18"/>
      <c r="EC541" s="18"/>
      <c r="ED541" s="18"/>
      <c r="EE541" s="18"/>
      <c r="EF541" s="18"/>
      <c r="EG541" s="18"/>
      <c r="EH541" s="18"/>
      <c r="EI541" s="18"/>
      <c r="EJ541" s="18"/>
      <c r="EK541" s="18"/>
      <c r="EL541" s="18"/>
      <c r="EM541" s="18"/>
      <c r="EN541" s="18"/>
      <c r="EO541" s="18"/>
      <c r="EP541" s="18"/>
      <c r="EQ541" s="18"/>
      <c r="ER541" s="18"/>
      <c r="ES541" s="18"/>
      <c r="ET541" s="18"/>
      <c r="EU541" s="18"/>
      <c r="EV541" s="18"/>
      <c r="EW541" s="18"/>
      <c r="EX541" s="18"/>
    </row>
    <row r="542">
      <c r="A542" s="101"/>
      <c r="B542" s="105"/>
      <c r="C542" s="105"/>
      <c r="D542" s="106"/>
      <c r="E542" s="110"/>
      <c r="F542" s="92"/>
      <c r="G542" s="18"/>
      <c r="H542" s="101" t="str">
        <f>IFERROR(__xludf.DUMMYFUNCTION("""COMPUTED_VALUE"""),"")</f>
        <v/>
      </c>
      <c r="I542" s="67" t="str">
        <f>IFERROR(__xludf.DUMMYFUNCTION("""COMPUTED_VALUE"""),"")</f>
        <v/>
      </c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/>
      <c r="DN542" s="18"/>
      <c r="DO542" s="18"/>
      <c r="DP542" s="18"/>
      <c r="DQ542" s="18"/>
      <c r="DR542" s="18"/>
      <c r="DS542" s="18"/>
      <c r="DT542" s="18"/>
      <c r="DU542" s="18"/>
      <c r="DV542" s="18"/>
      <c r="DW542" s="18"/>
      <c r="DX542" s="18"/>
      <c r="DY542" s="18"/>
      <c r="DZ542" s="18"/>
      <c r="EA542" s="18"/>
      <c r="EB542" s="18"/>
      <c r="EC542" s="18"/>
      <c r="ED542" s="18"/>
      <c r="EE542" s="18"/>
      <c r="EF542" s="18"/>
      <c r="EG542" s="18"/>
      <c r="EH542" s="18"/>
      <c r="EI542" s="18"/>
      <c r="EJ542" s="18"/>
      <c r="EK542" s="18"/>
      <c r="EL542" s="18"/>
      <c r="EM542" s="18"/>
      <c r="EN542" s="18"/>
      <c r="EO542" s="18"/>
      <c r="EP542" s="18"/>
      <c r="EQ542" s="18"/>
      <c r="ER542" s="18"/>
      <c r="ES542" s="18"/>
      <c r="ET542" s="18"/>
      <c r="EU542" s="18"/>
      <c r="EV542" s="18"/>
      <c r="EW542" s="18"/>
      <c r="EX542" s="18"/>
    </row>
    <row r="543">
      <c r="A543" s="101"/>
      <c r="B543" s="105"/>
      <c r="C543" s="105"/>
      <c r="D543" s="106"/>
      <c r="E543" s="110"/>
      <c r="F543" s="92"/>
      <c r="G543" s="18"/>
      <c r="H543" s="101" t="str">
        <f>IFERROR(__xludf.DUMMYFUNCTION("""COMPUTED_VALUE"""),"")</f>
        <v/>
      </c>
      <c r="I543" s="67" t="str">
        <f>IFERROR(__xludf.DUMMYFUNCTION("""COMPUTED_VALUE"""),"")</f>
        <v/>
      </c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/>
      <c r="DN543" s="18"/>
      <c r="DO543" s="18"/>
      <c r="DP543" s="18"/>
      <c r="DQ543" s="18"/>
      <c r="DR543" s="18"/>
      <c r="DS543" s="18"/>
      <c r="DT543" s="18"/>
      <c r="DU543" s="18"/>
      <c r="DV543" s="18"/>
      <c r="DW543" s="18"/>
      <c r="DX543" s="18"/>
      <c r="DY543" s="18"/>
      <c r="DZ543" s="18"/>
      <c r="EA543" s="18"/>
      <c r="EB543" s="18"/>
      <c r="EC543" s="18"/>
      <c r="ED543" s="18"/>
      <c r="EE543" s="18"/>
      <c r="EF543" s="18"/>
      <c r="EG543" s="18"/>
      <c r="EH543" s="18"/>
      <c r="EI543" s="18"/>
      <c r="EJ543" s="18"/>
      <c r="EK543" s="18"/>
      <c r="EL543" s="18"/>
      <c r="EM543" s="18"/>
      <c r="EN543" s="18"/>
      <c r="EO543" s="18"/>
      <c r="EP543" s="18"/>
      <c r="EQ543" s="18"/>
      <c r="ER543" s="18"/>
      <c r="ES543" s="18"/>
      <c r="ET543" s="18"/>
      <c r="EU543" s="18"/>
      <c r="EV543" s="18"/>
      <c r="EW543" s="18"/>
      <c r="EX543" s="18"/>
    </row>
    <row r="544">
      <c r="A544" s="101"/>
      <c r="B544" s="105"/>
      <c r="C544" s="105"/>
      <c r="D544" s="106"/>
      <c r="E544" s="110"/>
      <c r="F544" s="92"/>
      <c r="G544" s="18"/>
      <c r="H544" s="101" t="str">
        <f>IFERROR(__xludf.DUMMYFUNCTION("""COMPUTED_VALUE"""),"")</f>
        <v/>
      </c>
      <c r="I544" s="67" t="str">
        <f>IFERROR(__xludf.DUMMYFUNCTION("""COMPUTED_VALUE"""),"")</f>
        <v/>
      </c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/>
      <c r="DN544" s="18"/>
      <c r="DO544" s="18"/>
      <c r="DP544" s="18"/>
      <c r="DQ544" s="18"/>
      <c r="DR544" s="18"/>
      <c r="DS544" s="18"/>
      <c r="DT544" s="18"/>
      <c r="DU544" s="18"/>
      <c r="DV544" s="18"/>
      <c r="DW544" s="18"/>
      <c r="DX544" s="18"/>
      <c r="DY544" s="18"/>
      <c r="DZ544" s="18"/>
      <c r="EA544" s="18"/>
      <c r="EB544" s="18"/>
      <c r="EC544" s="18"/>
      <c r="ED544" s="18"/>
      <c r="EE544" s="18"/>
      <c r="EF544" s="18"/>
      <c r="EG544" s="18"/>
      <c r="EH544" s="18"/>
      <c r="EI544" s="18"/>
      <c r="EJ544" s="18"/>
      <c r="EK544" s="18"/>
      <c r="EL544" s="18"/>
      <c r="EM544" s="18"/>
      <c r="EN544" s="18"/>
      <c r="EO544" s="18"/>
      <c r="EP544" s="18"/>
      <c r="EQ544" s="18"/>
      <c r="ER544" s="18"/>
      <c r="ES544" s="18"/>
      <c r="ET544" s="18"/>
      <c r="EU544" s="18"/>
      <c r="EV544" s="18"/>
      <c r="EW544" s="18"/>
      <c r="EX544" s="18"/>
    </row>
    <row r="545">
      <c r="A545" s="101"/>
      <c r="B545" s="105"/>
      <c r="C545" s="105"/>
      <c r="D545" s="106"/>
      <c r="E545" s="110"/>
      <c r="F545" s="92"/>
      <c r="G545" s="18"/>
      <c r="H545" s="101" t="str">
        <f>IFERROR(__xludf.DUMMYFUNCTION("""COMPUTED_VALUE"""),"")</f>
        <v/>
      </c>
      <c r="I545" s="67" t="str">
        <f>IFERROR(__xludf.DUMMYFUNCTION("""COMPUTED_VALUE"""),"")</f>
        <v/>
      </c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/>
      <c r="DN545" s="18"/>
      <c r="DO545" s="18"/>
      <c r="DP545" s="18"/>
      <c r="DQ545" s="18"/>
      <c r="DR545" s="18"/>
      <c r="DS545" s="18"/>
      <c r="DT545" s="18"/>
      <c r="DU545" s="18"/>
      <c r="DV545" s="18"/>
      <c r="DW545" s="18"/>
      <c r="DX545" s="18"/>
      <c r="DY545" s="18"/>
      <c r="DZ545" s="18"/>
      <c r="EA545" s="18"/>
      <c r="EB545" s="18"/>
      <c r="EC545" s="18"/>
      <c r="ED545" s="18"/>
      <c r="EE545" s="18"/>
      <c r="EF545" s="18"/>
      <c r="EG545" s="18"/>
      <c r="EH545" s="18"/>
      <c r="EI545" s="18"/>
      <c r="EJ545" s="18"/>
      <c r="EK545" s="18"/>
      <c r="EL545" s="18"/>
      <c r="EM545" s="18"/>
      <c r="EN545" s="18"/>
      <c r="EO545" s="18"/>
      <c r="EP545" s="18"/>
      <c r="EQ545" s="18"/>
      <c r="ER545" s="18"/>
      <c r="ES545" s="18"/>
      <c r="ET545" s="18"/>
      <c r="EU545" s="18"/>
      <c r="EV545" s="18"/>
      <c r="EW545" s="18"/>
      <c r="EX545" s="18"/>
    </row>
    <row r="546">
      <c r="A546" s="101"/>
      <c r="B546" s="105"/>
      <c r="C546" s="105"/>
      <c r="D546" s="106"/>
      <c r="E546" s="110"/>
      <c r="F546" s="92"/>
      <c r="G546" s="18"/>
      <c r="H546" s="101" t="str">
        <f>IFERROR(__xludf.DUMMYFUNCTION("""COMPUTED_VALUE"""),"")</f>
        <v/>
      </c>
      <c r="I546" s="67" t="str">
        <f>IFERROR(__xludf.DUMMYFUNCTION("""COMPUTED_VALUE"""),"")</f>
        <v/>
      </c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/>
      <c r="DN546" s="18"/>
      <c r="DO546" s="18"/>
      <c r="DP546" s="18"/>
      <c r="DQ546" s="18"/>
      <c r="DR546" s="18"/>
      <c r="DS546" s="18"/>
      <c r="DT546" s="18"/>
      <c r="DU546" s="18"/>
      <c r="DV546" s="18"/>
      <c r="DW546" s="18"/>
      <c r="DX546" s="18"/>
      <c r="DY546" s="18"/>
      <c r="DZ546" s="18"/>
      <c r="EA546" s="18"/>
      <c r="EB546" s="18"/>
      <c r="EC546" s="18"/>
      <c r="ED546" s="18"/>
      <c r="EE546" s="18"/>
      <c r="EF546" s="18"/>
      <c r="EG546" s="18"/>
      <c r="EH546" s="18"/>
      <c r="EI546" s="18"/>
      <c r="EJ546" s="18"/>
      <c r="EK546" s="18"/>
      <c r="EL546" s="18"/>
      <c r="EM546" s="18"/>
      <c r="EN546" s="18"/>
      <c r="EO546" s="18"/>
      <c r="EP546" s="18"/>
      <c r="EQ546" s="18"/>
      <c r="ER546" s="18"/>
      <c r="ES546" s="18"/>
      <c r="ET546" s="18"/>
      <c r="EU546" s="18"/>
      <c r="EV546" s="18"/>
      <c r="EW546" s="18"/>
      <c r="EX546" s="18"/>
    </row>
    <row r="547">
      <c r="A547" s="101"/>
      <c r="B547" s="105"/>
      <c r="C547" s="105"/>
      <c r="D547" s="106"/>
      <c r="E547" s="110"/>
      <c r="F547" s="92"/>
      <c r="G547" s="18"/>
      <c r="H547" s="101" t="str">
        <f>IFERROR(__xludf.DUMMYFUNCTION("""COMPUTED_VALUE"""),"")</f>
        <v/>
      </c>
      <c r="I547" s="67" t="str">
        <f>IFERROR(__xludf.DUMMYFUNCTION("""COMPUTED_VALUE"""),"")</f>
        <v/>
      </c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/>
      <c r="DN547" s="18"/>
      <c r="DO547" s="18"/>
      <c r="DP547" s="18"/>
      <c r="DQ547" s="18"/>
      <c r="DR547" s="18"/>
      <c r="DS547" s="18"/>
      <c r="DT547" s="18"/>
      <c r="DU547" s="18"/>
      <c r="DV547" s="18"/>
      <c r="DW547" s="18"/>
      <c r="DX547" s="18"/>
      <c r="DY547" s="18"/>
      <c r="DZ547" s="18"/>
      <c r="EA547" s="18"/>
      <c r="EB547" s="18"/>
      <c r="EC547" s="18"/>
      <c r="ED547" s="18"/>
      <c r="EE547" s="18"/>
      <c r="EF547" s="18"/>
      <c r="EG547" s="18"/>
      <c r="EH547" s="18"/>
      <c r="EI547" s="18"/>
      <c r="EJ547" s="18"/>
      <c r="EK547" s="18"/>
      <c r="EL547" s="18"/>
      <c r="EM547" s="18"/>
      <c r="EN547" s="18"/>
      <c r="EO547" s="18"/>
      <c r="EP547" s="18"/>
      <c r="EQ547" s="18"/>
      <c r="ER547" s="18"/>
      <c r="ES547" s="18"/>
      <c r="ET547" s="18"/>
      <c r="EU547" s="18"/>
      <c r="EV547" s="18"/>
      <c r="EW547" s="18"/>
      <c r="EX547" s="18"/>
    </row>
    <row r="548">
      <c r="A548" s="101"/>
      <c r="B548" s="105"/>
      <c r="C548" s="105"/>
      <c r="D548" s="106"/>
      <c r="E548" s="110"/>
      <c r="F548" s="92"/>
      <c r="G548" s="18"/>
      <c r="H548" s="101" t="str">
        <f>IFERROR(__xludf.DUMMYFUNCTION("""COMPUTED_VALUE"""),"")</f>
        <v/>
      </c>
      <c r="I548" s="67" t="str">
        <f>IFERROR(__xludf.DUMMYFUNCTION("""COMPUTED_VALUE"""),"")</f>
        <v/>
      </c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/>
      <c r="DN548" s="18"/>
      <c r="DO548" s="18"/>
      <c r="DP548" s="18"/>
      <c r="DQ548" s="18"/>
      <c r="DR548" s="18"/>
      <c r="DS548" s="18"/>
      <c r="DT548" s="18"/>
      <c r="DU548" s="18"/>
      <c r="DV548" s="18"/>
      <c r="DW548" s="18"/>
      <c r="DX548" s="18"/>
      <c r="DY548" s="18"/>
      <c r="DZ548" s="18"/>
      <c r="EA548" s="18"/>
      <c r="EB548" s="18"/>
      <c r="EC548" s="18"/>
      <c r="ED548" s="18"/>
      <c r="EE548" s="18"/>
      <c r="EF548" s="18"/>
      <c r="EG548" s="18"/>
      <c r="EH548" s="18"/>
      <c r="EI548" s="18"/>
      <c r="EJ548" s="18"/>
      <c r="EK548" s="18"/>
      <c r="EL548" s="18"/>
      <c r="EM548" s="18"/>
      <c r="EN548" s="18"/>
      <c r="EO548" s="18"/>
      <c r="EP548" s="18"/>
      <c r="EQ548" s="18"/>
      <c r="ER548" s="18"/>
      <c r="ES548" s="18"/>
      <c r="ET548" s="18"/>
      <c r="EU548" s="18"/>
      <c r="EV548" s="18"/>
      <c r="EW548" s="18"/>
      <c r="EX548" s="18"/>
    </row>
    <row r="549">
      <c r="A549" s="101"/>
      <c r="B549" s="105"/>
      <c r="C549" s="105"/>
      <c r="D549" s="106"/>
      <c r="E549" s="110"/>
      <c r="F549" s="92"/>
      <c r="G549" s="18"/>
      <c r="H549" s="101" t="str">
        <f>IFERROR(__xludf.DUMMYFUNCTION("""COMPUTED_VALUE"""),"")</f>
        <v/>
      </c>
      <c r="I549" s="67" t="str">
        <f>IFERROR(__xludf.DUMMYFUNCTION("""COMPUTED_VALUE"""),"")</f>
        <v/>
      </c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/>
      <c r="DN549" s="18"/>
      <c r="DO549" s="18"/>
      <c r="DP549" s="18"/>
      <c r="DQ549" s="18"/>
      <c r="DR549" s="18"/>
      <c r="DS549" s="18"/>
      <c r="DT549" s="18"/>
      <c r="DU549" s="18"/>
      <c r="DV549" s="18"/>
      <c r="DW549" s="18"/>
      <c r="DX549" s="18"/>
      <c r="DY549" s="18"/>
      <c r="DZ549" s="18"/>
      <c r="EA549" s="18"/>
      <c r="EB549" s="18"/>
      <c r="EC549" s="18"/>
      <c r="ED549" s="18"/>
      <c r="EE549" s="18"/>
      <c r="EF549" s="18"/>
      <c r="EG549" s="18"/>
      <c r="EH549" s="18"/>
      <c r="EI549" s="18"/>
      <c r="EJ549" s="18"/>
      <c r="EK549" s="18"/>
      <c r="EL549" s="18"/>
      <c r="EM549" s="18"/>
      <c r="EN549" s="18"/>
      <c r="EO549" s="18"/>
      <c r="EP549" s="18"/>
      <c r="EQ549" s="18"/>
      <c r="ER549" s="18"/>
      <c r="ES549" s="18"/>
      <c r="ET549" s="18"/>
      <c r="EU549" s="18"/>
      <c r="EV549" s="18"/>
      <c r="EW549" s="18"/>
      <c r="EX549" s="18"/>
    </row>
    <row r="550">
      <c r="A550" s="101"/>
      <c r="B550" s="105"/>
      <c r="C550" s="105"/>
      <c r="D550" s="106"/>
      <c r="E550" s="110"/>
      <c r="F550" s="92"/>
      <c r="G550" s="18"/>
      <c r="H550" s="101" t="str">
        <f>IFERROR(__xludf.DUMMYFUNCTION("""COMPUTED_VALUE"""),"")</f>
        <v/>
      </c>
      <c r="I550" s="67" t="str">
        <f>IFERROR(__xludf.DUMMYFUNCTION("""COMPUTED_VALUE"""),"")</f>
        <v/>
      </c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/>
      <c r="DN550" s="18"/>
      <c r="DO550" s="18"/>
      <c r="DP550" s="18"/>
      <c r="DQ550" s="18"/>
      <c r="DR550" s="18"/>
      <c r="DS550" s="18"/>
      <c r="DT550" s="18"/>
      <c r="DU550" s="18"/>
      <c r="DV550" s="18"/>
      <c r="DW550" s="18"/>
      <c r="DX550" s="18"/>
      <c r="DY550" s="18"/>
      <c r="DZ550" s="18"/>
      <c r="EA550" s="18"/>
      <c r="EB550" s="18"/>
      <c r="EC550" s="18"/>
      <c r="ED550" s="18"/>
      <c r="EE550" s="18"/>
      <c r="EF550" s="18"/>
      <c r="EG550" s="18"/>
      <c r="EH550" s="18"/>
      <c r="EI550" s="18"/>
      <c r="EJ550" s="18"/>
      <c r="EK550" s="18"/>
      <c r="EL550" s="18"/>
      <c r="EM550" s="18"/>
      <c r="EN550" s="18"/>
      <c r="EO550" s="18"/>
      <c r="EP550" s="18"/>
      <c r="EQ550" s="18"/>
      <c r="ER550" s="18"/>
      <c r="ES550" s="18"/>
      <c r="ET550" s="18"/>
      <c r="EU550" s="18"/>
      <c r="EV550" s="18"/>
      <c r="EW550" s="18"/>
      <c r="EX550" s="18"/>
    </row>
    <row r="551">
      <c r="A551" s="101"/>
      <c r="B551" s="105"/>
      <c r="C551" s="105"/>
      <c r="D551" s="106"/>
      <c r="E551" s="110"/>
      <c r="F551" s="92"/>
      <c r="G551" s="18"/>
      <c r="H551" s="101" t="str">
        <f>IFERROR(__xludf.DUMMYFUNCTION("""COMPUTED_VALUE"""),"")</f>
        <v/>
      </c>
      <c r="I551" s="67" t="str">
        <f>IFERROR(__xludf.DUMMYFUNCTION("""COMPUTED_VALUE"""),"")</f>
        <v/>
      </c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/>
      <c r="DN551" s="18"/>
      <c r="DO551" s="18"/>
      <c r="DP551" s="18"/>
      <c r="DQ551" s="18"/>
      <c r="DR551" s="18"/>
      <c r="DS551" s="18"/>
      <c r="DT551" s="18"/>
      <c r="DU551" s="18"/>
      <c r="DV551" s="18"/>
      <c r="DW551" s="18"/>
      <c r="DX551" s="18"/>
      <c r="DY551" s="18"/>
      <c r="DZ551" s="18"/>
      <c r="EA551" s="18"/>
      <c r="EB551" s="18"/>
      <c r="EC551" s="18"/>
      <c r="ED551" s="18"/>
      <c r="EE551" s="18"/>
      <c r="EF551" s="18"/>
      <c r="EG551" s="18"/>
      <c r="EH551" s="18"/>
      <c r="EI551" s="18"/>
      <c r="EJ551" s="18"/>
      <c r="EK551" s="18"/>
      <c r="EL551" s="18"/>
      <c r="EM551" s="18"/>
      <c r="EN551" s="18"/>
      <c r="EO551" s="18"/>
      <c r="EP551" s="18"/>
      <c r="EQ551" s="18"/>
      <c r="ER551" s="18"/>
      <c r="ES551" s="18"/>
      <c r="ET551" s="18"/>
      <c r="EU551" s="18"/>
      <c r="EV551" s="18"/>
      <c r="EW551" s="18"/>
      <c r="EX551" s="18"/>
    </row>
    <row r="552">
      <c r="A552" s="101"/>
      <c r="B552" s="105"/>
      <c r="C552" s="105"/>
      <c r="D552" s="106"/>
      <c r="E552" s="110"/>
      <c r="F552" s="92"/>
      <c r="G552" s="18"/>
      <c r="H552" s="101" t="str">
        <f>IFERROR(__xludf.DUMMYFUNCTION("""COMPUTED_VALUE"""),"")</f>
        <v/>
      </c>
      <c r="I552" s="67" t="str">
        <f>IFERROR(__xludf.DUMMYFUNCTION("""COMPUTED_VALUE"""),"")</f>
        <v/>
      </c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/>
      <c r="DN552" s="18"/>
      <c r="DO552" s="18"/>
      <c r="DP552" s="18"/>
      <c r="DQ552" s="18"/>
      <c r="DR552" s="18"/>
      <c r="DS552" s="18"/>
      <c r="DT552" s="18"/>
      <c r="DU552" s="18"/>
      <c r="DV552" s="18"/>
      <c r="DW552" s="18"/>
      <c r="DX552" s="18"/>
      <c r="DY552" s="18"/>
      <c r="DZ552" s="18"/>
      <c r="EA552" s="18"/>
      <c r="EB552" s="18"/>
      <c r="EC552" s="18"/>
      <c r="ED552" s="18"/>
      <c r="EE552" s="18"/>
      <c r="EF552" s="18"/>
      <c r="EG552" s="18"/>
      <c r="EH552" s="18"/>
      <c r="EI552" s="18"/>
      <c r="EJ552" s="18"/>
      <c r="EK552" s="18"/>
      <c r="EL552" s="18"/>
      <c r="EM552" s="18"/>
      <c r="EN552" s="18"/>
      <c r="EO552" s="18"/>
      <c r="EP552" s="18"/>
      <c r="EQ552" s="18"/>
      <c r="ER552" s="18"/>
      <c r="ES552" s="18"/>
      <c r="ET552" s="18"/>
      <c r="EU552" s="18"/>
      <c r="EV552" s="18"/>
      <c r="EW552" s="18"/>
      <c r="EX552" s="18"/>
    </row>
    <row r="553">
      <c r="A553" s="101"/>
      <c r="B553" s="105"/>
      <c r="C553" s="105"/>
      <c r="D553" s="106"/>
      <c r="E553" s="110"/>
      <c r="F553" s="92"/>
      <c r="G553" s="18"/>
      <c r="H553" s="101" t="str">
        <f>IFERROR(__xludf.DUMMYFUNCTION("""COMPUTED_VALUE"""),"")</f>
        <v/>
      </c>
      <c r="I553" s="67" t="str">
        <f>IFERROR(__xludf.DUMMYFUNCTION("""COMPUTED_VALUE"""),"")</f>
        <v/>
      </c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/>
      <c r="DN553" s="18"/>
      <c r="DO553" s="18"/>
      <c r="DP553" s="18"/>
      <c r="DQ553" s="18"/>
      <c r="DR553" s="18"/>
      <c r="DS553" s="18"/>
      <c r="DT553" s="18"/>
      <c r="DU553" s="18"/>
      <c r="DV553" s="18"/>
      <c r="DW553" s="18"/>
      <c r="DX553" s="18"/>
      <c r="DY553" s="18"/>
      <c r="DZ553" s="18"/>
      <c r="EA553" s="18"/>
      <c r="EB553" s="18"/>
      <c r="EC553" s="18"/>
      <c r="ED553" s="18"/>
      <c r="EE553" s="18"/>
      <c r="EF553" s="18"/>
      <c r="EG553" s="18"/>
      <c r="EH553" s="18"/>
      <c r="EI553" s="18"/>
      <c r="EJ553" s="18"/>
      <c r="EK553" s="18"/>
      <c r="EL553" s="18"/>
      <c r="EM553" s="18"/>
      <c r="EN553" s="18"/>
      <c r="EO553" s="18"/>
      <c r="EP553" s="18"/>
      <c r="EQ553" s="18"/>
      <c r="ER553" s="18"/>
      <c r="ES553" s="18"/>
      <c r="ET553" s="18"/>
      <c r="EU553" s="18"/>
      <c r="EV553" s="18"/>
      <c r="EW553" s="18"/>
      <c r="EX553" s="18"/>
    </row>
    <row r="554">
      <c r="A554" s="101"/>
      <c r="B554" s="105"/>
      <c r="C554" s="105"/>
      <c r="D554" s="106"/>
      <c r="E554" s="110"/>
      <c r="F554" s="92"/>
      <c r="G554" s="18"/>
      <c r="H554" s="101" t="str">
        <f>IFERROR(__xludf.DUMMYFUNCTION("""COMPUTED_VALUE"""),"")</f>
        <v/>
      </c>
      <c r="I554" s="67" t="str">
        <f>IFERROR(__xludf.DUMMYFUNCTION("""COMPUTED_VALUE"""),"")</f>
        <v/>
      </c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/>
      <c r="DN554" s="18"/>
      <c r="DO554" s="18"/>
      <c r="DP554" s="18"/>
      <c r="DQ554" s="18"/>
      <c r="DR554" s="18"/>
      <c r="DS554" s="18"/>
      <c r="DT554" s="18"/>
      <c r="DU554" s="18"/>
      <c r="DV554" s="18"/>
      <c r="DW554" s="18"/>
      <c r="DX554" s="18"/>
      <c r="DY554" s="18"/>
      <c r="DZ554" s="18"/>
      <c r="EA554" s="18"/>
      <c r="EB554" s="18"/>
      <c r="EC554" s="18"/>
      <c r="ED554" s="18"/>
      <c r="EE554" s="18"/>
      <c r="EF554" s="18"/>
      <c r="EG554" s="18"/>
      <c r="EH554" s="18"/>
      <c r="EI554" s="18"/>
      <c r="EJ554" s="18"/>
      <c r="EK554" s="18"/>
      <c r="EL554" s="18"/>
      <c r="EM554" s="18"/>
      <c r="EN554" s="18"/>
      <c r="EO554" s="18"/>
      <c r="EP554" s="18"/>
      <c r="EQ554" s="18"/>
      <c r="ER554" s="18"/>
      <c r="ES554" s="18"/>
      <c r="ET554" s="18"/>
      <c r="EU554" s="18"/>
      <c r="EV554" s="18"/>
      <c r="EW554" s="18"/>
      <c r="EX554" s="18"/>
    </row>
    <row r="555">
      <c r="A555" s="101"/>
      <c r="B555" s="105"/>
      <c r="C555" s="105"/>
      <c r="D555" s="106"/>
      <c r="E555" s="110"/>
      <c r="F555" s="92"/>
      <c r="G555" s="18"/>
      <c r="H555" s="101" t="str">
        <f>IFERROR(__xludf.DUMMYFUNCTION("""COMPUTED_VALUE"""),"")</f>
        <v/>
      </c>
      <c r="I555" s="67" t="str">
        <f>IFERROR(__xludf.DUMMYFUNCTION("""COMPUTED_VALUE"""),"")</f>
        <v/>
      </c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/>
      <c r="DN555" s="18"/>
      <c r="DO555" s="18"/>
      <c r="DP555" s="18"/>
      <c r="DQ555" s="18"/>
      <c r="DR555" s="18"/>
      <c r="DS555" s="18"/>
      <c r="DT555" s="18"/>
      <c r="DU555" s="18"/>
      <c r="DV555" s="18"/>
      <c r="DW555" s="18"/>
      <c r="DX555" s="18"/>
      <c r="DY555" s="18"/>
      <c r="DZ555" s="18"/>
      <c r="EA555" s="18"/>
      <c r="EB555" s="18"/>
      <c r="EC555" s="18"/>
      <c r="ED555" s="18"/>
      <c r="EE555" s="18"/>
      <c r="EF555" s="18"/>
      <c r="EG555" s="18"/>
      <c r="EH555" s="18"/>
      <c r="EI555" s="18"/>
      <c r="EJ555" s="18"/>
      <c r="EK555" s="18"/>
      <c r="EL555" s="18"/>
      <c r="EM555" s="18"/>
      <c r="EN555" s="18"/>
      <c r="EO555" s="18"/>
      <c r="EP555" s="18"/>
      <c r="EQ555" s="18"/>
      <c r="ER555" s="18"/>
      <c r="ES555" s="18"/>
      <c r="ET555" s="18"/>
      <c r="EU555" s="18"/>
      <c r="EV555" s="18"/>
      <c r="EW555" s="18"/>
      <c r="EX555" s="18"/>
    </row>
    <row r="556">
      <c r="A556" s="101"/>
      <c r="B556" s="105"/>
      <c r="C556" s="105"/>
      <c r="D556" s="106"/>
      <c r="E556" s="110"/>
      <c r="F556" s="92"/>
      <c r="G556" s="18"/>
      <c r="H556" s="101" t="str">
        <f>IFERROR(__xludf.DUMMYFUNCTION("""COMPUTED_VALUE"""),"")</f>
        <v/>
      </c>
      <c r="I556" s="67" t="str">
        <f>IFERROR(__xludf.DUMMYFUNCTION("""COMPUTED_VALUE"""),"")</f>
        <v/>
      </c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/>
      <c r="DN556" s="18"/>
      <c r="DO556" s="18"/>
      <c r="DP556" s="18"/>
      <c r="DQ556" s="18"/>
      <c r="DR556" s="18"/>
      <c r="DS556" s="18"/>
      <c r="DT556" s="18"/>
      <c r="DU556" s="18"/>
      <c r="DV556" s="18"/>
      <c r="DW556" s="18"/>
      <c r="DX556" s="18"/>
      <c r="DY556" s="18"/>
      <c r="DZ556" s="18"/>
      <c r="EA556" s="18"/>
      <c r="EB556" s="18"/>
      <c r="EC556" s="18"/>
      <c r="ED556" s="18"/>
      <c r="EE556" s="18"/>
      <c r="EF556" s="18"/>
      <c r="EG556" s="18"/>
      <c r="EH556" s="18"/>
      <c r="EI556" s="18"/>
      <c r="EJ556" s="18"/>
      <c r="EK556" s="18"/>
      <c r="EL556" s="18"/>
      <c r="EM556" s="18"/>
      <c r="EN556" s="18"/>
      <c r="EO556" s="18"/>
      <c r="EP556" s="18"/>
      <c r="EQ556" s="18"/>
      <c r="ER556" s="18"/>
      <c r="ES556" s="18"/>
      <c r="ET556" s="18"/>
      <c r="EU556" s="18"/>
      <c r="EV556" s="18"/>
      <c r="EW556" s="18"/>
      <c r="EX556" s="18"/>
    </row>
    <row r="557">
      <c r="A557" s="101"/>
      <c r="B557" s="105"/>
      <c r="C557" s="105"/>
      <c r="D557" s="106"/>
      <c r="E557" s="110"/>
      <c r="F557" s="92"/>
      <c r="G557" s="18"/>
      <c r="H557" s="101" t="str">
        <f>IFERROR(__xludf.DUMMYFUNCTION("""COMPUTED_VALUE"""),"")</f>
        <v/>
      </c>
      <c r="I557" s="67" t="str">
        <f>IFERROR(__xludf.DUMMYFUNCTION("""COMPUTED_VALUE"""),"")</f>
        <v/>
      </c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/>
      <c r="DN557" s="18"/>
      <c r="DO557" s="18"/>
      <c r="DP557" s="18"/>
      <c r="DQ557" s="18"/>
      <c r="DR557" s="18"/>
      <c r="DS557" s="18"/>
      <c r="DT557" s="18"/>
      <c r="DU557" s="18"/>
      <c r="DV557" s="18"/>
      <c r="DW557" s="18"/>
      <c r="DX557" s="18"/>
      <c r="DY557" s="18"/>
      <c r="DZ557" s="18"/>
      <c r="EA557" s="18"/>
      <c r="EB557" s="18"/>
      <c r="EC557" s="18"/>
      <c r="ED557" s="18"/>
      <c r="EE557" s="18"/>
      <c r="EF557" s="18"/>
      <c r="EG557" s="18"/>
      <c r="EH557" s="18"/>
      <c r="EI557" s="18"/>
      <c r="EJ557" s="18"/>
      <c r="EK557" s="18"/>
      <c r="EL557" s="18"/>
      <c r="EM557" s="18"/>
      <c r="EN557" s="18"/>
      <c r="EO557" s="18"/>
      <c r="EP557" s="18"/>
      <c r="EQ557" s="18"/>
      <c r="ER557" s="18"/>
      <c r="ES557" s="18"/>
      <c r="ET557" s="18"/>
      <c r="EU557" s="18"/>
      <c r="EV557" s="18"/>
      <c r="EW557" s="18"/>
      <c r="EX557" s="18"/>
    </row>
    <row r="558">
      <c r="A558" s="101"/>
      <c r="B558" s="105"/>
      <c r="C558" s="105"/>
      <c r="D558" s="106"/>
      <c r="E558" s="110"/>
      <c r="F558" s="92"/>
      <c r="G558" s="18"/>
      <c r="H558" s="101" t="str">
        <f>IFERROR(__xludf.DUMMYFUNCTION("""COMPUTED_VALUE"""),"")</f>
        <v/>
      </c>
      <c r="I558" s="67" t="str">
        <f>IFERROR(__xludf.DUMMYFUNCTION("""COMPUTED_VALUE"""),"")</f>
        <v/>
      </c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/>
      <c r="DN558" s="18"/>
      <c r="DO558" s="18"/>
      <c r="DP558" s="18"/>
      <c r="DQ558" s="18"/>
      <c r="DR558" s="18"/>
      <c r="DS558" s="18"/>
      <c r="DT558" s="18"/>
      <c r="DU558" s="18"/>
      <c r="DV558" s="18"/>
      <c r="DW558" s="18"/>
      <c r="DX558" s="18"/>
      <c r="DY558" s="18"/>
      <c r="DZ558" s="18"/>
      <c r="EA558" s="18"/>
      <c r="EB558" s="18"/>
      <c r="EC558" s="18"/>
      <c r="ED558" s="18"/>
      <c r="EE558" s="18"/>
      <c r="EF558" s="18"/>
      <c r="EG558" s="18"/>
      <c r="EH558" s="18"/>
      <c r="EI558" s="18"/>
      <c r="EJ558" s="18"/>
      <c r="EK558" s="18"/>
      <c r="EL558" s="18"/>
      <c r="EM558" s="18"/>
      <c r="EN558" s="18"/>
      <c r="EO558" s="18"/>
      <c r="EP558" s="18"/>
      <c r="EQ558" s="18"/>
      <c r="ER558" s="18"/>
      <c r="ES558" s="18"/>
      <c r="ET558" s="18"/>
      <c r="EU558" s="18"/>
      <c r="EV558" s="18"/>
      <c r="EW558" s="18"/>
      <c r="EX558" s="18"/>
    </row>
    <row r="559">
      <c r="A559" s="101"/>
      <c r="B559" s="105"/>
      <c r="C559" s="105"/>
      <c r="D559" s="106"/>
      <c r="E559" s="110"/>
      <c r="F559" s="92"/>
      <c r="G559" s="18"/>
      <c r="H559" s="101" t="str">
        <f>IFERROR(__xludf.DUMMYFUNCTION("""COMPUTED_VALUE"""),"")</f>
        <v/>
      </c>
      <c r="I559" s="67" t="str">
        <f>IFERROR(__xludf.DUMMYFUNCTION("""COMPUTED_VALUE"""),"")</f>
        <v/>
      </c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/>
      <c r="DN559" s="18"/>
      <c r="DO559" s="18"/>
      <c r="DP559" s="18"/>
      <c r="DQ559" s="18"/>
      <c r="DR559" s="18"/>
      <c r="DS559" s="18"/>
      <c r="DT559" s="18"/>
      <c r="DU559" s="18"/>
      <c r="DV559" s="18"/>
      <c r="DW559" s="18"/>
      <c r="DX559" s="18"/>
      <c r="DY559" s="18"/>
      <c r="DZ559" s="18"/>
      <c r="EA559" s="18"/>
      <c r="EB559" s="18"/>
      <c r="EC559" s="18"/>
      <c r="ED559" s="18"/>
      <c r="EE559" s="18"/>
      <c r="EF559" s="18"/>
      <c r="EG559" s="18"/>
      <c r="EH559" s="18"/>
      <c r="EI559" s="18"/>
      <c r="EJ559" s="18"/>
      <c r="EK559" s="18"/>
      <c r="EL559" s="18"/>
      <c r="EM559" s="18"/>
      <c r="EN559" s="18"/>
      <c r="EO559" s="18"/>
      <c r="EP559" s="18"/>
      <c r="EQ559" s="18"/>
      <c r="ER559" s="18"/>
      <c r="ES559" s="18"/>
      <c r="ET559" s="18"/>
      <c r="EU559" s="18"/>
      <c r="EV559" s="18"/>
      <c r="EW559" s="18"/>
      <c r="EX559" s="18"/>
    </row>
    <row r="560">
      <c r="A560" s="101"/>
      <c r="B560" s="105"/>
      <c r="C560" s="105"/>
      <c r="D560" s="106"/>
      <c r="E560" s="110"/>
      <c r="F560" s="92"/>
      <c r="G560" s="18"/>
      <c r="H560" s="101" t="str">
        <f>IFERROR(__xludf.DUMMYFUNCTION("""COMPUTED_VALUE"""),"")</f>
        <v/>
      </c>
      <c r="I560" s="67" t="str">
        <f>IFERROR(__xludf.DUMMYFUNCTION("""COMPUTED_VALUE"""),"")</f>
        <v/>
      </c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/>
      <c r="DN560" s="18"/>
      <c r="DO560" s="18"/>
      <c r="DP560" s="18"/>
      <c r="DQ560" s="18"/>
      <c r="DR560" s="18"/>
      <c r="DS560" s="18"/>
      <c r="DT560" s="18"/>
      <c r="DU560" s="18"/>
      <c r="DV560" s="18"/>
      <c r="DW560" s="18"/>
      <c r="DX560" s="18"/>
      <c r="DY560" s="18"/>
      <c r="DZ560" s="18"/>
      <c r="EA560" s="18"/>
      <c r="EB560" s="18"/>
      <c r="EC560" s="18"/>
      <c r="ED560" s="18"/>
      <c r="EE560" s="18"/>
      <c r="EF560" s="18"/>
      <c r="EG560" s="18"/>
      <c r="EH560" s="18"/>
      <c r="EI560" s="18"/>
      <c r="EJ560" s="18"/>
      <c r="EK560" s="18"/>
      <c r="EL560" s="18"/>
      <c r="EM560" s="18"/>
      <c r="EN560" s="18"/>
      <c r="EO560" s="18"/>
      <c r="EP560" s="18"/>
      <c r="EQ560" s="18"/>
      <c r="ER560" s="18"/>
      <c r="ES560" s="18"/>
      <c r="ET560" s="18"/>
      <c r="EU560" s="18"/>
      <c r="EV560" s="18"/>
      <c r="EW560" s="18"/>
      <c r="EX560" s="18"/>
    </row>
    <row r="561">
      <c r="A561" s="101"/>
      <c r="B561" s="105"/>
      <c r="C561" s="105"/>
      <c r="D561" s="106"/>
      <c r="E561" s="110"/>
      <c r="F561" s="92"/>
      <c r="G561" s="18"/>
      <c r="H561" s="101" t="str">
        <f>IFERROR(__xludf.DUMMYFUNCTION("""COMPUTED_VALUE"""),"")</f>
        <v/>
      </c>
      <c r="I561" s="67" t="str">
        <f>IFERROR(__xludf.DUMMYFUNCTION("""COMPUTED_VALUE"""),"")</f>
        <v/>
      </c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/>
      <c r="DN561" s="18"/>
      <c r="DO561" s="18"/>
      <c r="DP561" s="18"/>
      <c r="DQ561" s="18"/>
      <c r="DR561" s="18"/>
      <c r="DS561" s="18"/>
      <c r="DT561" s="18"/>
      <c r="DU561" s="18"/>
      <c r="DV561" s="18"/>
      <c r="DW561" s="18"/>
      <c r="DX561" s="18"/>
      <c r="DY561" s="18"/>
      <c r="DZ561" s="18"/>
      <c r="EA561" s="18"/>
      <c r="EB561" s="18"/>
      <c r="EC561" s="18"/>
      <c r="ED561" s="18"/>
      <c r="EE561" s="18"/>
      <c r="EF561" s="18"/>
      <c r="EG561" s="18"/>
      <c r="EH561" s="18"/>
      <c r="EI561" s="18"/>
      <c r="EJ561" s="18"/>
      <c r="EK561" s="18"/>
      <c r="EL561" s="18"/>
      <c r="EM561" s="18"/>
      <c r="EN561" s="18"/>
      <c r="EO561" s="18"/>
      <c r="EP561" s="18"/>
      <c r="EQ561" s="18"/>
      <c r="ER561" s="18"/>
      <c r="ES561" s="18"/>
      <c r="ET561" s="18"/>
      <c r="EU561" s="18"/>
      <c r="EV561" s="18"/>
      <c r="EW561" s="18"/>
      <c r="EX561" s="18"/>
    </row>
    <row r="562">
      <c r="A562" s="101"/>
      <c r="B562" s="105"/>
      <c r="C562" s="105"/>
      <c r="D562" s="106"/>
      <c r="E562" s="110"/>
      <c r="F562" s="92"/>
      <c r="G562" s="18"/>
      <c r="H562" s="101" t="str">
        <f>IFERROR(__xludf.DUMMYFUNCTION("""COMPUTED_VALUE"""),"")</f>
        <v/>
      </c>
      <c r="I562" s="67" t="str">
        <f>IFERROR(__xludf.DUMMYFUNCTION("""COMPUTED_VALUE"""),"")</f>
        <v/>
      </c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/>
      <c r="DN562" s="18"/>
      <c r="DO562" s="18"/>
      <c r="DP562" s="18"/>
      <c r="DQ562" s="18"/>
      <c r="DR562" s="18"/>
      <c r="DS562" s="18"/>
      <c r="DT562" s="18"/>
      <c r="DU562" s="18"/>
      <c r="DV562" s="18"/>
      <c r="DW562" s="18"/>
      <c r="DX562" s="18"/>
      <c r="DY562" s="18"/>
      <c r="DZ562" s="18"/>
      <c r="EA562" s="18"/>
      <c r="EB562" s="18"/>
      <c r="EC562" s="18"/>
      <c r="ED562" s="18"/>
      <c r="EE562" s="18"/>
      <c r="EF562" s="18"/>
      <c r="EG562" s="18"/>
      <c r="EH562" s="18"/>
      <c r="EI562" s="18"/>
      <c r="EJ562" s="18"/>
      <c r="EK562" s="18"/>
      <c r="EL562" s="18"/>
      <c r="EM562" s="18"/>
      <c r="EN562" s="18"/>
      <c r="EO562" s="18"/>
      <c r="EP562" s="18"/>
      <c r="EQ562" s="18"/>
      <c r="ER562" s="18"/>
      <c r="ES562" s="18"/>
      <c r="ET562" s="18"/>
      <c r="EU562" s="18"/>
      <c r="EV562" s="18"/>
      <c r="EW562" s="18"/>
      <c r="EX562" s="18"/>
    </row>
    <row r="563">
      <c r="A563" s="101"/>
      <c r="B563" s="105"/>
      <c r="C563" s="105"/>
      <c r="D563" s="106"/>
      <c r="E563" s="110"/>
      <c r="F563" s="92"/>
      <c r="G563" s="18"/>
      <c r="H563" s="101" t="str">
        <f>IFERROR(__xludf.DUMMYFUNCTION("""COMPUTED_VALUE"""),"")</f>
        <v/>
      </c>
      <c r="I563" s="67" t="str">
        <f>IFERROR(__xludf.DUMMYFUNCTION("""COMPUTED_VALUE"""),"")</f>
        <v/>
      </c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/>
      <c r="DN563" s="18"/>
      <c r="DO563" s="18"/>
      <c r="DP563" s="18"/>
      <c r="DQ563" s="18"/>
      <c r="DR563" s="18"/>
      <c r="DS563" s="18"/>
      <c r="DT563" s="18"/>
      <c r="DU563" s="18"/>
      <c r="DV563" s="18"/>
      <c r="DW563" s="18"/>
      <c r="DX563" s="18"/>
      <c r="DY563" s="18"/>
      <c r="DZ563" s="18"/>
      <c r="EA563" s="18"/>
      <c r="EB563" s="18"/>
      <c r="EC563" s="18"/>
      <c r="ED563" s="18"/>
      <c r="EE563" s="18"/>
      <c r="EF563" s="18"/>
      <c r="EG563" s="18"/>
      <c r="EH563" s="18"/>
      <c r="EI563" s="18"/>
      <c r="EJ563" s="18"/>
      <c r="EK563" s="18"/>
      <c r="EL563" s="18"/>
      <c r="EM563" s="18"/>
      <c r="EN563" s="18"/>
      <c r="EO563" s="18"/>
      <c r="EP563" s="18"/>
      <c r="EQ563" s="18"/>
      <c r="ER563" s="18"/>
      <c r="ES563" s="18"/>
      <c r="ET563" s="18"/>
      <c r="EU563" s="18"/>
      <c r="EV563" s="18"/>
      <c r="EW563" s="18"/>
      <c r="EX563" s="18"/>
    </row>
    <row r="564">
      <c r="A564" s="101"/>
      <c r="B564" s="105"/>
      <c r="C564" s="105"/>
      <c r="D564" s="106"/>
      <c r="E564" s="110"/>
      <c r="F564" s="92"/>
      <c r="G564" s="18"/>
      <c r="H564" s="101" t="str">
        <f>IFERROR(__xludf.DUMMYFUNCTION("""COMPUTED_VALUE"""),"")</f>
        <v/>
      </c>
      <c r="I564" s="67" t="str">
        <f>IFERROR(__xludf.DUMMYFUNCTION("""COMPUTED_VALUE"""),"")</f>
        <v/>
      </c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/>
      <c r="DN564" s="18"/>
      <c r="DO564" s="18"/>
      <c r="DP564" s="18"/>
      <c r="DQ564" s="18"/>
      <c r="DR564" s="18"/>
      <c r="DS564" s="18"/>
      <c r="DT564" s="18"/>
      <c r="DU564" s="18"/>
      <c r="DV564" s="18"/>
      <c r="DW564" s="18"/>
      <c r="DX564" s="18"/>
      <c r="DY564" s="18"/>
      <c r="DZ564" s="18"/>
      <c r="EA564" s="18"/>
      <c r="EB564" s="18"/>
      <c r="EC564" s="18"/>
      <c r="ED564" s="18"/>
      <c r="EE564" s="18"/>
      <c r="EF564" s="18"/>
      <c r="EG564" s="18"/>
      <c r="EH564" s="18"/>
      <c r="EI564" s="18"/>
      <c r="EJ564" s="18"/>
      <c r="EK564" s="18"/>
      <c r="EL564" s="18"/>
      <c r="EM564" s="18"/>
      <c r="EN564" s="18"/>
      <c r="EO564" s="18"/>
      <c r="EP564" s="18"/>
      <c r="EQ564" s="18"/>
      <c r="ER564" s="18"/>
      <c r="ES564" s="18"/>
      <c r="ET564" s="18"/>
      <c r="EU564" s="18"/>
      <c r="EV564" s="18"/>
      <c r="EW564" s="18"/>
      <c r="EX564" s="18"/>
    </row>
    <row r="565">
      <c r="A565" s="101"/>
      <c r="B565" s="105"/>
      <c r="C565" s="105"/>
      <c r="D565" s="106"/>
      <c r="E565" s="110"/>
      <c r="F565" s="92"/>
      <c r="G565" s="18"/>
      <c r="H565" s="101" t="str">
        <f>IFERROR(__xludf.DUMMYFUNCTION("""COMPUTED_VALUE"""),"")</f>
        <v/>
      </c>
      <c r="I565" s="67" t="str">
        <f>IFERROR(__xludf.DUMMYFUNCTION("""COMPUTED_VALUE"""),"")</f>
        <v/>
      </c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/>
      <c r="DN565" s="18"/>
      <c r="DO565" s="18"/>
      <c r="DP565" s="18"/>
      <c r="DQ565" s="18"/>
      <c r="DR565" s="18"/>
      <c r="DS565" s="18"/>
      <c r="DT565" s="18"/>
      <c r="DU565" s="18"/>
      <c r="DV565" s="18"/>
      <c r="DW565" s="18"/>
      <c r="DX565" s="18"/>
      <c r="DY565" s="18"/>
      <c r="DZ565" s="18"/>
      <c r="EA565" s="18"/>
      <c r="EB565" s="18"/>
      <c r="EC565" s="18"/>
      <c r="ED565" s="18"/>
      <c r="EE565" s="18"/>
      <c r="EF565" s="18"/>
      <c r="EG565" s="18"/>
      <c r="EH565" s="18"/>
      <c r="EI565" s="18"/>
      <c r="EJ565" s="18"/>
      <c r="EK565" s="18"/>
      <c r="EL565" s="18"/>
      <c r="EM565" s="18"/>
      <c r="EN565" s="18"/>
      <c r="EO565" s="18"/>
      <c r="EP565" s="18"/>
      <c r="EQ565" s="18"/>
      <c r="ER565" s="18"/>
      <c r="ES565" s="18"/>
      <c r="ET565" s="18"/>
      <c r="EU565" s="18"/>
      <c r="EV565" s="18"/>
      <c r="EW565" s="18"/>
      <c r="EX565" s="18"/>
    </row>
    <row r="566">
      <c r="A566" s="101"/>
      <c r="B566" s="105"/>
      <c r="C566" s="105"/>
      <c r="D566" s="106"/>
      <c r="E566" s="110"/>
      <c r="F566" s="92"/>
      <c r="G566" s="18"/>
      <c r="H566" s="101" t="str">
        <f>IFERROR(__xludf.DUMMYFUNCTION("""COMPUTED_VALUE"""),"")</f>
        <v/>
      </c>
      <c r="I566" s="67" t="str">
        <f>IFERROR(__xludf.DUMMYFUNCTION("""COMPUTED_VALUE"""),"")</f>
        <v/>
      </c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/>
      <c r="DN566" s="18"/>
      <c r="DO566" s="18"/>
      <c r="DP566" s="18"/>
      <c r="DQ566" s="18"/>
      <c r="DR566" s="18"/>
      <c r="DS566" s="18"/>
      <c r="DT566" s="18"/>
      <c r="DU566" s="18"/>
      <c r="DV566" s="18"/>
      <c r="DW566" s="18"/>
      <c r="DX566" s="18"/>
      <c r="DY566" s="18"/>
      <c r="DZ566" s="18"/>
      <c r="EA566" s="18"/>
      <c r="EB566" s="18"/>
      <c r="EC566" s="18"/>
      <c r="ED566" s="18"/>
      <c r="EE566" s="18"/>
      <c r="EF566" s="18"/>
      <c r="EG566" s="18"/>
      <c r="EH566" s="18"/>
      <c r="EI566" s="18"/>
      <c r="EJ566" s="18"/>
      <c r="EK566" s="18"/>
      <c r="EL566" s="18"/>
      <c r="EM566" s="18"/>
      <c r="EN566" s="18"/>
      <c r="EO566" s="18"/>
      <c r="EP566" s="18"/>
      <c r="EQ566" s="18"/>
      <c r="ER566" s="18"/>
      <c r="ES566" s="18"/>
      <c r="ET566" s="18"/>
      <c r="EU566" s="18"/>
      <c r="EV566" s="18"/>
      <c r="EW566" s="18"/>
      <c r="EX566" s="18"/>
    </row>
    <row r="567">
      <c r="A567" s="101"/>
      <c r="B567" s="105"/>
      <c r="C567" s="105"/>
      <c r="D567" s="106"/>
      <c r="E567" s="110"/>
      <c r="F567" s="92"/>
      <c r="G567" s="18"/>
      <c r="H567" s="101" t="str">
        <f>IFERROR(__xludf.DUMMYFUNCTION("""COMPUTED_VALUE"""),"")</f>
        <v/>
      </c>
      <c r="I567" s="67" t="str">
        <f>IFERROR(__xludf.DUMMYFUNCTION("""COMPUTED_VALUE"""),"")</f>
        <v/>
      </c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/>
      <c r="DN567" s="18"/>
      <c r="DO567" s="18"/>
      <c r="DP567" s="18"/>
      <c r="DQ567" s="18"/>
      <c r="DR567" s="18"/>
      <c r="DS567" s="18"/>
      <c r="DT567" s="18"/>
      <c r="DU567" s="18"/>
      <c r="DV567" s="18"/>
      <c r="DW567" s="18"/>
      <c r="DX567" s="18"/>
      <c r="DY567" s="18"/>
      <c r="DZ567" s="18"/>
      <c r="EA567" s="18"/>
      <c r="EB567" s="18"/>
      <c r="EC567" s="18"/>
      <c r="ED567" s="18"/>
      <c r="EE567" s="18"/>
      <c r="EF567" s="18"/>
      <c r="EG567" s="18"/>
      <c r="EH567" s="18"/>
      <c r="EI567" s="18"/>
      <c r="EJ567" s="18"/>
      <c r="EK567" s="18"/>
      <c r="EL567" s="18"/>
      <c r="EM567" s="18"/>
      <c r="EN567" s="18"/>
      <c r="EO567" s="18"/>
      <c r="EP567" s="18"/>
      <c r="EQ567" s="18"/>
      <c r="ER567" s="18"/>
      <c r="ES567" s="18"/>
      <c r="ET567" s="18"/>
      <c r="EU567" s="18"/>
      <c r="EV567" s="18"/>
      <c r="EW567" s="18"/>
      <c r="EX567" s="18"/>
    </row>
    <row r="568">
      <c r="A568" s="101"/>
      <c r="B568" s="105"/>
      <c r="C568" s="105"/>
      <c r="D568" s="106"/>
      <c r="E568" s="110"/>
      <c r="F568" s="92"/>
      <c r="G568" s="18"/>
      <c r="H568" s="101" t="str">
        <f>IFERROR(__xludf.DUMMYFUNCTION("""COMPUTED_VALUE"""),"")</f>
        <v/>
      </c>
      <c r="I568" s="67" t="str">
        <f>IFERROR(__xludf.DUMMYFUNCTION("""COMPUTED_VALUE"""),"")</f>
        <v/>
      </c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/>
      <c r="DN568" s="18"/>
      <c r="DO568" s="18"/>
      <c r="DP568" s="18"/>
      <c r="DQ568" s="18"/>
      <c r="DR568" s="18"/>
      <c r="DS568" s="18"/>
      <c r="DT568" s="18"/>
      <c r="DU568" s="18"/>
      <c r="DV568" s="18"/>
      <c r="DW568" s="18"/>
      <c r="DX568" s="18"/>
      <c r="DY568" s="18"/>
      <c r="DZ568" s="18"/>
      <c r="EA568" s="18"/>
      <c r="EB568" s="18"/>
      <c r="EC568" s="18"/>
      <c r="ED568" s="18"/>
      <c r="EE568" s="18"/>
      <c r="EF568" s="18"/>
      <c r="EG568" s="18"/>
      <c r="EH568" s="18"/>
      <c r="EI568" s="18"/>
      <c r="EJ568" s="18"/>
      <c r="EK568" s="18"/>
      <c r="EL568" s="18"/>
      <c r="EM568" s="18"/>
      <c r="EN568" s="18"/>
      <c r="EO568" s="18"/>
      <c r="EP568" s="18"/>
      <c r="EQ568" s="18"/>
      <c r="ER568" s="18"/>
      <c r="ES568" s="18"/>
      <c r="ET568" s="18"/>
      <c r="EU568" s="18"/>
      <c r="EV568" s="18"/>
      <c r="EW568" s="18"/>
      <c r="EX568" s="18"/>
    </row>
    <row r="569">
      <c r="A569" s="101"/>
      <c r="B569" s="105"/>
      <c r="C569" s="105"/>
      <c r="D569" s="106"/>
      <c r="E569" s="110"/>
      <c r="F569" s="92"/>
      <c r="G569" s="18"/>
      <c r="H569" s="101" t="str">
        <f>IFERROR(__xludf.DUMMYFUNCTION("""COMPUTED_VALUE"""),"")</f>
        <v/>
      </c>
      <c r="I569" s="67" t="str">
        <f>IFERROR(__xludf.DUMMYFUNCTION("""COMPUTED_VALUE"""),"")</f>
        <v/>
      </c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/>
      <c r="DN569" s="18"/>
      <c r="DO569" s="18"/>
      <c r="DP569" s="18"/>
      <c r="DQ569" s="18"/>
      <c r="DR569" s="18"/>
      <c r="DS569" s="18"/>
      <c r="DT569" s="18"/>
      <c r="DU569" s="18"/>
      <c r="DV569" s="18"/>
      <c r="DW569" s="18"/>
      <c r="DX569" s="18"/>
      <c r="DY569" s="18"/>
      <c r="DZ569" s="18"/>
      <c r="EA569" s="18"/>
      <c r="EB569" s="18"/>
      <c r="EC569" s="18"/>
      <c r="ED569" s="18"/>
      <c r="EE569" s="18"/>
      <c r="EF569" s="18"/>
      <c r="EG569" s="18"/>
      <c r="EH569" s="18"/>
      <c r="EI569" s="18"/>
      <c r="EJ569" s="18"/>
      <c r="EK569" s="18"/>
      <c r="EL569" s="18"/>
      <c r="EM569" s="18"/>
      <c r="EN569" s="18"/>
      <c r="EO569" s="18"/>
      <c r="EP569" s="18"/>
      <c r="EQ569" s="18"/>
      <c r="ER569" s="18"/>
      <c r="ES569" s="18"/>
      <c r="ET569" s="18"/>
      <c r="EU569" s="18"/>
      <c r="EV569" s="18"/>
      <c r="EW569" s="18"/>
      <c r="EX569" s="18"/>
    </row>
    <row r="570">
      <c r="A570" s="101"/>
      <c r="B570" s="105"/>
      <c r="C570" s="105"/>
      <c r="D570" s="106"/>
      <c r="E570" s="110"/>
      <c r="F570" s="92"/>
      <c r="G570" s="18"/>
      <c r="H570" s="101" t="str">
        <f>IFERROR(__xludf.DUMMYFUNCTION("""COMPUTED_VALUE"""),"")</f>
        <v/>
      </c>
      <c r="I570" s="67" t="str">
        <f>IFERROR(__xludf.DUMMYFUNCTION("""COMPUTED_VALUE"""),"")</f>
        <v/>
      </c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/>
      <c r="DN570" s="18"/>
      <c r="DO570" s="18"/>
      <c r="DP570" s="18"/>
      <c r="DQ570" s="18"/>
      <c r="DR570" s="18"/>
      <c r="DS570" s="18"/>
      <c r="DT570" s="18"/>
      <c r="DU570" s="18"/>
      <c r="DV570" s="18"/>
      <c r="DW570" s="18"/>
      <c r="DX570" s="18"/>
      <c r="DY570" s="18"/>
      <c r="DZ570" s="18"/>
      <c r="EA570" s="18"/>
      <c r="EB570" s="18"/>
      <c r="EC570" s="18"/>
      <c r="ED570" s="18"/>
      <c r="EE570" s="18"/>
      <c r="EF570" s="18"/>
      <c r="EG570" s="18"/>
      <c r="EH570" s="18"/>
      <c r="EI570" s="18"/>
      <c r="EJ570" s="18"/>
      <c r="EK570" s="18"/>
      <c r="EL570" s="18"/>
      <c r="EM570" s="18"/>
      <c r="EN570" s="18"/>
      <c r="EO570" s="18"/>
      <c r="EP570" s="18"/>
      <c r="EQ570" s="18"/>
      <c r="ER570" s="18"/>
      <c r="ES570" s="18"/>
      <c r="ET570" s="18"/>
      <c r="EU570" s="18"/>
      <c r="EV570" s="18"/>
      <c r="EW570" s="18"/>
      <c r="EX570" s="18"/>
    </row>
    <row r="571">
      <c r="A571" s="101"/>
      <c r="B571" s="105"/>
      <c r="C571" s="105"/>
      <c r="D571" s="106"/>
      <c r="E571" s="110"/>
      <c r="F571" s="92"/>
      <c r="G571" s="18"/>
      <c r="H571" s="101" t="str">
        <f>IFERROR(__xludf.DUMMYFUNCTION("""COMPUTED_VALUE"""),"")</f>
        <v/>
      </c>
      <c r="I571" s="67" t="str">
        <f>IFERROR(__xludf.DUMMYFUNCTION("""COMPUTED_VALUE"""),"")</f>
        <v/>
      </c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/>
      <c r="DN571" s="18"/>
      <c r="DO571" s="18"/>
      <c r="DP571" s="18"/>
      <c r="DQ571" s="18"/>
      <c r="DR571" s="18"/>
      <c r="DS571" s="18"/>
      <c r="DT571" s="18"/>
      <c r="DU571" s="18"/>
      <c r="DV571" s="18"/>
      <c r="DW571" s="18"/>
      <c r="DX571" s="18"/>
      <c r="DY571" s="18"/>
      <c r="DZ571" s="18"/>
      <c r="EA571" s="18"/>
      <c r="EB571" s="18"/>
      <c r="EC571" s="18"/>
      <c r="ED571" s="18"/>
      <c r="EE571" s="18"/>
      <c r="EF571" s="18"/>
      <c r="EG571" s="18"/>
      <c r="EH571" s="18"/>
      <c r="EI571" s="18"/>
      <c r="EJ571" s="18"/>
      <c r="EK571" s="18"/>
      <c r="EL571" s="18"/>
      <c r="EM571" s="18"/>
      <c r="EN571" s="18"/>
      <c r="EO571" s="18"/>
      <c r="EP571" s="18"/>
      <c r="EQ571" s="18"/>
      <c r="ER571" s="18"/>
      <c r="ES571" s="18"/>
      <c r="ET571" s="18"/>
      <c r="EU571" s="18"/>
      <c r="EV571" s="18"/>
      <c r="EW571" s="18"/>
      <c r="EX571" s="18"/>
    </row>
    <row r="572">
      <c r="A572" s="101"/>
      <c r="B572" s="105"/>
      <c r="C572" s="105"/>
      <c r="D572" s="106"/>
      <c r="E572" s="110"/>
      <c r="F572" s="92"/>
      <c r="G572" s="18"/>
      <c r="H572" s="101" t="str">
        <f>IFERROR(__xludf.DUMMYFUNCTION("""COMPUTED_VALUE"""),"")</f>
        <v/>
      </c>
      <c r="I572" s="67" t="str">
        <f>IFERROR(__xludf.DUMMYFUNCTION("""COMPUTED_VALUE"""),"")</f>
        <v/>
      </c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/>
      <c r="DN572" s="18"/>
      <c r="DO572" s="18"/>
      <c r="DP572" s="18"/>
      <c r="DQ572" s="18"/>
      <c r="DR572" s="18"/>
      <c r="DS572" s="18"/>
      <c r="DT572" s="18"/>
      <c r="DU572" s="18"/>
      <c r="DV572" s="18"/>
      <c r="DW572" s="18"/>
      <c r="DX572" s="18"/>
      <c r="DY572" s="18"/>
      <c r="DZ572" s="18"/>
      <c r="EA572" s="18"/>
      <c r="EB572" s="18"/>
      <c r="EC572" s="18"/>
      <c r="ED572" s="18"/>
      <c r="EE572" s="18"/>
      <c r="EF572" s="18"/>
      <c r="EG572" s="18"/>
      <c r="EH572" s="18"/>
      <c r="EI572" s="18"/>
      <c r="EJ572" s="18"/>
      <c r="EK572" s="18"/>
      <c r="EL572" s="18"/>
      <c r="EM572" s="18"/>
      <c r="EN572" s="18"/>
      <c r="EO572" s="18"/>
      <c r="EP572" s="18"/>
      <c r="EQ572" s="18"/>
      <c r="ER572" s="18"/>
      <c r="ES572" s="18"/>
      <c r="ET572" s="18"/>
      <c r="EU572" s="18"/>
      <c r="EV572" s="18"/>
      <c r="EW572" s="18"/>
      <c r="EX572" s="18"/>
    </row>
    <row r="573">
      <c r="A573" s="101"/>
      <c r="B573" s="105"/>
      <c r="C573" s="105"/>
      <c r="D573" s="106"/>
      <c r="E573" s="110"/>
      <c r="F573" s="92"/>
      <c r="G573" s="18"/>
      <c r="H573" s="101" t="str">
        <f>IFERROR(__xludf.DUMMYFUNCTION("""COMPUTED_VALUE"""),"")</f>
        <v/>
      </c>
      <c r="I573" s="67" t="str">
        <f>IFERROR(__xludf.DUMMYFUNCTION("""COMPUTED_VALUE"""),"")</f>
        <v/>
      </c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/>
      <c r="DN573" s="18"/>
      <c r="DO573" s="18"/>
      <c r="DP573" s="18"/>
      <c r="DQ573" s="18"/>
      <c r="DR573" s="18"/>
      <c r="DS573" s="18"/>
      <c r="DT573" s="18"/>
      <c r="DU573" s="18"/>
      <c r="DV573" s="18"/>
      <c r="DW573" s="18"/>
      <c r="DX573" s="18"/>
      <c r="DY573" s="18"/>
      <c r="DZ573" s="18"/>
      <c r="EA573" s="18"/>
      <c r="EB573" s="18"/>
      <c r="EC573" s="18"/>
      <c r="ED573" s="18"/>
      <c r="EE573" s="18"/>
      <c r="EF573" s="18"/>
      <c r="EG573" s="18"/>
      <c r="EH573" s="18"/>
      <c r="EI573" s="18"/>
      <c r="EJ573" s="18"/>
      <c r="EK573" s="18"/>
      <c r="EL573" s="18"/>
      <c r="EM573" s="18"/>
      <c r="EN573" s="18"/>
      <c r="EO573" s="18"/>
      <c r="EP573" s="18"/>
      <c r="EQ573" s="18"/>
      <c r="ER573" s="18"/>
      <c r="ES573" s="18"/>
      <c r="ET573" s="18"/>
      <c r="EU573" s="18"/>
      <c r="EV573" s="18"/>
      <c r="EW573" s="18"/>
      <c r="EX573" s="18"/>
    </row>
    <row r="574">
      <c r="A574" s="101"/>
      <c r="B574" s="105"/>
      <c r="C574" s="105"/>
      <c r="D574" s="106"/>
      <c r="E574" s="110"/>
      <c r="F574" s="92"/>
      <c r="G574" s="18"/>
      <c r="H574" s="101" t="str">
        <f>IFERROR(__xludf.DUMMYFUNCTION("""COMPUTED_VALUE"""),"")</f>
        <v/>
      </c>
      <c r="I574" s="67" t="str">
        <f>IFERROR(__xludf.DUMMYFUNCTION("""COMPUTED_VALUE"""),"")</f>
        <v/>
      </c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/>
      <c r="DN574" s="18"/>
      <c r="DO574" s="18"/>
      <c r="DP574" s="18"/>
      <c r="DQ574" s="18"/>
      <c r="DR574" s="18"/>
      <c r="DS574" s="18"/>
      <c r="DT574" s="18"/>
      <c r="DU574" s="18"/>
      <c r="DV574" s="18"/>
      <c r="DW574" s="18"/>
      <c r="DX574" s="18"/>
      <c r="DY574" s="18"/>
      <c r="DZ574" s="18"/>
      <c r="EA574" s="18"/>
      <c r="EB574" s="18"/>
      <c r="EC574" s="18"/>
      <c r="ED574" s="18"/>
      <c r="EE574" s="18"/>
      <c r="EF574" s="18"/>
      <c r="EG574" s="18"/>
      <c r="EH574" s="18"/>
      <c r="EI574" s="18"/>
      <c r="EJ574" s="18"/>
      <c r="EK574" s="18"/>
      <c r="EL574" s="18"/>
      <c r="EM574" s="18"/>
      <c r="EN574" s="18"/>
      <c r="EO574" s="18"/>
      <c r="EP574" s="18"/>
      <c r="EQ574" s="18"/>
      <c r="ER574" s="18"/>
      <c r="ES574" s="18"/>
      <c r="ET574" s="18"/>
      <c r="EU574" s="18"/>
      <c r="EV574" s="18"/>
      <c r="EW574" s="18"/>
      <c r="EX574" s="18"/>
    </row>
    <row r="575">
      <c r="A575" s="101"/>
      <c r="B575" s="105"/>
      <c r="C575" s="105"/>
      <c r="D575" s="106"/>
      <c r="E575" s="110"/>
      <c r="F575" s="92"/>
      <c r="G575" s="18"/>
      <c r="H575" s="101" t="str">
        <f>IFERROR(__xludf.DUMMYFUNCTION("""COMPUTED_VALUE"""),"")</f>
        <v/>
      </c>
      <c r="I575" s="67" t="str">
        <f>IFERROR(__xludf.DUMMYFUNCTION("""COMPUTED_VALUE"""),"")</f>
        <v/>
      </c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/>
      <c r="DN575" s="18"/>
      <c r="DO575" s="18"/>
      <c r="DP575" s="18"/>
      <c r="DQ575" s="18"/>
      <c r="DR575" s="18"/>
      <c r="DS575" s="18"/>
      <c r="DT575" s="18"/>
      <c r="DU575" s="18"/>
      <c r="DV575" s="18"/>
      <c r="DW575" s="18"/>
      <c r="DX575" s="18"/>
      <c r="DY575" s="18"/>
      <c r="DZ575" s="18"/>
      <c r="EA575" s="18"/>
      <c r="EB575" s="18"/>
      <c r="EC575" s="18"/>
      <c r="ED575" s="18"/>
      <c r="EE575" s="18"/>
      <c r="EF575" s="18"/>
      <c r="EG575" s="18"/>
      <c r="EH575" s="18"/>
      <c r="EI575" s="18"/>
      <c r="EJ575" s="18"/>
      <c r="EK575" s="18"/>
      <c r="EL575" s="18"/>
      <c r="EM575" s="18"/>
      <c r="EN575" s="18"/>
      <c r="EO575" s="18"/>
      <c r="EP575" s="18"/>
      <c r="EQ575" s="18"/>
      <c r="ER575" s="18"/>
      <c r="ES575" s="18"/>
      <c r="ET575" s="18"/>
      <c r="EU575" s="18"/>
      <c r="EV575" s="18"/>
      <c r="EW575" s="18"/>
      <c r="EX575" s="18"/>
    </row>
    <row r="576">
      <c r="A576" s="101"/>
      <c r="B576" s="105"/>
      <c r="C576" s="105"/>
      <c r="D576" s="106"/>
      <c r="E576" s="110"/>
      <c r="F576" s="92"/>
      <c r="G576" s="18"/>
      <c r="H576" s="101" t="str">
        <f>IFERROR(__xludf.DUMMYFUNCTION("""COMPUTED_VALUE"""),"")</f>
        <v/>
      </c>
      <c r="I576" s="67" t="str">
        <f>IFERROR(__xludf.DUMMYFUNCTION("""COMPUTED_VALUE"""),"")</f>
        <v/>
      </c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/>
      <c r="DN576" s="18"/>
      <c r="DO576" s="18"/>
      <c r="DP576" s="18"/>
      <c r="DQ576" s="18"/>
      <c r="DR576" s="18"/>
      <c r="DS576" s="18"/>
      <c r="DT576" s="18"/>
      <c r="DU576" s="18"/>
      <c r="DV576" s="18"/>
      <c r="DW576" s="18"/>
      <c r="DX576" s="18"/>
      <c r="DY576" s="18"/>
      <c r="DZ576" s="18"/>
      <c r="EA576" s="18"/>
      <c r="EB576" s="18"/>
      <c r="EC576" s="18"/>
      <c r="ED576" s="18"/>
      <c r="EE576" s="18"/>
      <c r="EF576" s="18"/>
      <c r="EG576" s="18"/>
      <c r="EH576" s="18"/>
      <c r="EI576" s="18"/>
      <c r="EJ576" s="18"/>
      <c r="EK576" s="18"/>
      <c r="EL576" s="18"/>
      <c r="EM576" s="18"/>
      <c r="EN576" s="18"/>
      <c r="EO576" s="18"/>
      <c r="EP576" s="18"/>
      <c r="EQ576" s="18"/>
      <c r="ER576" s="18"/>
      <c r="ES576" s="18"/>
      <c r="ET576" s="18"/>
      <c r="EU576" s="18"/>
      <c r="EV576" s="18"/>
      <c r="EW576" s="18"/>
      <c r="EX576" s="18"/>
    </row>
    <row r="577">
      <c r="A577" s="101"/>
      <c r="B577" s="105"/>
      <c r="C577" s="105"/>
      <c r="D577" s="106"/>
      <c r="E577" s="110"/>
      <c r="F577" s="92"/>
      <c r="G577" s="18"/>
      <c r="H577" s="101" t="str">
        <f>IFERROR(__xludf.DUMMYFUNCTION("""COMPUTED_VALUE"""),"")</f>
        <v/>
      </c>
      <c r="I577" s="67" t="str">
        <f>IFERROR(__xludf.DUMMYFUNCTION("""COMPUTED_VALUE"""),"")</f>
        <v/>
      </c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/>
      <c r="DN577" s="18"/>
      <c r="DO577" s="18"/>
      <c r="DP577" s="18"/>
      <c r="DQ577" s="18"/>
      <c r="DR577" s="18"/>
      <c r="DS577" s="18"/>
      <c r="DT577" s="18"/>
      <c r="DU577" s="18"/>
      <c r="DV577" s="18"/>
      <c r="DW577" s="18"/>
      <c r="DX577" s="18"/>
      <c r="DY577" s="18"/>
      <c r="DZ577" s="18"/>
      <c r="EA577" s="18"/>
      <c r="EB577" s="18"/>
      <c r="EC577" s="18"/>
      <c r="ED577" s="18"/>
      <c r="EE577" s="18"/>
      <c r="EF577" s="18"/>
      <c r="EG577" s="18"/>
      <c r="EH577" s="18"/>
      <c r="EI577" s="18"/>
      <c r="EJ577" s="18"/>
      <c r="EK577" s="18"/>
      <c r="EL577" s="18"/>
      <c r="EM577" s="18"/>
      <c r="EN577" s="18"/>
      <c r="EO577" s="18"/>
      <c r="EP577" s="18"/>
      <c r="EQ577" s="18"/>
      <c r="ER577" s="18"/>
      <c r="ES577" s="18"/>
      <c r="ET577" s="18"/>
      <c r="EU577" s="18"/>
      <c r="EV577" s="18"/>
      <c r="EW577" s="18"/>
      <c r="EX577" s="18"/>
    </row>
    <row r="578">
      <c r="A578" s="101"/>
      <c r="B578" s="105"/>
      <c r="C578" s="105"/>
      <c r="D578" s="106"/>
      <c r="E578" s="110"/>
      <c r="F578" s="92"/>
      <c r="G578" s="18"/>
      <c r="H578" s="101" t="str">
        <f>IFERROR(__xludf.DUMMYFUNCTION("""COMPUTED_VALUE"""),"")</f>
        <v/>
      </c>
      <c r="I578" s="67" t="str">
        <f>IFERROR(__xludf.DUMMYFUNCTION("""COMPUTED_VALUE"""),"")</f>
        <v/>
      </c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/>
      <c r="DN578" s="18"/>
      <c r="DO578" s="18"/>
      <c r="DP578" s="18"/>
      <c r="DQ578" s="18"/>
      <c r="DR578" s="18"/>
      <c r="DS578" s="18"/>
      <c r="DT578" s="18"/>
      <c r="DU578" s="18"/>
      <c r="DV578" s="18"/>
      <c r="DW578" s="18"/>
      <c r="DX578" s="18"/>
      <c r="DY578" s="18"/>
      <c r="DZ578" s="18"/>
      <c r="EA578" s="18"/>
      <c r="EB578" s="18"/>
      <c r="EC578" s="18"/>
      <c r="ED578" s="18"/>
      <c r="EE578" s="18"/>
      <c r="EF578" s="18"/>
      <c r="EG578" s="18"/>
      <c r="EH578" s="18"/>
      <c r="EI578" s="18"/>
      <c r="EJ578" s="18"/>
      <c r="EK578" s="18"/>
      <c r="EL578" s="18"/>
      <c r="EM578" s="18"/>
      <c r="EN578" s="18"/>
      <c r="EO578" s="18"/>
      <c r="EP578" s="18"/>
      <c r="EQ578" s="18"/>
      <c r="ER578" s="18"/>
      <c r="ES578" s="18"/>
      <c r="ET578" s="18"/>
      <c r="EU578" s="18"/>
      <c r="EV578" s="18"/>
      <c r="EW578" s="18"/>
      <c r="EX578" s="18"/>
    </row>
    <row r="579">
      <c r="A579" s="101"/>
      <c r="B579" s="105"/>
      <c r="C579" s="105"/>
      <c r="D579" s="106"/>
      <c r="E579" s="110"/>
      <c r="F579" s="92"/>
      <c r="G579" s="18"/>
      <c r="H579" s="101" t="str">
        <f>IFERROR(__xludf.DUMMYFUNCTION("""COMPUTED_VALUE"""),"")</f>
        <v/>
      </c>
      <c r="I579" s="67" t="str">
        <f>IFERROR(__xludf.DUMMYFUNCTION("""COMPUTED_VALUE"""),"")</f>
        <v/>
      </c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/>
      <c r="DN579" s="18"/>
      <c r="DO579" s="18"/>
      <c r="DP579" s="18"/>
      <c r="DQ579" s="18"/>
      <c r="DR579" s="18"/>
      <c r="DS579" s="18"/>
      <c r="DT579" s="18"/>
      <c r="DU579" s="18"/>
      <c r="DV579" s="18"/>
      <c r="DW579" s="18"/>
      <c r="DX579" s="18"/>
      <c r="DY579" s="18"/>
      <c r="DZ579" s="18"/>
      <c r="EA579" s="18"/>
      <c r="EB579" s="18"/>
      <c r="EC579" s="18"/>
      <c r="ED579" s="18"/>
      <c r="EE579" s="18"/>
      <c r="EF579" s="18"/>
      <c r="EG579" s="18"/>
      <c r="EH579" s="18"/>
      <c r="EI579" s="18"/>
      <c r="EJ579" s="18"/>
      <c r="EK579" s="18"/>
      <c r="EL579" s="18"/>
      <c r="EM579" s="18"/>
      <c r="EN579" s="18"/>
      <c r="EO579" s="18"/>
      <c r="EP579" s="18"/>
      <c r="EQ579" s="18"/>
      <c r="ER579" s="18"/>
      <c r="ES579" s="18"/>
      <c r="ET579" s="18"/>
      <c r="EU579" s="18"/>
      <c r="EV579" s="18"/>
      <c r="EW579" s="18"/>
      <c r="EX579" s="18"/>
    </row>
    <row r="580">
      <c r="A580" s="101"/>
      <c r="B580" s="105"/>
      <c r="C580" s="105"/>
      <c r="D580" s="106"/>
      <c r="E580" s="110"/>
      <c r="F580" s="92"/>
      <c r="G580" s="18"/>
      <c r="H580" s="101" t="str">
        <f>IFERROR(__xludf.DUMMYFUNCTION("""COMPUTED_VALUE"""),"")</f>
        <v/>
      </c>
      <c r="I580" s="67" t="str">
        <f>IFERROR(__xludf.DUMMYFUNCTION("""COMPUTED_VALUE"""),"")</f>
        <v/>
      </c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/>
      <c r="DN580" s="18"/>
      <c r="DO580" s="18"/>
      <c r="DP580" s="18"/>
      <c r="DQ580" s="18"/>
      <c r="DR580" s="18"/>
      <c r="DS580" s="18"/>
      <c r="DT580" s="18"/>
      <c r="DU580" s="18"/>
      <c r="DV580" s="18"/>
      <c r="DW580" s="18"/>
      <c r="DX580" s="18"/>
      <c r="DY580" s="18"/>
      <c r="DZ580" s="18"/>
      <c r="EA580" s="18"/>
      <c r="EB580" s="18"/>
      <c r="EC580" s="18"/>
      <c r="ED580" s="18"/>
      <c r="EE580" s="18"/>
      <c r="EF580" s="18"/>
      <c r="EG580" s="18"/>
      <c r="EH580" s="18"/>
      <c r="EI580" s="18"/>
      <c r="EJ580" s="18"/>
      <c r="EK580" s="18"/>
      <c r="EL580" s="18"/>
      <c r="EM580" s="18"/>
      <c r="EN580" s="18"/>
      <c r="EO580" s="18"/>
      <c r="EP580" s="18"/>
      <c r="EQ580" s="18"/>
      <c r="ER580" s="18"/>
      <c r="ES580" s="18"/>
      <c r="ET580" s="18"/>
      <c r="EU580" s="18"/>
      <c r="EV580" s="18"/>
      <c r="EW580" s="18"/>
      <c r="EX580" s="18"/>
    </row>
    <row r="581">
      <c r="A581" s="101"/>
      <c r="B581" s="105"/>
      <c r="C581" s="105"/>
      <c r="D581" s="106"/>
      <c r="E581" s="110"/>
      <c r="F581" s="92"/>
      <c r="G581" s="18"/>
      <c r="H581" s="101" t="str">
        <f>IFERROR(__xludf.DUMMYFUNCTION("""COMPUTED_VALUE"""),"")</f>
        <v/>
      </c>
      <c r="I581" s="67" t="str">
        <f>IFERROR(__xludf.DUMMYFUNCTION("""COMPUTED_VALUE"""),"")</f>
        <v/>
      </c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/>
      <c r="DN581" s="18"/>
      <c r="DO581" s="18"/>
      <c r="DP581" s="18"/>
      <c r="DQ581" s="18"/>
      <c r="DR581" s="18"/>
      <c r="DS581" s="18"/>
      <c r="DT581" s="18"/>
      <c r="DU581" s="18"/>
      <c r="DV581" s="18"/>
      <c r="DW581" s="18"/>
      <c r="DX581" s="18"/>
      <c r="DY581" s="18"/>
      <c r="DZ581" s="18"/>
      <c r="EA581" s="18"/>
      <c r="EB581" s="18"/>
      <c r="EC581" s="18"/>
      <c r="ED581" s="18"/>
      <c r="EE581" s="18"/>
      <c r="EF581" s="18"/>
      <c r="EG581" s="18"/>
      <c r="EH581" s="18"/>
      <c r="EI581" s="18"/>
      <c r="EJ581" s="18"/>
      <c r="EK581" s="18"/>
      <c r="EL581" s="18"/>
      <c r="EM581" s="18"/>
      <c r="EN581" s="18"/>
      <c r="EO581" s="18"/>
      <c r="EP581" s="18"/>
      <c r="EQ581" s="18"/>
      <c r="ER581" s="18"/>
      <c r="ES581" s="18"/>
      <c r="ET581" s="18"/>
      <c r="EU581" s="18"/>
      <c r="EV581" s="18"/>
      <c r="EW581" s="18"/>
      <c r="EX581" s="18"/>
    </row>
    <row r="582">
      <c r="A582" s="101"/>
      <c r="B582" s="105"/>
      <c r="C582" s="105"/>
      <c r="D582" s="106"/>
      <c r="E582" s="110"/>
      <c r="F582" s="92"/>
      <c r="G582" s="18"/>
      <c r="H582" s="101" t="str">
        <f>IFERROR(__xludf.DUMMYFUNCTION("""COMPUTED_VALUE"""),"")</f>
        <v/>
      </c>
      <c r="I582" s="67" t="str">
        <f>IFERROR(__xludf.DUMMYFUNCTION("""COMPUTED_VALUE"""),"")</f>
        <v/>
      </c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/>
      <c r="DN582" s="18"/>
      <c r="DO582" s="18"/>
      <c r="DP582" s="18"/>
      <c r="DQ582" s="18"/>
      <c r="DR582" s="18"/>
      <c r="DS582" s="18"/>
      <c r="DT582" s="18"/>
      <c r="DU582" s="18"/>
      <c r="DV582" s="18"/>
      <c r="DW582" s="18"/>
      <c r="DX582" s="18"/>
      <c r="DY582" s="18"/>
      <c r="DZ582" s="18"/>
      <c r="EA582" s="18"/>
      <c r="EB582" s="18"/>
      <c r="EC582" s="18"/>
      <c r="ED582" s="18"/>
      <c r="EE582" s="18"/>
      <c r="EF582" s="18"/>
      <c r="EG582" s="18"/>
      <c r="EH582" s="18"/>
      <c r="EI582" s="18"/>
      <c r="EJ582" s="18"/>
      <c r="EK582" s="18"/>
      <c r="EL582" s="18"/>
      <c r="EM582" s="18"/>
      <c r="EN582" s="18"/>
      <c r="EO582" s="18"/>
      <c r="EP582" s="18"/>
      <c r="EQ582" s="18"/>
      <c r="ER582" s="18"/>
      <c r="ES582" s="18"/>
      <c r="ET582" s="18"/>
      <c r="EU582" s="18"/>
      <c r="EV582" s="18"/>
      <c r="EW582" s="18"/>
      <c r="EX582" s="18"/>
    </row>
    <row r="583">
      <c r="A583" s="101"/>
      <c r="B583" s="105"/>
      <c r="C583" s="105"/>
      <c r="D583" s="106"/>
      <c r="E583" s="110"/>
      <c r="F583" s="92"/>
      <c r="G583" s="18"/>
      <c r="H583" s="101" t="str">
        <f>IFERROR(__xludf.DUMMYFUNCTION("""COMPUTED_VALUE"""),"")</f>
        <v/>
      </c>
      <c r="I583" s="67" t="str">
        <f>IFERROR(__xludf.DUMMYFUNCTION("""COMPUTED_VALUE"""),"")</f>
        <v/>
      </c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/>
      <c r="DN583" s="18"/>
      <c r="DO583" s="18"/>
      <c r="DP583" s="18"/>
      <c r="DQ583" s="18"/>
      <c r="DR583" s="18"/>
      <c r="DS583" s="18"/>
      <c r="DT583" s="18"/>
      <c r="DU583" s="18"/>
      <c r="DV583" s="18"/>
      <c r="DW583" s="18"/>
      <c r="DX583" s="18"/>
      <c r="DY583" s="18"/>
      <c r="DZ583" s="18"/>
      <c r="EA583" s="18"/>
      <c r="EB583" s="18"/>
      <c r="EC583" s="18"/>
      <c r="ED583" s="18"/>
      <c r="EE583" s="18"/>
      <c r="EF583" s="18"/>
      <c r="EG583" s="18"/>
      <c r="EH583" s="18"/>
      <c r="EI583" s="18"/>
      <c r="EJ583" s="18"/>
      <c r="EK583" s="18"/>
      <c r="EL583" s="18"/>
      <c r="EM583" s="18"/>
      <c r="EN583" s="18"/>
      <c r="EO583" s="18"/>
      <c r="EP583" s="18"/>
      <c r="EQ583" s="18"/>
      <c r="ER583" s="18"/>
      <c r="ES583" s="18"/>
      <c r="ET583" s="18"/>
      <c r="EU583" s="18"/>
      <c r="EV583" s="18"/>
      <c r="EW583" s="18"/>
      <c r="EX583" s="18"/>
    </row>
    <row r="584">
      <c r="A584" s="101"/>
      <c r="B584" s="105"/>
      <c r="C584" s="105"/>
      <c r="D584" s="106"/>
      <c r="E584" s="110"/>
      <c r="F584" s="92"/>
      <c r="G584" s="18"/>
      <c r="H584" s="101" t="str">
        <f>IFERROR(__xludf.DUMMYFUNCTION("""COMPUTED_VALUE"""),"")</f>
        <v/>
      </c>
      <c r="I584" s="67" t="str">
        <f>IFERROR(__xludf.DUMMYFUNCTION("""COMPUTED_VALUE"""),"")</f>
        <v/>
      </c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/>
      <c r="DN584" s="18"/>
      <c r="DO584" s="18"/>
      <c r="DP584" s="18"/>
      <c r="DQ584" s="18"/>
      <c r="DR584" s="18"/>
      <c r="DS584" s="18"/>
      <c r="DT584" s="18"/>
      <c r="DU584" s="18"/>
      <c r="DV584" s="18"/>
      <c r="DW584" s="18"/>
      <c r="DX584" s="18"/>
      <c r="DY584" s="18"/>
      <c r="DZ584" s="18"/>
      <c r="EA584" s="18"/>
      <c r="EB584" s="18"/>
      <c r="EC584" s="18"/>
      <c r="ED584" s="18"/>
      <c r="EE584" s="18"/>
      <c r="EF584" s="18"/>
      <c r="EG584" s="18"/>
      <c r="EH584" s="18"/>
      <c r="EI584" s="18"/>
      <c r="EJ584" s="18"/>
      <c r="EK584" s="18"/>
      <c r="EL584" s="18"/>
      <c r="EM584" s="18"/>
      <c r="EN584" s="18"/>
      <c r="EO584" s="18"/>
      <c r="EP584" s="18"/>
      <c r="EQ584" s="18"/>
      <c r="ER584" s="18"/>
      <c r="ES584" s="18"/>
      <c r="ET584" s="18"/>
      <c r="EU584" s="18"/>
      <c r="EV584" s="18"/>
      <c r="EW584" s="18"/>
      <c r="EX584" s="18"/>
    </row>
    <row r="585">
      <c r="A585" s="101"/>
      <c r="B585" s="105"/>
      <c r="C585" s="105"/>
      <c r="D585" s="106"/>
      <c r="E585" s="110"/>
      <c r="F585" s="92"/>
      <c r="G585" s="18"/>
      <c r="H585" s="101" t="str">
        <f>IFERROR(__xludf.DUMMYFUNCTION("""COMPUTED_VALUE"""),"")</f>
        <v/>
      </c>
      <c r="I585" s="67" t="str">
        <f>IFERROR(__xludf.DUMMYFUNCTION("""COMPUTED_VALUE"""),"")</f>
        <v/>
      </c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  <c r="DY585" s="18"/>
      <c r="DZ585" s="18"/>
      <c r="EA585" s="18"/>
      <c r="EB585" s="18"/>
      <c r="EC585" s="18"/>
      <c r="ED585" s="18"/>
      <c r="EE585" s="18"/>
      <c r="EF585" s="18"/>
      <c r="EG585" s="18"/>
      <c r="EH585" s="18"/>
      <c r="EI585" s="18"/>
      <c r="EJ585" s="18"/>
      <c r="EK585" s="18"/>
      <c r="EL585" s="18"/>
      <c r="EM585" s="18"/>
      <c r="EN585" s="18"/>
      <c r="EO585" s="18"/>
      <c r="EP585" s="18"/>
      <c r="EQ585" s="18"/>
      <c r="ER585" s="18"/>
      <c r="ES585" s="18"/>
      <c r="ET585" s="18"/>
      <c r="EU585" s="18"/>
      <c r="EV585" s="18"/>
      <c r="EW585" s="18"/>
      <c r="EX585" s="18"/>
    </row>
    <row r="586">
      <c r="A586" s="101"/>
      <c r="B586" s="105"/>
      <c r="C586" s="105"/>
      <c r="D586" s="106"/>
      <c r="E586" s="110"/>
      <c r="F586" s="92"/>
      <c r="G586" s="18"/>
      <c r="H586" s="101" t="str">
        <f>IFERROR(__xludf.DUMMYFUNCTION("""COMPUTED_VALUE"""),"")</f>
        <v/>
      </c>
      <c r="I586" s="67" t="str">
        <f>IFERROR(__xludf.DUMMYFUNCTION("""COMPUTED_VALUE"""),"")</f>
        <v/>
      </c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8"/>
      <c r="DU586" s="18"/>
      <c r="DV586" s="18"/>
      <c r="DW586" s="18"/>
      <c r="DX586" s="18"/>
      <c r="DY586" s="18"/>
      <c r="DZ586" s="18"/>
      <c r="EA586" s="18"/>
      <c r="EB586" s="18"/>
      <c r="EC586" s="18"/>
      <c r="ED586" s="18"/>
      <c r="EE586" s="18"/>
      <c r="EF586" s="18"/>
      <c r="EG586" s="18"/>
      <c r="EH586" s="18"/>
      <c r="EI586" s="18"/>
      <c r="EJ586" s="18"/>
      <c r="EK586" s="18"/>
      <c r="EL586" s="18"/>
      <c r="EM586" s="18"/>
      <c r="EN586" s="18"/>
      <c r="EO586" s="18"/>
      <c r="EP586" s="18"/>
      <c r="EQ586" s="18"/>
      <c r="ER586" s="18"/>
      <c r="ES586" s="18"/>
      <c r="ET586" s="18"/>
      <c r="EU586" s="18"/>
      <c r="EV586" s="18"/>
      <c r="EW586" s="18"/>
      <c r="EX586" s="18"/>
    </row>
    <row r="587">
      <c r="A587" s="101"/>
      <c r="B587" s="105"/>
      <c r="C587" s="105"/>
      <c r="D587" s="106"/>
      <c r="E587" s="110"/>
      <c r="F587" s="92"/>
      <c r="G587" s="18"/>
      <c r="H587" s="101" t="str">
        <f>IFERROR(__xludf.DUMMYFUNCTION("""COMPUTED_VALUE"""),"")</f>
        <v/>
      </c>
      <c r="I587" s="67" t="str">
        <f>IFERROR(__xludf.DUMMYFUNCTION("""COMPUTED_VALUE"""),"")</f>
        <v/>
      </c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</row>
    <row r="588">
      <c r="A588" s="101"/>
      <c r="B588" s="105"/>
      <c r="C588" s="105"/>
      <c r="D588" s="106"/>
      <c r="E588" s="110"/>
      <c r="F588" s="92"/>
      <c r="G588" s="18"/>
      <c r="H588" s="101" t="str">
        <f>IFERROR(__xludf.DUMMYFUNCTION("""COMPUTED_VALUE"""),"")</f>
        <v/>
      </c>
      <c r="I588" s="67" t="str">
        <f>IFERROR(__xludf.DUMMYFUNCTION("""COMPUTED_VALUE"""),"")</f>
        <v/>
      </c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</row>
    <row r="589">
      <c r="A589" s="101"/>
      <c r="B589" s="105"/>
      <c r="C589" s="105"/>
      <c r="D589" s="106"/>
      <c r="E589" s="110"/>
      <c r="F589" s="92"/>
      <c r="G589" s="18"/>
      <c r="H589" s="101" t="str">
        <f>IFERROR(__xludf.DUMMYFUNCTION("""COMPUTED_VALUE"""),"")</f>
        <v/>
      </c>
      <c r="I589" s="67" t="str">
        <f>IFERROR(__xludf.DUMMYFUNCTION("""COMPUTED_VALUE"""),"")</f>
        <v/>
      </c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8"/>
      <c r="DR589" s="18"/>
      <c r="DS589" s="18"/>
      <c r="DT589" s="18"/>
      <c r="DU589" s="18"/>
      <c r="DV589" s="18"/>
      <c r="DW589" s="18"/>
      <c r="DX589" s="18"/>
      <c r="DY589" s="18"/>
      <c r="DZ589" s="18"/>
      <c r="EA589" s="18"/>
      <c r="EB589" s="18"/>
      <c r="EC589" s="18"/>
      <c r="ED589" s="18"/>
      <c r="EE589" s="18"/>
      <c r="EF589" s="18"/>
      <c r="EG589" s="18"/>
      <c r="EH589" s="18"/>
      <c r="EI589" s="18"/>
      <c r="EJ589" s="18"/>
      <c r="EK589" s="18"/>
      <c r="EL589" s="18"/>
      <c r="EM589" s="18"/>
      <c r="EN589" s="18"/>
      <c r="EO589" s="18"/>
      <c r="EP589" s="18"/>
      <c r="EQ589" s="18"/>
      <c r="ER589" s="18"/>
      <c r="ES589" s="18"/>
      <c r="ET589" s="18"/>
      <c r="EU589" s="18"/>
      <c r="EV589" s="18"/>
      <c r="EW589" s="18"/>
      <c r="EX589" s="18"/>
    </row>
    <row r="590">
      <c r="A590" s="101"/>
      <c r="B590" s="105"/>
      <c r="C590" s="105"/>
      <c r="D590" s="106"/>
      <c r="E590" s="110"/>
      <c r="F590" s="92"/>
      <c r="G590" s="18"/>
      <c r="H590" s="101" t="str">
        <f>IFERROR(__xludf.DUMMYFUNCTION("""COMPUTED_VALUE"""),"")</f>
        <v/>
      </c>
      <c r="I590" s="67" t="str">
        <f>IFERROR(__xludf.DUMMYFUNCTION("""COMPUTED_VALUE"""),"")</f>
        <v/>
      </c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8"/>
      <c r="DP590" s="18"/>
      <c r="DQ590" s="18"/>
      <c r="DR590" s="18"/>
      <c r="DS590" s="18"/>
      <c r="DT590" s="18"/>
      <c r="DU590" s="18"/>
      <c r="DV590" s="18"/>
      <c r="DW590" s="18"/>
      <c r="DX590" s="18"/>
      <c r="DY590" s="18"/>
      <c r="DZ590" s="18"/>
      <c r="EA590" s="18"/>
      <c r="EB590" s="18"/>
      <c r="EC590" s="18"/>
      <c r="ED590" s="18"/>
      <c r="EE590" s="18"/>
      <c r="EF590" s="18"/>
      <c r="EG590" s="18"/>
      <c r="EH590" s="18"/>
      <c r="EI590" s="18"/>
      <c r="EJ590" s="18"/>
      <c r="EK590" s="18"/>
      <c r="EL590" s="18"/>
      <c r="EM590" s="18"/>
      <c r="EN590" s="18"/>
      <c r="EO590" s="18"/>
      <c r="EP590" s="18"/>
      <c r="EQ590" s="18"/>
      <c r="ER590" s="18"/>
      <c r="ES590" s="18"/>
      <c r="ET590" s="18"/>
      <c r="EU590" s="18"/>
      <c r="EV590" s="18"/>
      <c r="EW590" s="18"/>
      <c r="EX590" s="18"/>
    </row>
    <row r="591">
      <c r="A591" s="101"/>
      <c r="B591" s="105"/>
      <c r="C591" s="105"/>
      <c r="D591" s="106"/>
      <c r="E591" s="110"/>
      <c r="F591" s="92"/>
      <c r="G591" s="18"/>
      <c r="H591" s="101" t="str">
        <f>IFERROR(__xludf.DUMMYFUNCTION("""COMPUTED_VALUE"""),"")</f>
        <v/>
      </c>
      <c r="I591" s="67" t="str">
        <f>IFERROR(__xludf.DUMMYFUNCTION("""COMPUTED_VALUE"""),"")</f>
        <v/>
      </c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8"/>
      <c r="DO591" s="18"/>
      <c r="DP591" s="18"/>
      <c r="DQ591" s="18"/>
      <c r="DR591" s="18"/>
      <c r="DS591" s="18"/>
      <c r="DT591" s="18"/>
      <c r="DU591" s="18"/>
      <c r="DV591" s="18"/>
      <c r="DW591" s="18"/>
      <c r="DX591" s="18"/>
      <c r="DY591" s="18"/>
      <c r="DZ591" s="18"/>
      <c r="EA591" s="18"/>
      <c r="EB591" s="18"/>
      <c r="EC591" s="18"/>
      <c r="ED591" s="18"/>
      <c r="EE591" s="18"/>
      <c r="EF591" s="18"/>
      <c r="EG591" s="18"/>
      <c r="EH591" s="18"/>
      <c r="EI591" s="18"/>
      <c r="EJ591" s="18"/>
      <c r="EK591" s="18"/>
      <c r="EL591" s="18"/>
      <c r="EM591" s="18"/>
      <c r="EN591" s="18"/>
      <c r="EO591" s="18"/>
      <c r="EP591" s="18"/>
      <c r="EQ591" s="18"/>
      <c r="ER591" s="18"/>
      <c r="ES591" s="18"/>
      <c r="ET591" s="18"/>
      <c r="EU591" s="18"/>
      <c r="EV591" s="18"/>
      <c r="EW591" s="18"/>
      <c r="EX591" s="18"/>
    </row>
    <row r="592">
      <c r="A592" s="101"/>
      <c r="B592" s="105"/>
      <c r="C592" s="105"/>
      <c r="D592" s="106"/>
      <c r="E592" s="110"/>
      <c r="F592" s="92"/>
      <c r="G592" s="18"/>
      <c r="H592" s="101" t="str">
        <f>IFERROR(__xludf.DUMMYFUNCTION("""COMPUTED_VALUE"""),"")</f>
        <v/>
      </c>
      <c r="I592" s="67" t="str">
        <f>IFERROR(__xludf.DUMMYFUNCTION("""COMPUTED_VALUE"""),"")</f>
        <v/>
      </c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/>
      <c r="DN592" s="18"/>
      <c r="DO592" s="18"/>
      <c r="DP592" s="18"/>
      <c r="DQ592" s="18"/>
      <c r="DR592" s="18"/>
      <c r="DS592" s="18"/>
      <c r="DT592" s="18"/>
      <c r="DU592" s="18"/>
      <c r="DV592" s="18"/>
      <c r="DW592" s="18"/>
      <c r="DX592" s="18"/>
      <c r="DY592" s="18"/>
      <c r="DZ592" s="18"/>
      <c r="EA592" s="18"/>
      <c r="EB592" s="18"/>
      <c r="EC592" s="18"/>
      <c r="ED592" s="18"/>
      <c r="EE592" s="18"/>
      <c r="EF592" s="18"/>
      <c r="EG592" s="18"/>
      <c r="EH592" s="18"/>
      <c r="EI592" s="18"/>
      <c r="EJ592" s="18"/>
      <c r="EK592" s="18"/>
      <c r="EL592" s="18"/>
      <c r="EM592" s="18"/>
      <c r="EN592" s="18"/>
      <c r="EO592" s="18"/>
      <c r="EP592" s="18"/>
      <c r="EQ592" s="18"/>
      <c r="ER592" s="18"/>
      <c r="ES592" s="18"/>
      <c r="ET592" s="18"/>
      <c r="EU592" s="18"/>
      <c r="EV592" s="18"/>
      <c r="EW592" s="18"/>
      <c r="EX592" s="18"/>
    </row>
    <row r="593">
      <c r="A593" s="101"/>
      <c r="B593" s="105"/>
      <c r="C593" s="105"/>
      <c r="D593" s="106"/>
      <c r="E593" s="110"/>
      <c r="F593" s="92"/>
      <c r="G593" s="18"/>
      <c r="H593" s="101" t="str">
        <f>IFERROR(__xludf.DUMMYFUNCTION("""COMPUTED_VALUE"""),"")</f>
        <v/>
      </c>
      <c r="I593" s="67" t="str">
        <f>IFERROR(__xludf.DUMMYFUNCTION("""COMPUTED_VALUE"""),"")</f>
        <v/>
      </c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/>
      <c r="DN593" s="18"/>
      <c r="DO593" s="18"/>
      <c r="DP593" s="18"/>
      <c r="DQ593" s="18"/>
      <c r="DR593" s="18"/>
      <c r="DS593" s="18"/>
      <c r="DT593" s="18"/>
      <c r="DU593" s="18"/>
      <c r="DV593" s="18"/>
      <c r="DW593" s="18"/>
      <c r="DX593" s="18"/>
      <c r="DY593" s="18"/>
      <c r="DZ593" s="18"/>
      <c r="EA593" s="18"/>
      <c r="EB593" s="18"/>
      <c r="EC593" s="18"/>
      <c r="ED593" s="18"/>
      <c r="EE593" s="18"/>
      <c r="EF593" s="18"/>
      <c r="EG593" s="18"/>
      <c r="EH593" s="18"/>
      <c r="EI593" s="18"/>
      <c r="EJ593" s="18"/>
      <c r="EK593" s="18"/>
      <c r="EL593" s="18"/>
      <c r="EM593" s="18"/>
      <c r="EN593" s="18"/>
      <c r="EO593" s="18"/>
      <c r="EP593" s="18"/>
      <c r="EQ593" s="18"/>
      <c r="ER593" s="18"/>
      <c r="ES593" s="18"/>
      <c r="ET593" s="18"/>
      <c r="EU593" s="18"/>
      <c r="EV593" s="18"/>
      <c r="EW593" s="18"/>
      <c r="EX593" s="18"/>
    </row>
    <row r="594">
      <c r="A594" s="101"/>
      <c r="B594" s="105"/>
      <c r="C594" s="105"/>
      <c r="D594" s="106"/>
      <c r="E594" s="110"/>
      <c r="F594" s="92"/>
      <c r="G594" s="18"/>
      <c r="H594" s="101" t="str">
        <f>IFERROR(__xludf.DUMMYFUNCTION("""COMPUTED_VALUE"""),"")</f>
        <v/>
      </c>
      <c r="I594" s="67" t="str">
        <f>IFERROR(__xludf.DUMMYFUNCTION("""COMPUTED_VALUE"""),"")</f>
        <v/>
      </c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/>
      <c r="DN594" s="18"/>
      <c r="DO594" s="18"/>
      <c r="DP594" s="18"/>
      <c r="DQ594" s="18"/>
      <c r="DR594" s="18"/>
      <c r="DS594" s="18"/>
      <c r="DT594" s="18"/>
      <c r="DU594" s="18"/>
      <c r="DV594" s="18"/>
      <c r="DW594" s="18"/>
      <c r="DX594" s="18"/>
      <c r="DY594" s="18"/>
      <c r="DZ594" s="18"/>
      <c r="EA594" s="18"/>
      <c r="EB594" s="18"/>
      <c r="EC594" s="18"/>
      <c r="ED594" s="18"/>
      <c r="EE594" s="18"/>
      <c r="EF594" s="18"/>
      <c r="EG594" s="18"/>
      <c r="EH594" s="18"/>
      <c r="EI594" s="18"/>
      <c r="EJ594" s="18"/>
      <c r="EK594" s="18"/>
      <c r="EL594" s="18"/>
      <c r="EM594" s="18"/>
      <c r="EN594" s="18"/>
      <c r="EO594" s="18"/>
      <c r="EP594" s="18"/>
      <c r="EQ594" s="18"/>
      <c r="ER594" s="18"/>
      <c r="ES594" s="18"/>
      <c r="ET594" s="18"/>
      <c r="EU594" s="18"/>
      <c r="EV594" s="18"/>
      <c r="EW594" s="18"/>
      <c r="EX594" s="18"/>
    </row>
    <row r="595">
      <c r="A595" s="101"/>
      <c r="B595" s="105"/>
      <c r="C595" s="105"/>
      <c r="D595" s="106"/>
      <c r="E595" s="110"/>
      <c r="F595" s="92"/>
      <c r="G595" s="18"/>
      <c r="H595" s="101" t="str">
        <f>IFERROR(__xludf.DUMMYFUNCTION("""COMPUTED_VALUE"""),"")</f>
        <v/>
      </c>
      <c r="I595" s="67" t="str">
        <f>IFERROR(__xludf.DUMMYFUNCTION("""COMPUTED_VALUE"""),"")</f>
        <v/>
      </c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/>
      <c r="DN595" s="18"/>
      <c r="DO595" s="18"/>
      <c r="DP595" s="18"/>
      <c r="DQ595" s="18"/>
      <c r="DR595" s="18"/>
      <c r="DS595" s="18"/>
      <c r="DT595" s="18"/>
      <c r="DU595" s="18"/>
      <c r="DV595" s="18"/>
      <c r="DW595" s="18"/>
      <c r="DX595" s="18"/>
      <c r="DY595" s="18"/>
      <c r="DZ595" s="18"/>
      <c r="EA595" s="18"/>
      <c r="EB595" s="18"/>
      <c r="EC595" s="18"/>
      <c r="ED595" s="18"/>
      <c r="EE595" s="18"/>
      <c r="EF595" s="18"/>
      <c r="EG595" s="18"/>
      <c r="EH595" s="18"/>
      <c r="EI595" s="18"/>
      <c r="EJ595" s="18"/>
      <c r="EK595" s="18"/>
      <c r="EL595" s="18"/>
      <c r="EM595" s="18"/>
      <c r="EN595" s="18"/>
      <c r="EO595" s="18"/>
      <c r="EP595" s="18"/>
      <c r="EQ595" s="18"/>
      <c r="ER595" s="18"/>
      <c r="ES595" s="18"/>
      <c r="ET595" s="18"/>
      <c r="EU595" s="18"/>
      <c r="EV595" s="18"/>
      <c r="EW595" s="18"/>
      <c r="EX595" s="18"/>
    </row>
    <row r="596">
      <c r="A596" s="101"/>
      <c r="B596" s="105"/>
      <c r="C596" s="105"/>
      <c r="D596" s="106"/>
      <c r="E596" s="110"/>
      <c r="F596" s="92"/>
      <c r="G596" s="18"/>
      <c r="H596" s="101" t="str">
        <f>IFERROR(__xludf.DUMMYFUNCTION("""COMPUTED_VALUE"""),"")</f>
        <v/>
      </c>
      <c r="I596" s="67" t="str">
        <f>IFERROR(__xludf.DUMMYFUNCTION("""COMPUTED_VALUE"""),"")</f>
        <v/>
      </c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/>
      <c r="DN596" s="18"/>
      <c r="DO596" s="18"/>
      <c r="DP596" s="18"/>
      <c r="DQ596" s="18"/>
      <c r="DR596" s="18"/>
      <c r="DS596" s="18"/>
      <c r="DT596" s="18"/>
      <c r="DU596" s="18"/>
      <c r="DV596" s="18"/>
      <c r="DW596" s="18"/>
      <c r="DX596" s="18"/>
      <c r="DY596" s="18"/>
      <c r="DZ596" s="18"/>
      <c r="EA596" s="18"/>
      <c r="EB596" s="18"/>
      <c r="EC596" s="18"/>
      <c r="ED596" s="18"/>
      <c r="EE596" s="18"/>
      <c r="EF596" s="18"/>
      <c r="EG596" s="18"/>
      <c r="EH596" s="18"/>
      <c r="EI596" s="18"/>
      <c r="EJ596" s="18"/>
      <c r="EK596" s="18"/>
      <c r="EL596" s="18"/>
      <c r="EM596" s="18"/>
      <c r="EN596" s="18"/>
      <c r="EO596" s="18"/>
      <c r="EP596" s="18"/>
      <c r="EQ596" s="18"/>
      <c r="ER596" s="18"/>
      <c r="ES596" s="18"/>
      <c r="ET596" s="18"/>
      <c r="EU596" s="18"/>
      <c r="EV596" s="18"/>
      <c r="EW596" s="18"/>
      <c r="EX596" s="18"/>
    </row>
    <row r="597">
      <c r="A597" s="101"/>
      <c r="B597" s="105"/>
      <c r="C597" s="105"/>
      <c r="D597" s="106"/>
      <c r="E597" s="110"/>
      <c r="F597" s="92"/>
      <c r="G597" s="18"/>
      <c r="H597" s="101" t="str">
        <f>IFERROR(__xludf.DUMMYFUNCTION("""COMPUTED_VALUE"""),"")</f>
        <v/>
      </c>
      <c r="I597" s="67" t="str">
        <f>IFERROR(__xludf.DUMMYFUNCTION("""COMPUTED_VALUE"""),"")</f>
        <v/>
      </c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/>
      <c r="DN597" s="18"/>
      <c r="DO597" s="18"/>
      <c r="DP597" s="18"/>
      <c r="DQ597" s="18"/>
      <c r="DR597" s="18"/>
      <c r="DS597" s="18"/>
      <c r="DT597" s="18"/>
      <c r="DU597" s="18"/>
      <c r="DV597" s="18"/>
      <c r="DW597" s="18"/>
      <c r="DX597" s="18"/>
      <c r="DY597" s="18"/>
      <c r="DZ597" s="18"/>
      <c r="EA597" s="18"/>
      <c r="EB597" s="18"/>
      <c r="EC597" s="18"/>
      <c r="ED597" s="18"/>
      <c r="EE597" s="18"/>
      <c r="EF597" s="18"/>
      <c r="EG597" s="18"/>
      <c r="EH597" s="18"/>
      <c r="EI597" s="18"/>
      <c r="EJ597" s="18"/>
      <c r="EK597" s="18"/>
      <c r="EL597" s="18"/>
      <c r="EM597" s="18"/>
      <c r="EN597" s="18"/>
      <c r="EO597" s="18"/>
      <c r="EP597" s="18"/>
      <c r="EQ597" s="18"/>
      <c r="ER597" s="18"/>
      <c r="ES597" s="18"/>
      <c r="ET597" s="18"/>
      <c r="EU597" s="18"/>
      <c r="EV597" s="18"/>
      <c r="EW597" s="18"/>
      <c r="EX597" s="18"/>
    </row>
    <row r="598">
      <c r="A598" s="101"/>
      <c r="B598" s="105"/>
      <c r="C598" s="105"/>
      <c r="D598" s="106"/>
      <c r="E598" s="110"/>
      <c r="F598" s="92"/>
      <c r="G598" s="18"/>
      <c r="H598" s="101" t="str">
        <f>IFERROR(__xludf.DUMMYFUNCTION("""COMPUTED_VALUE"""),"")</f>
        <v/>
      </c>
      <c r="I598" s="67" t="str">
        <f>IFERROR(__xludf.DUMMYFUNCTION("""COMPUTED_VALUE"""),"")</f>
        <v/>
      </c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/>
      <c r="DN598" s="18"/>
      <c r="DO598" s="18"/>
      <c r="DP598" s="18"/>
      <c r="DQ598" s="18"/>
      <c r="DR598" s="18"/>
      <c r="DS598" s="18"/>
      <c r="DT598" s="18"/>
      <c r="DU598" s="18"/>
      <c r="DV598" s="18"/>
      <c r="DW598" s="18"/>
      <c r="DX598" s="18"/>
      <c r="DY598" s="18"/>
      <c r="DZ598" s="18"/>
      <c r="EA598" s="18"/>
      <c r="EB598" s="18"/>
      <c r="EC598" s="18"/>
      <c r="ED598" s="18"/>
      <c r="EE598" s="18"/>
      <c r="EF598" s="18"/>
      <c r="EG598" s="18"/>
      <c r="EH598" s="18"/>
      <c r="EI598" s="18"/>
      <c r="EJ598" s="18"/>
      <c r="EK598" s="18"/>
      <c r="EL598" s="18"/>
      <c r="EM598" s="18"/>
      <c r="EN598" s="18"/>
      <c r="EO598" s="18"/>
      <c r="EP598" s="18"/>
      <c r="EQ598" s="18"/>
      <c r="ER598" s="18"/>
      <c r="ES598" s="18"/>
      <c r="ET598" s="18"/>
      <c r="EU598" s="18"/>
      <c r="EV598" s="18"/>
      <c r="EW598" s="18"/>
      <c r="EX598" s="18"/>
    </row>
    <row r="599">
      <c r="A599" s="101"/>
      <c r="B599" s="105"/>
      <c r="C599" s="105"/>
      <c r="D599" s="106"/>
      <c r="E599" s="110"/>
      <c r="F599" s="92"/>
      <c r="G599" s="18"/>
      <c r="H599" s="101" t="str">
        <f>IFERROR(__xludf.DUMMYFUNCTION("""COMPUTED_VALUE"""),"")</f>
        <v/>
      </c>
      <c r="I599" s="67" t="str">
        <f>IFERROR(__xludf.DUMMYFUNCTION("""COMPUTED_VALUE"""),"")</f>
        <v/>
      </c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/>
      <c r="DN599" s="18"/>
      <c r="DO599" s="18"/>
      <c r="DP599" s="18"/>
      <c r="DQ599" s="18"/>
      <c r="DR599" s="18"/>
      <c r="DS599" s="18"/>
      <c r="DT599" s="18"/>
      <c r="DU599" s="18"/>
      <c r="DV599" s="18"/>
      <c r="DW599" s="18"/>
      <c r="DX599" s="18"/>
      <c r="DY599" s="18"/>
      <c r="DZ599" s="18"/>
      <c r="EA599" s="18"/>
      <c r="EB599" s="18"/>
      <c r="EC599" s="18"/>
      <c r="ED599" s="18"/>
      <c r="EE599" s="18"/>
      <c r="EF599" s="18"/>
      <c r="EG599" s="18"/>
      <c r="EH599" s="18"/>
      <c r="EI599" s="18"/>
      <c r="EJ599" s="18"/>
      <c r="EK599" s="18"/>
      <c r="EL599" s="18"/>
      <c r="EM599" s="18"/>
      <c r="EN599" s="18"/>
      <c r="EO599" s="18"/>
      <c r="EP599" s="18"/>
      <c r="EQ599" s="18"/>
      <c r="ER599" s="18"/>
      <c r="ES599" s="18"/>
      <c r="ET599" s="18"/>
      <c r="EU599" s="18"/>
      <c r="EV599" s="18"/>
      <c r="EW599" s="18"/>
      <c r="EX599" s="18"/>
    </row>
    <row r="600">
      <c r="A600" s="101"/>
      <c r="B600" s="105"/>
      <c r="C600" s="105"/>
      <c r="D600" s="106"/>
      <c r="E600" s="110"/>
      <c r="F600" s="92"/>
      <c r="G600" s="18"/>
      <c r="H600" s="101" t="str">
        <f>IFERROR(__xludf.DUMMYFUNCTION("""COMPUTED_VALUE"""),"")</f>
        <v/>
      </c>
      <c r="I600" s="67" t="str">
        <f>IFERROR(__xludf.DUMMYFUNCTION("""COMPUTED_VALUE"""),"")</f>
        <v/>
      </c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/>
      <c r="DN600" s="18"/>
      <c r="DO600" s="18"/>
      <c r="DP600" s="18"/>
      <c r="DQ600" s="18"/>
      <c r="DR600" s="18"/>
      <c r="DS600" s="18"/>
      <c r="DT600" s="18"/>
      <c r="DU600" s="18"/>
      <c r="DV600" s="18"/>
      <c r="DW600" s="18"/>
      <c r="DX600" s="18"/>
      <c r="DY600" s="18"/>
      <c r="DZ600" s="18"/>
      <c r="EA600" s="18"/>
      <c r="EB600" s="18"/>
      <c r="EC600" s="18"/>
      <c r="ED600" s="18"/>
      <c r="EE600" s="18"/>
      <c r="EF600" s="18"/>
      <c r="EG600" s="18"/>
      <c r="EH600" s="18"/>
      <c r="EI600" s="18"/>
      <c r="EJ600" s="18"/>
      <c r="EK600" s="18"/>
      <c r="EL600" s="18"/>
      <c r="EM600" s="18"/>
      <c r="EN600" s="18"/>
      <c r="EO600" s="18"/>
      <c r="EP600" s="18"/>
      <c r="EQ600" s="18"/>
      <c r="ER600" s="18"/>
      <c r="ES600" s="18"/>
      <c r="ET600" s="18"/>
      <c r="EU600" s="18"/>
      <c r="EV600" s="18"/>
      <c r="EW600" s="18"/>
      <c r="EX600" s="18"/>
    </row>
    <row r="601">
      <c r="A601" s="101"/>
      <c r="B601" s="105"/>
      <c r="C601" s="105"/>
      <c r="D601" s="106"/>
      <c r="E601" s="110"/>
      <c r="F601" s="92"/>
      <c r="G601" s="18"/>
      <c r="H601" s="101" t="str">
        <f>IFERROR(__xludf.DUMMYFUNCTION("""COMPUTED_VALUE"""),"")</f>
        <v/>
      </c>
      <c r="I601" s="67" t="str">
        <f>IFERROR(__xludf.DUMMYFUNCTION("""COMPUTED_VALUE"""),"")</f>
        <v/>
      </c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/>
      <c r="DN601" s="18"/>
      <c r="DO601" s="18"/>
      <c r="DP601" s="18"/>
      <c r="DQ601" s="18"/>
      <c r="DR601" s="18"/>
      <c r="DS601" s="18"/>
      <c r="DT601" s="18"/>
      <c r="DU601" s="18"/>
      <c r="DV601" s="18"/>
      <c r="DW601" s="18"/>
      <c r="DX601" s="18"/>
      <c r="DY601" s="18"/>
      <c r="DZ601" s="18"/>
      <c r="EA601" s="18"/>
      <c r="EB601" s="18"/>
      <c r="EC601" s="18"/>
      <c r="ED601" s="18"/>
      <c r="EE601" s="18"/>
      <c r="EF601" s="18"/>
      <c r="EG601" s="18"/>
      <c r="EH601" s="18"/>
      <c r="EI601" s="18"/>
      <c r="EJ601" s="18"/>
      <c r="EK601" s="18"/>
      <c r="EL601" s="18"/>
      <c r="EM601" s="18"/>
      <c r="EN601" s="18"/>
      <c r="EO601" s="18"/>
      <c r="EP601" s="18"/>
      <c r="EQ601" s="18"/>
      <c r="ER601" s="18"/>
      <c r="ES601" s="18"/>
      <c r="ET601" s="18"/>
      <c r="EU601" s="18"/>
      <c r="EV601" s="18"/>
      <c r="EW601" s="18"/>
      <c r="EX601" s="18"/>
    </row>
    <row r="602">
      <c r="A602" s="101"/>
      <c r="B602" s="105"/>
      <c r="C602" s="105"/>
      <c r="D602" s="106"/>
      <c r="E602" s="110"/>
      <c r="F602" s="92"/>
      <c r="G602" s="18"/>
      <c r="H602" s="101" t="str">
        <f>IFERROR(__xludf.DUMMYFUNCTION("""COMPUTED_VALUE"""),"")</f>
        <v/>
      </c>
      <c r="I602" s="67" t="str">
        <f>IFERROR(__xludf.DUMMYFUNCTION("""COMPUTED_VALUE"""),"")</f>
        <v/>
      </c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/>
      <c r="DN602" s="18"/>
      <c r="DO602" s="18"/>
      <c r="DP602" s="18"/>
      <c r="DQ602" s="18"/>
      <c r="DR602" s="18"/>
      <c r="DS602" s="18"/>
      <c r="DT602" s="18"/>
      <c r="DU602" s="18"/>
      <c r="DV602" s="18"/>
      <c r="DW602" s="18"/>
      <c r="DX602" s="18"/>
      <c r="DY602" s="18"/>
      <c r="DZ602" s="18"/>
      <c r="EA602" s="18"/>
      <c r="EB602" s="18"/>
      <c r="EC602" s="18"/>
      <c r="ED602" s="18"/>
      <c r="EE602" s="18"/>
      <c r="EF602" s="18"/>
      <c r="EG602" s="18"/>
      <c r="EH602" s="18"/>
      <c r="EI602" s="18"/>
      <c r="EJ602" s="18"/>
      <c r="EK602" s="18"/>
      <c r="EL602" s="18"/>
      <c r="EM602" s="18"/>
      <c r="EN602" s="18"/>
      <c r="EO602" s="18"/>
      <c r="EP602" s="18"/>
      <c r="EQ602" s="18"/>
      <c r="ER602" s="18"/>
      <c r="ES602" s="18"/>
      <c r="ET602" s="18"/>
      <c r="EU602" s="18"/>
      <c r="EV602" s="18"/>
      <c r="EW602" s="18"/>
      <c r="EX602" s="18"/>
    </row>
    <row r="603">
      <c r="A603" s="101"/>
      <c r="B603" s="105"/>
      <c r="C603" s="105"/>
      <c r="D603" s="106"/>
      <c r="E603" s="110"/>
      <c r="F603" s="92"/>
      <c r="G603" s="18"/>
      <c r="H603" s="101" t="str">
        <f>IFERROR(__xludf.DUMMYFUNCTION("""COMPUTED_VALUE"""),"")</f>
        <v/>
      </c>
      <c r="I603" s="67" t="str">
        <f>IFERROR(__xludf.DUMMYFUNCTION("""COMPUTED_VALUE"""),"")</f>
        <v/>
      </c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/>
      <c r="DN603" s="18"/>
      <c r="DO603" s="18"/>
      <c r="DP603" s="18"/>
      <c r="DQ603" s="18"/>
      <c r="DR603" s="18"/>
      <c r="DS603" s="18"/>
      <c r="DT603" s="18"/>
      <c r="DU603" s="18"/>
      <c r="DV603" s="18"/>
      <c r="DW603" s="18"/>
      <c r="DX603" s="18"/>
      <c r="DY603" s="18"/>
      <c r="DZ603" s="18"/>
      <c r="EA603" s="18"/>
      <c r="EB603" s="18"/>
      <c r="EC603" s="18"/>
      <c r="ED603" s="18"/>
      <c r="EE603" s="18"/>
      <c r="EF603" s="18"/>
      <c r="EG603" s="18"/>
      <c r="EH603" s="18"/>
      <c r="EI603" s="18"/>
      <c r="EJ603" s="18"/>
      <c r="EK603" s="18"/>
      <c r="EL603" s="18"/>
      <c r="EM603" s="18"/>
      <c r="EN603" s="18"/>
      <c r="EO603" s="18"/>
      <c r="EP603" s="18"/>
      <c r="EQ603" s="18"/>
      <c r="ER603" s="18"/>
      <c r="ES603" s="18"/>
      <c r="ET603" s="18"/>
      <c r="EU603" s="18"/>
      <c r="EV603" s="18"/>
      <c r="EW603" s="18"/>
      <c r="EX603" s="18"/>
    </row>
    <row r="604">
      <c r="A604" s="101"/>
      <c r="B604" s="105"/>
      <c r="C604" s="105"/>
      <c r="D604" s="106"/>
      <c r="E604" s="110"/>
      <c r="F604" s="92"/>
      <c r="G604" s="18"/>
      <c r="H604" s="101" t="str">
        <f>IFERROR(__xludf.DUMMYFUNCTION("""COMPUTED_VALUE"""),"")</f>
        <v/>
      </c>
      <c r="I604" s="67" t="str">
        <f>IFERROR(__xludf.DUMMYFUNCTION("""COMPUTED_VALUE"""),"")</f>
        <v/>
      </c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/>
      <c r="DN604" s="18"/>
      <c r="DO604" s="18"/>
      <c r="DP604" s="18"/>
      <c r="DQ604" s="18"/>
      <c r="DR604" s="18"/>
      <c r="DS604" s="18"/>
      <c r="DT604" s="18"/>
      <c r="DU604" s="18"/>
      <c r="DV604" s="18"/>
      <c r="DW604" s="18"/>
      <c r="DX604" s="18"/>
      <c r="DY604" s="18"/>
      <c r="DZ604" s="18"/>
      <c r="EA604" s="18"/>
      <c r="EB604" s="18"/>
      <c r="EC604" s="18"/>
      <c r="ED604" s="18"/>
      <c r="EE604" s="18"/>
      <c r="EF604" s="18"/>
      <c r="EG604" s="18"/>
      <c r="EH604" s="18"/>
      <c r="EI604" s="18"/>
      <c r="EJ604" s="18"/>
      <c r="EK604" s="18"/>
      <c r="EL604" s="18"/>
      <c r="EM604" s="18"/>
      <c r="EN604" s="18"/>
      <c r="EO604" s="18"/>
      <c r="EP604" s="18"/>
      <c r="EQ604" s="18"/>
      <c r="ER604" s="18"/>
      <c r="ES604" s="18"/>
      <c r="ET604" s="18"/>
      <c r="EU604" s="18"/>
      <c r="EV604" s="18"/>
      <c r="EW604" s="18"/>
      <c r="EX604" s="18"/>
    </row>
    <row r="605">
      <c r="A605" s="101"/>
      <c r="B605" s="105"/>
      <c r="C605" s="105"/>
      <c r="D605" s="106"/>
      <c r="E605" s="110"/>
      <c r="F605" s="92"/>
      <c r="G605" s="18"/>
      <c r="H605" s="101" t="str">
        <f>IFERROR(__xludf.DUMMYFUNCTION("""COMPUTED_VALUE"""),"")</f>
        <v/>
      </c>
      <c r="I605" s="67" t="str">
        <f>IFERROR(__xludf.DUMMYFUNCTION("""COMPUTED_VALUE"""),"")</f>
        <v/>
      </c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/>
      <c r="DN605" s="18"/>
      <c r="DO605" s="18"/>
      <c r="DP605" s="18"/>
      <c r="DQ605" s="18"/>
      <c r="DR605" s="18"/>
      <c r="DS605" s="18"/>
      <c r="DT605" s="18"/>
      <c r="DU605" s="18"/>
      <c r="DV605" s="18"/>
      <c r="DW605" s="18"/>
      <c r="DX605" s="18"/>
      <c r="DY605" s="18"/>
      <c r="DZ605" s="18"/>
      <c r="EA605" s="18"/>
      <c r="EB605" s="18"/>
      <c r="EC605" s="18"/>
      <c r="ED605" s="18"/>
      <c r="EE605" s="18"/>
      <c r="EF605" s="18"/>
      <c r="EG605" s="18"/>
      <c r="EH605" s="18"/>
      <c r="EI605" s="18"/>
      <c r="EJ605" s="18"/>
      <c r="EK605" s="18"/>
      <c r="EL605" s="18"/>
      <c r="EM605" s="18"/>
      <c r="EN605" s="18"/>
      <c r="EO605" s="18"/>
      <c r="EP605" s="18"/>
      <c r="EQ605" s="18"/>
      <c r="ER605" s="18"/>
      <c r="ES605" s="18"/>
      <c r="ET605" s="18"/>
      <c r="EU605" s="18"/>
      <c r="EV605" s="18"/>
      <c r="EW605" s="18"/>
      <c r="EX605" s="18"/>
    </row>
    <row r="606">
      <c r="A606" s="101"/>
      <c r="B606" s="105"/>
      <c r="C606" s="105"/>
      <c r="D606" s="106"/>
      <c r="E606" s="110"/>
      <c r="F606" s="92"/>
      <c r="G606" s="18"/>
      <c r="H606" s="101" t="str">
        <f>IFERROR(__xludf.DUMMYFUNCTION("""COMPUTED_VALUE"""),"")</f>
        <v/>
      </c>
      <c r="I606" s="67" t="str">
        <f>IFERROR(__xludf.DUMMYFUNCTION("""COMPUTED_VALUE"""),"")</f>
        <v/>
      </c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/>
      <c r="DN606" s="18"/>
      <c r="DO606" s="18"/>
      <c r="DP606" s="18"/>
      <c r="DQ606" s="18"/>
      <c r="DR606" s="18"/>
      <c r="DS606" s="18"/>
      <c r="DT606" s="18"/>
      <c r="DU606" s="18"/>
      <c r="DV606" s="18"/>
      <c r="DW606" s="18"/>
      <c r="DX606" s="18"/>
      <c r="DY606" s="18"/>
      <c r="DZ606" s="18"/>
      <c r="EA606" s="18"/>
      <c r="EB606" s="18"/>
      <c r="EC606" s="18"/>
      <c r="ED606" s="18"/>
      <c r="EE606" s="18"/>
      <c r="EF606" s="18"/>
      <c r="EG606" s="18"/>
      <c r="EH606" s="18"/>
      <c r="EI606" s="18"/>
      <c r="EJ606" s="18"/>
      <c r="EK606" s="18"/>
      <c r="EL606" s="18"/>
      <c r="EM606" s="18"/>
      <c r="EN606" s="18"/>
      <c r="EO606" s="18"/>
      <c r="EP606" s="18"/>
      <c r="EQ606" s="18"/>
      <c r="ER606" s="18"/>
      <c r="ES606" s="18"/>
      <c r="ET606" s="18"/>
      <c r="EU606" s="18"/>
      <c r="EV606" s="18"/>
      <c r="EW606" s="18"/>
      <c r="EX606" s="18"/>
    </row>
    <row r="607">
      <c r="A607" s="101"/>
      <c r="B607" s="105"/>
      <c r="C607" s="105"/>
      <c r="D607" s="106"/>
      <c r="E607" s="110"/>
      <c r="F607" s="92"/>
      <c r="G607" s="18"/>
      <c r="H607" s="101" t="str">
        <f>IFERROR(__xludf.DUMMYFUNCTION("""COMPUTED_VALUE"""),"")</f>
        <v/>
      </c>
      <c r="I607" s="67" t="str">
        <f>IFERROR(__xludf.DUMMYFUNCTION("""COMPUTED_VALUE"""),"")</f>
        <v/>
      </c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/>
      <c r="DN607" s="18"/>
      <c r="DO607" s="18"/>
      <c r="DP607" s="18"/>
      <c r="DQ607" s="18"/>
      <c r="DR607" s="18"/>
      <c r="DS607" s="18"/>
      <c r="DT607" s="18"/>
      <c r="DU607" s="18"/>
      <c r="DV607" s="18"/>
      <c r="DW607" s="18"/>
      <c r="DX607" s="18"/>
      <c r="DY607" s="18"/>
      <c r="DZ607" s="18"/>
      <c r="EA607" s="18"/>
      <c r="EB607" s="18"/>
      <c r="EC607" s="18"/>
      <c r="ED607" s="18"/>
      <c r="EE607" s="18"/>
      <c r="EF607" s="18"/>
      <c r="EG607" s="18"/>
      <c r="EH607" s="18"/>
      <c r="EI607" s="18"/>
      <c r="EJ607" s="18"/>
      <c r="EK607" s="18"/>
      <c r="EL607" s="18"/>
      <c r="EM607" s="18"/>
      <c r="EN607" s="18"/>
      <c r="EO607" s="18"/>
      <c r="EP607" s="18"/>
      <c r="EQ607" s="18"/>
      <c r="ER607" s="18"/>
      <c r="ES607" s="18"/>
      <c r="ET607" s="18"/>
      <c r="EU607" s="18"/>
      <c r="EV607" s="18"/>
      <c r="EW607" s="18"/>
      <c r="EX607" s="18"/>
    </row>
    <row r="608">
      <c r="A608" s="101"/>
      <c r="B608" s="105"/>
      <c r="C608" s="105"/>
      <c r="D608" s="106"/>
      <c r="E608" s="110"/>
      <c r="F608" s="92"/>
      <c r="G608" s="18"/>
      <c r="H608" s="101" t="str">
        <f>IFERROR(__xludf.DUMMYFUNCTION("""COMPUTED_VALUE"""),"")</f>
        <v/>
      </c>
      <c r="I608" s="67" t="str">
        <f>IFERROR(__xludf.DUMMYFUNCTION("""COMPUTED_VALUE"""),"")</f>
        <v/>
      </c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/>
      <c r="DN608" s="18"/>
      <c r="DO608" s="18"/>
      <c r="DP608" s="18"/>
      <c r="DQ608" s="18"/>
      <c r="DR608" s="18"/>
      <c r="DS608" s="18"/>
      <c r="DT608" s="18"/>
      <c r="DU608" s="18"/>
      <c r="DV608" s="18"/>
      <c r="DW608" s="18"/>
      <c r="DX608" s="18"/>
      <c r="DY608" s="18"/>
      <c r="DZ608" s="18"/>
      <c r="EA608" s="18"/>
      <c r="EB608" s="18"/>
      <c r="EC608" s="18"/>
      <c r="ED608" s="18"/>
      <c r="EE608" s="18"/>
      <c r="EF608" s="18"/>
      <c r="EG608" s="18"/>
      <c r="EH608" s="18"/>
      <c r="EI608" s="18"/>
      <c r="EJ608" s="18"/>
      <c r="EK608" s="18"/>
      <c r="EL608" s="18"/>
      <c r="EM608" s="18"/>
      <c r="EN608" s="18"/>
      <c r="EO608" s="18"/>
      <c r="EP608" s="18"/>
      <c r="EQ608" s="18"/>
      <c r="ER608" s="18"/>
      <c r="ES608" s="18"/>
      <c r="ET608" s="18"/>
      <c r="EU608" s="18"/>
      <c r="EV608" s="18"/>
      <c r="EW608" s="18"/>
      <c r="EX608" s="18"/>
    </row>
    <row r="609">
      <c r="A609" s="101"/>
      <c r="B609" s="105"/>
      <c r="C609" s="105"/>
      <c r="D609" s="106"/>
      <c r="E609" s="110"/>
      <c r="F609" s="92"/>
      <c r="G609" s="18"/>
      <c r="H609" s="101" t="str">
        <f>IFERROR(__xludf.DUMMYFUNCTION("""COMPUTED_VALUE"""),"")</f>
        <v/>
      </c>
      <c r="I609" s="67" t="str">
        <f>IFERROR(__xludf.DUMMYFUNCTION("""COMPUTED_VALUE"""),"")</f>
        <v/>
      </c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/>
      <c r="DN609" s="18"/>
      <c r="DO609" s="18"/>
      <c r="DP609" s="18"/>
      <c r="DQ609" s="18"/>
      <c r="DR609" s="18"/>
      <c r="DS609" s="18"/>
      <c r="DT609" s="18"/>
      <c r="DU609" s="18"/>
      <c r="DV609" s="18"/>
      <c r="DW609" s="18"/>
      <c r="DX609" s="18"/>
      <c r="DY609" s="18"/>
      <c r="DZ609" s="18"/>
      <c r="EA609" s="18"/>
      <c r="EB609" s="18"/>
      <c r="EC609" s="18"/>
      <c r="ED609" s="18"/>
      <c r="EE609" s="18"/>
      <c r="EF609" s="18"/>
      <c r="EG609" s="18"/>
      <c r="EH609" s="18"/>
      <c r="EI609" s="18"/>
      <c r="EJ609" s="18"/>
      <c r="EK609" s="18"/>
      <c r="EL609" s="18"/>
      <c r="EM609" s="18"/>
      <c r="EN609" s="18"/>
      <c r="EO609" s="18"/>
      <c r="EP609" s="18"/>
      <c r="EQ609" s="18"/>
      <c r="ER609" s="18"/>
      <c r="ES609" s="18"/>
      <c r="ET609" s="18"/>
      <c r="EU609" s="18"/>
      <c r="EV609" s="18"/>
      <c r="EW609" s="18"/>
      <c r="EX609" s="18"/>
    </row>
    <row r="610">
      <c r="A610" s="101"/>
      <c r="B610" s="105"/>
      <c r="C610" s="105"/>
      <c r="D610" s="106"/>
      <c r="E610" s="110"/>
      <c r="F610" s="92"/>
      <c r="G610" s="18"/>
      <c r="H610" s="101" t="str">
        <f>IFERROR(__xludf.DUMMYFUNCTION("""COMPUTED_VALUE"""),"")</f>
        <v/>
      </c>
      <c r="I610" s="67" t="str">
        <f>IFERROR(__xludf.DUMMYFUNCTION("""COMPUTED_VALUE"""),"")</f>
        <v/>
      </c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/>
      <c r="DN610" s="18"/>
      <c r="DO610" s="18"/>
      <c r="DP610" s="18"/>
      <c r="DQ610" s="18"/>
      <c r="DR610" s="18"/>
      <c r="DS610" s="18"/>
      <c r="DT610" s="18"/>
      <c r="DU610" s="18"/>
      <c r="DV610" s="18"/>
      <c r="DW610" s="18"/>
      <c r="DX610" s="18"/>
      <c r="DY610" s="18"/>
      <c r="DZ610" s="18"/>
      <c r="EA610" s="18"/>
      <c r="EB610" s="18"/>
      <c r="EC610" s="18"/>
      <c r="ED610" s="18"/>
      <c r="EE610" s="18"/>
      <c r="EF610" s="18"/>
      <c r="EG610" s="18"/>
      <c r="EH610" s="18"/>
      <c r="EI610" s="18"/>
      <c r="EJ610" s="18"/>
      <c r="EK610" s="18"/>
      <c r="EL610" s="18"/>
      <c r="EM610" s="18"/>
      <c r="EN610" s="18"/>
      <c r="EO610" s="18"/>
      <c r="EP610" s="18"/>
      <c r="EQ610" s="18"/>
      <c r="ER610" s="18"/>
      <c r="ES610" s="18"/>
      <c r="ET610" s="18"/>
      <c r="EU610" s="18"/>
      <c r="EV610" s="18"/>
      <c r="EW610" s="18"/>
      <c r="EX610" s="18"/>
    </row>
    <row r="611">
      <c r="A611" s="101"/>
      <c r="B611" s="105"/>
      <c r="C611" s="105"/>
      <c r="D611" s="106"/>
      <c r="E611" s="110"/>
      <c r="F611" s="92"/>
      <c r="G611" s="18"/>
      <c r="H611" s="101" t="str">
        <f>IFERROR(__xludf.DUMMYFUNCTION("""COMPUTED_VALUE"""),"")</f>
        <v/>
      </c>
      <c r="I611" s="67" t="str">
        <f>IFERROR(__xludf.DUMMYFUNCTION("""COMPUTED_VALUE"""),"")</f>
        <v/>
      </c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/>
      <c r="DN611" s="18"/>
      <c r="DO611" s="18"/>
      <c r="DP611" s="18"/>
      <c r="DQ611" s="18"/>
      <c r="DR611" s="18"/>
      <c r="DS611" s="18"/>
      <c r="DT611" s="18"/>
      <c r="DU611" s="18"/>
      <c r="DV611" s="18"/>
      <c r="DW611" s="18"/>
      <c r="DX611" s="18"/>
      <c r="DY611" s="18"/>
      <c r="DZ611" s="18"/>
      <c r="EA611" s="18"/>
      <c r="EB611" s="18"/>
      <c r="EC611" s="18"/>
      <c r="ED611" s="18"/>
      <c r="EE611" s="18"/>
      <c r="EF611" s="18"/>
      <c r="EG611" s="18"/>
      <c r="EH611" s="18"/>
      <c r="EI611" s="18"/>
      <c r="EJ611" s="18"/>
      <c r="EK611" s="18"/>
      <c r="EL611" s="18"/>
      <c r="EM611" s="18"/>
      <c r="EN611" s="18"/>
      <c r="EO611" s="18"/>
      <c r="EP611" s="18"/>
      <c r="EQ611" s="18"/>
      <c r="ER611" s="18"/>
      <c r="ES611" s="18"/>
      <c r="ET611" s="18"/>
      <c r="EU611" s="18"/>
      <c r="EV611" s="18"/>
      <c r="EW611" s="18"/>
      <c r="EX611" s="18"/>
    </row>
    <row r="612">
      <c r="A612" s="101"/>
      <c r="B612" s="105"/>
      <c r="C612" s="105"/>
      <c r="D612" s="106"/>
      <c r="E612" s="110"/>
      <c r="F612" s="92"/>
      <c r="G612" s="18"/>
      <c r="H612" s="101" t="str">
        <f>IFERROR(__xludf.DUMMYFUNCTION("""COMPUTED_VALUE"""),"")</f>
        <v/>
      </c>
      <c r="I612" s="67" t="str">
        <f>IFERROR(__xludf.DUMMYFUNCTION("""COMPUTED_VALUE"""),"")</f>
        <v/>
      </c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/>
      <c r="DN612" s="18"/>
      <c r="DO612" s="18"/>
      <c r="DP612" s="18"/>
      <c r="DQ612" s="18"/>
      <c r="DR612" s="18"/>
      <c r="DS612" s="18"/>
      <c r="DT612" s="18"/>
      <c r="DU612" s="18"/>
      <c r="DV612" s="18"/>
      <c r="DW612" s="18"/>
      <c r="DX612" s="18"/>
      <c r="DY612" s="18"/>
      <c r="DZ612" s="18"/>
      <c r="EA612" s="18"/>
      <c r="EB612" s="18"/>
      <c r="EC612" s="18"/>
      <c r="ED612" s="18"/>
      <c r="EE612" s="18"/>
      <c r="EF612" s="18"/>
      <c r="EG612" s="18"/>
      <c r="EH612" s="18"/>
      <c r="EI612" s="18"/>
      <c r="EJ612" s="18"/>
      <c r="EK612" s="18"/>
      <c r="EL612" s="18"/>
      <c r="EM612" s="18"/>
      <c r="EN612" s="18"/>
      <c r="EO612" s="18"/>
      <c r="EP612" s="18"/>
      <c r="EQ612" s="18"/>
      <c r="ER612" s="18"/>
      <c r="ES612" s="18"/>
      <c r="ET612" s="18"/>
      <c r="EU612" s="18"/>
      <c r="EV612" s="18"/>
      <c r="EW612" s="18"/>
      <c r="EX612" s="18"/>
    </row>
    <row r="613">
      <c r="A613" s="101"/>
      <c r="B613" s="105"/>
      <c r="C613" s="105"/>
      <c r="D613" s="106"/>
      <c r="E613" s="110"/>
      <c r="F613" s="92"/>
      <c r="G613" s="18"/>
      <c r="H613" s="101" t="str">
        <f>IFERROR(__xludf.DUMMYFUNCTION("""COMPUTED_VALUE"""),"")</f>
        <v/>
      </c>
      <c r="I613" s="67" t="str">
        <f>IFERROR(__xludf.DUMMYFUNCTION("""COMPUTED_VALUE"""),"")</f>
        <v/>
      </c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/>
      <c r="DN613" s="18"/>
      <c r="DO613" s="18"/>
      <c r="DP613" s="18"/>
      <c r="DQ613" s="18"/>
      <c r="DR613" s="18"/>
      <c r="DS613" s="18"/>
      <c r="DT613" s="18"/>
      <c r="DU613" s="18"/>
      <c r="DV613" s="18"/>
      <c r="DW613" s="18"/>
      <c r="DX613" s="18"/>
      <c r="DY613" s="18"/>
      <c r="DZ613" s="18"/>
      <c r="EA613" s="18"/>
      <c r="EB613" s="18"/>
      <c r="EC613" s="18"/>
      <c r="ED613" s="18"/>
      <c r="EE613" s="18"/>
      <c r="EF613" s="18"/>
      <c r="EG613" s="18"/>
      <c r="EH613" s="18"/>
      <c r="EI613" s="18"/>
      <c r="EJ613" s="18"/>
      <c r="EK613" s="18"/>
      <c r="EL613" s="18"/>
      <c r="EM613" s="18"/>
      <c r="EN613" s="18"/>
      <c r="EO613" s="18"/>
      <c r="EP613" s="18"/>
      <c r="EQ613" s="18"/>
      <c r="ER613" s="18"/>
      <c r="ES613" s="18"/>
      <c r="ET613" s="18"/>
      <c r="EU613" s="18"/>
      <c r="EV613" s="18"/>
      <c r="EW613" s="18"/>
      <c r="EX613" s="18"/>
    </row>
    <row r="614">
      <c r="A614" s="101"/>
      <c r="B614" s="105"/>
      <c r="C614" s="105"/>
      <c r="D614" s="106"/>
      <c r="E614" s="110"/>
      <c r="F614" s="92"/>
      <c r="G614" s="18"/>
      <c r="H614" s="101" t="str">
        <f>IFERROR(__xludf.DUMMYFUNCTION("""COMPUTED_VALUE"""),"")</f>
        <v/>
      </c>
      <c r="I614" s="67" t="str">
        <f>IFERROR(__xludf.DUMMYFUNCTION("""COMPUTED_VALUE"""),"")</f>
        <v/>
      </c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/>
      <c r="DN614" s="18"/>
      <c r="DO614" s="18"/>
      <c r="DP614" s="18"/>
      <c r="DQ614" s="18"/>
      <c r="DR614" s="18"/>
      <c r="DS614" s="18"/>
      <c r="DT614" s="18"/>
      <c r="DU614" s="18"/>
      <c r="DV614" s="18"/>
      <c r="DW614" s="18"/>
      <c r="DX614" s="18"/>
      <c r="DY614" s="18"/>
      <c r="DZ614" s="18"/>
      <c r="EA614" s="18"/>
      <c r="EB614" s="18"/>
      <c r="EC614" s="18"/>
      <c r="ED614" s="18"/>
      <c r="EE614" s="18"/>
      <c r="EF614" s="18"/>
      <c r="EG614" s="18"/>
      <c r="EH614" s="18"/>
      <c r="EI614" s="18"/>
      <c r="EJ614" s="18"/>
      <c r="EK614" s="18"/>
      <c r="EL614" s="18"/>
      <c r="EM614" s="18"/>
      <c r="EN614" s="18"/>
      <c r="EO614" s="18"/>
      <c r="EP614" s="18"/>
      <c r="EQ614" s="18"/>
      <c r="ER614" s="18"/>
      <c r="ES614" s="18"/>
      <c r="ET614" s="18"/>
      <c r="EU614" s="18"/>
      <c r="EV614" s="18"/>
      <c r="EW614" s="18"/>
      <c r="EX614" s="18"/>
    </row>
    <row r="615">
      <c r="A615" s="101"/>
      <c r="B615" s="105"/>
      <c r="C615" s="105"/>
      <c r="D615" s="106"/>
      <c r="E615" s="110"/>
      <c r="F615" s="92"/>
      <c r="G615" s="18"/>
      <c r="H615" s="101" t="str">
        <f>IFERROR(__xludf.DUMMYFUNCTION("""COMPUTED_VALUE"""),"")</f>
        <v/>
      </c>
      <c r="I615" s="67" t="str">
        <f>IFERROR(__xludf.DUMMYFUNCTION("""COMPUTED_VALUE"""),"")</f>
        <v/>
      </c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/>
      <c r="DN615" s="18"/>
      <c r="DO615" s="18"/>
      <c r="DP615" s="18"/>
      <c r="DQ615" s="18"/>
      <c r="DR615" s="18"/>
      <c r="DS615" s="18"/>
      <c r="DT615" s="18"/>
      <c r="DU615" s="18"/>
      <c r="DV615" s="18"/>
      <c r="DW615" s="18"/>
      <c r="DX615" s="18"/>
      <c r="DY615" s="18"/>
      <c r="DZ615" s="18"/>
      <c r="EA615" s="18"/>
      <c r="EB615" s="18"/>
      <c r="EC615" s="18"/>
      <c r="ED615" s="18"/>
      <c r="EE615" s="18"/>
      <c r="EF615" s="18"/>
      <c r="EG615" s="18"/>
      <c r="EH615" s="18"/>
      <c r="EI615" s="18"/>
      <c r="EJ615" s="18"/>
      <c r="EK615" s="18"/>
      <c r="EL615" s="18"/>
      <c r="EM615" s="18"/>
      <c r="EN615" s="18"/>
      <c r="EO615" s="18"/>
      <c r="EP615" s="18"/>
      <c r="EQ615" s="18"/>
      <c r="ER615" s="18"/>
      <c r="ES615" s="18"/>
      <c r="ET615" s="18"/>
      <c r="EU615" s="18"/>
      <c r="EV615" s="18"/>
      <c r="EW615" s="18"/>
      <c r="EX615" s="18"/>
    </row>
    <row r="616">
      <c r="A616" s="101"/>
      <c r="B616" s="105"/>
      <c r="C616" s="105"/>
      <c r="D616" s="106"/>
      <c r="E616" s="110"/>
      <c r="F616" s="92"/>
      <c r="G616" s="18"/>
      <c r="H616" s="101" t="str">
        <f>IFERROR(__xludf.DUMMYFUNCTION("""COMPUTED_VALUE"""),"")</f>
        <v/>
      </c>
      <c r="I616" s="67" t="str">
        <f>IFERROR(__xludf.DUMMYFUNCTION("""COMPUTED_VALUE"""),"")</f>
        <v/>
      </c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/>
      <c r="DN616" s="18"/>
      <c r="DO616" s="18"/>
      <c r="DP616" s="18"/>
      <c r="DQ616" s="18"/>
      <c r="DR616" s="18"/>
      <c r="DS616" s="18"/>
      <c r="DT616" s="18"/>
      <c r="DU616" s="18"/>
      <c r="DV616" s="18"/>
      <c r="DW616" s="18"/>
      <c r="DX616" s="18"/>
      <c r="DY616" s="18"/>
      <c r="DZ616" s="18"/>
      <c r="EA616" s="18"/>
      <c r="EB616" s="18"/>
      <c r="EC616" s="18"/>
      <c r="ED616" s="18"/>
      <c r="EE616" s="18"/>
      <c r="EF616" s="18"/>
      <c r="EG616" s="18"/>
      <c r="EH616" s="18"/>
      <c r="EI616" s="18"/>
      <c r="EJ616" s="18"/>
      <c r="EK616" s="18"/>
      <c r="EL616" s="18"/>
      <c r="EM616" s="18"/>
      <c r="EN616" s="18"/>
      <c r="EO616" s="18"/>
      <c r="EP616" s="18"/>
      <c r="EQ616" s="18"/>
      <c r="ER616" s="18"/>
      <c r="ES616" s="18"/>
      <c r="ET616" s="18"/>
      <c r="EU616" s="18"/>
      <c r="EV616" s="18"/>
      <c r="EW616" s="18"/>
      <c r="EX616" s="18"/>
    </row>
    <row r="617">
      <c r="A617" s="101"/>
      <c r="B617" s="105"/>
      <c r="C617" s="105"/>
      <c r="D617" s="106"/>
      <c r="E617" s="110"/>
      <c r="F617" s="92"/>
      <c r="G617" s="18"/>
      <c r="H617" s="101" t="str">
        <f>IFERROR(__xludf.DUMMYFUNCTION("""COMPUTED_VALUE"""),"")</f>
        <v/>
      </c>
      <c r="I617" s="67" t="str">
        <f>IFERROR(__xludf.DUMMYFUNCTION("""COMPUTED_VALUE"""),"")</f>
        <v/>
      </c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/>
      <c r="DN617" s="18"/>
      <c r="DO617" s="18"/>
      <c r="DP617" s="18"/>
      <c r="DQ617" s="18"/>
      <c r="DR617" s="18"/>
      <c r="DS617" s="18"/>
      <c r="DT617" s="18"/>
      <c r="DU617" s="18"/>
      <c r="DV617" s="18"/>
      <c r="DW617" s="18"/>
      <c r="DX617" s="18"/>
      <c r="DY617" s="18"/>
      <c r="DZ617" s="18"/>
      <c r="EA617" s="18"/>
      <c r="EB617" s="18"/>
      <c r="EC617" s="18"/>
      <c r="ED617" s="18"/>
      <c r="EE617" s="18"/>
      <c r="EF617" s="18"/>
      <c r="EG617" s="18"/>
      <c r="EH617" s="18"/>
      <c r="EI617" s="18"/>
      <c r="EJ617" s="18"/>
      <c r="EK617" s="18"/>
      <c r="EL617" s="18"/>
      <c r="EM617" s="18"/>
      <c r="EN617" s="18"/>
      <c r="EO617" s="18"/>
      <c r="EP617" s="18"/>
      <c r="EQ617" s="18"/>
      <c r="ER617" s="18"/>
      <c r="ES617" s="18"/>
      <c r="ET617" s="18"/>
      <c r="EU617" s="18"/>
      <c r="EV617" s="18"/>
      <c r="EW617" s="18"/>
      <c r="EX617" s="18"/>
    </row>
    <row r="618">
      <c r="A618" s="101"/>
      <c r="B618" s="105"/>
      <c r="C618" s="105"/>
      <c r="D618" s="106"/>
      <c r="E618" s="110"/>
      <c r="F618" s="92"/>
      <c r="G618" s="18"/>
      <c r="H618" s="101" t="str">
        <f>IFERROR(__xludf.DUMMYFUNCTION("""COMPUTED_VALUE"""),"")</f>
        <v/>
      </c>
      <c r="I618" s="67" t="str">
        <f>IFERROR(__xludf.DUMMYFUNCTION("""COMPUTED_VALUE"""),"")</f>
        <v/>
      </c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/>
      <c r="DN618" s="18"/>
      <c r="DO618" s="18"/>
      <c r="DP618" s="18"/>
      <c r="DQ618" s="18"/>
      <c r="DR618" s="18"/>
      <c r="DS618" s="18"/>
      <c r="DT618" s="18"/>
      <c r="DU618" s="18"/>
      <c r="DV618" s="18"/>
      <c r="DW618" s="18"/>
      <c r="DX618" s="18"/>
      <c r="DY618" s="18"/>
      <c r="DZ618" s="18"/>
      <c r="EA618" s="18"/>
      <c r="EB618" s="18"/>
      <c r="EC618" s="18"/>
      <c r="ED618" s="18"/>
      <c r="EE618" s="18"/>
      <c r="EF618" s="18"/>
      <c r="EG618" s="18"/>
      <c r="EH618" s="18"/>
      <c r="EI618" s="18"/>
      <c r="EJ618" s="18"/>
      <c r="EK618" s="18"/>
      <c r="EL618" s="18"/>
      <c r="EM618" s="18"/>
      <c r="EN618" s="18"/>
      <c r="EO618" s="18"/>
      <c r="EP618" s="18"/>
      <c r="EQ618" s="18"/>
      <c r="ER618" s="18"/>
      <c r="ES618" s="18"/>
      <c r="ET618" s="18"/>
      <c r="EU618" s="18"/>
      <c r="EV618" s="18"/>
      <c r="EW618" s="18"/>
      <c r="EX618" s="18"/>
    </row>
    <row r="619">
      <c r="A619" s="101"/>
      <c r="B619" s="105"/>
      <c r="C619" s="105"/>
      <c r="D619" s="106"/>
      <c r="E619" s="110"/>
      <c r="F619" s="92"/>
      <c r="G619" s="18"/>
      <c r="H619" s="101" t="str">
        <f>IFERROR(__xludf.DUMMYFUNCTION("""COMPUTED_VALUE"""),"")</f>
        <v/>
      </c>
      <c r="I619" s="67" t="str">
        <f>IFERROR(__xludf.DUMMYFUNCTION("""COMPUTED_VALUE"""),"")</f>
        <v/>
      </c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/>
      <c r="DN619" s="18"/>
      <c r="DO619" s="18"/>
      <c r="DP619" s="18"/>
      <c r="DQ619" s="18"/>
      <c r="DR619" s="18"/>
      <c r="DS619" s="18"/>
      <c r="DT619" s="18"/>
      <c r="DU619" s="18"/>
      <c r="DV619" s="18"/>
      <c r="DW619" s="18"/>
      <c r="DX619" s="18"/>
      <c r="DY619" s="18"/>
      <c r="DZ619" s="18"/>
      <c r="EA619" s="18"/>
      <c r="EB619" s="18"/>
      <c r="EC619" s="18"/>
      <c r="ED619" s="18"/>
      <c r="EE619" s="18"/>
      <c r="EF619" s="18"/>
      <c r="EG619" s="18"/>
      <c r="EH619" s="18"/>
      <c r="EI619" s="18"/>
      <c r="EJ619" s="18"/>
      <c r="EK619" s="18"/>
      <c r="EL619" s="18"/>
      <c r="EM619" s="18"/>
      <c r="EN619" s="18"/>
      <c r="EO619" s="18"/>
      <c r="EP619" s="18"/>
      <c r="EQ619" s="18"/>
      <c r="ER619" s="18"/>
      <c r="ES619" s="18"/>
      <c r="ET619" s="18"/>
      <c r="EU619" s="18"/>
      <c r="EV619" s="18"/>
      <c r="EW619" s="18"/>
      <c r="EX619" s="18"/>
    </row>
    <row r="620">
      <c r="A620" s="101"/>
      <c r="B620" s="105"/>
      <c r="C620" s="105"/>
      <c r="D620" s="106"/>
      <c r="E620" s="110"/>
      <c r="F620" s="92"/>
      <c r="G620" s="18"/>
      <c r="H620" s="101" t="str">
        <f>IFERROR(__xludf.DUMMYFUNCTION("""COMPUTED_VALUE"""),"")</f>
        <v/>
      </c>
      <c r="I620" s="67" t="str">
        <f>IFERROR(__xludf.DUMMYFUNCTION("""COMPUTED_VALUE"""),"")</f>
        <v/>
      </c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/>
      <c r="DN620" s="18"/>
      <c r="DO620" s="18"/>
      <c r="DP620" s="18"/>
      <c r="DQ620" s="18"/>
      <c r="DR620" s="18"/>
      <c r="DS620" s="18"/>
      <c r="DT620" s="18"/>
      <c r="DU620" s="18"/>
      <c r="DV620" s="18"/>
      <c r="DW620" s="18"/>
      <c r="DX620" s="18"/>
      <c r="DY620" s="18"/>
      <c r="DZ620" s="18"/>
      <c r="EA620" s="18"/>
      <c r="EB620" s="18"/>
      <c r="EC620" s="18"/>
      <c r="ED620" s="18"/>
      <c r="EE620" s="18"/>
      <c r="EF620" s="18"/>
      <c r="EG620" s="18"/>
      <c r="EH620" s="18"/>
      <c r="EI620" s="18"/>
      <c r="EJ620" s="18"/>
      <c r="EK620" s="18"/>
      <c r="EL620" s="18"/>
      <c r="EM620" s="18"/>
      <c r="EN620" s="18"/>
      <c r="EO620" s="18"/>
      <c r="EP620" s="18"/>
      <c r="EQ620" s="18"/>
      <c r="ER620" s="18"/>
      <c r="ES620" s="18"/>
      <c r="ET620" s="18"/>
      <c r="EU620" s="18"/>
      <c r="EV620" s="18"/>
      <c r="EW620" s="18"/>
      <c r="EX620" s="18"/>
    </row>
    <row r="621">
      <c r="A621" s="101"/>
      <c r="B621" s="105"/>
      <c r="C621" s="105"/>
      <c r="D621" s="106"/>
      <c r="E621" s="110"/>
      <c r="F621" s="92"/>
      <c r="G621" s="18"/>
      <c r="H621" s="101" t="str">
        <f>IFERROR(__xludf.DUMMYFUNCTION("""COMPUTED_VALUE"""),"")</f>
        <v/>
      </c>
      <c r="I621" s="67" t="str">
        <f>IFERROR(__xludf.DUMMYFUNCTION("""COMPUTED_VALUE"""),"")</f>
        <v/>
      </c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/>
      <c r="DN621" s="18"/>
      <c r="DO621" s="18"/>
      <c r="DP621" s="18"/>
      <c r="DQ621" s="18"/>
      <c r="DR621" s="18"/>
      <c r="DS621" s="18"/>
      <c r="DT621" s="18"/>
      <c r="DU621" s="18"/>
      <c r="DV621" s="18"/>
      <c r="DW621" s="18"/>
      <c r="DX621" s="18"/>
      <c r="DY621" s="18"/>
      <c r="DZ621" s="18"/>
      <c r="EA621" s="18"/>
      <c r="EB621" s="18"/>
      <c r="EC621" s="18"/>
      <c r="ED621" s="18"/>
      <c r="EE621" s="18"/>
      <c r="EF621" s="18"/>
      <c r="EG621" s="18"/>
      <c r="EH621" s="18"/>
      <c r="EI621" s="18"/>
      <c r="EJ621" s="18"/>
      <c r="EK621" s="18"/>
      <c r="EL621" s="18"/>
      <c r="EM621" s="18"/>
      <c r="EN621" s="18"/>
      <c r="EO621" s="18"/>
      <c r="EP621" s="18"/>
      <c r="EQ621" s="18"/>
      <c r="ER621" s="18"/>
      <c r="ES621" s="18"/>
      <c r="ET621" s="18"/>
      <c r="EU621" s="18"/>
      <c r="EV621" s="18"/>
      <c r="EW621" s="18"/>
      <c r="EX621" s="18"/>
    </row>
    <row r="622">
      <c r="A622" s="101"/>
      <c r="B622" s="105"/>
      <c r="C622" s="105"/>
      <c r="D622" s="106"/>
      <c r="E622" s="110"/>
      <c r="F622" s="92"/>
      <c r="G622" s="18"/>
      <c r="H622" s="101" t="str">
        <f>IFERROR(__xludf.DUMMYFUNCTION("""COMPUTED_VALUE"""),"")</f>
        <v/>
      </c>
      <c r="I622" s="67" t="str">
        <f>IFERROR(__xludf.DUMMYFUNCTION("""COMPUTED_VALUE"""),"")</f>
        <v/>
      </c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/>
      <c r="DN622" s="18"/>
      <c r="DO622" s="18"/>
      <c r="DP622" s="18"/>
      <c r="DQ622" s="18"/>
      <c r="DR622" s="18"/>
      <c r="DS622" s="18"/>
      <c r="DT622" s="18"/>
      <c r="DU622" s="18"/>
      <c r="DV622" s="18"/>
      <c r="DW622" s="18"/>
      <c r="DX622" s="18"/>
      <c r="DY622" s="18"/>
      <c r="DZ622" s="18"/>
      <c r="EA622" s="18"/>
      <c r="EB622" s="18"/>
      <c r="EC622" s="18"/>
      <c r="ED622" s="18"/>
      <c r="EE622" s="18"/>
      <c r="EF622" s="18"/>
      <c r="EG622" s="18"/>
      <c r="EH622" s="18"/>
      <c r="EI622" s="18"/>
      <c r="EJ622" s="18"/>
      <c r="EK622" s="18"/>
      <c r="EL622" s="18"/>
      <c r="EM622" s="18"/>
      <c r="EN622" s="18"/>
      <c r="EO622" s="18"/>
      <c r="EP622" s="18"/>
      <c r="EQ622" s="18"/>
      <c r="ER622" s="18"/>
      <c r="ES622" s="18"/>
      <c r="ET622" s="18"/>
      <c r="EU622" s="18"/>
      <c r="EV622" s="18"/>
      <c r="EW622" s="18"/>
      <c r="EX622" s="18"/>
    </row>
    <row r="623">
      <c r="A623" s="101"/>
      <c r="B623" s="105"/>
      <c r="C623" s="105"/>
      <c r="D623" s="106"/>
      <c r="E623" s="110"/>
      <c r="F623" s="92"/>
      <c r="G623" s="18"/>
      <c r="H623" s="101" t="str">
        <f>IFERROR(__xludf.DUMMYFUNCTION("""COMPUTED_VALUE"""),"")</f>
        <v/>
      </c>
      <c r="I623" s="67" t="str">
        <f>IFERROR(__xludf.DUMMYFUNCTION("""COMPUTED_VALUE"""),"")</f>
        <v/>
      </c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/>
      <c r="DN623" s="18"/>
      <c r="DO623" s="18"/>
      <c r="DP623" s="18"/>
      <c r="DQ623" s="18"/>
      <c r="DR623" s="18"/>
      <c r="DS623" s="18"/>
      <c r="DT623" s="18"/>
      <c r="DU623" s="18"/>
      <c r="DV623" s="18"/>
      <c r="DW623" s="18"/>
      <c r="DX623" s="18"/>
      <c r="DY623" s="18"/>
      <c r="DZ623" s="18"/>
      <c r="EA623" s="18"/>
      <c r="EB623" s="18"/>
      <c r="EC623" s="18"/>
      <c r="ED623" s="18"/>
      <c r="EE623" s="18"/>
      <c r="EF623" s="18"/>
      <c r="EG623" s="18"/>
      <c r="EH623" s="18"/>
      <c r="EI623" s="18"/>
      <c r="EJ623" s="18"/>
      <c r="EK623" s="18"/>
      <c r="EL623" s="18"/>
      <c r="EM623" s="18"/>
      <c r="EN623" s="18"/>
      <c r="EO623" s="18"/>
      <c r="EP623" s="18"/>
      <c r="EQ623" s="18"/>
      <c r="ER623" s="18"/>
      <c r="ES623" s="18"/>
      <c r="ET623" s="18"/>
      <c r="EU623" s="18"/>
      <c r="EV623" s="18"/>
      <c r="EW623" s="18"/>
      <c r="EX623" s="18"/>
    </row>
    <row r="624">
      <c r="A624" s="101"/>
      <c r="B624" s="105"/>
      <c r="C624" s="105"/>
      <c r="D624" s="106"/>
      <c r="E624" s="110"/>
      <c r="F624" s="92"/>
      <c r="G624" s="18"/>
      <c r="H624" s="101" t="str">
        <f>IFERROR(__xludf.DUMMYFUNCTION("""COMPUTED_VALUE"""),"")</f>
        <v/>
      </c>
      <c r="I624" s="67" t="str">
        <f>IFERROR(__xludf.DUMMYFUNCTION("""COMPUTED_VALUE"""),"")</f>
        <v/>
      </c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/>
      <c r="DN624" s="18"/>
      <c r="DO624" s="18"/>
      <c r="DP624" s="18"/>
      <c r="DQ624" s="18"/>
      <c r="DR624" s="18"/>
      <c r="DS624" s="18"/>
      <c r="DT624" s="18"/>
      <c r="DU624" s="18"/>
      <c r="DV624" s="18"/>
      <c r="DW624" s="18"/>
      <c r="DX624" s="18"/>
      <c r="DY624" s="18"/>
      <c r="DZ624" s="18"/>
      <c r="EA624" s="18"/>
      <c r="EB624" s="18"/>
      <c r="EC624" s="18"/>
      <c r="ED624" s="18"/>
      <c r="EE624" s="18"/>
      <c r="EF624" s="18"/>
      <c r="EG624" s="18"/>
      <c r="EH624" s="18"/>
      <c r="EI624" s="18"/>
      <c r="EJ624" s="18"/>
      <c r="EK624" s="18"/>
      <c r="EL624" s="18"/>
      <c r="EM624" s="18"/>
      <c r="EN624" s="18"/>
      <c r="EO624" s="18"/>
      <c r="EP624" s="18"/>
      <c r="EQ624" s="18"/>
      <c r="ER624" s="18"/>
      <c r="ES624" s="18"/>
      <c r="ET624" s="18"/>
      <c r="EU624" s="18"/>
      <c r="EV624" s="18"/>
      <c r="EW624" s="18"/>
      <c r="EX624" s="18"/>
    </row>
    <row r="625">
      <c r="A625" s="101"/>
      <c r="B625" s="105"/>
      <c r="C625" s="105"/>
      <c r="D625" s="106"/>
      <c r="E625" s="110"/>
      <c r="F625" s="92"/>
      <c r="G625" s="18"/>
      <c r="H625" s="101" t="str">
        <f>IFERROR(__xludf.DUMMYFUNCTION("""COMPUTED_VALUE"""),"")</f>
        <v/>
      </c>
      <c r="I625" s="67" t="str">
        <f>IFERROR(__xludf.DUMMYFUNCTION("""COMPUTED_VALUE"""),"")</f>
        <v/>
      </c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/>
      <c r="DN625" s="18"/>
      <c r="DO625" s="18"/>
      <c r="DP625" s="18"/>
      <c r="DQ625" s="18"/>
      <c r="DR625" s="18"/>
      <c r="DS625" s="18"/>
      <c r="DT625" s="18"/>
      <c r="DU625" s="18"/>
      <c r="DV625" s="18"/>
      <c r="DW625" s="18"/>
      <c r="DX625" s="18"/>
      <c r="DY625" s="18"/>
      <c r="DZ625" s="18"/>
      <c r="EA625" s="18"/>
      <c r="EB625" s="18"/>
      <c r="EC625" s="18"/>
      <c r="ED625" s="18"/>
      <c r="EE625" s="18"/>
      <c r="EF625" s="18"/>
      <c r="EG625" s="18"/>
      <c r="EH625" s="18"/>
      <c r="EI625" s="18"/>
      <c r="EJ625" s="18"/>
      <c r="EK625" s="18"/>
      <c r="EL625" s="18"/>
      <c r="EM625" s="18"/>
      <c r="EN625" s="18"/>
      <c r="EO625" s="18"/>
      <c r="EP625" s="18"/>
      <c r="EQ625" s="18"/>
      <c r="ER625" s="18"/>
      <c r="ES625" s="18"/>
      <c r="ET625" s="18"/>
      <c r="EU625" s="18"/>
      <c r="EV625" s="18"/>
      <c r="EW625" s="18"/>
      <c r="EX625" s="18"/>
    </row>
    <row r="626">
      <c r="A626" s="101"/>
      <c r="B626" s="105"/>
      <c r="C626" s="105"/>
      <c r="D626" s="106"/>
      <c r="E626" s="110"/>
      <c r="F626" s="92"/>
      <c r="G626" s="18"/>
      <c r="H626" s="101" t="str">
        <f>IFERROR(__xludf.DUMMYFUNCTION("""COMPUTED_VALUE"""),"")</f>
        <v/>
      </c>
      <c r="I626" s="67" t="str">
        <f>IFERROR(__xludf.DUMMYFUNCTION("""COMPUTED_VALUE"""),"")</f>
        <v/>
      </c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/>
      <c r="DN626" s="18"/>
      <c r="DO626" s="18"/>
      <c r="DP626" s="18"/>
      <c r="DQ626" s="18"/>
      <c r="DR626" s="18"/>
      <c r="DS626" s="18"/>
      <c r="DT626" s="18"/>
      <c r="DU626" s="18"/>
      <c r="DV626" s="18"/>
      <c r="DW626" s="18"/>
      <c r="DX626" s="18"/>
      <c r="DY626" s="18"/>
      <c r="DZ626" s="18"/>
      <c r="EA626" s="18"/>
      <c r="EB626" s="18"/>
      <c r="EC626" s="18"/>
      <c r="ED626" s="18"/>
      <c r="EE626" s="18"/>
      <c r="EF626" s="18"/>
      <c r="EG626" s="18"/>
      <c r="EH626" s="18"/>
      <c r="EI626" s="18"/>
      <c r="EJ626" s="18"/>
      <c r="EK626" s="18"/>
      <c r="EL626" s="18"/>
      <c r="EM626" s="18"/>
      <c r="EN626" s="18"/>
      <c r="EO626" s="18"/>
      <c r="EP626" s="18"/>
      <c r="EQ626" s="18"/>
      <c r="ER626" s="18"/>
      <c r="ES626" s="18"/>
      <c r="ET626" s="18"/>
      <c r="EU626" s="18"/>
      <c r="EV626" s="18"/>
      <c r="EW626" s="18"/>
      <c r="EX626" s="18"/>
    </row>
    <row r="627">
      <c r="A627" s="101"/>
      <c r="B627" s="105"/>
      <c r="C627" s="105"/>
      <c r="D627" s="106"/>
      <c r="E627" s="110"/>
      <c r="F627" s="92"/>
      <c r="G627" s="18"/>
      <c r="H627" s="101" t="str">
        <f>IFERROR(__xludf.DUMMYFUNCTION("""COMPUTED_VALUE"""),"")</f>
        <v/>
      </c>
      <c r="I627" s="67" t="str">
        <f>IFERROR(__xludf.DUMMYFUNCTION("""COMPUTED_VALUE"""),"")</f>
        <v/>
      </c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/>
      <c r="DN627" s="18"/>
      <c r="DO627" s="18"/>
      <c r="DP627" s="18"/>
      <c r="DQ627" s="18"/>
      <c r="DR627" s="18"/>
      <c r="DS627" s="18"/>
      <c r="DT627" s="18"/>
      <c r="DU627" s="18"/>
      <c r="DV627" s="18"/>
      <c r="DW627" s="18"/>
      <c r="DX627" s="18"/>
      <c r="DY627" s="18"/>
      <c r="DZ627" s="18"/>
      <c r="EA627" s="18"/>
      <c r="EB627" s="18"/>
      <c r="EC627" s="18"/>
      <c r="ED627" s="18"/>
      <c r="EE627" s="18"/>
      <c r="EF627" s="18"/>
      <c r="EG627" s="18"/>
      <c r="EH627" s="18"/>
      <c r="EI627" s="18"/>
      <c r="EJ627" s="18"/>
      <c r="EK627" s="18"/>
      <c r="EL627" s="18"/>
      <c r="EM627" s="18"/>
      <c r="EN627" s="18"/>
      <c r="EO627" s="18"/>
      <c r="EP627" s="18"/>
      <c r="EQ627" s="18"/>
      <c r="ER627" s="18"/>
      <c r="ES627" s="18"/>
      <c r="ET627" s="18"/>
      <c r="EU627" s="18"/>
      <c r="EV627" s="18"/>
      <c r="EW627" s="18"/>
      <c r="EX627" s="18"/>
    </row>
    <row r="628">
      <c r="A628" s="101"/>
      <c r="B628" s="105"/>
      <c r="C628" s="105"/>
      <c r="D628" s="106"/>
      <c r="E628" s="110"/>
      <c r="F628" s="92"/>
      <c r="G628" s="18"/>
      <c r="H628" s="101" t="str">
        <f>IFERROR(__xludf.DUMMYFUNCTION("""COMPUTED_VALUE"""),"")</f>
        <v/>
      </c>
      <c r="I628" s="67" t="str">
        <f>IFERROR(__xludf.DUMMYFUNCTION("""COMPUTED_VALUE"""),"")</f>
        <v/>
      </c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/>
      <c r="DN628" s="18"/>
      <c r="DO628" s="18"/>
      <c r="DP628" s="18"/>
      <c r="DQ628" s="18"/>
      <c r="DR628" s="18"/>
      <c r="DS628" s="18"/>
      <c r="DT628" s="18"/>
      <c r="DU628" s="18"/>
      <c r="DV628" s="18"/>
      <c r="DW628" s="18"/>
      <c r="DX628" s="18"/>
      <c r="DY628" s="18"/>
      <c r="DZ628" s="18"/>
      <c r="EA628" s="18"/>
      <c r="EB628" s="18"/>
      <c r="EC628" s="18"/>
      <c r="ED628" s="18"/>
      <c r="EE628" s="18"/>
      <c r="EF628" s="18"/>
      <c r="EG628" s="18"/>
      <c r="EH628" s="18"/>
      <c r="EI628" s="18"/>
      <c r="EJ628" s="18"/>
      <c r="EK628" s="18"/>
      <c r="EL628" s="18"/>
      <c r="EM628" s="18"/>
      <c r="EN628" s="18"/>
      <c r="EO628" s="18"/>
      <c r="EP628" s="18"/>
      <c r="EQ628" s="18"/>
      <c r="ER628" s="18"/>
      <c r="ES628" s="18"/>
      <c r="ET628" s="18"/>
      <c r="EU628" s="18"/>
      <c r="EV628" s="18"/>
      <c r="EW628" s="18"/>
      <c r="EX628" s="18"/>
    </row>
    <row r="629">
      <c r="A629" s="101"/>
      <c r="B629" s="105"/>
      <c r="C629" s="105"/>
      <c r="D629" s="106"/>
      <c r="E629" s="110"/>
      <c r="F629" s="92"/>
      <c r="G629" s="18"/>
      <c r="H629" s="101" t="str">
        <f>IFERROR(__xludf.DUMMYFUNCTION("""COMPUTED_VALUE"""),"")</f>
        <v/>
      </c>
      <c r="I629" s="67" t="str">
        <f>IFERROR(__xludf.DUMMYFUNCTION("""COMPUTED_VALUE"""),"")</f>
        <v/>
      </c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/>
      <c r="DN629" s="18"/>
      <c r="DO629" s="18"/>
      <c r="DP629" s="18"/>
      <c r="DQ629" s="18"/>
      <c r="DR629" s="18"/>
      <c r="DS629" s="18"/>
      <c r="DT629" s="18"/>
      <c r="DU629" s="18"/>
      <c r="DV629" s="18"/>
      <c r="DW629" s="18"/>
      <c r="DX629" s="18"/>
      <c r="DY629" s="18"/>
      <c r="DZ629" s="18"/>
      <c r="EA629" s="18"/>
      <c r="EB629" s="18"/>
      <c r="EC629" s="18"/>
      <c r="ED629" s="18"/>
      <c r="EE629" s="18"/>
      <c r="EF629" s="18"/>
      <c r="EG629" s="18"/>
      <c r="EH629" s="18"/>
      <c r="EI629" s="18"/>
      <c r="EJ629" s="18"/>
      <c r="EK629" s="18"/>
      <c r="EL629" s="18"/>
      <c r="EM629" s="18"/>
      <c r="EN629" s="18"/>
      <c r="EO629" s="18"/>
      <c r="EP629" s="18"/>
      <c r="EQ629" s="18"/>
      <c r="ER629" s="18"/>
      <c r="ES629" s="18"/>
      <c r="ET629" s="18"/>
      <c r="EU629" s="18"/>
      <c r="EV629" s="18"/>
      <c r="EW629" s="18"/>
      <c r="EX629" s="18"/>
    </row>
    <row r="630">
      <c r="A630" s="101"/>
      <c r="B630" s="105"/>
      <c r="C630" s="105"/>
      <c r="D630" s="106"/>
      <c r="E630" s="110"/>
      <c r="F630" s="92"/>
      <c r="G630" s="18"/>
      <c r="H630" s="101" t="str">
        <f>IFERROR(__xludf.DUMMYFUNCTION("""COMPUTED_VALUE"""),"")</f>
        <v/>
      </c>
      <c r="I630" s="67" t="str">
        <f>IFERROR(__xludf.DUMMYFUNCTION("""COMPUTED_VALUE"""),"")</f>
        <v/>
      </c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/>
      <c r="DN630" s="18"/>
      <c r="DO630" s="18"/>
      <c r="DP630" s="18"/>
      <c r="DQ630" s="18"/>
      <c r="DR630" s="18"/>
      <c r="DS630" s="18"/>
      <c r="DT630" s="18"/>
      <c r="DU630" s="18"/>
      <c r="DV630" s="18"/>
      <c r="DW630" s="18"/>
      <c r="DX630" s="18"/>
      <c r="DY630" s="18"/>
      <c r="DZ630" s="18"/>
      <c r="EA630" s="18"/>
      <c r="EB630" s="18"/>
      <c r="EC630" s="18"/>
      <c r="ED630" s="18"/>
      <c r="EE630" s="18"/>
      <c r="EF630" s="18"/>
      <c r="EG630" s="18"/>
      <c r="EH630" s="18"/>
      <c r="EI630" s="18"/>
      <c r="EJ630" s="18"/>
      <c r="EK630" s="18"/>
      <c r="EL630" s="18"/>
      <c r="EM630" s="18"/>
      <c r="EN630" s="18"/>
      <c r="EO630" s="18"/>
      <c r="EP630" s="18"/>
      <c r="EQ630" s="18"/>
      <c r="ER630" s="18"/>
      <c r="ES630" s="18"/>
      <c r="ET630" s="18"/>
      <c r="EU630" s="18"/>
      <c r="EV630" s="18"/>
      <c r="EW630" s="18"/>
      <c r="EX630" s="18"/>
    </row>
    <row r="631">
      <c r="A631" s="101"/>
      <c r="B631" s="105"/>
      <c r="C631" s="105"/>
      <c r="D631" s="106"/>
      <c r="E631" s="110"/>
      <c r="F631" s="92"/>
      <c r="G631" s="18"/>
      <c r="H631" s="101" t="str">
        <f>IFERROR(__xludf.DUMMYFUNCTION("""COMPUTED_VALUE"""),"")</f>
        <v/>
      </c>
      <c r="I631" s="67" t="str">
        <f>IFERROR(__xludf.DUMMYFUNCTION("""COMPUTED_VALUE"""),"")</f>
        <v/>
      </c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/>
      <c r="DN631" s="18"/>
      <c r="DO631" s="18"/>
      <c r="DP631" s="18"/>
      <c r="DQ631" s="18"/>
      <c r="DR631" s="18"/>
      <c r="DS631" s="18"/>
      <c r="DT631" s="18"/>
      <c r="DU631" s="18"/>
      <c r="DV631" s="18"/>
      <c r="DW631" s="18"/>
      <c r="DX631" s="18"/>
      <c r="DY631" s="18"/>
      <c r="DZ631" s="18"/>
      <c r="EA631" s="18"/>
      <c r="EB631" s="18"/>
      <c r="EC631" s="18"/>
      <c r="ED631" s="18"/>
      <c r="EE631" s="18"/>
      <c r="EF631" s="18"/>
      <c r="EG631" s="18"/>
      <c r="EH631" s="18"/>
      <c r="EI631" s="18"/>
      <c r="EJ631" s="18"/>
      <c r="EK631" s="18"/>
      <c r="EL631" s="18"/>
      <c r="EM631" s="18"/>
      <c r="EN631" s="18"/>
      <c r="EO631" s="18"/>
      <c r="EP631" s="18"/>
      <c r="EQ631" s="18"/>
      <c r="ER631" s="18"/>
      <c r="ES631" s="18"/>
      <c r="ET631" s="18"/>
      <c r="EU631" s="18"/>
      <c r="EV631" s="18"/>
      <c r="EW631" s="18"/>
      <c r="EX631" s="18"/>
    </row>
    <row r="632">
      <c r="A632" s="101"/>
      <c r="B632" s="105"/>
      <c r="C632" s="105"/>
      <c r="D632" s="106"/>
      <c r="E632" s="110"/>
      <c r="F632" s="92"/>
      <c r="G632" s="18"/>
      <c r="H632" s="101" t="str">
        <f>IFERROR(__xludf.DUMMYFUNCTION("""COMPUTED_VALUE"""),"")</f>
        <v/>
      </c>
      <c r="I632" s="67" t="str">
        <f>IFERROR(__xludf.DUMMYFUNCTION("""COMPUTED_VALUE"""),"")</f>
        <v/>
      </c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/>
      <c r="DN632" s="18"/>
      <c r="DO632" s="18"/>
      <c r="DP632" s="18"/>
      <c r="DQ632" s="18"/>
      <c r="DR632" s="18"/>
      <c r="DS632" s="18"/>
      <c r="DT632" s="18"/>
      <c r="DU632" s="18"/>
      <c r="DV632" s="18"/>
      <c r="DW632" s="18"/>
      <c r="DX632" s="18"/>
      <c r="DY632" s="18"/>
      <c r="DZ632" s="18"/>
      <c r="EA632" s="18"/>
      <c r="EB632" s="18"/>
      <c r="EC632" s="18"/>
      <c r="ED632" s="18"/>
      <c r="EE632" s="18"/>
      <c r="EF632" s="18"/>
      <c r="EG632" s="18"/>
      <c r="EH632" s="18"/>
      <c r="EI632" s="18"/>
      <c r="EJ632" s="18"/>
      <c r="EK632" s="18"/>
      <c r="EL632" s="18"/>
      <c r="EM632" s="18"/>
      <c r="EN632" s="18"/>
      <c r="EO632" s="18"/>
      <c r="EP632" s="18"/>
      <c r="EQ632" s="18"/>
      <c r="ER632" s="18"/>
      <c r="ES632" s="18"/>
      <c r="ET632" s="18"/>
      <c r="EU632" s="18"/>
      <c r="EV632" s="18"/>
      <c r="EW632" s="18"/>
      <c r="EX632" s="18"/>
    </row>
    <row r="633">
      <c r="A633" s="101"/>
      <c r="B633" s="105"/>
      <c r="C633" s="105"/>
      <c r="D633" s="106"/>
      <c r="E633" s="110"/>
      <c r="F633" s="92"/>
      <c r="G633" s="18"/>
      <c r="H633" s="101" t="str">
        <f>IFERROR(__xludf.DUMMYFUNCTION("""COMPUTED_VALUE"""),"")</f>
        <v/>
      </c>
      <c r="I633" s="67" t="str">
        <f>IFERROR(__xludf.DUMMYFUNCTION("""COMPUTED_VALUE"""),"")</f>
        <v/>
      </c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/>
      <c r="DN633" s="18"/>
      <c r="DO633" s="18"/>
      <c r="DP633" s="18"/>
      <c r="DQ633" s="18"/>
      <c r="DR633" s="18"/>
      <c r="DS633" s="18"/>
      <c r="DT633" s="18"/>
      <c r="DU633" s="18"/>
      <c r="DV633" s="18"/>
      <c r="DW633" s="18"/>
      <c r="DX633" s="18"/>
      <c r="DY633" s="18"/>
      <c r="DZ633" s="18"/>
      <c r="EA633" s="18"/>
      <c r="EB633" s="18"/>
      <c r="EC633" s="18"/>
      <c r="ED633" s="18"/>
      <c r="EE633" s="18"/>
      <c r="EF633" s="18"/>
      <c r="EG633" s="18"/>
      <c r="EH633" s="18"/>
      <c r="EI633" s="18"/>
      <c r="EJ633" s="18"/>
      <c r="EK633" s="18"/>
      <c r="EL633" s="18"/>
      <c r="EM633" s="18"/>
      <c r="EN633" s="18"/>
      <c r="EO633" s="18"/>
      <c r="EP633" s="18"/>
      <c r="EQ633" s="18"/>
      <c r="ER633" s="18"/>
      <c r="ES633" s="18"/>
      <c r="ET633" s="18"/>
      <c r="EU633" s="18"/>
      <c r="EV633" s="18"/>
      <c r="EW633" s="18"/>
      <c r="EX633" s="18"/>
    </row>
    <row r="634">
      <c r="A634" s="101"/>
      <c r="B634" s="105"/>
      <c r="C634" s="105"/>
      <c r="D634" s="106"/>
      <c r="E634" s="110"/>
      <c r="F634" s="92"/>
      <c r="G634" s="18"/>
      <c r="H634" s="101" t="str">
        <f>IFERROR(__xludf.DUMMYFUNCTION("""COMPUTED_VALUE"""),"")</f>
        <v/>
      </c>
      <c r="I634" s="67" t="str">
        <f>IFERROR(__xludf.DUMMYFUNCTION("""COMPUTED_VALUE"""),"")</f>
        <v/>
      </c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/>
      <c r="DN634" s="18"/>
      <c r="DO634" s="18"/>
      <c r="DP634" s="18"/>
      <c r="DQ634" s="18"/>
      <c r="DR634" s="18"/>
      <c r="DS634" s="18"/>
      <c r="DT634" s="18"/>
      <c r="DU634" s="18"/>
      <c r="DV634" s="18"/>
      <c r="DW634" s="18"/>
      <c r="DX634" s="18"/>
      <c r="DY634" s="18"/>
      <c r="DZ634" s="18"/>
      <c r="EA634" s="18"/>
      <c r="EB634" s="18"/>
      <c r="EC634" s="18"/>
      <c r="ED634" s="18"/>
      <c r="EE634" s="18"/>
      <c r="EF634" s="18"/>
      <c r="EG634" s="18"/>
      <c r="EH634" s="18"/>
      <c r="EI634" s="18"/>
      <c r="EJ634" s="18"/>
      <c r="EK634" s="18"/>
      <c r="EL634" s="18"/>
      <c r="EM634" s="18"/>
      <c r="EN634" s="18"/>
      <c r="EO634" s="18"/>
      <c r="EP634" s="18"/>
      <c r="EQ634" s="18"/>
      <c r="ER634" s="18"/>
      <c r="ES634" s="18"/>
      <c r="ET634" s="18"/>
      <c r="EU634" s="18"/>
      <c r="EV634" s="18"/>
      <c r="EW634" s="18"/>
      <c r="EX634" s="18"/>
    </row>
    <row r="635">
      <c r="A635" s="101"/>
      <c r="B635" s="105"/>
      <c r="C635" s="105"/>
      <c r="D635" s="106"/>
      <c r="E635" s="110"/>
      <c r="F635" s="92"/>
      <c r="G635" s="18"/>
      <c r="H635" s="101" t="str">
        <f>IFERROR(__xludf.DUMMYFUNCTION("""COMPUTED_VALUE"""),"")</f>
        <v/>
      </c>
      <c r="I635" s="67" t="str">
        <f>IFERROR(__xludf.DUMMYFUNCTION("""COMPUTED_VALUE"""),"")</f>
        <v/>
      </c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/>
      <c r="DN635" s="18"/>
      <c r="DO635" s="18"/>
      <c r="DP635" s="18"/>
      <c r="DQ635" s="18"/>
      <c r="DR635" s="18"/>
      <c r="DS635" s="18"/>
      <c r="DT635" s="18"/>
      <c r="DU635" s="18"/>
      <c r="DV635" s="18"/>
      <c r="DW635" s="18"/>
      <c r="DX635" s="18"/>
      <c r="DY635" s="18"/>
      <c r="DZ635" s="18"/>
      <c r="EA635" s="18"/>
      <c r="EB635" s="18"/>
      <c r="EC635" s="18"/>
      <c r="ED635" s="18"/>
      <c r="EE635" s="18"/>
      <c r="EF635" s="18"/>
      <c r="EG635" s="18"/>
      <c r="EH635" s="18"/>
      <c r="EI635" s="18"/>
      <c r="EJ635" s="18"/>
      <c r="EK635" s="18"/>
      <c r="EL635" s="18"/>
      <c r="EM635" s="18"/>
      <c r="EN635" s="18"/>
      <c r="EO635" s="18"/>
      <c r="EP635" s="18"/>
      <c r="EQ635" s="18"/>
      <c r="ER635" s="18"/>
      <c r="ES635" s="18"/>
      <c r="ET635" s="18"/>
      <c r="EU635" s="18"/>
      <c r="EV635" s="18"/>
      <c r="EW635" s="18"/>
      <c r="EX635" s="18"/>
    </row>
    <row r="636">
      <c r="A636" s="101"/>
      <c r="B636" s="105"/>
      <c r="C636" s="105"/>
      <c r="D636" s="106"/>
      <c r="E636" s="110"/>
      <c r="F636" s="92"/>
      <c r="G636" s="18"/>
      <c r="H636" s="101" t="str">
        <f>IFERROR(__xludf.DUMMYFUNCTION("""COMPUTED_VALUE"""),"")</f>
        <v/>
      </c>
      <c r="I636" s="67" t="str">
        <f>IFERROR(__xludf.DUMMYFUNCTION("""COMPUTED_VALUE"""),"")</f>
        <v/>
      </c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  <c r="DW636" s="18"/>
      <c r="DX636" s="18"/>
      <c r="DY636" s="18"/>
      <c r="DZ636" s="18"/>
      <c r="EA636" s="18"/>
      <c r="EB636" s="18"/>
      <c r="EC636" s="18"/>
      <c r="ED636" s="18"/>
      <c r="EE636" s="18"/>
      <c r="EF636" s="18"/>
      <c r="EG636" s="18"/>
      <c r="EH636" s="18"/>
      <c r="EI636" s="18"/>
      <c r="EJ636" s="18"/>
      <c r="EK636" s="18"/>
      <c r="EL636" s="18"/>
      <c r="EM636" s="18"/>
      <c r="EN636" s="18"/>
      <c r="EO636" s="18"/>
      <c r="EP636" s="18"/>
      <c r="EQ636" s="18"/>
      <c r="ER636" s="18"/>
      <c r="ES636" s="18"/>
      <c r="ET636" s="18"/>
      <c r="EU636" s="18"/>
      <c r="EV636" s="18"/>
      <c r="EW636" s="18"/>
      <c r="EX636" s="18"/>
    </row>
    <row r="637">
      <c r="A637" s="101"/>
      <c r="B637" s="105"/>
      <c r="C637" s="105"/>
      <c r="D637" s="106"/>
      <c r="E637" s="110"/>
      <c r="F637" s="92"/>
      <c r="G637" s="18"/>
      <c r="H637" s="101" t="str">
        <f>IFERROR(__xludf.DUMMYFUNCTION("""COMPUTED_VALUE"""),"")</f>
        <v/>
      </c>
      <c r="I637" s="67" t="str">
        <f>IFERROR(__xludf.DUMMYFUNCTION("""COMPUTED_VALUE"""),"")</f>
        <v/>
      </c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  <c r="DW637" s="18"/>
      <c r="DX637" s="18"/>
      <c r="DY637" s="18"/>
      <c r="DZ637" s="18"/>
      <c r="EA637" s="18"/>
      <c r="EB637" s="18"/>
      <c r="EC637" s="18"/>
      <c r="ED637" s="18"/>
      <c r="EE637" s="18"/>
      <c r="EF637" s="18"/>
      <c r="EG637" s="18"/>
      <c r="EH637" s="18"/>
      <c r="EI637" s="18"/>
      <c r="EJ637" s="18"/>
      <c r="EK637" s="18"/>
      <c r="EL637" s="18"/>
      <c r="EM637" s="18"/>
      <c r="EN637" s="18"/>
      <c r="EO637" s="18"/>
      <c r="EP637" s="18"/>
      <c r="EQ637" s="18"/>
      <c r="ER637" s="18"/>
      <c r="ES637" s="18"/>
      <c r="ET637" s="18"/>
      <c r="EU637" s="18"/>
      <c r="EV637" s="18"/>
      <c r="EW637" s="18"/>
      <c r="EX637" s="18"/>
    </row>
    <row r="638">
      <c r="A638" s="101"/>
      <c r="B638" s="105"/>
      <c r="C638" s="105"/>
      <c r="D638" s="106"/>
      <c r="E638" s="110"/>
      <c r="F638" s="92"/>
      <c r="G638" s="18"/>
      <c r="H638" s="101" t="str">
        <f>IFERROR(__xludf.DUMMYFUNCTION("""COMPUTED_VALUE"""),"")</f>
        <v/>
      </c>
      <c r="I638" s="67" t="str">
        <f>IFERROR(__xludf.DUMMYFUNCTION("""COMPUTED_VALUE"""),"")</f>
        <v/>
      </c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  <c r="DW638" s="18"/>
      <c r="DX638" s="18"/>
      <c r="DY638" s="18"/>
      <c r="DZ638" s="18"/>
      <c r="EA638" s="18"/>
      <c r="EB638" s="18"/>
      <c r="EC638" s="18"/>
      <c r="ED638" s="18"/>
      <c r="EE638" s="18"/>
      <c r="EF638" s="18"/>
      <c r="EG638" s="18"/>
      <c r="EH638" s="18"/>
      <c r="EI638" s="18"/>
      <c r="EJ638" s="18"/>
      <c r="EK638" s="18"/>
      <c r="EL638" s="18"/>
      <c r="EM638" s="18"/>
      <c r="EN638" s="18"/>
      <c r="EO638" s="18"/>
      <c r="EP638" s="18"/>
      <c r="EQ638" s="18"/>
      <c r="ER638" s="18"/>
      <c r="ES638" s="18"/>
      <c r="ET638" s="18"/>
      <c r="EU638" s="18"/>
      <c r="EV638" s="18"/>
      <c r="EW638" s="18"/>
      <c r="EX638" s="18"/>
    </row>
    <row r="639">
      <c r="A639" s="101"/>
      <c r="B639" s="105"/>
      <c r="C639" s="105"/>
      <c r="D639" s="106"/>
      <c r="E639" s="110"/>
      <c r="F639" s="92"/>
      <c r="G639" s="18"/>
      <c r="H639" s="101" t="str">
        <f>IFERROR(__xludf.DUMMYFUNCTION("""COMPUTED_VALUE"""),"")</f>
        <v/>
      </c>
      <c r="I639" s="67" t="str">
        <f>IFERROR(__xludf.DUMMYFUNCTION("""COMPUTED_VALUE"""),"")</f>
        <v/>
      </c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  <c r="DW639" s="18"/>
      <c r="DX639" s="18"/>
      <c r="DY639" s="18"/>
      <c r="DZ639" s="18"/>
      <c r="EA639" s="18"/>
      <c r="EB639" s="18"/>
      <c r="EC639" s="18"/>
      <c r="ED639" s="18"/>
      <c r="EE639" s="18"/>
      <c r="EF639" s="18"/>
      <c r="EG639" s="18"/>
      <c r="EH639" s="18"/>
      <c r="EI639" s="18"/>
      <c r="EJ639" s="18"/>
      <c r="EK639" s="18"/>
      <c r="EL639" s="18"/>
      <c r="EM639" s="18"/>
      <c r="EN639" s="18"/>
      <c r="EO639" s="18"/>
      <c r="EP639" s="18"/>
      <c r="EQ639" s="18"/>
      <c r="ER639" s="18"/>
      <c r="ES639" s="18"/>
      <c r="ET639" s="18"/>
      <c r="EU639" s="18"/>
      <c r="EV639" s="18"/>
      <c r="EW639" s="18"/>
      <c r="EX639" s="18"/>
    </row>
    <row r="640">
      <c r="A640" s="101"/>
      <c r="B640" s="105"/>
      <c r="C640" s="105"/>
      <c r="D640" s="106"/>
      <c r="E640" s="110"/>
      <c r="F640" s="92"/>
      <c r="G640" s="18"/>
      <c r="H640" s="101" t="str">
        <f>IFERROR(__xludf.DUMMYFUNCTION("""COMPUTED_VALUE"""),"")</f>
        <v/>
      </c>
      <c r="I640" s="67" t="str">
        <f>IFERROR(__xludf.DUMMYFUNCTION("""COMPUTED_VALUE"""),"")</f>
        <v/>
      </c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  <c r="DW640" s="18"/>
      <c r="DX640" s="18"/>
      <c r="DY640" s="18"/>
      <c r="DZ640" s="18"/>
      <c r="EA640" s="18"/>
      <c r="EB640" s="18"/>
      <c r="EC640" s="18"/>
      <c r="ED640" s="18"/>
      <c r="EE640" s="18"/>
      <c r="EF640" s="18"/>
      <c r="EG640" s="18"/>
      <c r="EH640" s="18"/>
      <c r="EI640" s="18"/>
      <c r="EJ640" s="18"/>
      <c r="EK640" s="18"/>
      <c r="EL640" s="18"/>
      <c r="EM640" s="18"/>
      <c r="EN640" s="18"/>
      <c r="EO640" s="18"/>
      <c r="EP640" s="18"/>
      <c r="EQ640" s="18"/>
      <c r="ER640" s="18"/>
      <c r="ES640" s="18"/>
      <c r="ET640" s="18"/>
      <c r="EU640" s="18"/>
      <c r="EV640" s="18"/>
      <c r="EW640" s="18"/>
      <c r="EX640" s="18"/>
    </row>
    <row r="641">
      <c r="A641" s="101"/>
      <c r="B641" s="105"/>
      <c r="C641" s="105"/>
      <c r="D641" s="106"/>
      <c r="E641" s="110"/>
      <c r="F641" s="92"/>
      <c r="G641" s="18"/>
      <c r="H641" s="101" t="str">
        <f>IFERROR(__xludf.DUMMYFUNCTION("""COMPUTED_VALUE"""),"")</f>
        <v/>
      </c>
      <c r="I641" s="67" t="str">
        <f>IFERROR(__xludf.DUMMYFUNCTION("""COMPUTED_VALUE"""),"")</f>
        <v/>
      </c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  <c r="DW641" s="18"/>
      <c r="DX641" s="18"/>
      <c r="DY641" s="18"/>
      <c r="DZ641" s="18"/>
      <c r="EA641" s="18"/>
      <c r="EB641" s="18"/>
      <c r="EC641" s="18"/>
      <c r="ED641" s="18"/>
      <c r="EE641" s="18"/>
      <c r="EF641" s="18"/>
      <c r="EG641" s="18"/>
      <c r="EH641" s="18"/>
      <c r="EI641" s="18"/>
      <c r="EJ641" s="18"/>
      <c r="EK641" s="18"/>
      <c r="EL641" s="18"/>
      <c r="EM641" s="18"/>
      <c r="EN641" s="18"/>
      <c r="EO641" s="18"/>
      <c r="EP641" s="18"/>
      <c r="EQ641" s="18"/>
      <c r="ER641" s="18"/>
      <c r="ES641" s="18"/>
      <c r="ET641" s="18"/>
      <c r="EU641" s="18"/>
      <c r="EV641" s="18"/>
      <c r="EW641" s="18"/>
      <c r="EX641" s="18"/>
    </row>
    <row r="642">
      <c r="A642" s="101"/>
      <c r="B642" s="105"/>
      <c r="C642" s="105"/>
      <c r="D642" s="106"/>
      <c r="E642" s="110"/>
      <c r="F642" s="92"/>
      <c r="G642" s="18"/>
      <c r="H642" s="101" t="str">
        <f>IFERROR(__xludf.DUMMYFUNCTION("""COMPUTED_VALUE"""),"")</f>
        <v/>
      </c>
      <c r="I642" s="67" t="str">
        <f>IFERROR(__xludf.DUMMYFUNCTION("""COMPUTED_VALUE"""),"")</f>
        <v/>
      </c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  <c r="DW642" s="18"/>
      <c r="DX642" s="18"/>
      <c r="DY642" s="18"/>
      <c r="DZ642" s="18"/>
      <c r="EA642" s="18"/>
      <c r="EB642" s="18"/>
      <c r="EC642" s="18"/>
      <c r="ED642" s="18"/>
      <c r="EE642" s="18"/>
      <c r="EF642" s="18"/>
      <c r="EG642" s="18"/>
      <c r="EH642" s="18"/>
      <c r="EI642" s="18"/>
      <c r="EJ642" s="18"/>
      <c r="EK642" s="18"/>
      <c r="EL642" s="18"/>
      <c r="EM642" s="18"/>
      <c r="EN642" s="18"/>
      <c r="EO642" s="18"/>
      <c r="EP642" s="18"/>
      <c r="EQ642" s="18"/>
      <c r="ER642" s="18"/>
      <c r="ES642" s="18"/>
      <c r="ET642" s="18"/>
      <c r="EU642" s="18"/>
      <c r="EV642" s="18"/>
      <c r="EW642" s="18"/>
      <c r="EX642" s="18"/>
    </row>
    <row r="643">
      <c r="A643" s="101"/>
      <c r="B643" s="105"/>
      <c r="C643" s="105"/>
      <c r="D643" s="106"/>
      <c r="E643" s="110"/>
      <c r="F643" s="92"/>
      <c r="G643" s="18"/>
      <c r="H643" s="101" t="str">
        <f>IFERROR(__xludf.DUMMYFUNCTION("""COMPUTED_VALUE"""),"")</f>
        <v/>
      </c>
      <c r="I643" s="67" t="str">
        <f>IFERROR(__xludf.DUMMYFUNCTION("""COMPUTED_VALUE"""),"")</f>
        <v/>
      </c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  <c r="DW643" s="18"/>
      <c r="DX643" s="18"/>
      <c r="DY643" s="18"/>
      <c r="DZ643" s="18"/>
      <c r="EA643" s="18"/>
      <c r="EB643" s="18"/>
      <c r="EC643" s="18"/>
      <c r="ED643" s="18"/>
      <c r="EE643" s="18"/>
      <c r="EF643" s="18"/>
      <c r="EG643" s="18"/>
      <c r="EH643" s="18"/>
      <c r="EI643" s="18"/>
      <c r="EJ643" s="18"/>
      <c r="EK643" s="18"/>
      <c r="EL643" s="18"/>
      <c r="EM643" s="18"/>
      <c r="EN643" s="18"/>
      <c r="EO643" s="18"/>
      <c r="EP643" s="18"/>
      <c r="EQ643" s="18"/>
      <c r="ER643" s="18"/>
      <c r="ES643" s="18"/>
      <c r="ET643" s="18"/>
      <c r="EU643" s="18"/>
      <c r="EV643" s="18"/>
      <c r="EW643" s="18"/>
      <c r="EX643" s="18"/>
    </row>
    <row r="644">
      <c r="A644" s="101"/>
      <c r="B644" s="105"/>
      <c r="C644" s="105"/>
      <c r="D644" s="106"/>
      <c r="E644" s="110"/>
      <c r="F644" s="92"/>
      <c r="G644" s="18"/>
      <c r="H644" s="101" t="str">
        <f>IFERROR(__xludf.DUMMYFUNCTION("""COMPUTED_VALUE"""),"")</f>
        <v/>
      </c>
      <c r="I644" s="67" t="str">
        <f>IFERROR(__xludf.DUMMYFUNCTION("""COMPUTED_VALUE"""),"")</f>
        <v/>
      </c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  <c r="DW644" s="18"/>
      <c r="DX644" s="18"/>
      <c r="DY644" s="18"/>
      <c r="DZ644" s="18"/>
      <c r="EA644" s="18"/>
      <c r="EB644" s="18"/>
      <c r="EC644" s="18"/>
      <c r="ED644" s="18"/>
      <c r="EE644" s="18"/>
      <c r="EF644" s="18"/>
      <c r="EG644" s="18"/>
      <c r="EH644" s="18"/>
      <c r="EI644" s="18"/>
      <c r="EJ644" s="18"/>
      <c r="EK644" s="18"/>
      <c r="EL644" s="18"/>
      <c r="EM644" s="18"/>
      <c r="EN644" s="18"/>
      <c r="EO644" s="18"/>
      <c r="EP644" s="18"/>
      <c r="EQ644" s="18"/>
      <c r="ER644" s="18"/>
      <c r="ES644" s="18"/>
      <c r="ET644" s="18"/>
      <c r="EU644" s="18"/>
      <c r="EV644" s="18"/>
      <c r="EW644" s="18"/>
      <c r="EX644" s="18"/>
    </row>
    <row r="645">
      <c r="A645" s="101"/>
      <c r="B645" s="105"/>
      <c r="C645" s="105"/>
      <c r="D645" s="106"/>
      <c r="E645" s="110"/>
      <c r="F645" s="92"/>
      <c r="G645" s="18"/>
      <c r="H645" s="101" t="str">
        <f>IFERROR(__xludf.DUMMYFUNCTION("""COMPUTED_VALUE"""),"")</f>
        <v/>
      </c>
      <c r="I645" s="67" t="str">
        <f>IFERROR(__xludf.DUMMYFUNCTION("""COMPUTED_VALUE"""),"")</f>
        <v/>
      </c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/>
      <c r="DN645" s="18"/>
      <c r="DO645" s="18"/>
      <c r="DP645" s="18"/>
      <c r="DQ645" s="18"/>
      <c r="DR645" s="18"/>
      <c r="DS645" s="18"/>
      <c r="DT645" s="18"/>
      <c r="DU645" s="18"/>
      <c r="DV645" s="18"/>
      <c r="DW645" s="18"/>
      <c r="DX645" s="18"/>
      <c r="DY645" s="18"/>
      <c r="DZ645" s="18"/>
      <c r="EA645" s="18"/>
      <c r="EB645" s="18"/>
      <c r="EC645" s="18"/>
      <c r="ED645" s="18"/>
      <c r="EE645" s="18"/>
      <c r="EF645" s="18"/>
      <c r="EG645" s="18"/>
      <c r="EH645" s="18"/>
      <c r="EI645" s="18"/>
      <c r="EJ645" s="18"/>
      <c r="EK645" s="18"/>
      <c r="EL645" s="18"/>
      <c r="EM645" s="18"/>
      <c r="EN645" s="18"/>
      <c r="EO645" s="18"/>
      <c r="EP645" s="18"/>
      <c r="EQ645" s="18"/>
      <c r="ER645" s="18"/>
      <c r="ES645" s="18"/>
      <c r="ET645" s="18"/>
      <c r="EU645" s="18"/>
      <c r="EV645" s="18"/>
      <c r="EW645" s="18"/>
      <c r="EX645" s="18"/>
    </row>
    <row r="646">
      <c r="A646" s="101"/>
      <c r="B646" s="105"/>
      <c r="C646" s="105"/>
      <c r="D646" s="106"/>
      <c r="E646" s="110"/>
      <c r="F646" s="92"/>
      <c r="G646" s="18"/>
      <c r="H646" s="101" t="str">
        <f>IFERROR(__xludf.DUMMYFUNCTION("""COMPUTED_VALUE"""),"")</f>
        <v/>
      </c>
      <c r="I646" s="67" t="str">
        <f>IFERROR(__xludf.DUMMYFUNCTION("""COMPUTED_VALUE"""),"")</f>
        <v/>
      </c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/>
      <c r="DN646" s="18"/>
      <c r="DO646" s="18"/>
      <c r="DP646" s="18"/>
      <c r="DQ646" s="18"/>
      <c r="DR646" s="18"/>
      <c r="DS646" s="18"/>
      <c r="DT646" s="18"/>
      <c r="DU646" s="18"/>
      <c r="DV646" s="18"/>
      <c r="DW646" s="18"/>
      <c r="DX646" s="18"/>
      <c r="DY646" s="18"/>
      <c r="DZ646" s="18"/>
      <c r="EA646" s="18"/>
      <c r="EB646" s="18"/>
      <c r="EC646" s="18"/>
      <c r="ED646" s="18"/>
      <c r="EE646" s="18"/>
      <c r="EF646" s="18"/>
      <c r="EG646" s="18"/>
      <c r="EH646" s="18"/>
      <c r="EI646" s="18"/>
      <c r="EJ646" s="18"/>
      <c r="EK646" s="18"/>
      <c r="EL646" s="18"/>
      <c r="EM646" s="18"/>
      <c r="EN646" s="18"/>
      <c r="EO646" s="18"/>
      <c r="EP646" s="18"/>
      <c r="EQ646" s="18"/>
      <c r="ER646" s="18"/>
      <c r="ES646" s="18"/>
      <c r="ET646" s="18"/>
      <c r="EU646" s="18"/>
      <c r="EV646" s="18"/>
      <c r="EW646" s="18"/>
      <c r="EX646" s="18"/>
    </row>
    <row r="647">
      <c r="A647" s="101"/>
      <c r="B647" s="105"/>
      <c r="C647" s="105"/>
      <c r="D647" s="106"/>
      <c r="E647" s="110"/>
      <c r="F647" s="92"/>
      <c r="G647" s="18"/>
      <c r="H647" s="101" t="str">
        <f>IFERROR(__xludf.DUMMYFUNCTION("""COMPUTED_VALUE"""),"")</f>
        <v/>
      </c>
      <c r="I647" s="67" t="str">
        <f>IFERROR(__xludf.DUMMYFUNCTION("""COMPUTED_VALUE"""),"")</f>
        <v/>
      </c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/>
      <c r="DN647" s="18"/>
      <c r="DO647" s="18"/>
      <c r="DP647" s="18"/>
      <c r="DQ647" s="18"/>
      <c r="DR647" s="18"/>
      <c r="DS647" s="18"/>
      <c r="DT647" s="18"/>
      <c r="DU647" s="18"/>
      <c r="DV647" s="18"/>
      <c r="DW647" s="18"/>
      <c r="DX647" s="18"/>
      <c r="DY647" s="18"/>
      <c r="DZ647" s="18"/>
      <c r="EA647" s="18"/>
      <c r="EB647" s="18"/>
      <c r="EC647" s="18"/>
      <c r="ED647" s="18"/>
      <c r="EE647" s="18"/>
      <c r="EF647" s="18"/>
      <c r="EG647" s="18"/>
      <c r="EH647" s="18"/>
      <c r="EI647" s="18"/>
      <c r="EJ647" s="18"/>
      <c r="EK647" s="18"/>
      <c r="EL647" s="18"/>
      <c r="EM647" s="18"/>
      <c r="EN647" s="18"/>
      <c r="EO647" s="18"/>
      <c r="EP647" s="18"/>
      <c r="EQ647" s="18"/>
      <c r="ER647" s="18"/>
      <c r="ES647" s="18"/>
      <c r="ET647" s="18"/>
      <c r="EU647" s="18"/>
      <c r="EV647" s="18"/>
      <c r="EW647" s="18"/>
      <c r="EX647" s="18"/>
    </row>
    <row r="648">
      <c r="A648" s="101"/>
      <c r="B648" s="105"/>
      <c r="C648" s="105"/>
      <c r="D648" s="106"/>
      <c r="E648" s="110"/>
      <c r="F648" s="92"/>
      <c r="G648" s="18"/>
      <c r="H648" s="101" t="str">
        <f>IFERROR(__xludf.DUMMYFUNCTION("""COMPUTED_VALUE"""),"")</f>
        <v/>
      </c>
      <c r="I648" s="67" t="str">
        <f>IFERROR(__xludf.DUMMYFUNCTION("""COMPUTED_VALUE"""),"")</f>
        <v/>
      </c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/>
      <c r="DN648" s="18"/>
      <c r="DO648" s="18"/>
      <c r="DP648" s="18"/>
      <c r="DQ648" s="18"/>
      <c r="DR648" s="18"/>
      <c r="DS648" s="18"/>
      <c r="DT648" s="18"/>
      <c r="DU648" s="18"/>
      <c r="DV648" s="18"/>
      <c r="DW648" s="18"/>
      <c r="DX648" s="18"/>
      <c r="DY648" s="18"/>
      <c r="DZ648" s="18"/>
      <c r="EA648" s="18"/>
      <c r="EB648" s="18"/>
      <c r="EC648" s="18"/>
      <c r="ED648" s="18"/>
      <c r="EE648" s="18"/>
      <c r="EF648" s="18"/>
      <c r="EG648" s="18"/>
      <c r="EH648" s="18"/>
      <c r="EI648" s="18"/>
      <c r="EJ648" s="18"/>
      <c r="EK648" s="18"/>
      <c r="EL648" s="18"/>
      <c r="EM648" s="18"/>
      <c r="EN648" s="18"/>
      <c r="EO648" s="18"/>
      <c r="EP648" s="18"/>
      <c r="EQ648" s="18"/>
      <c r="ER648" s="18"/>
      <c r="ES648" s="18"/>
      <c r="ET648" s="18"/>
      <c r="EU648" s="18"/>
      <c r="EV648" s="18"/>
      <c r="EW648" s="18"/>
      <c r="EX648" s="18"/>
    </row>
    <row r="649">
      <c r="A649" s="101"/>
      <c r="B649" s="105"/>
      <c r="C649" s="105"/>
      <c r="D649" s="106"/>
      <c r="E649" s="110"/>
      <c r="F649" s="92"/>
      <c r="G649" s="18"/>
      <c r="H649" s="101" t="str">
        <f>IFERROR(__xludf.DUMMYFUNCTION("""COMPUTED_VALUE"""),"")</f>
        <v/>
      </c>
      <c r="I649" s="67" t="str">
        <f>IFERROR(__xludf.DUMMYFUNCTION("""COMPUTED_VALUE"""),"")</f>
        <v/>
      </c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/>
      <c r="DN649" s="18"/>
      <c r="DO649" s="18"/>
      <c r="DP649" s="18"/>
      <c r="DQ649" s="18"/>
      <c r="DR649" s="18"/>
      <c r="DS649" s="18"/>
      <c r="DT649" s="18"/>
      <c r="DU649" s="18"/>
      <c r="DV649" s="18"/>
      <c r="DW649" s="18"/>
      <c r="DX649" s="18"/>
      <c r="DY649" s="18"/>
      <c r="DZ649" s="18"/>
      <c r="EA649" s="18"/>
      <c r="EB649" s="18"/>
      <c r="EC649" s="18"/>
      <c r="ED649" s="18"/>
      <c r="EE649" s="18"/>
      <c r="EF649" s="18"/>
      <c r="EG649" s="18"/>
      <c r="EH649" s="18"/>
      <c r="EI649" s="18"/>
      <c r="EJ649" s="18"/>
      <c r="EK649" s="18"/>
      <c r="EL649" s="18"/>
      <c r="EM649" s="18"/>
      <c r="EN649" s="18"/>
      <c r="EO649" s="18"/>
      <c r="EP649" s="18"/>
      <c r="EQ649" s="18"/>
      <c r="ER649" s="18"/>
      <c r="ES649" s="18"/>
      <c r="ET649" s="18"/>
      <c r="EU649" s="18"/>
      <c r="EV649" s="18"/>
      <c r="EW649" s="18"/>
      <c r="EX649" s="18"/>
    </row>
    <row r="650">
      <c r="A650" s="101"/>
      <c r="B650" s="105"/>
      <c r="C650" s="105"/>
      <c r="D650" s="106"/>
      <c r="E650" s="110"/>
      <c r="F650" s="92"/>
      <c r="G650" s="18"/>
      <c r="H650" s="101" t="str">
        <f>IFERROR(__xludf.DUMMYFUNCTION("""COMPUTED_VALUE"""),"")</f>
        <v/>
      </c>
      <c r="I650" s="67" t="str">
        <f>IFERROR(__xludf.DUMMYFUNCTION("""COMPUTED_VALUE"""),"")</f>
        <v/>
      </c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/>
      <c r="DN650" s="18"/>
      <c r="DO650" s="18"/>
      <c r="DP650" s="18"/>
      <c r="DQ650" s="18"/>
      <c r="DR650" s="18"/>
      <c r="DS650" s="18"/>
      <c r="DT650" s="18"/>
      <c r="DU650" s="18"/>
      <c r="DV650" s="18"/>
      <c r="DW650" s="18"/>
      <c r="DX650" s="18"/>
      <c r="DY650" s="18"/>
      <c r="DZ650" s="18"/>
      <c r="EA650" s="18"/>
      <c r="EB650" s="18"/>
      <c r="EC650" s="18"/>
      <c r="ED650" s="18"/>
      <c r="EE650" s="18"/>
      <c r="EF650" s="18"/>
      <c r="EG650" s="18"/>
      <c r="EH650" s="18"/>
      <c r="EI650" s="18"/>
      <c r="EJ650" s="18"/>
      <c r="EK650" s="18"/>
      <c r="EL650" s="18"/>
      <c r="EM650" s="18"/>
      <c r="EN650" s="18"/>
      <c r="EO650" s="18"/>
      <c r="EP650" s="18"/>
      <c r="EQ650" s="18"/>
      <c r="ER650" s="18"/>
      <c r="ES650" s="18"/>
      <c r="ET650" s="18"/>
      <c r="EU650" s="18"/>
      <c r="EV650" s="18"/>
      <c r="EW650" s="18"/>
      <c r="EX650" s="18"/>
    </row>
    <row r="651">
      <c r="A651" s="101"/>
      <c r="B651" s="105"/>
      <c r="C651" s="105"/>
      <c r="D651" s="106"/>
      <c r="E651" s="110"/>
      <c r="F651" s="92"/>
      <c r="G651" s="18"/>
      <c r="H651" s="101" t="str">
        <f>IFERROR(__xludf.DUMMYFUNCTION("""COMPUTED_VALUE"""),"")</f>
        <v/>
      </c>
      <c r="I651" s="67" t="str">
        <f>IFERROR(__xludf.DUMMYFUNCTION("""COMPUTED_VALUE"""),"")</f>
        <v/>
      </c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/>
      <c r="DN651" s="18"/>
      <c r="DO651" s="18"/>
      <c r="DP651" s="18"/>
      <c r="DQ651" s="18"/>
      <c r="DR651" s="18"/>
      <c r="DS651" s="18"/>
      <c r="DT651" s="18"/>
      <c r="DU651" s="18"/>
      <c r="DV651" s="18"/>
      <c r="DW651" s="18"/>
      <c r="DX651" s="18"/>
      <c r="DY651" s="18"/>
      <c r="DZ651" s="18"/>
      <c r="EA651" s="18"/>
      <c r="EB651" s="18"/>
      <c r="EC651" s="18"/>
      <c r="ED651" s="18"/>
      <c r="EE651" s="18"/>
      <c r="EF651" s="18"/>
      <c r="EG651" s="18"/>
      <c r="EH651" s="18"/>
      <c r="EI651" s="18"/>
      <c r="EJ651" s="18"/>
      <c r="EK651" s="18"/>
      <c r="EL651" s="18"/>
      <c r="EM651" s="18"/>
      <c r="EN651" s="18"/>
      <c r="EO651" s="18"/>
      <c r="EP651" s="18"/>
      <c r="EQ651" s="18"/>
      <c r="ER651" s="18"/>
      <c r="ES651" s="18"/>
      <c r="ET651" s="18"/>
      <c r="EU651" s="18"/>
      <c r="EV651" s="18"/>
      <c r="EW651" s="18"/>
      <c r="EX651" s="18"/>
    </row>
    <row r="652">
      <c r="A652" s="101"/>
      <c r="B652" s="105"/>
      <c r="C652" s="105"/>
      <c r="D652" s="106"/>
      <c r="E652" s="110"/>
      <c r="F652" s="92"/>
      <c r="G652" s="18"/>
      <c r="H652" s="101" t="str">
        <f>IFERROR(__xludf.DUMMYFUNCTION("""COMPUTED_VALUE"""),"")</f>
        <v/>
      </c>
      <c r="I652" s="67" t="str">
        <f>IFERROR(__xludf.DUMMYFUNCTION("""COMPUTED_VALUE"""),"")</f>
        <v/>
      </c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/>
      <c r="DN652" s="18"/>
      <c r="DO652" s="18"/>
      <c r="DP652" s="18"/>
      <c r="DQ652" s="18"/>
      <c r="DR652" s="18"/>
      <c r="DS652" s="18"/>
      <c r="DT652" s="18"/>
      <c r="DU652" s="18"/>
      <c r="DV652" s="18"/>
      <c r="DW652" s="18"/>
      <c r="DX652" s="18"/>
      <c r="DY652" s="18"/>
      <c r="DZ652" s="18"/>
      <c r="EA652" s="18"/>
      <c r="EB652" s="18"/>
      <c r="EC652" s="18"/>
      <c r="ED652" s="18"/>
      <c r="EE652" s="18"/>
      <c r="EF652" s="18"/>
      <c r="EG652" s="18"/>
      <c r="EH652" s="18"/>
      <c r="EI652" s="18"/>
      <c r="EJ652" s="18"/>
      <c r="EK652" s="18"/>
      <c r="EL652" s="18"/>
      <c r="EM652" s="18"/>
      <c r="EN652" s="18"/>
      <c r="EO652" s="18"/>
      <c r="EP652" s="18"/>
      <c r="EQ652" s="18"/>
      <c r="ER652" s="18"/>
      <c r="ES652" s="18"/>
      <c r="ET652" s="18"/>
      <c r="EU652" s="18"/>
      <c r="EV652" s="18"/>
      <c r="EW652" s="18"/>
      <c r="EX652" s="18"/>
    </row>
    <row r="653">
      <c r="A653" s="101"/>
      <c r="B653" s="105"/>
      <c r="C653" s="105"/>
      <c r="D653" s="106"/>
      <c r="E653" s="110"/>
      <c r="F653" s="92"/>
      <c r="G653" s="18"/>
      <c r="H653" s="101" t="str">
        <f>IFERROR(__xludf.DUMMYFUNCTION("""COMPUTED_VALUE"""),"")</f>
        <v/>
      </c>
      <c r="I653" s="67" t="str">
        <f>IFERROR(__xludf.DUMMYFUNCTION("""COMPUTED_VALUE"""),"")</f>
        <v/>
      </c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/>
      <c r="DN653" s="18"/>
      <c r="DO653" s="18"/>
      <c r="DP653" s="18"/>
      <c r="DQ653" s="18"/>
      <c r="DR653" s="18"/>
      <c r="DS653" s="18"/>
      <c r="DT653" s="18"/>
      <c r="DU653" s="18"/>
      <c r="DV653" s="18"/>
      <c r="DW653" s="18"/>
      <c r="DX653" s="18"/>
      <c r="DY653" s="18"/>
      <c r="DZ653" s="18"/>
      <c r="EA653" s="18"/>
      <c r="EB653" s="18"/>
      <c r="EC653" s="18"/>
      <c r="ED653" s="18"/>
      <c r="EE653" s="18"/>
      <c r="EF653" s="18"/>
      <c r="EG653" s="18"/>
      <c r="EH653" s="18"/>
      <c r="EI653" s="18"/>
      <c r="EJ653" s="18"/>
      <c r="EK653" s="18"/>
      <c r="EL653" s="18"/>
      <c r="EM653" s="18"/>
      <c r="EN653" s="18"/>
      <c r="EO653" s="18"/>
      <c r="EP653" s="18"/>
      <c r="EQ653" s="18"/>
      <c r="ER653" s="18"/>
      <c r="ES653" s="18"/>
      <c r="ET653" s="18"/>
      <c r="EU653" s="18"/>
      <c r="EV653" s="18"/>
      <c r="EW653" s="18"/>
      <c r="EX653" s="18"/>
    </row>
    <row r="654">
      <c r="A654" s="101"/>
      <c r="B654" s="105"/>
      <c r="C654" s="105"/>
      <c r="D654" s="106"/>
      <c r="E654" s="110"/>
      <c r="F654" s="92"/>
      <c r="G654" s="18"/>
      <c r="H654" s="101" t="str">
        <f>IFERROR(__xludf.DUMMYFUNCTION("""COMPUTED_VALUE"""),"")</f>
        <v/>
      </c>
      <c r="I654" s="67" t="str">
        <f>IFERROR(__xludf.DUMMYFUNCTION("""COMPUTED_VALUE"""),"")</f>
        <v/>
      </c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/>
      <c r="DN654" s="18"/>
      <c r="DO654" s="18"/>
      <c r="DP654" s="18"/>
      <c r="DQ654" s="18"/>
      <c r="DR654" s="18"/>
      <c r="DS654" s="18"/>
      <c r="DT654" s="18"/>
      <c r="DU654" s="18"/>
      <c r="DV654" s="18"/>
      <c r="DW654" s="18"/>
      <c r="DX654" s="18"/>
      <c r="DY654" s="18"/>
      <c r="DZ654" s="18"/>
      <c r="EA654" s="18"/>
      <c r="EB654" s="18"/>
      <c r="EC654" s="18"/>
      <c r="ED654" s="18"/>
      <c r="EE654" s="18"/>
      <c r="EF654" s="18"/>
      <c r="EG654" s="18"/>
      <c r="EH654" s="18"/>
      <c r="EI654" s="18"/>
      <c r="EJ654" s="18"/>
      <c r="EK654" s="18"/>
      <c r="EL654" s="18"/>
      <c r="EM654" s="18"/>
      <c r="EN654" s="18"/>
      <c r="EO654" s="18"/>
      <c r="EP654" s="18"/>
      <c r="EQ654" s="18"/>
      <c r="ER654" s="18"/>
      <c r="ES654" s="18"/>
      <c r="ET654" s="18"/>
      <c r="EU654" s="18"/>
      <c r="EV654" s="18"/>
      <c r="EW654" s="18"/>
      <c r="EX654" s="18"/>
    </row>
    <row r="655">
      <c r="A655" s="101"/>
      <c r="B655" s="105"/>
      <c r="C655" s="105"/>
      <c r="D655" s="106"/>
      <c r="E655" s="110"/>
      <c r="F655" s="92"/>
      <c r="G655" s="18"/>
      <c r="H655" s="101" t="str">
        <f>IFERROR(__xludf.DUMMYFUNCTION("""COMPUTED_VALUE"""),"")</f>
        <v/>
      </c>
      <c r="I655" s="67" t="str">
        <f>IFERROR(__xludf.DUMMYFUNCTION("""COMPUTED_VALUE"""),"")</f>
        <v/>
      </c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/>
      <c r="DN655" s="18"/>
      <c r="DO655" s="18"/>
      <c r="DP655" s="18"/>
      <c r="DQ655" s="18"/>
      <c r="DR655" s="18"/>
      <c r="DS655" s="18"/>
      <c r="DT655" s="18"/>
      <c r="DU655" s="18"/>
      <c r="DV655" s="18"/>
      <c r="DW655" s="18"/>
      <c r="DX655" s="18"/>
      <c r="DY655" s="18"/>
      <c r="DZ655" s="18"/>
      <c r="EA655" s="18"/>
      <c r="EB655" s="18"/>
      <c r="EC655" s="18"/>
      <c r="ED655" s="18"/>
      <c r="EE655" s="18"/>
      <c r="EF655" s="18"/>
      <c r="EG655" s="18"/>
      <c r="EH655" s="18"/>
      <c r="EI655" s="18"/>
      <c r="EJ655" s="18"/>
      <c r="EK655" s="18"/>
      <c r="EL655" s="18"/>
      <c r="EM655" s="18"/>
      <c r="EN655" s="18"/>
      <c r="EO655" s="18"/>
      <c r="EP655" s="18"/>
      <c r="EQ655" s="18"/>
      <c r="ER655" s="18"/>
      <c r="ES655" s="18"/>
      <c r="ET655" s="18"/>
      <c r="EU655" s="18"/>
      <c r="EV655" s="18"/>
      <c r="EW655" s="18"/>
      <c r="EX655" s="18"/>
    </row>
    <row r="656">
      <c r="A656" s="101"/>
      <c r="B656" s="105"/>
      <c r="C656" s="105"/>
      <c r="D656" s="106"/>
      <c r="E656" s="110"/>
      <c r="F656" s="92"/>
      <c r="G656" s="18"/>
      <c r="H656" s="101" t="str">
        <f>IFERROR(__xludf.DUMMYFUNCTION("""COMPUTED_VALUE"""),"")</f>
        <v/>
      </c>
      <c r="I656" s="67" t="str">
        <f>IFERROR(__xludf.DUMMYFUNCTION("""COMPUTED_VALUE"""),"")</f>
        <v/>
      </c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/>
      <c r="DN656" s="18"/>
      <c r="DO656" s="18"/>
      <c r="DP656" s="18"/>
      <c r="DQ656" s="18"/>
      <c r="DR656" s="18"/>
      <c r="DS656" s="18"/>
      <c r="DT656" s="18"/>
      <c r="DU656" s="18"/>
      <c r="DV656" s="18"/>
      <c r="DW656" s="18"/>
      <c r="DX656" s="18"/>
      <c r="DY656" s="18"/>
      <c r="DZ656" s="18"/>
      <c r="EA656" s="18"/>
      <c r="EB656" s="18"/>
      <c r="EC656" s="18"/>
      <c r="ED656" s="18"/>
      <c r="EE656" s="18"/>
      <c r="EF656" s="18"/>
      <c r="EG656" s="18"/>
      <c r="EH656" s="18"/>
      <c r="EI656" s="18"/>
      <c r="EJ656" s="18"/>
      <c r="EK656" s="18"/>
      <c r="EL656" s="18"/>
      <c r="EM656" s="18"/>
      <c r="EN656" s="18"/>
      <c r="EO656" s="18"/>
      <c r="EP656" s="18"/>
      <c r="EQ656" s="18"/>
      <c r="ER656" s="18"/>
      <c r="ES656" s="18"/>
      <c r="ET656" s="18"/>
      <c r="EU656" s="18"/>
      <c r="EV656" s="18"/>
      <c r="EW656" s="18"/>
      <c r="EX656" s="18"/>
    </row>
    <row r="657">
      <c r="A657" s="101"/>
      <c r="B657" s="105"/>
      <c r="C657" s="105"/>
      <c r="D657" s="106"/>
      <c r="E657" s="110"/>
      <c r="F657" s="92"/>
      <c r="G657" s="18"/>
      <c r="H657" s="101" t="str">
        <f>IFERROR(__xludf.DUMMYFUNCTION("""COMPUTED_VALUE"""),"")</f>
        <v/>
      </c>
      <c r="I657" s="67" t="str">
        <f>IFERROR(__xludf.DUMMYFUNCTION("""COMPUTED_VALUE"""),"")</f>
        <v/>
      </c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/>
      <c r="DN657" s="18"/>
      <c r="DO657" s="18"/>
      <c r="DP657" s="18"/>
      <c r="DQ657" s="18"/>
      <c r="DR657" s="18"/>
      <c r="DS657" s="18"/>
      <c r="DT657" s="18"/>
      <c r="DU657" s="18"/>
      <c r="DV657" s="18"/>
      <c r="DW657" s="18"/>
      <c r="DX657" s="18"/>
      <c r="DY657" s="18"/>
      <c r="DZ657" s="18"/>
      <c r="EA657" s="18"/>
      <c r="EB657" s="18"/>
      <c r="EC657" s="18"/>
      <c r="ED657" s="18"/>
      <c r="EE657" s="18"/>
      <c r="EF657" s="18"/>
      <c r="EG657" s="18"/>
      <c r="EH657" s="18"/>
      <c r="EI657" s="18"/>
      <c r="EJ657" s="18"/>
      <c r="EK657" s="18"/>
      <c r="EL657" s="18"/>
      <c r="EM657" s="18"/>
      <c r="EN657" s="18"/>
      <c r="EO657" s="18"/>
      <c r="EP657" s="18"/>
      <c r="EQ657" s="18"/>
      <c r="ER657" s="18"/>
      <c r="ES657" s="18"/>
      <c r="ET657" s="18"/>
      <c r="EU657" s="18"/>
      <c r="EV657" s="18"/>
      <c r="EW657" s="18"/>
      <c r="EX657" s="18"/>
    </row>
    <row r="658">
      <c r="A658" s="101"/>
      <c r="B658" s="105"/>
      <c r="C658" s="105"/>
      <c r="D658" s="106"/>
      <c r="E658" s="110"/>
      <c r="F658" s="92"/>
      <c r="G658" s="18"/>
      <c r="H658" s="101" t="str">
        <f>IFERROR(__xludf.DUMMYFUNCTION("""COMPUTED_VALUE"""),"")</f>
        <v/>
      </c>
      <c r="I658" s="67" t="str">
        <f>IFERROR(__xludf.DUMMYFUNCTION("""COMPUTED_VALUE"""),"")</f>
        <v/>
      </c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/>
      <c r="DN658" s="18"/>
      <c r="DO658" s="18"/>
      <c r="DP658" s="18"/>
      <c r="DQ658" s="18"/>
      <c r="DR658" s="18"/>
      <c r="DS658" s="18"/>
      <c r="DT658" s="18"/>
      <c r="DU658" s="18"/>
      <c r="DV658" s="18"/>
      <c r="DW658" s="18"/>
      <c r="DX658" s="18"/>
      <c r="DY658" s="18"/>
      <c r="DZ658" s="18"/>
      <c r="EA658" s="18"/>
      <c r="EB658" s="18"/>
      <c r="EC658" s="18"/>
      <c r="ED658" s="18"/>
      <c r="EE658" s="18"/>
      <c r="EF658" s="18"/>
      <c r="EG658" s="18"/>
      <c r="EH658" s="18"/>
      <c r="EI658" s="18"/>
      <c r="EJ658" s="18"/>
      <c r="EK658" s="18"/>
      <c r="EL658" s="18"/>
      <c r="EM658" s="18"/>
      <c r="EN658" s="18"/>
      <c r="EO658" s="18"/>
      <c r="EP658" s="18"/>
      <c r="EQ658" s="18"/>
      <c r="ER658" s="18"/>
      <c r="ES658" s="18"/>
      <c r="ET658" s="18"/>
      <c r="EU658" s="18"/>
      <c r="EV658" s="18"/>
      <c r="EW658" s="18"/>
      <c r="EX658" s="18"/>
    </row>
    <row r="659">
      <c r="A659" s="101"/>
      <c r="B659" s="105"/>
      <c r="C659" s="105"/>
      <c r="D659" s="106"/>
      <c r="E659" s="110"/>
      <c r="F659" s="92"/>
      <c r="G659" s="18"/>
      <c r="H659" s="101" t="str">
        <f>IFERROR(__xludf.DUMMYFUNCTION("""COMPUTED_VALUE"""),"")</f>
        <v/>
      </c>
      <c r="I659" s="67" t="str">
        <f>IFERROR(__xludf.DUMMYFUNCTION("""COMPUTED_VALUE"""),"")</f>
        <v/>
      </c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  <c r="DW659" s="18"/>
      <c r="DX659" s="18"/>
      <c r="DY659" s="18"/>
      <c r="DZ659" s="18"/>
      <c r="EA659" s="18"/>
      <c r="EB659" s="18"/>
      <c r="EC659" s="18"/>
      <c r="ED659" s="18"/>
      <c r="EE659" s="18"/>
      <c r="EF659" s="18"/>
      <c r="EG659" s="18"/>
      <c r="EH659" s="18"/>
      <c r="EI659" s="18"/>
      <c r="EJ659" s="18"/>
      <c r="EK659" s="18"/>
      <c r="EL659" s="18"/>
      <c r="EM659" s="18"/>
      <c r="EN659" s="18"/>
      <c r="EO659" s="18"/>
      <c r="EP659" s="18"/>
      <c r="EQ659" s="18"/>
      <c r="ER659" s="18"/>
      <c r="ES659" s="18"/>
      <c r="ET659" s="18"/>
      <c r="EU659" s="18"/>
      <c r="EV659" s="18"/>
      <c r="EW659" s="18"/>
      <c r="EX659" s="18"/>
    </row>
    <row r="660">
      <c r="A660" s="101"/>
      <c r="B660" s="105"/>
      <c r="C660" s="105"/>
      <c r="D660" s="106"/>
      <c r="E660" s="110"/>
      <c r="F660" s="92"/>
      <c r="G660" s="18"/>
      <c r="H660" s="101" t="str">
        <f>IFERROR(__xludf.DUMMYFUNCTION("""COMPUTED_VALUE"""),"")</f>
        <v/>
      </c>
      <c r="I660" s="67" t="str">
        <f>IFERROR(__xludf.DUMMYFUNCTION("""COMPUTED_VALUE"""),"")</f>
        <v/>
      </c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  <c r="DW660" s="18"/>
      <c r="DX660" s="18"/>
      <c r="DY660" s="18"/>
      <c r="DZ660" s="18"/>
      <c r="EA660" s="18"/>
      <c r="EB660" s="18"/>
      <c r="EC660" s="18"/>
      <c r="ED660" s="18"/>
      <c r="EE660" s="18"/>
      <c r="EF660" s="18"/>
      <c r="EG660" s="18"/>
      <c r="EH660" s="18"/>
      <c r="EI660" s="18"/>
      <c r="EJ660" s="18"/>
      <c r="EK660" s="18"/>
      <c r="EL660" s="18"/>
      <c r="EM660" s="18"/>
      <c r="EN660" s="18"/>
      <c r="EO660" s="18"/>
      <c r="EP660" s="18"/>
      <c r="EQ660" s="18"/>
      <c r="ER660" s="18"/>
      <c r="ES660" s="18"/>
      <c r="ET660" s="18"/>
      <c r="EU660" s="18"/>
      <c r="EV660" s="18"/>
      <c r="EW660" s="18"/>
      <c r="EX660" s="18"/>
    </row>
    <row r="661">
      <c r="A661" s="101"/>
      <c r="B661" s="105"/>
      <c r="C661" s="105"/>
      <c r="D661" s="106"/>
      <c r="E661" s="110"/>
      <c r="F661" s="92"/>
      <c r="G661" s="18"/>
      <c r="H661" s="101" t="str">
        <f>IFERROR(__xludf.DUMMYFUNCTION("""COMPUTED_VALUE"""),"")</f>
        <v/>
      </c>
      <c r="I661" s="67" t="str">
        <f>IFERROR(__xludf.DUMMYFUNCTION("""COMPUTED_VALUE"""),"")</f>
        <v/>
      </c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  <c r="DW661" s="18"/>
      <c r="DX661" s="18"/>
      <c r="DY661" s="18"/>
      <c r="DZ661" s="18"/>
      <c r="EA661" s="18"/>
      <c r="EB661" s="18"/>
      <c r="EC661" s="18"/>
      <c r="ED661" s="18"/>
      <c r="EE661" s="18"/>
      <c r="EF661" s="18"/>
      <c r="EG661" s="18"/>
      <c r="EH661" s="18"/>
      <c r="EI661" s="18"/>
      <c r="EJ661" s="18"/>
      <c r="EK661" s="18"/>
      <c r="EL661" s="18"/>
      <c r="EM661" s="18"/>
      <c r="EN661" s="18"/>
      <c r="EO661" s="18"/>
      <c r="EP661" s="18"/>
      <c r="EQ661" s="18"/>
      <c r="ER661" s="18"/>
      <c r="ES661" s="18"/>
      <c r="ET661" s="18"/>
      <c r="EU661" s="18"/>
      <c r="EV661" s="18"/>
      <c r="EW661" s="18"/>
      <c r="EX661" s="18"/>
    </row>
    <row r="662">
      <c r="A662" s="101"/>
      <c r="B662" s="105"/>
      <c r="C662" s="105"/>
      <c r="D662" s="106"/>
      <c r="E662" s="110"/>
      <c r="F662" s="92"/>
      <c r="G662" s="18"/>
      <c r="H662" s="101" t="str">
        <f>IFERROR(__xludf.DUMMYFUNCTION("""COMPUTED_VALUE"""),"")</f>
        <v/>
      </c>
      <c r="I662" s="67" t="str">
        <f>IFERROR(__xludf.DUMMYFUNCTION("""COMPUTED_VALUE"""),"")</f>
        <v/>
      </c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  <c r="DW662" s="18"/>
      <c r="DX662" s="18"/>
      <c r="DY662" s="18"/>
      <c r="DZ662" s="18"/>
      <c r="EA662" s="18"/>
      <c r="EB662" s="18"/>
      <c r="EC662" s="18"/>
      <c r="ED662" s="18"/>
      <c r="EE662" s="18"/>
      <c r="EF662" s="18"/>
      <c r="EG662" s="18"/>
      <c r="EH662" s="18"/>
      <c r="EI662" s="18"/>
      <c r="EJ662" s="18"/>
      <c r="EK662" s="18"/>
      <c r="EL662" s="18"/>
      <c r="EM662" s="18"/>
      <c r="EN662" s="18"/>
      <c r="EO662" s="18"/>
      <c r="EP662" s="18"/>
      <c r="EQ662" s="18"/>
      <c r="ER662" s="18"/>
      <c r="ES662" s="18"/>
      <c r="ET662" s="18"/>
      <c r="EU662" s="18"/>
      <c r="EV662" s="18"/>
      <c r="EW662" s="18"/>
      <c r="EX662" s="18"/>
    </row>
    <row r="663">
      <c r="A663" s="101"/>
      <c r="B663" s="105"/>
      <c r="C663" s="105"/>
      <c r="D663" s="106"/>
      <c r="E663" s="110"/>
      <c r="F663" s="92"/>
      <c r="G663" s="18"/>
      <c r="H663" s="101" t="str">
        <f>IFERROR(__xludf.DUMMYFUNCTION("""COMPUTED_VALUE"""),"")</f>
        <v/>
      </c>
      <c r="I663" s="67" t="str">
        <f>IFERROR(__xludf.DUMMYFUNCTION("""COMPUTED_VALUE"""),"")</f>
        <v/>
      </c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8"/>
      <c r="DV663" s="18"/>
      <c r="DW663" s="18"/>
      <c r="DX663" s="18"/>
      <c r="DY663" s="18"/>
      <c r="DZ663" s="18"/>
      <c r="EA663" s="18"/>
      <c r="EB663" s="18"/>
      <c r="EC663" s="18"/>
      <c r="ED663" s="18"/>
      <c r="EE663" s="18"/>
      <c r="EF663" s="18"/>
      <c r="EG663" s="18"/>
      <c r="EH663" s="18"/>
      <c r="EI663" s="18"/>
      <c r="EJ663" s="18"/>
      <c r="EK663" s="18"/>
      <c r="EL663" s="18"/>
      <c r="EM663" s="18"/>
      <c r="EN663" s="18"/>
      <c r="EO663" s="18"/>
      <c r="EP663" s="18"/>
      <c r="EQ663" s="18"/>
      <c r="ER663" s="18"/>
      <c r="ES663" s="18"/>
      <c r="ET663" s="18"/>
      <c r="EU663" s="18"/>
      <c r="EV663" s="18"/>
      <c r="EW663" s="18"/>
      <c r="EX663" s="18"/>
    </row>
    <row r="664">
      <c r="A664" s="101"/>
      <c r="B664" s="105"/>
      <c r="C664" s="105"/>
      <c r="D664" s="106"/>
      <c r="E664" s="110"/>
      <c r="F664" s="92"/>
      <c r="G664" s="18"/>
      <c r="H664" s="101" t="str">
        <f>IFERROR(__xludf.DUMMYFUNCTION("""COMPUTED_VALUE"""),"")</f>
        <v/>
      </c>
      <c r="I664" s="67" t="str">
        <f>IFERROR(__xludf.DUMMYFUNCTION("""COMPUTED_VALUE"""),"")</f>
        <v/>
      </c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8"/>
      <c r="DU664" s="18"/>
      <c r="DV664" s="18"/>
      <c r="DW664" s="18"/>
      <c r="DX664" s="18"/>
      <c r="DY664" s="18"/>
      <c r="DZ664" s="18"/>
      <c r="EA664" s="18"/>
      <c r="EB664" s="18"/>
      <c r="EC664" s="18"/>
      <c r="ED664" s="18"/>
      <c r="EE664" s="18"/>
      <c r="EF664" s="18"/>
      <c r="EG664" s="18"/>
      <c r="EH664" s="18"/>
      <c r="EI664" s="18"/>
      <c r="EJ664" s="18"/>
      <c r="EK664" s="18"/>
      <c r="EL664" s="18"/>
      <c r="EM664" s="18"/>
      <c r="EN664" s="18"/>
      <c r="EO664" s="18"/>
      <c r="EP664" s="18"/>
      <c r="EQ664" s="18"/>
      <c r="ER664" s="18"/>
      <c r="ES664" s="18"/>
      <c r="ET664" s="18"/>
      <c r="EU664" s="18"/>
      <c r="EV664" s="18"/>
      <c r="EW664" s="18"/>
      <c r="EX664" s="18"/>
    </row>
    <row r="665">
      <c r="A665" s="101"/>
      <c r="B665" s="105"/>
      <c r="C665" s="105"/>
      <c r="D665" s="106"/>
      <c r="E665" s="110"/>
      <c r="F665" s="92"/>
      <c r="G665" s="18"/>
      <c r="H665" s="101" t="str">
        <f>IFERROR(__xludf.DUMMYFUNCTION("""COMPUTED_VALUE"""),"")</f>
        <v/>
      </c>
      <c r="I665" s="67" t="str">
        <f>IFERROR(__xludf.DUMMYFUNCTION("""COMPUTED_VALUE"""),"")</f>
        <v/>
      </c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8"/>
      <c r="DT665" s="18"/>
      <c r="DU665" s="18"/>
      <c r="DV665" s="18"/>
      <c r="DW665" s="18"/>
      <c r="DX665" s="18"/>
      <c r="DY665" s="18"/>
      <c r="DZ665" s="18"/>
      <c r="EA665" s="18"/>
      <c r="EB665" s="18"/>
      <c r="EC665" s="18"/>
      <c r="ED665" s="18"/>
      <c r="EE665" s="18"/>
      <c r="EF665" s="18"/>
      <c r="EG665" s="18"/>
      <c r="EH665" s="18"/>
      <c r="EI665" s="18"/>
      <c r="EJ665" s="18"/>
      <c r="EK665" s="18"/>
      <c r="EL665" s="18"/>
      <c r="EM665" s="18"/>
      <c r="EN665" s="18"/>
      <c r="EO665" s="18"/>
      <c r="EP665" s="18"/>
      <c r="EQ665" s="18"/>
      <c r="ER665" s="18"/>
      <c r="ES665" s="18"/>
      <c r="ET665" s="18"/>
      <c r="EU665" s="18"/>
      <c r="EV665" s="18"/>
      <c r="EW665" s="18"/>
      <c r="EX665" s="18"/>
    </row>
    <row r="666">
      <c r="A666" s="101"/>
      <c r="B666" s="105"/>
      <c r="C666" s="105"/>
      <c r="D666" s="106"/>
      <c r="E666" s="110"/>
      <c r="F666" s="92"/>
      <c r="G666" s="18"/>
      <c r="H666" s="101" t="str">
        <f>IFERROR(__xludf.DUMMYFUNCTION("""COMPUTED_VALUE"""),"")</f>
        <v/>
      </c>
      <c r="I666" s="67" t="str">
        <f>IFERROR(__xludf.DUMMYFUNCTION("""COMPUTED_VALUE"""),"")</f>
        <v/>
      </c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8"/>
      <c r="DS666" s="18"/>
      <c r="DT666" s="18"/>
      <c r="DU666" s="18"/>
      <c r="DV666" s="18"/>
      <c r="DW666" s="18"/>
      <c r="DX666" s="18"/>
      <c r="DY666" s="18"/>
      <c r="DZ666" s="18"/>
      <c r="EA666" s="18"/>
      <c r="EB666" s="18"/>
      <c r="EC666" s="18"/>
      <c r="ED666" s="18"/>
      <c r="EE666" s="18"/>
      <c r="EF666" s="18"/>
      <c r="EG666" s="18"/>
      <c r="EH666" s="18"/>
      <c r="EI666" s="18"/>
      <c r="EJ666" s="18"/>
      <c r="EK666" s="18"/>
      <c r="EL666" s="18"/>
      <c r="EM666" s="18"/>
      <c r="EN666" s="18"/>
      <c r="EO666" s="18"/>
      <c r="EP666" s="18"/>
      <c r="EQ666" s="18"/>
      <c r="ER666" s="18"/>
      <c r="ES666" s="18"/>
      <c r="ET666" s="18"/>
      <c r="EU666" s="18"/>
      <c r="EV666" s="18"/>
      <c r="EW666" s="18"/>
      <c r="EX666" s="18"/>
    </row>
    <row r="667">
      <c r="A667" s="101"/>
      <c r="B667" s="105"/>
      <c r="C667" s="105"/>
      <c r="D667" s="106"/>
      <c r="E667" s="110"/>
      <c r="F667" s="92"/>
      <c r="G667" s="18"/>
      <c r="H667" s="101" t="str">
        <f>IFERROR(__xludf.DUMMYFUNCTION("""COMPUTED_VALUE"""),"")</f>
        <v/>
      </c>
      <c r="I667" s="67" t="str">
        <f>IFERROR(__xludf.DUMMYFUNCTION("""COMPUTED_VALUE"""),"")</f>
        <v/>
      </c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8"/>
      <c r="DR667" s="18"/>
      <c r="DS667" s="18"/>
      <c r="DT667" s="18"/>
      <c r="DU667" s="18"/>
      <c r="DV667" s="18"/>
      <c r="DW667" s="18"/>
      <c r="DX667" s="18"/>
      <c r="DY667" s="18"/>
      <c r="DZ667" s="18"/>
      <c r="EA667" s="18"/>
      <c r="EB667" s="18"/>
      <c r="EC667" s="18"/>
      <c r="ED667" s="18"/>
      <c r="EE667" s="18"/>
      <c r="EF667" s="18"/>
      <c r="EG667" s="18"/>
      <c r="EH667" s="18"/>
      <c r="EI667" s="18"/>
      <c r="EJ667" s="18"/>
      <c r="EK667" s="18"/>
      <c r="EL667" s="18"/>
      <c r="EM667" s="18"/>
      <c r="EN667" s="18"/>
      <c r="EO667" s="18"/>
      <c r="EP667" s="18"/>
      <c r="EQ667" s="18"/>
      <c r="ER667" s="18"/>
      <c r="ES667" s="18"/>
      <c r="ET667" s="18"/>
      <c r="EU667" s="18"/>
      <c r="EV667" s="18"/>
      <c r="EW667" s="18"/>
      <c r="EX667" s="18"/>
    </row>
    <row r="668">
      <c r="A668" s="101"/>
      <c r="B668" s="105"/>
      <c r="C668" s="105"/>
      <c r="D668" s="106"/>
      <c r="E668" s="110"/>
      <c r="F668" s="92"/>
      <c r="G668" s="18"/>
      <c r="H668" s="101" t="str">
        <f>IFERROR(__xludf.DUMMYFUNCTION("""COMPUTED_VALUE"""),"")</f>
        <v/>
      </c>
      <c r="I668" s="67" t="str">
        <f>IFERROR(__xludf.DUMMYFUNCTION("""COMPUTED_VALUE"""),"")</f>
        <v/>
      </c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8"/>
      <c r="DP668" s="18"/>
      <c r="DQ668" s="18"/>
      <c r="DR668" s="18"/>
      <c r="DS668" s="18"/>
      <c r="DT668" s="18"/>
      <c r="DU668" s="18"/>
      <c r="DV668" s="18"/>
      <c r="DW668" s="18"/>
      <c r="DX668" s="18"/>
      <c r="DY668" s="18"/>
      <c r="DZ668" s="18"/>
      <c r="EA668" s="18"/>
      <c r="EB668" s="18"/>
      <c r="EC668" s="18"/>
      <c r="ED668" s="18"/>
      <c r="EE668" s="18"/>
      <c r="EF668" s="18"/>
      <c r="EG668" s="18"/>
      <c r="EH668" s="18"/>
      <c r="EI668" s="18"/>
      <c r="EJ668" s="18"/>
      <c r="EK668" s="18"/>
      <c r="EL668" s="18"/>
      <c r="EM668" s="18"/>
      <c r="EN668" s="18"/>
      <c r="EO668" s="18"/>
      <c r="EP668" s="18"/>
      <c r="EQ668" s="18"/>
      <c r="ER668" s="18"/>
      <c r="ES668" s="18"/>
      <c r="ET668" s="18"/>
      <c r="EU668" s="18"/>
      <c r="EV668" s="18"/>
      <c r="EW668" s="18"/>
      <c r="EX668" s="18"/>
    </row>
    <row r="669">
      <c r="A669" s="101"/>
      <c r="B669" s="105"/>
      <c r="C669" s="105"/>
      <c r="D669" s="106"/>
      <c r="E669" s="110"/>
      <c r="F669" s="92"/>
      <c r="G669" s="18"/>
      <c r="H669" s="101" t="str">
        <f>IFERROR(__xludf.DUMMYFUNCTION("""COMPUTED_VALUE"""),"")</f>
        <v/>
      </c>
      <c r="I669" s="67" t="str">
        <f>IFERROR(__xludf.DUMMYFUNCTION("""COMPUTED_VALUE"""),"")</f>
        <v/>
      </c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8"/>
      <c r="DO669" s="18"/>
      <c r="DP669" s="18"/>
      <c r="DQ669" s="18"/>
      <c r="DR669" s="18"/>
      <c r="DS669" s="18"/>
      <c r="DT669" s="18"/>
      <c r="DU669" s="18"/>
      <c r="DV669" s="18"/>
      <c r="DW669" s="18"/>
      <c r="DX669" s="18"/>
      <c r="DY669" s="18"/>
      <c r="DZ669" s="18"/>
      <c r="EA669" s="18"/>
      <c r="EB669" s="18"/>
      <c r="EC669" s="18"/>
      <c r="ED669" s="18"/>
      <c r="EE669" s="18"/>
      <c r="EF669" s="18"/>
      <c r="EG669" s="18"/>
      <c r="EH669" s="18"/>
      <c r="EI669" s="18"/>
      <c r="EJ669" s="18"/>
      <c r="EK669" s="18"/>
      <c r="EL669" s="18"/>
      <c r="EM669" s="18"/>
      <c r="EN669" s="18"/>
      <c r="EO669" s="18"/>
      <c r="EP669" s="18"/>
      <c r="EQ669" s="18"/>
      <c r="ER669" s="18"/>
      <c r="ES669" s="18"/>
      <c r="ET669" s="18"/>
      <c r="EU669" s="18"/>
      <c r="EV669" s="18"/>
      <c r="EW669" s="18"/>
      <c r="EX669" s="18"/>
    </row>
    <row r="670">
      <c r="A670" s="101"/>
      <c r="B670" s="105"/>
      <c r="C670" s="105"/>
      <c r="D670" s="106"/>
      <c r="E670" s="110"/>
      <c r="F670" s="92"/>
      <c r="G670" s="18"/>
      <c r="H670" s="101" t="str">
        <f>IFERROR(__xludf.DUMMYFUNCTION("""COMPUTED_VALUE"""),"")</f>
        <v/>
      </c>
      <c r="I670" s="67" t="str">
        <f>IFERROR(__xludf.DUMMYFUNCTION("""COMPUTED_VALUE"""),"")</f>
        <v/>
      </c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/>
      <c r="DN670" s="18"/>
      <c r="DO670" s="18"/>
      <c r="DP670" s="18"/>
      <c r="DQ670" s="18"/>
      <c r="DR670" s="18"/>
      <c r="DS670" s="18"/>
      <c r="DT670" s="18"/>
      <c r="DU670" s="18"/>
      <c r="DV670" s="18"/>
      <c r="DW670" s="18"/>
      <c r="DX670" s="18"/>
      <c r="DY670" s="18"/>
      <c r="DZ670" s="18"/>
      <c r="EA670" s="18"/>
      <c r="EB670" s="18"/>
      <c r="EC670" s="18"/>
      <c r="ED670" s="18"/>
      <c r="EE670" s="18"/>
      <c r="EF670" s="18"/>
      <c r="EG670" s="18"/>
      <c r="EH670" s="18"/>
      <c r="EI670" s="18"/>
      <c r="EJ670" s="18"/>
      <c r="EK670" s="18"/>
      <c r="EL670" s="18"/>
      <c r="EM670" s="18"/>
      <c r="EN670" s="18"/>
      <c r="EO670" s="18"/>
      <c r="EP670" s="18"/>
      <c r="EQ670" s="18"/>
      <c r="ER670" s="18"/>
      <c r="ES670" s="18"/>
      <c r="ET670" s="18"/>
      <c r="EU670" s="18"/>
      <c r="EV670" s="18"/>
      <c r="EW670" s="18"/>
      <c r="EX670" s="18"/>
    </row>
    <row r="671">
      <c r="A671" s="101"/>
      <c r="B671" s="105"/>
      <c r="C671" s="105"/>
      <c r="D671" s="106"/>
      <c r="E671" s="110"/>
      <c r="F671" s="92"/>
      <c r="G671" s="18"/>
      <c r="H671" s="101" t="str">
        <f>IFERROR(__xludf.DUMMYFUNCTION("""COMPUTED_VALUE"""),"")</f>
        <v/>
      </c>
      <c r="I671" s="67" t="str">
        <f>IFERROR(__xludf.DUMMYFUNCTION("""COMPUTED_VALUE"""),"")</f>
        <v/>
      </c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/>
      <c r="DN671" s="18"/>
      <c r="DO671" s="18"/>
      <c r="DP671" s="18"/>
      <c r="DQ671" s="18"/>
      <c r="DR671" s="18"/>
      <c r="DS671" s="18"/>
      <c r="DT671" s="18"/>
      <c r="DU671" s="18"/>
      <c r="DV671" s="18"/>
      <c r="DW671" s="18"/>
      <c r="DX671" s="18"/>
      <c r="DY671" s="18"/>
      <c r="DZ671" s="18"/>
      <c r="EA671" s="18"/>
      <c r="EB671" s="18"/>
      <c r="EC671" s="18"/>
      <c r="ED671" s="18"/>
      <c r="EE671" s="18"/>
      <c r="EF671" s="18"/>
      <c r="EG671" s="18"/>
      <c r="EH671" s="18"/>
      <c r="EI671" s="18"/>
      <c r="EJ671" s="18"/>
      <c r="EK671" s="18"/>
      <c r="EL671" s="18"/>
      <c r="EM671" s="18"/>
      <c r="EN671" s="18"/>
      <c r="EO671" s="18"/>
      <c r="EP671" s="18"/>
      <c r="EQ671" s="18"/>
      <c r="ER671" s="18"/>
      <c r="ES671" s="18"/>
      <c r="ET671" s="18"/>
      <c r="EU671" s="18"/>
      <c r="EV671" s="18"/>
      <c r="EW671" s="18"/>
      <c r="EX671" s="18"/>
    </row>
    <row r="672">
      <c r="A672" s="101"/>
      <c r="B672" s="105"/>
      <c r="C672" s="105"/>
      <c r="D672" s="106"/>
      <c r="E672" s="110"/>
      <c r="F672" s="92"/>
      <c r="G672" s="18"/>
      <c r="H672" s="101" t="str">
        <f>IFERROR(__xludf.DUMMYFUNCTION("""COMPUTED_VALUE"""),"")</f>
        <v/>
      </c>
      <c r="I672" s="67" t="str">
        <f>IFERROR(__xludf.DUMMYFUNCTION("""COMPUTED_VALUE"""),"")</f>
        <v/>
      </c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/>
      <c r="DN672" s="18"/>
      <c r="DO672" s="18"/>
      <c r="DP672" s="18"/>
      <c r="DQ672" s="18"/>
      <c r="DR672" s="18"/>
      <c r="DS672" s="18"/>
      <c r="DT672" s="18"/>
      <c r="DU672" s="18"/>
      <c r="DV672" s="18"/>
      <c r="DW672" s="18"/>
      <c r="DX672" s="18"/>
      <c r="DY672" s="18"/>
      <c r="DZ672" s="18"/>
      <c r="EA672" s="18"/>
      <c r="EB672" s="18"/>
      <c r="EC672" s="18"/>
      <c r="ED672" s="18"/>
      <c r="EE672" s="18"/>
      <c r="EF672" s="18"/>
      <c r="EG672" s="18"/>
      <c r="EH672" s="18"/>
      <c r="EI672" s="18"/>
      <c r="EJ672" s="18"/>
      <c r="EK672" s="18"/>
      <c r="EL672" s="18"/>
      <c r="EM672" s="18"/>
      <c r="EN672" s="18"/>
      <c r="EO672" s="18"/>
      <c r="EP672" s="18"/>
      <c r="EQ672" s="18"/>
      <c r="ER672" s="18"/>
      <c r="ES672" s="18"/>
      <c r="ET672" s="18"/>
      <c r="EU672" s="18"/>
      <c r="EV672" s="18"/>
      <c r="EW672" s="18"/>
      <c r="EX672" s="18"/>
    </row>
    <row r="673">
      <c r="A673" s="101"/>
      <c r="B673" s="105"/>
      <c r="C673" s="105"/>
      <c r="D673" s="106"/>
      <c r="E673" s="110"/>
      <c r="F673" s="92"/>
      <c r="G673" s="18"/>
      <c r="H673" s="101" t="str">
        <f>IFERROR(__xludf.DUMMYFUNCTION("""COMPUTED_VALUE"""),"")</f>
        <v/>
      </c>
      <c r="I673" s="67" t="str">
        <f>IFERROR(__xludf.DUMMYFUNCTION("""COMPUTED_VALUE"""),"")</f>
        <v/>
      </c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/>
      <c r="DN673" s="18"/>
      <c r="DO673" s="18"/>
      <c r="DP673" s="18"/>
      <c r="DQ673" s="18"/>
      <c r="DR673" s="18"/>
      <c r="DS673" s="18"/>
      <c r="DT673" s="18"/>
      <c r="DU673" s="18"/>
      <c r="DV673" s="18"/>
      <c r="DW673" s="18"/>
      <c r="DX673" s="18"/>
      <c r="DY673" s="18"/>
      <c r="DZ673" s="18"/>
      <c r="EA673" s="18"/>
      <c r="EB673" s="18"/>
      <c r="EC673" s="18"/>
      <c r="ED673" s="18"/>
      <c r="EE673" s="18"/>
      <c r="EF673" s="18"/>
      <c r="EG673" s="18"/>
      <c r="EH673" s="18"/>
      <c r="EI673" s="18"/>
      <c r="EJ673" s="18"/>
      <c r="EK673" s="18"/>
      <c r="EL673" s="18"/>
      <c r="EM673" s="18"/>
      <c r="EN673" s="18"/>
      <c r="EO673" s="18"/>
      <c r="EP673" s="18"/>
      <c r="EQ673" s="18"/>
      <c r="ER673" s="18"/>
      <c r="ES673" s="18"/>
      <c r="ET673" s="18"/>
      <c r="EU673" s="18"/>
      <c r="EV673" s="18"/>
      <c r="EW673" s="18"/>
      <c r="EX673" s="18"/>
    </row>
    <row r="674">
      <c r="A674" s="101"/>
      <c r="B674" s="105"/>
      <c r="C674" s="105"/>
      <c r="D674" s="106"/>
      <c r="E674" s="110"/>
      <c r="F674" s="92"/>
      <c r="G674" s="18"/>
      <c r="H674" s="101" t="str">
        <f>IFERROR(__xludf.DUMMYFUNCTION("""COMPUTED_VALUE"""),"")</f>
        <v/>
      </c>
      <c r="I674" s="67" t="str">
        <f>IFERROR(__xludf.DUMMYFUNCTION("""COMPUTED_VALUE"""),"")</f>
        <v/>
      </c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/>
      <c r="DN674" s="18"/>
      <c r="DO674" s="18"/>
      <c r="DP674" s="18"/>
      <c r="DQ674" s="18"/>
      <c r="DR674" s="18"/>
      <c r="DS674" s="18"/>
      <c r="DT674" s="18"/>
      <c r="DU674" s="18"/>
      <c r="DV674" s="18"/>
      <c r="DW674" s="18"/>
      <c r="DX674" s="18"/>
      <c r="DY674" s="18"/>
      <c r="DZ674" s="18"/>
      <c r="EA674" s="18"/>
      <c r="EB674" s="18"/>
      <c r="EC674" s="18"/>
      <c r="ED674" s="18"/>
      <c r="EE674" s="18"/>
      <c r="EF674" s="18"/>
      <c r="EG674" s="18"/>
      <c r="EH674" s="18"/>
      <c r="EI674" s="18"/>
      <c r="EJ674" s="18"/>
      <c r="EK674" s="18"/>
      <c r="EL674" s="18"/>
      <c r="EM674" s="18"/>
      <c r="EN674" s="18"/>
      <c r="EO674" s="18"/>
      <c r="EP674" s="18"/>
      <c r="EQ674" s="18"/>
      <c r="ER674" s="18"/>
      <c r="ES674" s="18"/>
      <c r="ET674" s="18"/>
      <c r="EU674" s="18"/>
      <c r="EV674" s="18"/>
      <c r="EW674" s="18"/>
      <c r="EX674" s="18"/>
    </row>
    <row r="675">
      <c r="A675" s="101"/>
      <c r="B675" s="105"/>
      <c r="C675" s="105"/>
      <c r="D675" s="106"/>
      <c r="E675" s="110"/>
      <c r="F675" s="92"/>
      <c r="G675" s="18"/>
      <c r="H675" s="101" t="str">
        <f>IFERROR(__xludf.DUMMYFUNCTION("""COMPUTED_VALUE"""),"")</f>
        <v/>
      </c>
      <c r="I675" s="67" t="str">
        <f>IFERROR(__xludf.DUMMYFUNCTION("""COMPUTED_VALUE"""),"")</f>
        <v/>
      </c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/>
      <c r="DN675" s="18"/>
      <c r="DO675" s="18"/>
      <c r="DP675" s="18"/>
      <c r="DQ675" s="18"/>
      <c r="DR675" s="18"/>
      <c r="DS675" s="18"/>
      <c r="DT675" s="18"/>
      <c r="DU675" s="18"/>
      <c r="DV675" s="18"/>
      <c r="DW675" s="18"/>
      <c r="DX675" s="18"/>
      <c r="DY675" s="18"/>
      <c r="DZ675" s="18"/>
      <c r="EA675" s="18"/>
      <c r="EB675" s="18"/>
      <c r="EC675" s="18"/>
      <c r="ED675" s="18"/>
      <c r="EE675" s="18"/>
      <c r="EF675" s="18"/>
      <c r="EG675" s="18"/>
      <c r="EH675" s="18"/>
      <c r="EI675" s="18"/>
      <c r="EJ675" s="18"/>
      <c r="EK675" s="18"/>
      <c r="EL675" s="18"/>
      <c r="EM675" s="18"/>
      <c r="EN675" s="18"/>
      <c r="EO675" s="18"/>
      <c r="EP675" s="18"/>
      <c r="EQ675" s="18"/>
      <c r="ER675" s="18"/>
      <c r="ES675" s="18"/>
      <c r="ET675" s="18"/>
      <c r="EU675" s="18"/>
      <c r="EV675" s="18"/>
      <c r="EW675" s="18"/>
      <c r="EX675" s="18"/>
    </row>
    <row r="676">
      <c r="A676" s="101"/>
      <c r="B676" s="105"/>
      <c r="C676" s="105"/>
      <c r="D676" s="106"/>
      <c r="E676" s="110"/>
      <c r="F676" s="92"/>
      <c r="G676" s="18"/>
      <c r="H676" s="101" t="str">
        <f>IFERROR(__xludf.DUMMYFUNCTION("""COMPUTED_VALUE"""),"")</f>
        <v/>
      </c>
      <c r="I676" s="67" t="str">
        <f>IFERROR(__xludf.DUMMYFUNCTION("""COMPUTED_VALUE"""),"")</f>
        <v/>
      </c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/>
      <c r="DN676" s="18"/>
      <c r="DO676" s="18"/>
      <c r="DP676" s="18"/>
      <c r="DQ676" s="18"/>
      <c r="DR676" s="18"/>
      <c r="DS676" s="18"/>
      <c r="DT676" s="18"/>
      <c r="DU676" s="18"/>
      <c r="DV676" s="18"/>
      <c r="DW676" s="18"/>
      <c r="DX676" s="18"/>
      <c r="DY676" s="18"/>
      <c r="DZ676" s="18"/>
      <c r="EA676" s="18"/>
      <c r="EB676" s="18"/>
      <c r="EC676" s="18"/>
      <c r="ED676" s="18"/>
      <c r="EE676" s="18"/>
      <c r="EF676" s="18"/>
      <c r="EG676" s="18"/>
      <c r="EH676" s="18"/>
      <c r="EI676" s="18"/>
      <c r="EJ676" s="18"/>
      <c r="EK676" s="18"/>
      <c r="EL676" s="18"/>
      <c r="EM676" s="18"/>
      <c r="EN676" s="18"/>
      <c r="EO676" s="18"/>
      <c r="EP676" s="18"/>
      <c r="EQ676" s="18"/>
      <c r="ER676" s="18"/>
      <c r="ES676" s="18"/>
      <c r="ET676" s="18"/>
      <c r="EU676" s="18"/>
      <c r="EV676" s="18"/>
      <c r="EW676" s="18"/>
      <c r="EX676" s="18"/>
    </row>
    <row r="677">
      <c r="A677" s="101"/>
      <c r="B677" s="105"/>
      <c r="C677" s="105"/>
      <c r="D677" s="106"/>
      <c r="E677" s="110"/>
      <c r="F677" s="92"/>
      <c r="G677" s="18"/>
      <c r="H677" s="101" t="str">
        <f>IFERROR(__xludf.DUMMYFUNCTION("""COMPUTED_VALUE"""),"")</f>
        <v/>
      </c>
      <c r="I677" s="67" t="str">
        <f>IFERROR(__xludf.DUMMYFUNCTION("""COMPUTED_VALUE"""),"")</f>
        <v/>
      </c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/>
      <c r="DN677" s="18"/>
      <c r="DO677" s="18"/>
      <c r="DP677" s="18"/>
      <c r="DQ677" s="18"/>
      <c r="DR677" s="18"/>
      <c r="DS677" s="18"/>
      <c r="DT677" s="18"/>
      <c r="DU677" s="18"/>
      <c r="DV677" s="18"/>
      <c r="DW677" s="18"/>
      <c r="DX677" s="18"/>
      <c r="DY677" s="18"/>
      <c r="DZ677" s="18"/>
      <c r="EA677" s="18"/>
      <c r="EB677" s="18"/>
      <c r="EC677" s="18"/>
      <c r="ED677" s="18"/>
      <c r="EE677" s="18"/>
      <c r="EF677" s="18"/>
      <c r="EG677" s="18"/>
      <c r="EH677" s="18"/>
      <c r="EI677" s="18"/>
      <c r="EJ677" s="18"/>
      <c r="EK677" s="18"/>
      <c r="EL677" s="18"/>
      <c r="EM677" s="18"/>
      <c r="EN677" s="18"/>
      <c r="EO677" s="18"/>
      <c r="EP677" s="18"/>
      <c r="EQ677" s="18"/>
      <c r="ER677" s="18"/>
      <c r="ES677" s="18"/>
      <c r="ET677" s="18"/>
      <c r="EU677" s="18"/>
      <c r="EV677" s="18"/>
      <c r="EW677" s="18"/>
      <c r="EX677" s="18"/>
    </row>
    <row r="678">
      <c r="A678" s="101"/>
      <c r="B678" s="105"/>
      <c r="C678" s="105"/>
      <c r="D678" s="106"/>
      <c r="E678" s="110"/>
      <c r="F678" s="92"/>
      <c r="G678" s="18"/>
      <c r="H678" s="101" t="str">
        <f>IFERROR(__xludf.DUMMYFUNCTION("""COMPUTED_VALUE"""),"")</f>
        <v/>
      </c>
      <c r="I678" s="67" t="str">
        <f>IFERROR(__xludf.DUMMYFUNCTION("""COMPUTED_VALUE"""),"")</f>
        <v/>
      </c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/>
      <c r="DN678" s="18"/>
      <c r="DO678" s="18"/>
      <c r="DP678" s="18"/>
      <c r="DQ678" s="18"/>
      <c r="DR678" s="18"/>
      <c r="DS678" s="18"/>
      <c r="DT678" s="18"/>
      <c r="DU678" s="18"/>
      <c r="DV678" s="18"/>
      <c r="DW678" s="18"/>
      <c r="DX678" s="18"/>
      <c r="DY678" s="18"/>
      <c r="DZ678" s="18"/>
      <c r="EA678" s="18"/>
      <c r="EB678" s="18"/>
      <c r="EC678" s="18"/>
      <c r="ED678" s="18"/>
      <c r="EE678" s="18"/>
      <c r="EF678" s="18"/>
      <c r="EG678" s="18"/>
      <c r="EH678" s="18"/>
      <c r="EI678" s="18"/>
      <c r="EJ678" s="18"/>
      <c r="EK678" s="18"/>
      <c r="EL678" s="18"/>
      <c r="EM678" s="18"/>
      <c r="EN678" s="18"/>
      <c r="EO678" s="18"/>
      <c r="EP678" s="18"/>
      <c r="EQ678" s="18"/>
      <c r="ER678" s="18"/>
      <c r="ES678" s="18"/>
      <c r="ET678" s="18"/>
      <c r="EU678" s="18"/>
      <c r="EV678" s="18"/>
      <c r="EW678" s="18"/>
      <c r="EX678" s="18"/>
    </row>
    <row r="679">
      <c r="A679" s="101"/>
      <c r="B679" s="105"/>
      <c r="C679" s="105"/>
      <c r="D679" s="106"/>
      <c r="E679" s="110"/>
      <c r="F679" s="92"/>
      <c r="G679" s="18"/>
      <c r="H679" s="101" t="str">
        <f>IFERROR(__xludf.DUMMYFUNCTION("""COMPUTED_VALUE"""),"")</f>
        <v/>
      </c>
      <c r="I679" s="67" t="str">
        <f>IFERROR(__xludf.DUMMYFUNCTION("""COMPUTED_VALUE"""),"")</f>
        <v/>
      </c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/>
      <c r="DN679" s="18"/>
      <c r="DO679" s="18"/>
      <c r="DP679" s="18"/>
      <c r="DQ679" s="18"/>
      <c r="DR679" s="18"/>
      <c r="DS679" s="18"/>
      <c r="DT679" s="18"/>
      <c r="DU679" s="18"/>
      <c r="DV679" s="18"/>
      <c r="DW679" s="18"/>
      <c r="DX679" s="18"/>
      <c r="DY679" s="18"/>
      <c r="DZ679" s="18"/>
      <c r="EA679" s="18"/>
      <c r="EB679" s="18"/>
      <c r="EC679" s="18"/>
      <c r="ED679" s="18"/>
      <c r="EE679" s="18"/>
      <c r="EF679" s="18"/>
      <c r="EG679" s="18"/>
      <c r="EH679" s="18"/>
      <c r="EI679" s="18"/>
      <c r="EJ679" s="18"/>
      <c r="EK679" s="18"/>
      <c r="EL679" s="18"/>
      <c r="EM679" s="18"/>
      <c r="EN679" s="18"/>
      <c r="EO679" s="18"/>
      <c r="EP679" s="18"/>
      <c r="EQ679" s="18"/>
      <c r="ER679" s="18"/>
      <c r="ES679" s="18"/>
      <c r="ET679" s="18"/>
      <c r="EU679" s="18"/>
      <c r="EV679" s="18"/>
      <c r="EW679" s="18"/>
      <c r="EX679" s="18"/>
    </row>
    <row r="680">
      <c r="A680" s="101"/>
      <c r="B680" s="105"/>
      <c r="C680" s="105"/>
      <c r="D680" s="106"/>
      <c r="E680" s="110"/>
      <c r="F680" s="92"/>
      <c r="G680" s="18"/>
      <c r="H680" s="101" t="str">
        <f>IFERROR(__xludf.DUMMYFUNCTION("""COMPUTED_VALUE"""),"")</f>
        <v/>
      </c>
      <c r="I680" s="67" t="str">
        <f>IFERROR(__xludf.DUMMYFUNCTION("""COMPUTED_VALUE"""),"")</f>
        <v/>
      </c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/>
      <c r="DN680" s="18"/>
      <c r="DO680" s="18"/>
      <c r="DP680" s="18"/>
      <c r="DQ680" s="18"/>
      <c r="DR680" s="18"/>
      <c r="DS680" s="18"/>
      <c r="DT680" s="18"/>
      <c r="DU680" s="18"/>
      <c r="DV680" s="18"/>
      <c r="DW680" s="18"/>
      <c r="DX680" s="18"/>
      <c r="DY680" s="18"/>
      <c r="DZ680" s="18"/>
      <c r="EA680" s="18"/>
      <c r="EB680" s="18"/>
      <c r="EC680" s="18"/>
      <c r="ED680" s="18"/>
      <c r="EE680" s="18"/>
      <c r="EF680" s="18"/>
      <c r="EG680" s="18"/>
      <c r="EH680" s="18"/>
      <c r="EI680" s="18"/>
      <c r="EJ680" s="18"/>
      <c r="EK680" s="18"/>
      <c r="EL680" s="18"/>
      <c r="EM680" s="18"/>
      <c r="EN680" s="18"/>
      <c r="EO680" s="18"/>
      <c r="EP680" s="18"/>
      <c r="EQ680" s="18"/>
      <c r="ER680" s="18"/>
      <c r="ES680" s="18"/>
      <c r="ET680" s="18"/>
      <c r="EU680" s="18"/>
      <c r="EV680" s="18"/>
      <c r="EW680" s="18"/>
      <c r="EX680" s="18"/>
    </row>
    <row r="681">
      <c r="A681" s="101"/>
      <c r="B681" s="105"/>
      <c r="C681" s="105"/>
      <c r="D681" s="106"/>
      <c r="E681" s="110"/>
      <c r="F681" s="92"/>
      <c r="G681" s="18"/>
      <c r="H681" s="101" t="str">
        <f>IFERROR(__xludf.DUMMYFUNCTION("""COMPUTED_VALUE"""),"")</f>
        <v/>
      </c>
      <c r="I681" s="67" t="str">
        <f>IFERROR(__xludf.DUMMYFUNCTION("""COMPUTED_VALUE"""),"")</f>
        <v/>
      </c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/>
      <c r="DN681" s="18"/>
      <c r="DO681" s="18"/>
      <c r="DP681" s="18"/>
      <c r="DQ681" s="18"/>
      <c r="DR681" s="18"/>
      <c r="DS681" s="18"/>
      <c r="DT681" s="18"/>
      <c r="DU681" s="18"/>
      <c r="DV681" s="18"/>
      <c r="DW681" s="18"/>
      <c r="DX681" s="18"/>
      <c r="DY681" s="18"/>
      <c r="DZ681" s="18"/>
      <c r="EA681" s="18"/>
      <c r="EB681" s="18"/>
      <c r="EC681" s="18"/>
      <c r="ED681" s="18"/>
      <c r="EE681" s="18"/>
      <c r="EF681" s="18"/>
      <c r="EG681" s="18"/>
      <c r="EH681" s="18"/>
      <c r="EI681" s="18"/>
      <c r="EJ681" s="18"/>
      <c r="EK681" s="18"/>
      <c r="EL681" s="18"/>
      <c r="EM681" s="18"/>
      <c r="EN681" s="18"/>
      <c r="EO681" s="18"/>
      <c r="EP681" s="18"/>
      <c r="EQ681" s="18"/>
      <c r="ER681" s="18"/>
      <c r="ES681" s="18"/>
      <c r="ET681" s="18"/>
      <c r="EU681" s="18"/>
      <c r="EV681" s="18"/>
      <c r="EW681" s="18"/>
      <c r="EX681" s="18"/>
    </row>
    <row r="682">
      <c r="A682" s="101"/>
      <c r="B682" s="105"/>
      <c r="C682" s="105"/>
      <c r="D682" s="106"/>
      <c r="E682" s="110"/>
      <c r="F682" s="92"/>
      <c r="G682" s="18"/>
      <c r="H682" s="101" t="str">
        <f>IFERROR(__xludf.DUMMYFUNCTION("""COMPUTED_VALUE"""),"")</f>
        <v/>
      </c>
      <c r="I682" s="67" t="str">
        <f>IFERROR(__xludf.DUMMYFUNCTION("""COMPUTED_VALUE"""),"")</f>
        <v/>
      </c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/>
      <c r="DN682" s="18"/>
      <c r="DO682" s="18"/>
      <c r="DP682" s="18"/>
      <c r="DQ682" s="18"/>
      <c r="DR682" s="18"/>
      <c r="DS682" s="18"/>
      <c r="DT682" s="18"/>
      <c r="DU682" s="18"/>
      <c r="DV682" s="18"/>
      <c r="DW682" s="18"/>
      <c r="DX682" s="18"/>
      <c r="DY682" s="18"/>
      <c r="DZ682" s="18"/>
      <c r="EA682" s="18"/>
      <c r="EB682" s="18"/>
      <c r="EC682" s="18"/>
      <c r="ED682" s="18"/>
      <c r="EE682" s="18"/>
      <c r="EF682" s="18"/>
      <c r="EG682" s="18"/>
      <c r="EH682" s="18"/>
      <c r="EI682" s="18"/>
      <c r="EJ682" s="18"/>
      <c r="EK682" s="18"/>
      <c r="EL682" s="18"/>
      <c r="EM682" s="18"/>
      <c r="EN682" s="18"/>
      <c r="EO682" s="18"/>
      <c r="EP682" s="18"/>
      <c r="EQ682" s="18"/>
      <c r="ER682" s="18"/>
      <c r="ES682" s="18"/>
      <c r="ET682" s="18"/>
      <c r="EU682" s="18"/>
      <c r="EV682" s="18"/>
      <c r="EW682" s="18"/>
      <c r="EX682" s="18"/>
    </row>
    <row r="683">
      <c r="A683" s="101"/>
      <c r="B683" s="105"/>
      <c r="C683" s="105"/>
      <c r="D683" s="106"/>
      <c r="E683" s="110"/>
      <c r="F683" s="92"/>
      <c r="G683" s="18"/>
      <c r="H683" s="101" t="str">
        <f>IFERROR(__xludf.DUMMYFUNCTION("""COMPUTED_VALUE"""),"")</f>
        <v/>
      </c>
      <c r="I683" s="67" t="str">
        <f>IFERROR(__xludf.DUMMYFUNCTION("""COMPUTED_VALUE"""),"")</f>
        <v/>
      </c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/>
      <c r="DN683" s="18"/>
      <c r="DO683" s="18"/>
      <c r="DP683" s="18"/>
      <c r="DQ683" s="18"/>
      <c r="DR683" s="18"/>
      <c r="DS683" s="18"/>
      <c r="DT683" s="18"/>
      <c r="DU683" s="18"/>
      <c r="DV683" s="18"/>
      <c r="DW683" s="18"/>
      <c r="DX683" s="18"/>
      <c r="DY683" s="18"/>
      <c r="DZ683" s="18"/>
      <c r="EA683" s="18"/>
      <c r="EB683" s="18"/>
      <c r="EC683" s="18"/>
      <c r="ED683" s="18"/>
      <c r="EE683" s="18"/>
      <c r="EF683" s="18"/>
      <c r="EG683" s="18"/>
      <c r="EH683" s="18"/>
      <c r="EI683" s="18"/>
      <c r="EJ683" s="18"/>
      <c r="EK683" s="18"/>
      <c r="EL683" s="18"/>
      <c r="EM683" s="18"/>
      <c r="EN683" s="18"/>
      <c r="EO683" s="18"/>
      <c r="EP683" s="18"/>
      <c r="EQ683" s="18"/>
      <c r="ER683" s="18"/>
      <c r="ES683" s="18"/>
      <c r="ET683" s="18"/>
      <c r="EU683" s="18"/>
      <c r="EV683" s="18"/>
      <c r="EW683" s="18"/>
      <c r="EX683" s="18"/>
    </row>
    <row r="684">
      <c r="A684" s="101"/>
      <c r="B684" s="105"/>
      <c r="C684" s="105"/>
      <c r="D684" s="106"/>
      <c r="E684" s="110"/>
      <c r="F684" s="92"/>
      <c r="G684" s="18"/>
      <c r="H684" s="101" t="str">
        <f>IFERROR(__xludf.DUMMYFUNCTION("""COMPUTED_VALUE"""),"")</f>
        <v/>
      </c>
      <c r="I684" s="67" t="str">
        <f>IFERROR(__xludf.DUMMYFUNCTION("""COMPUTED_VALUE"""),"")</f>
        <v/>
      </c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/>
      <c r="DN684" s="18"/>
      <c r="DO684" s="18"/>
      <c r="DP684" s="18"/>
      <c r="DQ684" s="18"/>
      <c r="DR684" s="18"/>
      <c r="DS684" s="18"/>
      <c r="DT684" s="18"/>
      <c r="DU684" s="18"/>
      <c r="DV684" s="18"/>
      <c r="DW684" s="18"/>
      <c r="DX684" s="18"/>
      <c r="DY684" s="18"/>
      <c r="DZ684" s="18"/>
      <c r="EA684" s="18"/>
      <c r="EB684" s="18"/>
      <c r="EC684" s="18"/>
      <c r="ED684" s="18"/>
      <c r="EE684" s="18"/>
      <c r="EF684" s="18"/>
      <c r="EG684" s="18"/>
      <c r="EH684" s="18"/>
      <c r="EI684" s="18"/>
      <c r="EJ684" s="18"/>
      <c r="EK684" s="18"/>
      <c r="EL684" s="18"/>
      <c r="EM684" s="18"/>
      <c r="EN684" s="18"/>
      <c r="EO684" s="18"/>
      <c r="EP684" s="18"/>
      <c r="EQ684" s="18"/>
      <c r="ER684" s="18"/>
      <c r="ES684" s="18"/>
      <c r="ET684" s="18"/>
      <c r="EU684" s="18"/>
      <c r="EV684" s="18"/>
      <c r="EW684" s="18"/>
      <c r="EX684" s="18"/>
    </row>
    <row r="685">
      <c r="A685" s="101"/>
      <c r="B685" s="105"/>
      <c r="C685" s="105"/>
      <c r="D685" s="106"/>
      <c r="E685" s="110"/>
      <c r="F685" s="92"/>
      <c r="G685" s="18"/>
      <c r="H685" s="101" t="str">
        <f>IFERROR(__xludf.DUMMYFUNCTION("""COMPUTED_VALUE"""),"")</f>
        <v/>
      </c>
      <c r="I685" s="67" t="str">
        <f>IFERROR(__xludf.DUMMYFUNCTION("""COMPUTED_VALUE"""),"")</f>
        <v/>
      </c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/>
      <c r="DN685" s="18"/>
      <c r="DO685" s="18"/>
      <c r="DP685" s="18"/>
      <c r="DQ685" s="18"/>
      <c r="DR685" s="18"/>
      <c r="DS685" s="18"/>
      <c r="DT685" s="18"/>
      <c r="DU685" s="18"/>
      <c r="DV685" s="18"/>
      <c r="DW685" s="18"/>
      <c r="DX685" s="18"/>
      <c r="DY685" s="18"/>
      <c r="DZ685" s="18"/>
      <c r="EA685" s="18"/>
      <c r="EB685" s="18"/>
      <c r="EC685" s="18"/>
      <c r="ED685" s="18"/>
      <c r="EE685" s="18"/>
      <c r="EF685" s="18"/>
      <c r="EG685" s="18"/>
      <c r="EH685" s="18"/>
      <c r="EI685" s="18"/>
      <c r="EJ685" s="18"/>
      <c r="EK685" s="18"/>
      <c r="EL685" s="18"/>
      <c r="EM685" s="18"/>
      <c r="EN685" s="18"/>
      <c r="EO685" s="18"/>
      <c r="EP685" s="18"/>
      <c r="EQ685" s="18"/>
      <c r="ER685" s="18"/>
      <c r="ES685" s="18"/>
      <c r="ET685" s="18"/>
      <c r="EU685" s="18"/>
      <c r="EV685" s="18"/>
      <c r="EW685" s="18"/>
      <c r="EX685" s="18"/>
    </row>
    <row r="686">
      <c r="A686" s="101"/>
      <c r="B686" s="105"/>
      <c r="C686" s="105"/>
      <c r="D686" s="106"/>
      <c r="E686" s="110"/>
      <c r="F686" s="92"/>
      <c r="G686" s="18"/>
      <c r="H686" s="101" t="str">
        <f>IFERROR(__xludf.DUMMYFUNCTION("""COMPUTED_VALUE"""),"")</f>
        <v/>
      </c>
      <c r="I686" s="67" t="str">
        <f>IFERROR(__xludf.DUMMYFUNCTION("""COMPUTED_VALUE"""),"")</f>
        <v/>
      </c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/>
      <c r="DN686" s="18"/>
      <c r="DO686" s="18"/>
      <c r="DP686" s="18"/>
      <c r="DQ686" s="18"/>
      <c r="DR686" s="18"/>
      <c r="DS686" s="18"/>
      <c r="DT686" s="18"/>
      <c r="DU686" s="18"/>
      <c r="DV686" s="18"/>
      <c r="DW686" s="18"/>
      <c r="DX686" s="18"/>
      <c r="DY686" s="18"/>
      <c r="DZ686" s="18"/>
      <c r="EA686" s="18"/>
      <c r="EB686" s="18"/>
      <c r="EC686" s="18"/>
      <c r="ED686" s="18"/>
      <c r="EE686" s="18"/>
      <c r="EF686" s="18"/>
      <c r="EG686" s="18"/>
      <c r="EH686" s="18"/>
      <c r="EI686" s="18"/>
      <c r="EJ686" s="18"/>
      <c r="EK686" s="18"/>
      <c r="EL686" s="18"/>
      <c r="EM686" s="18"/>
      <c r="EN686" s="18"/>
      <c r="EO686" s="18"/>
      <c r="EP686" s="18"/>
      <c r="EQ686" s="18"/>
      <c r="ER686" s="18"/>
      <c r="ES686" s="18"/>
      <c r="ET686" s="18"/>
      <c r="EU686" s="18"/>
      <c r="EV686" s="18"/>
      <c r="EW686" s="18"/>
      <c r="EX686" s="18"/>
    </row>
    <row r="687">
      <c r="A687" s="101"/>
      <c r="B687" s="105"/>
      <c r="C687" s="105"/>
      <c r="D687" s="106"/>
      <c r="E687" s="110"/>
      <c r="F687" s="92"/>
      <c r="G687" s="18"/>
      <c r="H687" s="101" t="str">
        <f>IFERROR(__xludf.DUMMYFUNCTION("""COMPUTED_VALUE"""),"")</f>
        <v/>
      </c>
      <c r="I687" s="67" t="str">
        <f>IFERROR(__xludf.DUMMYFUNCTION("""COMPUTED_VALUE"""),"")</f>
        <v/>
      </c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/>
      <c r="DN687" s="18"/>
      <c r="DO687" s="18"/>
      <c r="DP687" s="18"/>
      <c r="DQ687" s="18"/>
      <c r="DR687" s="18"/>
      <c r="DS687" s="18"/>
      <c r="DT687" s="18"/>
      <c r="DU687" s="18"/>
      <c r="DV687" s="18"/>
      <c r="DW687" s="18"/>
      <c r="DX687" s="18"/>
      <c r="DY687" s="18"/>
      <c r="DZ687" s="18"/>
      <c r="EA687" s="18"/>
      <c r="EB687" s="18"/>
      <c r="EC687" s="18"/>
      <c r="ED687" s="18"/>
      <c r="EE687" s="18"/>
      <c r="EF687" s="18"/>
      <c r="EG687" s="18"/>
      <c r="EH687" s="18"/>
      <c r="EI687" s="18"/>
      <c r="EJ687" s="18"/>
      <c r="EK687" s="18"/>
      <c r="EL687" s="18"/>
      <c r="EM687" s="18"/>
      <c r="EN687" s="18"/>
      <c r="EO687" s="18"/>
      <c r="EP687" s="18"/>
      <c r="EQ687" s="18"/>
      <c r="ER687" s="18"/>
      <c r="ES687" s="18"/>
      <c r="ET687" s="18"/>
      <c r="EU687" s="18"/>
      <c r="EV687" s="18"/>
      <c r="EW687" s="18"/>
      <c r="EX687" s="18"/>
    </row>
    <row r="688">
      <c r="A688" s="101"/>
      <c r="B688" s="105"/>
      <c r="C688" s="105"/>
      <c r="D688" s="106"/>
      <c r="E688" s="110"/>
      <c r="F688" s="92"/>
      <c r="G688" s="18"/>
      <c r="H688" s="101" t="str">
        <f>IFERROR(__xludf.DUMMYFUNCTION("""COMPUTED_VALUE"""),"")</f>
        <v/>
      </c>
      <c r="I688" s="67" t="str">
        <f>IFERROR(__xludf.DUMMYFUNCTION("""COMPUTED_VALUE"""),"")</f>
        <v/>
      </c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/>
      <c r="DN688" s="18"/>
      <c r="DO688" s="18"/>
      <c r="DP688" s="18"/>
      <c r="DQ688" s="18"/>
      <c r="DR688" s="18"/>
      <c r="DS688" s="18"/>
      <c r="DT688" s="18"/>
      <c r="DU688" s="18"/>
      <c r="DV688" s="18"/>
      <c r="DW688" s="18"/>
      <c r="DX688" s="18"/>
      <c r="DY688" s="18"/>
      <c r="DZ688" s="18"/>
      <c r="EA688" s="18"/>
      <c r="EB688" s="18"/>
      <c r="EC688" s="18"/>
      <c r="ED688" s="18"/>
      <c r="EE688" s="18"/>
      <c r="EF688" s="18"/>
      <c r="EG688" s="18"/>
      <c r="EH688" s="18"/>
      <c r="EI688" s="18"/>
      <c r="EJ688" s="18"/>
      <c r="EK688" s="18"/>
      <c r="EL688" s="18"/>
      <c r="EM688" s="18"/>
      <c r="EN688" s="18"/>
      <c r="EO688" s="18"/>
      <c r="EP688" s="18"/>
      <c r="EQ688" s="18"/>
      <c r="ER688" s="18"/>
      <c r="ES688" s="18"/>
      <c r="ET688" s="18"/>
      <c r="EU688" s="18"/>
      <c r="EV688" s="18"/>
      <c r="EW688" s="18"/>
      <c r="EX688" s="18"/>
    </row>
    <row r="689">
      <c r="A689" s="101"/>
      <c r="B689" s="105"/>
      <c r="C689" s="105"/>
      <c r="D689" s="106"/>
      <c r="E689" s="110"/>
      <c r="F689" s="92"/>
      <c r="G689" s="18"/>
      <c r="H689" s="101" t="str">
        <f>IFERROR(__xludf.DUMMYFUNCTION("""COMPUTED_VALUE"""),"")</f>
        <v/>
      </c>
      <c r="I689" s="67" t="str">
        <f>IFERROR(__xludf.DUMMYFUNCTION("""COMPUTED_VALUE"""),"")</f>
        <v/>
      </c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/>
      <c r="DN689" s="18"/>
      <c r="DO689" s="18"/>
      <c r="DP689" s="18"/>
      <c r="DQ689" s="18"/>
      <c r="DR689" s="18"/>
      <c r="DS689" s="18"/>
      <c r="DT689" s="18"/>
      <c r="DU689" s="18"/>
      <c r="DV689" s="18"/>
      <c r="DW689" s="18"/>
      <c r="DX689" s="18"/>
      <c r="DY689" s="18"/>
      <c r="DZ689" s="18"/>
      <c r="EA689" s="18"/>
      <c r="EB689" s="18"/>
      <c r="EC689" s="18"/>
      <c r="ED689" s="18"/>
      <c r="EE689" s="18"/>
      <c r="EF689" s="18"/>
      <c r="EG689" s="18"/>
      <c r="EH689" s="18"/>
      <c r="EI689" s="18"/>
      <c r="EJ689" s="18"/>
      <c r="EK689" s="18"/>
      <c r="EL689" s="18"/>
      <c r="EM689" s="18"/>
      <c r="EN689" s="18"/>
      <c r="EO689" s="18"/>
      <c r="EP689" s="18"/>
      <c r="EQ689" s="18"/>
      <c r="ER689" s="18"/>
      <c r="ES689" s="18"/>
      <c r="ET689" s="18"/>
      <c r="EU689" s="18"/>
      <c r="EV689" s="18"/>
      <c r="EW689" s="18"/>
      <c r="EX689" s="18"/>
    </row>
    <row r="690">
      <c r="A690" s="101"/>
      <c r="B690" s="105"/>
      <c r="C690" s="105"/>
      <c r="D690" s="106"/>
      <c r="E690" s="110"/>
      <c r="F690" s="92"/>
      <c r="G690" s="18"/>
      <c r="H690" s="101" t="str">
        <f>IFERROR(__xludf.DUMMYFUNCTION("""COMPUTED_VALUE"""),"")</f>
        <v/>
      </c>
      <c r="I690" s="67" t="str">
        <f>IFERROR(__xludf.DUMMYFUNCTION("""COMPUTED_VALUE"""),"")</f>
        <v/>
      </c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/>
      <c r="DN690" s="18"/>
      <c r="DO690" s="18"/>
      <c r="DP690" s="18"/>
      <c r="DQ690" s="18"/>
      <c r="DR690" s="18"/>
      <c r="DS690" s="18"/>
      <c r="DT690" s="18"/>
      <c r="DU690" s="18"/>
      <c r="DV690" s="18"/>
      <c r="DW690" s="18"/>
      <c r="DX690" s="18"/>
      <c r="DY690" s="18"/>
      <c r="DZ690" s="18"/>
      <c r="EA690" s="18"/>
      <c r="EB690" s="18"/>
      <c r="EC690" s="18"/>
      <c r="ED690" s="18"/>
      <c r="EE690" s="18"/>
      <c r="EF690" s="18"/>
      <c r="EG690" s="18"/>
      <c r="EH690" s="18"/>
      <c r="EI690" s="18"/>
      <c r="EJ690" s="18"/>
      <c r="EK690" s="18"/>
      <c r="EL690" s="18"/>
      <c r="EM690" s="18"/>
      <c r="EN690" s="18"/>
      <c r="EO690" s="18"/>
      <c r="EP690" s="18"/>
      <c r="EQ690" s="18"/>
      <c r="ER690" s="18"/>
      <c r="ES690" s="18"/>
      <c r="ET690" s="18"/>
      <c r="EU690" s="18"/>
      <c r="EV690" s="18"/>
      <c r="EW690" s="18"/>
      <c r="EX690" s="18"/>
    </row>
    <row r="691">
      <c r="A691" s="101"/>
      <c r="B691" s="105"/>
      <c r="C691" s="105"/>
      <c r="D691" s="106"/>
      <c r="E691" s="110"/>
      <c r="F691" s="92"/>
      <c r="G691" s="18"/>
      <c r="H691" s="101" t="str">
        <f>IFERROR(__xludf.DUMMYFUNCTION("""COMPUTED_VALUE"""),"")</f>
        <v/>
      </c>
      <c r="I691" s="67" t="str">
        <f>IFERROR(__xludf.DUMMYFUNCTION("""COMPUTED_VALUE"""),"")</f>
        <v/>
      </c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/>
      <c r="DN691" s="18"/>
      <c r="DO691" s="18"/>
      <c r="DP691" s="18"/>
      <c r="DQ691" s="18"/>
      <c r="DR691" s="18"/>
      <c r="DS691" s="18"/>
      <c r="DT691" s="18"/>
      <c r="DU691" s="18"/>
      <c r="DV691" s="18"/>
      <c r="DW691" s="18"/>
      <c r="DX691" s="18"/>
      <c r="DY691" s="18"/>
      <c r="DZ691" s="18"/>
      <c r="EA691" s="18"/>
      <c r="EB691" s="18"/>
      <c r="EC691" s="18"/>
      <c r="ED691" s="18"/>
      <c r="EE691" s="18"/>
      <c r="EF691" s="18"/>
      <c r="EG691" s="18"/>
      <c r="EH691" s="18"/>
      <c r="EI691" s="18"/>
      <c r="EJ691" s="18"/>
      <c r="EK691" s="18"/>
      <c r="EL691" s="18"/>
      <c r="EM691" s="18"/>
      <c r="EN691" s="18"/>
      <c r="EO691" s="18"/>
      <c r="EP691" s="18"/>
      <c r="EQ691" s="18"/>
      <c r="ER691" s="18"/>
      <c r="ES691" s="18"/>
      <c r="ET691" s="18"/>
      <c r="EU691" s="18"/>
      <c r="EV691" s="18"/>
      <c r="EW691" s="18"/>
      <c r="EX691" s="18"/>
    </row>
    <row r="692">
      <c r="A692" s="101"/>
      <c r="B692" s="105"/>
      <c r="C692" s="105"/>
      <c r="D692" s="106"/>
      <c r="E692" s="110"/>
      <c r="F692" s="92"/>
      <c r="G692" s="18"/>
      <c r="H692" s="101" t="str">
        <f>IFERROR(__xludf.DUMMYFUNCTION("""COMPUTED_VALUE"""),"")</f>
        <v/>
      </c>
      <c r="I692" s="67" t="str">
        <f>IFERROR(__xludf.DUMMYFUNCTION("""COMPUTED_VALUE"""),"")</f>
        <v/>
      </c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/>
      <c r="DN692" s="18"/>
      <c r="DO692" s="18"/>
      <c r="DP692" s="18"/>
      <c r="DQ692" s="18"/>
      <c r="DR692" s="18"/>
      <c r="DS692" s="18"/>
      <c r="DT692" s="18"/>
      <c r="DU692" s="18"/>
      <c r="DV692" s="18"/>
      <c r="DW692" s="18"/>
      <c r="DX692" s="18"/>
      <c r="DY692" s="18"/>
      <c r="DZ692" s="18"/>
      <c r="EA692" s="18"/>
      <c r="EB692" s="18"/>
      <c r="EC692" s="18"/>
      <c r="ED692" s="18"/>
      <c r="EE692" s="18"/>
      <c r="EF692" s="18"/>
      <c r="EG692" s="18"/>
      <c r="EH692" s="18"/>
      <c r="EI692" s="18"/>
      <c r="EJ692" s="18"/>
      <c r="EK692" s="18"/>
      <c r="EL692" s="18"/>
      <c r="EM692" s="18"/>
      <c r="EN692" s="18"/>
      <c r="EO692" s="18"/>
      <c r="EP692" s="18"/>
      <c r="EQ692" s="18"/>
      <c r="ER692" s="18"/>
      <c r="ES692" s="18"/>
      <c r="ET692" s="18"/>
      <c r="EU692" s="18"/>
      <c r="EV692" s="18"/>
      <c r="EW692" s="18"/>
      <c r="EX692" s="18"/>
    </row>
    <row r="693">
      <c r="A693" s="101"/>
      <c r="B693" s="105"/>
      <c r="C693" s="105"/>
      <c r="D693" s="106"/>
      <c r="E693" s="110"/>
      <c r="F693" s="92"/>
      <c r="G693" s="18"/>
      <c r="H693" s="101" t="str">
        <f>IFERROR(__xludf.DUMMYFUNCTION("""COMPUTED_VALUE"""),"")</f>
        <v/>
      </c>
      <c r="I693" s="67" t="str">
        <f>IFERROR(__xludf.DUMMYFUNCTION("""COMPUTED_VALUE"""),"")</f>
        <v/>
      </c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/>
      <c r="DN693" s="18"/>
      <c r="DO693" s="18"/>
      <c r="DP693" s="18"/>
      <c r="DQ693" s="18"/>
      <c r="DR693" s="18"/>
      <c r="DS693" s="18"/>
      <c r="DT693" s="18"/>
      <c r="DU693" s="18"/>
      <c r="DV693" s="18"/>
      <c r="DW693" s="18"/>
      <c r="DX693" s="18"/>
      <c r="DY693" s="18"/>
      <c r="DZ693" s="18"/>
      <c r="EA693" s="18"/>
      <c r="EB693" s="18"/>
      <c r="EC693" s="18"/>
      <c r="ED693" s="18"/>
      <c r="EE693" s="18"/>
      <c r="EF693" s="18"/>
      <c r="EG693" s="18"/>
      <c r="EH693" s="18"/>
      <c r="EI693" s="18"/>
      <c r="EJ693" s="18"/>
      <c r="EK693" s="18"/>
      <c r="EL693" s="18"/>
      <c r="EM693" s="18"/>
      <c r="EN693" s="18"/>
      <c r="EO693" s="18"/>
      <c r="EP693" s="18"/>
      <c r="EQ693" s="18"/>
      <c r="ER693" s="18"/>
      <c r="ES693" s="18"/>
      <c r="ET693" s="18"/>
      <c r="EU693" s="18"/>
      <c r="EV693" s="18"/>
      <c r="EW693" s="18"/>
      <c r="EX693" s="18"/>
    </row>
    <row r="694">
      <c r="A694" s="101"/>
      <c r="B694" s="105"/>
      <c r="C694" s="105"/>
      <c r="D694" s="106"/>
      <c r="E694" s="110"/>
      <c r="F694" s="92"/>
      <c r="G694" s="18"/>
      <c r="H694" s="101" t="str">
        <f>IFERROR(__xludf.DUMMYFUNCTION("""COMPUTED_VALUE"""),"")</f>
        <v/>
      </c>
      <c r="I694" s="67" t="str">
        <f>IFERROR(__xludf.DUMMYFUNCTION("""COMPUTED_VALUE"""),"")</f>
        <v/>
      </c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/>
      <c r="DN694" s="18"/>
      <c r="DO694" s="18"/>
      <c r="DP694" s="18"/>
      <c r="DQ694" s="18"/>
      <c r="DR694" s="18"/>
      <c r="DS694" s="18"/>
      <c r="DT694" s="18"/>
      <c r="DU694" s="18"/>
      <c r="DV694" s="18"/>
      <c r="DW694" s="18"/>
      <c r="DX694" s="18"/>
      <c r="DY694" s="18"/>
      <c r="DZ694" s="18"/>
      <c r="EA694" s="18"/>
      <c r="EB694" s="18"/>
      <c r="EC694" s="18"/>
      <c r="ED694" s="18"/>
      <c r="EE694" s="18"/>
      <c r="EF694" s="18"/>
      <c r="EG694" s="18"/>
      <c r="EH694" s="18"/>
      <c r="EI694" s="18"/>
      <c r="EJ694" s="18"/>
      <c r="EK694" s="18"/>
      <c r="EL694" s="18"/>
      <c r="EM694" s="18"/>
      <c r="EN694" s="18"/>
      <c r="EO694" s="18"/>
      <c r="EP694" s="18"/>
      <c r="EQ694" s="18"/>
      <c r="ER694" s="18"/>
      <c r="ES694" s="18"/>
      <c r="ET694" s="18"/>
      <c r="EU694" s="18"/>
      <c r="EV694" s="18"/>
      <c r="EW694" s="18"/>
      <c r="EX694" s="18"/>
    </row>
    <row r="695">
      <c r="A695" s="101"/>
      <c r="B695" s="105"/>
      <c r="C695" s="105"/>
      <c r="D695" s="106"/>
      <c r="E695" s="110"/>
      <c r="F695" s="92"/>
      <c r="G695" s="18"/>
      <c r="H695" s="101" t="str">
        <f>IFERROR(__xludf.DUMMYFUNCTION("""COMPUTED_VALUE"""),"")</f>
        <v/>
      </c>
      <c r="I695" s="67" t="str">
        <f>IFERROR(__xludf.DUMMYFUNCTION("""COMPUTED_VALUE"""),"")</f>
        <v/>
      </c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/>
      <c r="DN695" s="18"/>
      <c r="DO695" s="18"/>
      <c r="DP695" s="18"/>
      <c r="DQ695" s="18"/>
      <c r="DR695" s="18"/>
      <c r="DS695" s="18"/>
      <c r="DT695" s="18"/>
      <c r="DU695" s="18"/>
      <c r="DV695" s="18"/>
      <c r="DW695" s="18"/>
      <c r="DX695" s="18"/>
      <c r="DY695" s="18"/>
      <c r="DZ695" s="18"/>
      <c r="EA695" s="18"/>
      <c r="EB695" s="18"/>
      <c r="EC695" s="18"/>
      <c r="ED695" s="18"/>
      <c r="EE695" s="18"/>
      <c r="EF695" s="18"/>
      <c r="EG695" s="18"/>
      <c r="EH695" s="18"/>
      <c r="EI695" s="18"/>
      <c r="EJ695" s="18"/>
      <c r="EK695" s="18"/>
      <c r="EL695" s="18"/>
      <c r="EM695" s="18"/>
      <c r="EN695" s="18"/>
      <c r="EO695" s="18"/>
      <c r="EP695" s="18"/>
      <c r="EQ695" s="18"/>
      <c r="ER695" s="18"/>
      <c r="ES695" s="18"/>
      <c r="ET695" s="18"/>
      <c r="EU695" s="18"/>
      <c r="EV695" s="18"/>
      <c r="EW695" s="18"/>
      <c r="EX695" s="18"/>
    </row>
    <row r="696">
      <c r="A696" s="101"/>
      <c r="B696" s="105"/>
      <c r="C696" s="105"/>
      <c r="D696" s="106"/>
      <c r="E696" s="110"/>
      <c r="F696" s="92"/>
      <c r="G696" s="18"/>
      <c r="H696" s="101" t="str">
        <f>IFERROR(__xludf.DUMMYFUNCTION("""COMPUTED_VALUE"""),"")</f>
        <v/>
      </c>
      <c r="I696" s="67" t="str">
        <f>IFERROR(__xludf.DUMMYFUNCTION("""COMPUTED_VALUE"""),"")</f>
        <v/>
      </c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/>
      <c r="DN696" s="18"/>
      <c r="DO696" s="18"/>
      <c r="DP696" s="18"/>
      <c r="DQ696" s="18"/>
      <c r="DR696" s="18"/>
      <c r="DS696" s="18"/>
      <c r="DT696" s="18"/>
      <c r="DU696" s="18"/>
      <c r="DV696" s="18"/>
      <c r="DW696" s="18"/>
      <c r="DX696" s="18"/>
      <c r="DY696" s="18"/>
      <c r="DZ696" s="18"/>
      <c r="EA696" s="18"/>
      <c r="EB696" s="18"/>
      <c r="EC696" s="18"/>
      <c r="ED696" s="18"/>
      <c r="EE696" s="18"/>
      <c r="EF696" s="18"/>
      <c r="EG696" s="18"/>
      <c r="EH696" s="18"/>
      <c r="EI696" s="18"/>
      <c r="EJ696" s="18"/>
      <c r="EK696" s="18"/>
      <c r="EL696" s="18"/>
      <c r="EM696" s="18"/>
      <c r="EN696" s="18"/>
      <c r="EO696" s="18"/>
      <c r="EP696" s="18"/>
      <c r="EQ696" s="18"/>
      <c r="ER696" s="18"/>
      <c r="ES696" s="18"/>
      <c r="ET696" s="18"/>
      <c r="EU696" s="18"/>
      <c r="EV696" s="18"/>
      <c r="EW696" s="18"/>
      <c r="EX696" s="18"/>
    </row>
    <row r="697">
      <c r="A697" s="101"/>
      <c r="B697" s="105"/>
      <c r="C697" s="105"/>
      <c r="D697" s="106"/>
      <c r="E697" s="110"/>
      <c r="F697" s="92"/>
      <c r="G697" s="18"/>
      <c r="H697" s="101" t="str">
        <f>IFERROR(__xludf.DUMMYFUNCTION("""COMPUTED_VALUE"""),"")</f>
        <v/>
      </c>
      <c r="I697" s="67" t="str">
        <f>IFERROR(__xludf.DUMMYFUNCTION("""COMPUTED_VALUE"""),"")</f>
        <v/>
      </c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/>
      <c r="DN697" s="18"/>
      <c r="DO697" s="18"/>
      <c r="DP697" s="18"/>
      <c r="DQ697" s="18"/>
      <c r="DR697" s="18"/>
      <c r="DS697" s="18"/>
      <c r="DT697" s="18"/>
      <c r="DU697" s="18"/>
      <c r="DV697" s="18"/>
      <c r="DW697" s="18"/>
      <c r="DX697" s="18"/>
      <c r="DY697" s="18"/>
      <c r="DZ697" s="18"/>
      <c r="EA697" s="18"/>
      <c r="EB697" s="18"/>
      <c r="EC697" s="18"/>
      <c r="ED697" s="18"/>
      <c r="EE697" s="18"/>
      <c r="EF697" s="18"/>
      <c r="EG697" s="18"/>
      <c r="EH697" s="18"/>
      <c r="EI697" s="18"/>
      <c r="EJ697" s="18"/>
      <c r="EK697" s="18"/>
      <c r="EL697" s="18"/>
      <c r="EM697" s="18"/>
      <c r="EN697" s="18"/>
      <c r="EO697" s="18"/>
      <c r="EP697" s="18"/>
      <c r="EQ697" s="18"/>
      <c r="ER697" s="18"/>
      <c r="ES697" s="18"/>
      <c r="ET697" s="18"/>
      <c r="EU697" s="18"/>
      <c r="EV697" s="18"/>
      <c r="EW697" s="18"/>
      <c r="EX697" s="18"/>
    </row>
    <row r="698">
      <c r="A698" s="101"/>
      <c r="B698" s="105"/>
      <c r="C698" s="105"/>
      <c r="D698" s="106"/>
      <c r="E698" s="110"/>
      <c r="F698" s="92"/>
      <c r="G698" s="18"/>
      <c r="H698" s="101" t="str">
        <f>IFERROR(__xludf.DUMMYFUNCTION("""COMPUTED_VALUE"""),"")</f>
        <v/>
      </c>
      <c r="I698" s="67" t="str">
        <f>IFERROR(__xludf.DUMMYFUNCTION("""COMPUTED_VALUE"""),"")</f>
        <v/>
      </c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/>
      <c r="DN698" s="18"/>
      <c r="DO698" s="18"/>
      <c r="DP698" s="18"/>
      <c r="DQ698" s="18"/>
      <c r="DR698" s="18"/>
      <c r="DS698" s="18"/>
      <c r="DT698" s="18"/>
      <c r="DU698" s="18"/>
      <c r="DV698" s="18"/>
      <c r="DW698" s="18"/>
      <c r="DX698" s="18"/>
      <c r="DY698" s="18"/>
      <c r="DZ698" s="18"/>
      <c r="EA698" s="18"/>
      <c r="EB698" s="18"/>
      <c r="EC698" s="18"/>
      <c r="ED698" s="18"/>
      <c r="EE698" s="18"/>
      <c r="EF698" s="18"/>
      <c r="EG698" s="18"/>
      <c r="EH698" s="18"/>
      <c r="EI698" s="18"/>
      <c r="EJ698" s="18"/>
      <c r="EK698" s="18"/>
      <c r="EL698" s="18"/>
      <c r="EM698" s="18"/>
      <c r="EN698" s="18"/>
      <c r="EO698" s="18"/>
      <c r="EP698" s="18"/>
      <c r="EQ698" s="18"/>
      <c r="ER698" s="18"/>
      <c r="ES698" s="18"/>
      <c r="ET698" s="18"/>
      <c r="EU698" s="18"/>
      <c r="EV698" s="18"/>
      <c r="EW698" s="18"/>
      <c r="EX698" s="18"/>
    </row>
    <row r="699">
      <c r="A699" s="101"/>
      <c r="B699" s="105"/>
      <c r="C699" s="105"/>
      <c r="D699" s="106"/>
      <c r="E699" s="110"/>
      <c r="F699" s="92"/>
      <c r="G699" s="18"/>
      <c r="H699" s="101" t="str">
        <f>IFERROR(__xludf.DUMMYFUNCTION("""COMPUTED_VALUE"""),"")</f>
        <v/>
      </c>
      <c r="I699" s="67" t="str">
        <f>IFERROR(__xludf.DUMMYFUNCTION("""COMPUTED_VALUE"""),"")</f>
        <v/>
      </c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  <c r="DW699" s="18"/>
      <c r="DX699" s="18"/>
      <c r="DY699" s="18"/>
      <c r="DZ699" s="18"/>
      <c r="EA699" s="18"/>
      <c r="EB699" s="18"/>
      <c r="EC699" s="18"/>
      <c r="ED699" s="18"/>
      <c r="EE699" s="18"/>
      <c r="EF699" s="18"/>
      <c r="EG699" s="18"/>
      <c r="EH699" s="18"/>
      <c r="EI699" s="18"/>
      <c r="EJ699" s="18"/>
      <c r="EK699" s="18"/>
      <c r="EL699" s="18"/>
      <c r="EM699" s="18"/>
      <c r="EN699" s="18"/>
      <c r="EO699" s="18"/>
      <c r="EP699" s="18"/>
      <c r="EQ699" s="18"/>
      <c r="ER699" s="18"/>
      <c r="ES699" s="18"/>
      <c r="ET699" s="18"/>
      <c r="EU699" s="18"/>
      <c r="EV699" s="18"/>
      <c r="EW699" s="18"/>
      <c r="EX699" s="18"/>
    </row>
    <row r="700">
      <c r="A700" s="101"/>
      <c r="B700" s="105"/>
      <c r="C700" s="105"/>
      <c r="D700" s="106"/>
      <c r="E700" s="110"/>
      <c r="F700" s="92"/>
      <c r="G700" s="18"/>
      <c r="H700" s="101" t="str">
        <f>IFERROR(__xludf.DUMMYFUNCTION("""COMPUTED_VALUE"""),"")</f>
        <v/>
      </c>
      <c r="I700" s="67" t="str">
        <f>IFERROR(__xludf.DUMMYFUNCTION("""COMPUTED_VALUE"""),"")</f>
        <v/>
      </c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  <c r="DW700" s="18"/>
      <c r="DX700" s="18"/>
      <c r="DY700" s="18"/>
      <c r="DZ700" s="18"/>
      <c r="EA700" s="18"/>
      <c r="EB700" s="18"/>
      <c r="EC700" s="18"/>
      <c r="ED700" s="18"/>
      <c r="EE700" s="18"/>
      <c r="EF700" s="18"/>
      <c r="EG700" s="18"/>
      <c r="EH700" s="18"/>
      <c r="EI700" s="18"/>
      <c r="EJ700" s="18"/>
      <c r="EK700" s="18"/>
      <c r="EL700" s="18"/>
      <c r="EM700" s="18"/>
      <c r="EN700" s="18"/>
      <c r="EO700" s="18"/>
      <c r="EP700" s="18"/>
      <c r="EQ700" s="18"/>
      <c r="ER700" s="18"/>
      <c r="ES700" s="18"/>
      <c r="ET700" s="18"/>
      <c r="EU700" s="18"/>
      <c r="EV700" s="18"/>
      <c r="EW700" s="18"/>
      <c r="EX700" s="18"/>
    </row>
    <row r="701">
      <c r="A701" s="101"/>
      <c r="B701" s="105"/>
      <c r="C701" s="105"/>
      <c r="D701" s="106"/>
      <c r="E701" s="110"/>
      <c r="F701" s="92"/>
      <c r="G701" s="18"/>
      <c r="H701" s="101" t="str">
        <f>IFERROR(__xludf.DUMMYFUNCTION("""COMPUTED_VALUE"""),"")</f>
        <v/>
      </c>
      <c r="I701" s="67" t="str">
        <f>IFERROR(__xludf.DUMMYFUNCTION("""COMPUTED_VALUE"""),"")</f>
        <v/>
      </c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8"/>
      <c r="DY701" s="18"/>
      <c r="DZ701" s="18"/>
      <c r="EA701" s="18"/>
      <c r="EB701" s="18"/>
      <c r="EC701" s="18"/>
      <c r="ED701" s="18"/>
      <c r="EE701" s="18"/>
      <c r="EF701" s="18"/>
      <c r="EG701" s="18"/>
      <c r="EH701" s="18"/>
      <c r="EI701" s="18"/>
      <c r="EJ701" s="18"/>
      <c r="EK701" s="18"/>
      <c r="EL701" s="18"/>
      <c r="EM701" s="18"/>
      <c r="EN701" s="18"/>
      <c r="EO701" s="18"/>
      <c r="EP701" s="18"/>
      <c r="EQ701" s="18"/>
      <c r="ER701" s="18"/>
      <c r="ES701" s="18"/>
      <c r="ET701" s="18"/>
      <c r="EU701" s="18"/>
      <c r="EV701" s="18"/>
      <c r="EW701" s="18"/>
      <c r="EX701" s="18"/>
    </row>
    <row r="702">
      <c r="A702" s="101"/>
      <c r="B702" s="105"/>
      <c r="C702" s="105"/>
      <c r="D702" s="106"/>
      <c r="E702" s="110"/>
      <c r="F702" s="92"/>
      <c r="G702" s="18"/>
      <c r="H702" s="101" t="str">
        <f>IFERROR(__xludf.DUMMYFUNCTION("""COMPUTED_VALUE"""),"")</f>
        <v/>
      </c>
      <c r="I702" s="67" t="str">
        <f>IFERROR(__xludf.DUMMYFUNCTION("""COMPUTED_VALUE"""),"")</f>
        <v/>
      </c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8"/>
      <c r="DX702" s="18"/>
      <c r="DY702" s="18"/>
      <c r="DZ702" s="18"/>
      <c r="EA702" s="18"/>
      <c r="EB702" s="18"/>
      <c r="EC702" s="18"/>
      <c r="ED702" s="18"/>
      <c r="EE702" s="18"/>
      <c r="EF702" s="18"/>
      <c r="EG702" s="18"/>
      <c r="EH702" s="18"/>
      <c r="EI702" s="18"/>
      <c r="EJ702" s="18"/>
      <c r="EK702" s="18"/>
      <c r="EL702" s="18"/>
      <c r="EM702" s="18"/>
      <c r="EN702" s="18"/>
      <c r="EO702" s="18"/>
      <c r="EP702" s="18"/>
      <c r="EQ702" s="18"/>
      <c r="ER702" s="18"/>
      <c r="ES702" s="18"/>
      <c r="ET702" s="18"/>
      <c r="EU702" s="18"/>
      <c r="EV702" s="18"/>
      <c r="EW702" s="18"/>
      <c r="EX702" s="18"/>
    </row>
    <row r="703">
      <c r="A703" s="101"/>
      <c r="B703" s="105"/>
      <c r="C703" s="105"/>
      <c r="D703" s="106"/>
      <c r="E703" s="110"/>
      <c r="F703" s="92"/>
      <c r="G703" s="18"/>
      <c r="H703" s="101" t="str">
        <f>IFERROR(__xludf.DUMMYFUNCTION("""COMPUTED_VALUE"""),"")</f>
        <v/>
      </c>
      <c r="I703" s="67" t="str">
        <f>IFERROR(__xludf.DUMMYFUNCTION("""COMPUTED_VALUE"""),"")</f>
        <v/>
      </c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8"/>
      <c r="DV703" s="18"/>
      <c r="DW703" s="18"/>
      <c r="DX703" s="18"/>
      <c r="DY703" s="18"/>
      <c r="DZ703" s="18"/>
      <c r="EA703" s="18"/>
      <c r="EB703" s="18"/>
      <c r="EC703" s="18"/>
      <c r="ED703" s="18"/>
      <c r="EE703" s="18"/>
      <c r="EF703" s="18"/>
      <c r="EG703" s="18"/>
      <c r="EH703" s="18"/>
      <c r="EI703" s="18"/>
      <c r="EJ703" s="18"/>
      <c r="EK703" s="18"/>
      <c r="EL703" s="18"/>
      <c r="EM703" s="18"/>
      <c r="EN703" s="18"/>
      <c r="EO703" s="18"/>
      <c r="EP703" s="18"/>
      <c r="EQ703" s="18"/>
      <c r="ER703" s="18"/>
      <c r="ES703" s="18"/>
      <c r="ET703" s="18"/>
      <c r="EU703" s="18"/>
      <c r="EV703" s="18"/>
      <c r="EW703" s="18"/>
      <c r="EX703" s="18"/>
    </row>
    <row r="704">
      <c r="A704" s="101"/>
      <c r="B704" s="105"/>
      <c r="C704" s="105"/>
      <c r="D704" s="106"/>
      <c r="E704" s="110"/>
      <c r="F704" s="92"/>
      <c r="G704" s="18"/>
      <c r="H704" s="101" t="str">
        <f>IFERROR(__xludf.DUMMYFUNCTION("""COMPUTED_VALUE"""),"")</f>
        <v/>
      </c>
      <c r="I704" s="67" t="str">
        <f>IFERROR(__xludf.DUMMYFUNCTION("""COMPUTED_VALUE"""),"")</f>
        <v/>
      </c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8"/>
      <c r="DU704" s="18"/>
      <c r="DV704" s="18"/>
      <c r="DW704" s="18"/>
      <c r="DX704" s="18"/>
      <c r="DY704" s="18"/>
      <c r="DZ704" s="18"/>
      <c r="EA704" s="18"/>
      <c r="EB704" s="18"/>
      <c r="EC704" s="18"/>
      <c r="ED704" s="18"/>
      <c r="EE704" s="18"/>
      <c r="EF704" s="18"/>
      <c r="EG704" s="18"/>
      <c r="EH704" s="18"/>
      <c r="EI704" s="18"/>
      <c r="EJ704" s="18"/>
      <c r="EK704" s="18"/>
      <c r="EL704" s="18"/>
      <c r="EM704" s="18"/>
      <c r="EN704" s="18"/>
      <c r="EO704" s="18"/>
      <c r="EP704" s="18"/>
      <c r="EQ704" s="18"/>
      <c r="ER704" s="18"/>
      <c r="ES704" s="18"/>
      <c r="ET704" s="18"/>
      <c r="EU704" s="18"/>
      <c r="EV704" s="18"/>
      <c r="EW704" s="18"/>
      <c r="EX704" s="18"/>
    </row>
    <row r="705">
      <c r="A705" s="101"/>
      <c r="B705" s="105"/>
      <c r="C705" s="105"/>
      <c r="D705" s="106"/>
      <c r="E705" s="110"/>
      <c r="F705" s="92"/>
      <c r="G705" s="18"/>
      <c r="H705" s="101" t="str">
        <f>IFERROR(__xludf.DUMMYFUNCTION("""COMPUTED_VALUE"""),"")</f>
        <v/>
      </c>
      <c r="I705" s="67" t="str">
        <f>IFERROR(__xludf.DUMMYFUNCTION("""COMPUTED_VALUE"""),"")</f>
        <v/>
      </c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  <c r="DS705" s="18"/>
      <c r="DT705" s="18"/>
      <c r="DU705" s="18"/>
      <c r="DV705" s="18"/>
      <c r="DW705" s="18"/>
      <c r="DX705" s="18"/>
      <c r="DY705" s="18"/>
      <c r="DZ705" s="18"/>
      <c r="EA705" s="18"/>
      <c r="EB705" s="18"/>
      <c r="EC705" s="18"/>
      <c r="ED705" s="18"/>
      <c r="EE705" s="18"/>
      <c r="EF705" s="18"/>
      <c r="EG705" s="18"/>
      <c r="EH705" s="18"/>
      <c r="EI705" s="18"/>
      <c r="EJ705" s="18"/>
      <c r="EK705" s="18"/>
      <c r="EL705" s="18"/>
      <c r="EM705" s="18"/>
      <c r="EN705" s="18"/>
      <c r="EO705" s="18"/>
      <c r="EP705" s="18"/>
      <c r="EQ705" s="18"/>
      <c r="ER705" s="18"/>
      <c r="ES705" s="18"/>
      <c r="ET705" s="18"/>
      <c r="EU705" s="18"/>
      <c r="EV705" s="18"/>
      <c r="EW705" s="18"/>
      <c r="EX705" s="18"/>
    </row>
    <row r="706">
      <c r="A706" s="101"/>
      <c r="B706" s="105"/>
      <c r="C706" s="105"/>
      <c r="D706" s="106"/>
      <c r="E706" s="110"/>
      <c r="F706" s="92"/>
      <c r="G706" s="18"/>
      <c r="H706" s="101" t="str">
        <f>IFERROR(__xludf.DUMMYFUNCTION("""COMPUTED_VALUE"""),"")</f>
        <v/>
      </c>
      <c r="I706" s="67" t="str">
        <f>IFERROR(__xludf.DUMMYFUNCTION("""COMPUTED_VALUE"""),"")</f>
        <v/>
      </c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8"/>
      <c r="DS706" s="18"/>
      <c r="DT706" s="18"/>
      <c r="DU706" s="18"/>
      <c r="DV706" s="18"/>
      <c r="DW706" s="18"/>
      <c r="DX706" s="18"/>
      <c r="DY706" s="18"/>
      <c r="DZ706" s="18"/>
      <c r="EA706" s="18"/>
      <c r="EB706" s="18"/>
      <c r="EC706" s="18"/>
      <c r="ED706" s="18"/>
      <c r="EE706" s="18"/>
      <c r="EF706" s="18"/>
      <c r="EG706" s="18"/>
      <c r="EH706" s="18"/>
      <c r="EI706" s="18"/>
      <c r="EJ706" s="18"/>
      <c r="EK706" s="18"/>
      <c r="EL706" s="18"/>
      <c r="EM706" s="18"/>
      <c r="EN706" s="18"/>
      <c r="EO706" s="18"/>
      <c r="EP706" s="18"/>
      <c r="EQ706" s="18"/>
      <c r="ER706" s="18"/>
      <c r="ES706" s="18"/>
      <c r="ET706" s="18"/>
      <c r="EU706" s="18"/>
      <c r="EV706" s="18"/>
      <c r="EW706" s="18"/>
      <c r="EX706" s="18"/>
    </row>
    <row r="707">
      <c r="A707" s="101"/>
      <c r="B707" s="105"/>
      <c r="C707" s="105"/>
      <c r="D707" s="106"/>
      <c r="E707" s="110"/>
      <c r="F707" s="92"/>
      <c r="G707" s="18"/>
      <c r="H707" s="101" t="str">
        <f>IFERROR(__xludf.DUMMYFUNCTION("""COMPUTED_VALUE"""),"")</f>
        <v/>
      </c>
      <c r="I707" s="67" t="str">
        <f>IFERROR(__xludf.DUMMYFUNCTION("""COMPUTED_VALUE"""),"")</f>
        <v/>
      </c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8"/>
      <c r="DR707" s="18"/>
      <c r="DS707" s="18"/>
      <c r="DT707" s="18"/>
      <c r="DU707" s="18"/>
      <c r="DV707" s="18"/>
      <c r="DW707" s="18"/>
      <c r="DX707" s="18"/>
      <c r="DY707" s="18"/>
      <c r="DZ707" s="18"/>
      <c r="EA707" s="18"/>
      <c r="EB707" s="18"/>
      <c r="EC707" s="18"/>
      <c r="ED707" s="18"/>
      <c r="EE707" s="18"/>
      <c r="EF707" s="18"/>
      <c r="EG707" s="18"/>
      <c r="EH707" s="18"/>
      <c r="EI707" s="18"/>
      <c r="EJ707" s="18"/>
      <c r="EK707" s="18"/>
      <c r="EL707" s="18"/>
      <c r="EM707" s="18"/>
      <c r="EN707" s="18"/>
      <c r="EO707" s="18"/>
      <c r="EP707" s="18"/>
      <c r="EQ707" s="18"/>
      <c r="ER707" s="18"/>
      <c r="ES707" s="18"/>
      <c r="ET707" s="18"/>
      <c r="EU707" s="18"/>
      <c r="EV707" s="18"/>
      <c r="EW707" s="18"/>
      <c r="EX707" s="18"/>
    </row>
    <row r="708">
      <c r="A708" s="101"/>
      <c r="B708" s="105"/>
      <c r="C708" s="105"/>
      <c r="D708" s="106"/>
      <c r="E708" s="110"/>
      <c r="F708" s="92"/>
      <c r="G708" s="18"/>
      <c r="H708" s="101" t="str">
        <f>IFERROR(__xludf.DUMMYFUNCTION("""COMPUTED_VALUE"""),"")</f>
        <v/>
      </c>
      <c r="I708" s="67" t="str">
        <f>IFERROR(__xludf.DUMMYFUNCTION("""COMPUTED_VALUE"""),"")</f>
        <v/>
      </c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8"/>
      <c r="DP708" s="18"/>
      <c r="DQ708" s="18"/>
      <c r="DR708" s="18"/>
      <c r="DS708" s="18"/>
      <c r="DT708" s="18"/>
      <c r="DU708" s="18"/>
      <c r="DV708" s="18"/>
      <c r="DW708" s="18"/>
      <c r="DX708" s="18"/>
      <c r="DY708" s="18"/>
      <c r="DZ708" s="18"/>
      <c r="EA708" s="18"/>
      <c r="EB708" s="18"/>
      <c r="EC708" s="18"/>
      <c r="ED708" s="18"/>
      <c r="EE708" s="18"/>
      <c r="EF708" s="18"/>
      <c r="EG708" s="18"/>
      <c r="EH708" s="18"/>
      <c r="EI708" s="18"/>
      <c r="EJ708" s="18"/>
      <c r="EK708" s="18"/>
      <c r="EL708" s="18"/>
      <c r="EM708" s="18"/>
      <c r="EN708" s="18"/>
      <c r="EO708" s="18"/>
      <c r="EP708" s="18"/>
      <c r="EQ708" s="18"/>
      <c r="ER708" s="18"/>
      <c r="ES708" s="18"/>
      <c r="ET708" s="18"/>
      <c r="EU708" s="18"/>
      <c r="EV708" s="18"/>
      <c r="EW708" s="18"/>
      <c r="EX708" s="18"/>
    </row>
    <row r="709">
      <c r="A709" s="101"/>
      <c r="B709" s="105"/>
      <c r="C709" s="105"/>
      <c r="D709" s="106"/>
      <c r="E709" s="110"/>
      <c r="F709" s="92"/>
      <c r="G709" s="18"/>
      <c r="H709" s="101" t="str">
        <f>IFERROR(__xludf.DUMMYFUNCTION("""COMPUTED_VALUE"""),"")</f>
        <v/>
      </c>
      <c r="I709" s="67" t="str">
        <f>IFERROR(__xludf.DUMMYFUNCTION("""COMPUTED_VALUE"""),"")</f>
        <v/>
      </c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8"/>
      <c r="DO709" s="18"/>
      <c r="DP709" s="18"/>
      <c r="DQ709" s="18"/>
      <c r="DR709" s="18"/>
      <c r="DS709" s="18"/>
      <c r="DT709" s="18"/>
      <c r="DU709" s="18"/>
      <c r="DV709" s="18"/>
      <c r="DW709" s="18"/>
      <c r="DX709" s="18"/>
      <c r="DY709" s="18"/>
      <c r="DZ709" s="18"/>
      <c r="EA709" s="18"/>
      <c r="EB709" s="18"/>
      <c r="EC709" s="18"/>
      <c r="ED709" s="18"/>
      <c r="EE709" s="18"/>
      <c r="EF709" s="18"/>
      <c r="EG709" s="18"/>
      <c r="EH709" s="18"/>
      <c r="EI709" s="18"/>
      <c r="EJ709" s="18"/>
      <c r="EK709" s="18"/>
      <c r="EL709" s="18"/>
      <c r="EM709" s="18"/>
      <c r="EN709" s="18"/>
      <c r="EO709" s="18"/>
      <c r="EP709" s="18"/>
      <c r="EQ709" s="18"/>
      <c r="ER709" s="18"/>
      <c r="ES709" s="18"/>
      <c r="ET709" s="18"/>
      <c r="EU709" s="18"/>
      <c r="EV709" s="18"/>
      <c r="EW709" s="18"/>
      <c r="EX709" s="18"/>
    </row>
    <row r="710">
      <c r="A710" s="101"/>
      <c r="B710" s="105"/>
      <c r="C710" s="105"/>
      <c r="D710" s="106"/>
      <c r="E710" s="110"/>
      <c r="F710" s="92"/>
      <c r="G710" s="18"/>
      <c r="H710" s="101" t="str">
        <f>IFERROR(__xludf.DUMMYFUNCTION("""COMPUTED_VALUE"""),"")</f>
        <v/>
      </c>
      <c r="I710" s="67" t="str">
        <f>IFERROR(__xludf.DUMMYFUNCTION("""COMPUTED_VALUE"""),"")</f>
        <v/>
      </c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/>
      <c r="DN710" s="18"/>
      <c r="DO710" s="18"/>
      <c r="DP710" s="18"/>
      <c r="DQ710" s="18"/>
      <c r="DR710" s="18"/>
      <c r="DS710" s="18"/>
      <c r="DT710" s="18"/>
      <c r="DU710" s="18"/>
      <c r="DV710" s="18"/>
      <c r="DW710" s="18"/>
      <c r="DX710" s="18"/>
      <c r="DY710" s="18"/>
      <c r="DZ710" s="18"/>
      <c r="EA710" s="18"/>
      <c r="EB710" s="18"/>
      <c r="EC710" s="18"/>
      <c r="ED710" s="18"/>
      <c r="EE710" s="18"/>
      <c r="EF710" s="18"/>
      <c r="EG710" s="18"/>
      <c r="EH710" s="18"/>
      <c r="EI710" s="18"/>
      <c r="EJ710" s="18"/>
      <c r="EK710" s="18"/>
      <c r="EL710" s="18"/>
      <c r="EM710" s="18"/>
      <c r="EN710" s="18"/>
      <c r="EO710" s="18"/>
      <c r="EP710" s="18"/>
      <c r="EQ710" s="18"/>
      <c r="ER710" s="18"/>
      <c r="ES710" s="18"/>
      <c r="ET710" s="18"/>
      <c r="EU710" s="18"/>
      <c r="EV710" s="18"/>
      <c r="EW710" s="18"/>
      <c r="EX710" s="18"/>
    </row>
    <row r="711">
      <c r="A711" s="101"/>
      <c r="B711" s="105"/>
      <c r="C711" s="105"/>
      <c r="D711" s="106"/>
      <c r="E711" s="110"/>
      <c r="F711" s="92"/>
      <c r="G711" s="18"/>
      <c r="H711" s="101" t="str">
        <f>IFERROR(__xludf.DUMMYFUNCTION("""COMPUTED_VALUE"""),"")</f>
        <v/>
      </c>
      <c r="I711" s="67" t="str">
        <f>IFERROR(__xludf.DUMMYFUNCTION("""COMPUTED_VALUE"""),"")</f>
        <v/>
      </c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/>
      <c r="DN711" s="18"/>
      <c r="DO711" s="18"/>
      <c r="DP711" s="18"/>
      <c r="DQ711" s="18"/>
      <c r="DR711" s="18"/>
      <c r="DS711" s="18"/>
      <c r="DT711" s="18"/>
      <c r="DU711" s="18"/>
      <c r="DV711" s="18"/>
      <c r="DW711" s="18"/>
      <c r="DX711" s="18"/>
      <c r="DY711" s="18"/>
      <c r="DZ711" s="18"/>
      <c r="EA711" s="18"/>
      <c r="EB711" s="18"/>
      <c r="EC711" s="18"/>
      <c r="ED711" s="18"/>
      <c r="EE711" s="18"/>
      <c r="EF711" s="18"/>
      <c r="EG711" s="18"/>
      <c r="EH711" s="18"/>
      <c r="EI711" s="18"/>
      <c r="EJ711" s="18"/>
      <c r="EK711" s="18"/>
      <c r="EL711" s="18"/>
      <c r="EM711" s="18"/>
      <c r="EN711" s="18"/>
      <c r="EO711" s="18"/>
      <c r="EP711" s="18"/>
      <c r="EQ711" s="18"/>
      <c r="ER711" s="18"/>
      <c r="ES711" s="18"/>
      <c r="ET711" s="18"/>
      <c r="EU711" s="18"/>
      <c r="EV711" s="18"/>
      <c r="EW711" s="18"/>
      <c r="EX711" s="18"/>
    </row>
    <row r="712">
      <c r="A712" s="101"/>
      <c r="B712" s="105"/>
      <c r="C712" s="105"/>
      <c r="D712" s="106"/>
      <c r="E712" s="110"/>
      <c r="F712" s="92"/>
      <c r="G712" s="18"/>
      <c r="H712" s="101" t="str">
        <f>IFERROR(__xludf.DUMMYFUNCTION("""COMPUTED_VALUE"""),"")</f>
        <v/>
      </c>
      <c r="I712" s="67" t="str">
        <f>IFERROR(__xludf.DUMMYFUNCTION("""COMPUTED_VALUE"""),"")</f>
        <v/>
      </c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/>
      <c r="DN712" s="18"/>
      <c r="DO712" s="18"/>
      <c r="DP712" s="18"/>
      <c r="DQ712" s="18"/>
      <c r="DR712" s="18"/>
      <c r="DS712" s="18"/>
      <c r="DT712" s="18"/>
      <c r="DU712" s="18"/>
      <c r="DV712" s="18"/>
      <c r="DW712" s="18"/>
      <c r="DX712" s="18"/>
      <c r="DY712" s="18"/>
      <c r="DZ712" s="18"/>
      <c r="EA712" s="18"/>
      <c r="EB712" s="18"/>
      <c r="EC712" s="18"/>
      <c r="ED712" s="18"/>
      <c r="EE712" s="18"/>
      <c r="EF712" s="18"/>
      <c r="EG712" s="18"/>
      <c r="EH712" s="18"/>
      <c r="EI712" s="18"/>
      <c r="EJ712" s="18"/>
      <c r="EK712" s="18"/>
      <c r="EL712" s="18"/>
      <c r="EM712" s="18"/>
      <c r="EN712" s="18"/>
      <c r="EO712" s="18"/>
      <c r="EP712" s="18"/>
      <c r="EQ712" s="18"/>
      <c r="ER712" s="18"/>
      <c r="ES712" s="18"/>
      <c r="ET712" s="18"/>
      <c r="EU712" s="18"/>
      <c r="EV712" s="18"/>
      <c r="EW712" s="18"/>
      <c r="EX712" s="18"/>
    </row>
    <row r="713">
      <c r="A713" s="101"/>
      <c r="B713" s="105"/>
      <c r="C713" s="105"/>
      <c r="D713" s="106"/>
      <c r="E713" s="110"/>
      <c r="F713" s="92"/>
      <c r="G713" s="18"/>
      <c r="H713" s="101" t="str">
        <f>IFERROR(__xludf.DUMMYFUNCTION("""COMPUTED_VALUE"""),"")</f>
        <v/>
      </c>
      <c r="I713" s="67" t="str">
        <f>IFERROR(__xludf.DUMMYFUNCTION("""COMPUTED_VALUE"""),"")</f>
        <v/>
      </c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/>
      <c r="DN713" s="18"/>
      <c r="DO713" s="18"/>
      <c r="DP713" s="18"/>
      <c r="DQ713" s="18"/>
      <c r="DR713" s="18"/>
      <c r="DS713" s="18"/>
      <c r="DT713" s="18"/>
      <c r="DU713" s="18"/>
      <c r="DV713" s="18"/>
      <c r="DW713" s="18"/>
      <c r="DX713" s="18"/>
      <c r="DY713" s="18"/>
      <c r="DZ713" s="18"/>
      <c r="EA713" s="18"/>
      <c r="EB713" s="18"/>
      <c r="EC713" s="18"/>
      <c r="ED713" s="18"/>
      <c r="EE713" s="18"/>
      <c r="EF713" s="18"/>
      <c r="EG713" s="18"/>
      <c r="EH713" s="18"/>
      <c r="EI713" s="18"/>
      <c r="EJ713" s="18"/>
      <c r="EK713" s="18"/>
      <c r="EL713" s="18"/>
      <c r="EM713" s="18"/>
      <c r="EN713" s="18"/>
      <c r="EO713" s="18"/>
      <c r="EP713" s="18"/>
      <c r="EQ713" s="18"/>
      <c r="ER713" s="18"/>
      <c r="ES713" s="18"/>
      <c r="ET713" s="18"/>
      <c r="EU713" s="18"/>
      <c r="EV713" s="18"/>
      <c r="EW713" s="18"/>
      <c r="EX713" s="18"/>
    </row>
    <row r="714">
      <c r="A714" s="101"/>
      <c r="B714" s="105"/>
      <c r="C714" s="105"/>
      <c r="D714" s="106"/>
      <c r="E714" s="110"/>
      <c r="F714" s="92"/>
      <c r="G714" s="18"/>
      <c r="H714" s="101" t="str">
        <f>IFERROR(__xludf.DUMMYFUNCTION("""COMPUTED_VALUE"""),"")</f>
        <v/>
      </c>
      <c r="I714" s="67" t="str">
        <f>IFERROR(__xludf.DUMMYFUNCTION("""COMPUTED_VALUE"""),"")</f>
        <v/>
      </c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/>
      <c r="DN714" s="18"/>
      <c r="DO714" s="18"/>
      <c r="DP714" s="18"/>
      <c r="DQ714" s="18"/>
      <c r="DR714" s="18"/>
      <c r="DS714" s="18"/>
      <c r="DT714" s="18"/>
      <c r="DU714" s="18"/>
      <c r="DV714" s="18"/>
      <c r="DW714" s="18"/>
      <c r="DX714" s="18"/>
      <c r="DY714" s="18"/>
      <c r="DZ714" s="18"/>
      <c r="EA714" s="18"/>
      <c r="EB714" s="18"/>
      <c r="EC714" s="18"/>
      <c r="ED714" s="18"/>
      <c r="EE714" s="18"/>
      <c r="EF714" s="18"/>
      <c r="EG714" s="18"/>
      <c r="EH714" s="18"/>
      <c r="EI714" s="18"/>
      <c r="EJ714" s="18"/>
      <c r="EK714" s="18"/>
      <c r="EL714" s="18"/>
      <c r="EM714" s="18"/>
      <c r="EN714" s="18"/>
      <c r="EO714" s="18"/>
      <c r="EP714" s="18"/>
      <c r="EQ714" s="18"/>
      <c r="ER714" s="18"/>
      <c r="ES714" s="18"/>
      <c r="ET714" s="18"/>
      <c r="EU714" s="18"/>
      <c r="EV714" s="18"/>
      <c r="EW714" s="18"/>
      <c r="EX714" s="18"/>
    </row>
    <row r="715">
      <c r="A715" s="101"/>
      <c r="B715" s="105"/>
      <c r="C715" s="105"/>
      <c r="D715" s="106"/>
      <c r="E715" s="110"/>
      <c r="F715" s="92"/>
      <c r="G715" s="18"/>
      <c r="H715" s="101" t="str">
        <f>IFERROR(__xludf.DUMMYFUNCTION("""COMPUTED_VALUE"""),"")</f>
        <v/>
      </c>
      <c r="I715" s="67" t="str">
        <f>IFERROR(__xludf.DUMMYFUNCTION("""COMPUTED_VALUE"""),"")</f>
        <v/>
      </c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/>
      <c r="DN715" s="18"/>
      <c r="DO715" s="18"/>
      <c r="DP715" s="18"/>
      <c r="DQ715" s="18"/>
      <c r="DR715" s="18"/>
      <c r="DS715" s="18"/>
      <c r="DT715" s="18"/>
      <c r="DU715" s="18"/>
      <c r="DV715" s="18"/>
      <c r="DW715" s="18"/>
      <c r="DX715" s="18"/>
      <c r="DY715" s="18"/>
      <c r="DZ715" s="18"/>
      <c r="EA715" s="18"/>
      <c r="EB715" s="18"/>
      <c r="EC715" s="18"/>
      <c r="ED715" s="18"/>
      <c r="EE715" s="18"/>
      <c r="EF715" s="18"/>
      <c r="EG715" s="18"/>
      <c r="EH715" s="18"/>
      <c r="EI715" s="18"/>
      <c r="EJ715" s="18"/>
      <c r="EK715" s="18"/>
      <c r="EL715" s="18"/>
      <c r="EM715" s="18"/>
      <c r="EN715" s="18"/>
      <c r="EO715" s="18"/>
      <c r="EP715" s="18"/>
      <c r="EQ715" s="18"/>
      <c r="ER715" s="18"/>
      <c r="ES715" s="18"/>
      <c r="ET715" s="18"/>
      <c r="EU715" s="18"/>
      <c r="EV715" s="18"/>
      <c r="EW715" s="18"/>
      <c r="EX715" s="18"/>
    </row>
    <row r="716">
      <c r="A716" s="101"/>
      <c r="B716" s="105"/>
      <c r="C716" s="105"/>
      <c r="D716" s="106"/>
      <c r="E716" s="110"/>
      <c r="F716" s="92"/>
      <c r="G716" s="18"/>
      <c r="H716" s="101" t="str">
        <f>IFERROR(__xludf.DUMMYFUNCTION("""COMPUTED_VALUE"""),"")</f>
        <v/>
      </c>
      <c r="I716" s="67" t="str">
        <f>IFERROR(__xludf.DUMMYFUNCTION("""COMPUTED_VALUE"""),"")</f>
        <v/>
      </c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/>
      <c r="DN716" s="18"/>
      <c r="DO716" s="18"/>
      <c r="DP716" s="18"/>
      <c r="DQ716" s="18"/>
      <c r="DR716" s="18"/>
      <c r="DS716" s="18"/>
      <c r="DT716" s="18"/>
      <c r="DU716" s="18"/>
      <c r="DV716" s="18"/>
      <c r="DW716" s="18"/>
      <c r="DX716" s="18"/>
      <c r="DY716" s="18"/>
      <c r="DZ716" s="18"/>
      <c r="EA716" s="18"/>
      <c r="EB716" s="18"/>
      <c r="EC716" s="18"/>
      <c r="ED716" s="18"/>
      <c r="EE716" s="18"/>
      <c r="EF716" s="18"/>
      <c r="EG716" s="18"/>
      <c r="EH716" s="18"/>
      <c r="EI716" s="18"/>
      <c r="EJ716" s="18"/>
      <c r="EK716" s="18"/>
      <c r="EL716" s="18"/>
      <c r="EM716" s="18"/>
      <c r="EN716" s="18"/>
      <c r="EO716" s="18"/>
      <c r="EP716" s="18"/>
      <c r="EQ716" s="18"/>
      <c r="ER716" s="18"/>
      <c r="ES716" s="18"/>
      <c r="ET716" s="18"/>
      <c r="EU716" s="18"/>
      <c r="EV716" s="18"/>
      <c r="EW716" s="18"/>
      <c r="EX716" s="18"/>
    </row>
    <row r="717">
      <c r="A717" s="101"/>
      <c r="B717" s="105"/>
      <c r="C717" s="105"/>
      <c r="D717" s="106"/>
      <c r="E717" s="110"/>
      <c r="F717" s="92"/>
      <c r="G717" s="18"/>
      <c r="H717" s="101" t="str">
        <f>IFERROR(__xludf.DUMMYFUNCTION("""COMPUTED_VALUE"""),"")</f>
        <v/>
      </c>
      <c r="I717" s="67" t="str">
        <f>IFERROR(__xludf.DUMMYFUNCTION("""COMPUTED_VALUE"""),"")</f>
        <v/>
      </c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/>
      <c r="DN717" s="18"/>
      <c r="DO717" s="18"/>
      <c r="DP717" s="18"/>
      <c r="DQ717" s="18"/>
      <c r="DR717" s="18"/>
      <c r="DS717" s="18"/>
      <c r="DT717" s="18"/>
      <c r="DU717" s="18"/>
      <c r="DV717" s="18"/>
      <c r="DW717" s="18"/>
      <c r="DX717" s="18"/>
      <c r="DY717" s="18"/>
      <c r="DZ717" s="18"/>
      <c r="EA717" s="18"/>
      <c r="EB717" s="18"/>
      <c r="EC717" s="18"/>
      <c r="ED717" s="18"/>
      <c r="EE717" s="18"/>
      <c r="EF717" s="18"/>
      <c r="EG717" s="18"/>
      <c r="EH717" s="18"/>
      <c r="EI717" s="18"/>
      <c r="EJ717" s="18"/>
      <c r="EK717" s="18"/>
      <c r="EL717" s="18"/>
      <c r="EM717" s="18"/>
      <c r="EN717" s="18"/>
      <c r="EO717" s="18"/>
      <c r="EP717" s="18"/>
      <c r="EQ717" s="18"/>
      <c r="ER717" s="18"/>
      <c r="ES717" s="18"/>
      <c r="ET717" s="18"/>
      <c r="EU717" s="18"/>
      <c r="EV717" s="18"/>
      <c r="EW717" s="18"/>
      <c r="EX717" s="18"/>
    </row>
    <row r="718">
      <c r="A718" s="101"/>
      <c r="B718" s="105"/>
      <c r="C718" s="105"/>
      <c r="D718" s="106"/>
      <c r="E718" s="110"/>
      <c r="F718" s="92"/>
      <c r="G718" s="18"/>
      <c r="H718" s="101" t="str">
        <f>IFERROR(__xludf.DUMMYFUNCTION("""COMPUTED_VALUE"""),"")</f>
        <v/>
      </c>
      <c r="I718" s="67" t="str">
        <f>IFERROR(__xludf.DUMMYFUNCTION("""COMPUTED_VALUE"""),"")</f>
        <v/>
      </c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/>
      <c r="DN718" s="18"/>
      <c r="DO718" s="18"/>
      <c r="DP718" s="18"/>
      <c r="DQ718" s="18"/>
      <c r="DR718" s="18"/>
      <c r="DS718" s="18"/>
      <c r="DT718" s="18"/>
      <c r="DU718" s="18"/>
      <c r="DV718" s="18"/>
      <c r="DW718" s="18"/>
      <c r="DX718" s="18"/>
      <c r="DY718" s="18"/>
      <c r="DZ718" s="18"/>
      <c r="EA718" s="18"/>
      <c r="EB718" s="18"/>
      <c r="EC718" s="18"/>
      <c r="ED718" s="18"/>
      <c r="EE718" s="18"/>
      <c r="EF718" s="18"/>
      <c r="EG718" s="18"/>
      <c r="EH718" s="18"/>
      <c r="EI718" s="18"/>
      <c r="EJ718" s="18"/>
      <c r="EK718" s="18"/>
      <c r="EL718" s="18"/>
      <c r="EM718" s="18"/>
      <c r="EN718" s="18"/>
      <c r="EO718" s="18"/>
      <c r="EP718" s="18"/>
      <c r="EQ718" s="18"/>
      <c r="ER718" s="18"/>
      <c r="ES718" s="18"/>
      <c r="ET718" s="18"/>
      <c r="EU718" s="18"/>
      <c r="EV718" s="18"/>
      <c r="EW718" s="18"/>
      <c r="EX718" s="18"/>
    </row>
    <row r="719">
      <c r="A719" s="101"/>
      <c r="B719" s="105"/>
      <c r="C719" s="105"/>
      <c r="D719" s="106"/>
      <c r="E719" s="110"/>
      <c r="F719" s="92"/>
      <c r="G719" s="18"/>
      <c r="H719" s="101" t="str">
        <f>IFERROR(__xludf.DUMMYFUNCTION("""COMPUTED_VALUE"""),"")</f>
        <v/>
      </c>
      <c r="I719" s="67" t="str">
        <f>IFERROR(__xludf.DUMMYFUNCTION("""COMPUTED_VALUE"""),"")</f>
        <v/>
      </c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/>
      <c r="DN719" s="18"/>
      <c r="DO719" s="18"/>
      <c r="DP719" s="18"/>
      <c r="DQ719" s="18"/>
      <c r="DR719" s="18"/>
      <c r="DS719" s="18"/>
      <c r="DT719" s="18"/>
      <c r="DU719" s="18"/>
      <c r="DV719" s="18"/>
      <c r="DW719" s="18"/>
      <c r="DX719" s="18"/>
      <c r="DY719" s="18"/>
      <c r="DZ719" s="18"/>
      <c r="EA719" s="18"/>
      <c r="EB719" s="18"/>
      <c r="EC719" s="18"/>
      <c r="ED719" s="18"/>
      <c r="EE719" s="18"/>
      <c r="EF719" s="18"/>
      <c r="EG719" s="18"/>
      <c r="EH719" s="18"/>
      <c r="EI719" s="18"/>
      <c r="EJ719" s="18"/>
      <c r="EK719" s="18"/>
      <c r="EL719" s="18"/>
      <c r="EM719" s="18"/>
      <c r="EN719" s="18"/>
      <c r="EO719" s="18"/>
      <c r="EP719" s="18"/>
      <c r="EQ719" s="18"/>
      <c r="ER719" s="18"/>
      <c r="ES719" s="18"/>
      <c r="ET719" s="18"/>
      <c r="EU719" s="18"/>
      <c r="EV719" s="18"/>
      <c r="EW719" s="18"/>
      <c r="EX719" s="18"/>
    </row>
    <row r="720">
      <c r="A720" s="101"/>
      <c r="B720" s="105"/>
      <c r="C720" s="105"/>
      <c r="D720" s="106"/>
      <c r="E720" s="110"/>
      <c r="F720" s="92"/>
      <c r="G720" s="18"/>
      <c r="H720" s="101" t="str">
        <f>IFERROR(__xludf.DUMMYFUNCTION("""COMPUTED_VALUE"""),"")</f>
        <v/>
      </c>
      <c r="I720" s="67" t="str">
        <f>IFERROR(__xludf.DUMMYFUNCTION("""COMPUTED_VALUE"""),"")</f>
        <v/>
      </c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/>
      <c r="DN720" s="18"/>
      <c r="DO720" s="18"/>
      <c r="DP720" s="18"/>
      <c r="DQ720" s="18"/>
      <c r="DR720" s="18"/>
      <c r="DS720" s="18"/>
      <c r="DT720" s="18"/>
      <c r="DU720" s="18"/>
      <c r="DV720" s="18"/>
      <c r="DW720" s="18"/>
      <c r="DX720" s="18"/>
      <c r="DY720" s="18"/>
      <c r="DZ720" s="18"/>
      <c r="EA720" s="18"/>
      <c r="EB720" s="18"/>
      <c r="EC720" s="18"/>
      <c r="ED720" s="18"/>
      <c r="EE720" s="18"/>
      <c r="EF720" s="18"/>
      <c r="EG720" s="18"/>
      <c r="EH720" s="18"/>
      <c r="EI720" s="18"/>
      <c r="EJ720" s="18"/>
      <c r="EK720" s="18"/>
      <c r="EL720" s="18"/>
      <c r="EM720" s="18"/>
      <c r="EN720" s="18"/>
      <c r="EO720" s="18"/>
      <c r="EP720" s="18"/>
      <c r="EQ720" s="18"/>
      <c r="ER720" s="18"/>
      <c r="ES720" s="18"/>
      <c r="ET720" s="18"/>
      <c r="EU720" s="18"/>
      <c r="EV720" s="18"/>
      <c r="EW720" s="18"/>
      <c r="EX720" s="18"/>
    </row>
    <row r="721">
      <c r="A721" s="101"/>
      <c r="B721" s="105"/>
      <c r="C721" s="105"/>
      <c r="D721" s="106"/>
      <c r="E721" s="110"/>
      <c r="F721" s="92"/>
      <c r="G721" s="18"/>
      <c r="H721" s="101" t="str">
        <f>IFERROR(__xludf.DUMMYFUNCTION("""COMPUTED_VALUE"""),"")</f>
        <v/>
      </c>
      <c r="I721" s="67" t="str">
        <f>IFERROR(__xludf.DUMMYFUNCTION("""COMPUTED_VALUE"""),"")</f>
        <v/>
      </c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/>
      <c r="DN721" s="18"/>
      <c r="DO721" s="18"/>
      <c r="DP721" s="18"/>
      <c r="DQ721" s="18"/>
      <c r="DR721" s="18"/>
      <c r="DS721" s="18"/>
      <c r="DT721" s="18"/>
      <c r="DU721" s="18"/>
      <c r="DV721" s="18"/>
      <c r="DW721" s="18"/>
      <c r="DX721" s="18"/>
      <c r="DY721" s="18"/>
      <c r="DZ721" s="18"/>
      <c r="EA721" s="18"/>
      <c r="EB721" s="18"/>
      <c r="EC721" s="18"/>
      <c r="ED721" s="18"/>
      <c r="EE721" s="18"/>
      <c r="EF721" s="18"/>
      <c r="EG721" s="18"/>
      <c r="EH721" s="18"/>
      <c r="EI721" s="18"/>
      <c r="EJ721" s="18"/>
      <c r="EK721" s="18"/>
      <c r="EL721" s="18"/>
      <c r="EM721" s="18"/>
      <c r="EN721" s="18"/>
      <c r="EO721" s="18"/>
      <c r="EP721" s="18"/>
      <c r="EQ721" s="18"/>
      <c r="ER721" s="18"/>
      <c r="ES721" s="18"/>
      <c r="ET721" s="18"/>
      <c r="EU721" s="18"/>
      <c r="EV721" s="18"/>
      <c r="EW721" s="18"/>
      <c r="EX721" s="18"/>
    </row>
    <row r="722">
      <c r="A722" s="101"/>
      <c r="B722" s="105"/>
      <c r="C722" s="105"/>
      <c r="D722" s="106"/>
      <c r="E722" s="110"/>
      <c r="F722" s="92"/>
      <c r="G722" s="18"/>
      <c r="H722" s="101" t="str">
        <f>IFERROR(__xludf.DUMMYFUNCTION("""COMPUTED_VALUE"""),"")</f>
        <v/>
      </c>
      <c r="I722" s="67" t="str">
        <f>IFERROR(__xludf.DUMMYFUNCTION("""COMPUTED_VALUE"""),"")</f>
        <v/>
      </c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/>
      <c r="DN722" s="18"/>
      <c r="DO722" s="18"/>
      <c r="DP722" s="18"/>
      <c r="DQ722" s="18"/>
      <c r="DR722" s="18"/>
      <c r="DS722" s="18"/>
      <c r="DT722" s="18"/>
      <c r="DU722" s="18"/>
      <c r="DV722" s="18"/>
      <c r="DW722" s="18"/>
      <c r="DX722" s="18"/>
      <c r="DY722" s="18"/>
      <c r="DZ722" s="18"/>
      <c r="EA722" s="18"/>
      <c r="EB722" s="18"/>
      <c r="EC722" s="18"/>
      <c r="ED722" s="18"/>
      <c r="EE722" s="18"/>
      <c r="EF722" s="18"/>
      <c r="EG722" s="18"/>
      <c r="EH722" s="18"/>
      <c r="EI722" s="18"/>
      <c r="EJ722" s="18"/>
      <c r="EK722" s="18"/>
      <c r="EL722" s="18"/>
      <c r="EM722" s="18"/>
      <c r="EN722" s="18"/>
      <c r="EO722" s="18"/>
      <c r="EP722" s="18"/>
      <c r="EQ722" s="18"/>
      <c r="ER722" s="18"/>
      <c r="ES722" s="18"/>
      <c r="ET722" s="18"/>
      <c r="EU722" s="18"/>
      <c r="EV722" s="18"/>
      <c r="EW722" s="18"/>
      <c r="EX722" s="18"/>
    </row>
    <row r="723">
      <c r="A723" s="101"/>
      <c r="B723" s="105"/>
      <c r="C723" s="105"/>
      <c r="D723" s="106"/>
      <c r="E723" s="110"/>
      <c r="F723" s="92"/>
      <c r="G723" s="18"/>
      <c r="H723" s="101" t="str">
        <f>IFERROR(__xludf.DUMMYFUNCTION("""COMPUTED_VALUE"""),"")</f>
        <v/>
      </c>
      <c r="I723" s="67" t="str">
        <f>IFERROR(__xludf.DUMMYFUNCTION("""COMPUTED_VALUE"""),"")</f>
        <v/>
      </c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/>
      <c r="DN723" s="18"/>
      <c r="DO723" s="18"/>
      <c r="DP723" s="18"/>
      <c r="DQ723" s="18"/>
      <c r="DR723" s="18"/>
      <c r="DS723" s="18"/>
      <c r="DT723" s="18"/>
      <c r="DU723" s="18"/>
      <c r="DV723" s="18"/>
      <c r="DW723" s="18"/>
      <c r="DX723" s="18"/>
      <c r="DY723" s="18"/>
      <c r="DZ723" s="18"/>
      <c r="EA723" s="18"/>
      <c r="EB723" s="18"/>
      <c r="EC723" s="18"/>
      <c r="ED723" s="18"/>
      <c r="EE723" s="18"/>
      <c r="EF723" s="18"/>
      <c r="EG723" s="18"/>
      <c r="EH723" s="18"/>
      <c r="EI723" s="18"/>
      <c r="EJ723" s="18"/>
      <c r="EK723" s="18"/>
      <c r="EL723" s="18"/>
      <c r="EM723" s="18"/>
      <c r="EN723" s="18"/>
      <c r="EO723" s="18"/>
      <c r="EP723" s="18"/>
      <c r="EQ723" s="18"/>
      <c r="ER723" s="18"/>
      <c r="ES723" s="18"/>
      <c r="ET723" s="18"/>
      <c r="EU723" s="18"/>
      <c r="EV723" s="18"/>
      <c r="EW723" s="18"/>
      <c r="EX723" s="18"/>
    </row>
    <row r="724">
      <c r="A724" s="101"/>
      <c r="B724" s="105"/>
      <c r="C724" s="105"/>
      <c r="D724" s="106"/>
      <c r="E724" s="110"/>
      <c r="F724" s="92"/>
      <c r="G724" s="18"/>
      <c r="H724" s="101" t="str">
        <f>IFERROR(__xludf.DUMMYFUNCTION("""COMPUTED_VALUE"""),"")</f>
        <v/>
      </c>
      <c r="I724" s="67" t="str">
        <f>IFERROR(__xludf.DUMMYFUNCTION("""COMPUTED_VALUE"""),"")</f>
        <v/>
      </c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/>
      <c r="DN724" s="18"/>
      <c r="DO724" s="18"/>
      <c r="DP724" s="18"/>
      <c r="DQ724" s="18"/>
      <c r="DR724" s="18"/>
      <c r="DS724" s="18"/>
      <c r="DT724" s="18"/>
      <c r="DU724" s="18"/>
      <c r="DV724" s="18"/>
      <c r="DW724" s="18"/>
      <c r="DX724" s="18"/>
      <c r="DY724" s="18"/>
      <c r="DZ724" s="18"/>
      <c r="EA724" s="18"/>
      <c r="EB724" s="18"/>
      <c r="EC724" s="18"/>
      <c r="ED724" s="18"/>
      <c r="EE724" s="18"/>
      <c r="EF724" s="18"/>
      <c r="EG724" s="18"/>
      <c r="EH724" s="18"/>
      <c r="EI724" s="18"/>
      <c r="EJ724" s="18"/>
      <c r="EK724" s="18"/>
      <c r="EL724" s="18"/>
      <c r="EM724" s="18"/>
      <c r="EN724" s="18"/>
      <c r="EO724" s="18"/>
      <c r="EP724" s="18"/>
      <c r="EQ724" s="18"/>
      <c r="ER724" s="18"/>
      <c r="ES724" s="18"/>
      <c r="ET724" s="18"/>
      <c r="EU724" s="18"/>
      <c r="EV724" s="18"/>
      <c r="EW724" s="18"/>
      <c r="EX724" s="18"/>
    </row>
    <row r="725">
      <c r="A725" s="101"/>
      <c r="B725" s="105"/>
      <c r="C725" s="105"/>
      <c r="D725" s="106"/>
      <c r="E725" s="110"/>
      <c r="F725" s="92"/>
      <c r="G725" s="18"/>
      <c r="H725" s="101" t="str">
        <f>IFERROR(__xludf.DUMMYFUNCTION("""COMPUTED_VALUE"""),"")</f>
        <v/>
      </c>
      <c r="I725" s="67" t="str">
        <f>IFERROR(__xludf.DUMMYFUNCTION("""COMPUTED_VALUE"""),"")</f>
        <v/>
      </c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/>
      <c r="DN725" s="18"/>
      <c r="DO725" s="18"/>
      <c r="DP725" s="18"/>
      <c r="DQ725" s="18"/>
      <c r="DR725" s="18"/>
      <c r="DS725" s="18"/>
      <c r="DT725" s="18"/>
      <c r="DU725" s="18"/>
      <c r="DV725" s="18"/>
      <c r="DW725" s="18"/>
      <c r="DX725" s="18"/>
      <c r="DY725" s="18"/>
      <c r="DZ725" s="18"/>
      <c r="EA725" s="18"/>
      <c r="EB725" s="18"/>
      <c r="EC725" s="18"/>
      <c r="ED725" s="18"/>
      <c r="EE725" s="18"/>
      <c r="EF725" s="18"/>
      <c r="EG725" s="18"/>
      <c r="EH725" s="18"/>
      <c r="EI725" s="18"/>
      <c r="EJ725" s="18"/>
      <c r="EK725" s="18"/>
      <c r="EL725" s="18"/>
      <c r="EM725" s="18"/>
      <c r="EN725" s="18"/>
      <c r="EO725" s="18"/>
      <c r="EP725" s="18"/>
      <c r="EQ725" s="18"/>
      <c r="ER725" s="18"/>
      <c r="ES725" s="18"/>
      <c r="ET725" s="18"/>
      <c r="EU725" s="18"/>
      <c r="EV725" s="18"/>
      <c r="EW725" s="18"/>
      <c r="EX725" s="18"/>
    </row>
    <row r="726">
      <c r="A726" s="101"/>
      <c r="B726" s="105"/>
      <c r="C726" s="105"/>
      <c r="D726" s="106"/>
      <c r="E726" s="110"/>
      <c r="F726" s="92"/>
      <c r="G726" s="18"/>
      <c r="H726" s="101" t="str">
        <f>IFERROR(__xludf.DUMMYFUNCTION("""COMPUTED_VALUE"""),"")</f>
        <v/>
      </c>
      <c r="I726" s="67" t="str">
        <f>IFERROR(__xludf.DUMMYFUNCTION("""COMPUTED_VALUE"""),"")</f>
        <v/>
      </c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/>
      <c r="DN726" s="18"/>
      <c r="DO726" s="18"/>
      <c r="DP726" s="18"/>
      <c r="DQ726" s="18"/>
      <c r="DR726" s="18"/>
      <c r="DS726" s="18"/>
      <c r="DT726" s="18"/>
      <c r="DU726" s="18"/>
      <c r="DV726" s="18"/>
      <c r="DW726" s="18"/>
      <c r="DX726" s="18"/>
      <c r="DY726" s="18"/>
      <c r="DZ726" s="18"/>
      <c r="EA726" s="18"/>
      <c r="EB726" s="18"/>
      <c r="EC726" s="18"/>
      <c r="ED726" s="18"/>
      <c r="EE726" s="18"/>
      <c r="EF726" s="18"/>
      <c r="EG726" s="18"/>
      <c r="EH726" s="18"/>
      <c r="EI726" s="18"/>
      <c r="EJ726" s="18"/>
      <c r="EK726" s="18"/>
      <c r="EL726" s="18"/>
      <c r="EM726" s="18"/>
      <c r="EN726" s="18"/>
      <c r="EO726" s="18"/>
      <c r="EP726" s="18"/>
      <c r="EQ726" s="18"/>
      <c r="ER726" s="18"/>
      <c r="ES726" s="18"/>
      <c r="ET726" s="18"/>
      <c r="EU726" s="18"/>
      <c r="EV726" s="18"/>
      <c r="EW726" s="18"/>
      <c r="EX726" s="18"/>
    </row>
    <row r="727">
      <c r="A727" s="101"/>
      <c r="B727" s="105"/>
      <c r="C727" s="105"/>
      <c r="D727" s="106"/>
      <c r="E727" s="110"/>
      <c r="F727" s="92"/>
      <c r="G727" s="18"/>
      <c r="H727" s="101" t="str">
        <f>IFERROR(__xludf.DUMMYFUNCTION("""COMPUTED_VALUE"""),"")</f>
        <v/>
      </c>
      <c r="I727" s="67" t="str">
        <f>IFERROR(__xludf.DUMMYFUNCTION("""COMPUTED_VALUE"""),"")</f>
        <v/>
      </c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/>
      <c r="DN727" s="18"/>
      <c r="DO727" s="18"/>
      <c r="DP727" s="18"/>
      <c r="DQ727" s="18"/>
      <c r="DR727" s="18"/>
      <c r="DS727" s="18"/>
      <c r="DT727" s="18"/>
      <c r="DU727" s="18"/>
      <c r="DV727" s="18"/>
      <c r="DW727" s="18"/>
      <c r="DX727" s="18"/>
      <c r="DY727" s="18"/>
      <c r="DZ727" s="18"/>
      <c r="EA727" s="18"/>
      <c r="EB727" s="18"/>
      <c r="EC727" s="18"/>
      <c r="ED727" s="18"/>
      <c r="EE727" s="18"/>
      <c r="EF727" s="18"/>
      <c r="EG727" s="18"/>
      <c r="EH727" s="18"/>
      <c r="EI727" s="18"/>
      <c r="EJ727" s="18"/>
      <c r="EK727" s="18"/>
      <c r="EL727" s="18"/>
      <c r="EM727" s="18"/>
      <c r="EN727" s="18"/>
      <c r="EO727" s="18"/>
      <c r="EP727" s="18"/>
      <c r="EQ727" s="18"/>
      <c r="ER727" s="18"/>
      <c r="ES727" s="18"/>
      <c r="ET727" s="18"/>
      <c r="EU727" s="18"/>
      <c r="EV727" s="18"/>
      <c r="EW727" s="18"/>
      <c r="EX727" s="18"/>
    </row>
    <row r="728">
      <c r="A728" s="101"/>
      <c r="B728" s="105"/>
      <c r="C728" s="105"/>
      <c r="D728" s="106"/>
      <c r="E728" s="110"/>
      <c r="F728" s="92"/>
      <c r="G728" s="18"/>
      <c r="H728" s="101" t="str">
        <f>IFERROR(__xludf.DUMMYFUNCTION("""COMPUTED_VALUE"""),"")</f>
        <v/>
      </c>
      <c r="I728" s="67" t="str">
        <f>IFERROR(__xludf.DUMMYFUNCTION("""COMPUTED_VALUE"""),"")</f>
        <v/>
      </c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/>
      <c r="DN728" s="18"/>
      <c r="DO728" s="18"/>
      <c r="DP728" s="18"/>
      <c r="DQ728" s="18"/>
      <c r="DR728" s="18"/>
      <c r="DS728" s="18"/>
      <c r="DT728" s="18"/>
      <c r="DU728" s="18"/>
      <c r="DV728" s="18"/>
      <c r="DW728" s="18"/>
      <c r="DX728" s="18"/>
      <c r="DY728" s="18"/>
      <c r="DZ728" s="18"/>
      <c r="EA728" s="18"/>
      <c r="EB728" s="18"/>
      <c r="EC728" s="18"/>
      <c r="ED728" s="18"/>
      <c r="EE728" s="18"/>
      <c r="EF728" s="18"/>
      <c r="EG728" s="18"/>
      <c r="EH728" s="18"/>
      <c r="EI728" s="18"/>
      <c r="EJ728" s="18"/>
      <c r="EK728" s="18"/>
      <c r="EL728" s="18"/>
      <c r="EM728" s="18"/>
      <c r="EN728" s="18"/>
      <c r="EO728" s="18"/>
      <c r="EP728" s="18"/>
      <c r="EQ728" s="18"/>
      <c r="ER728" s="18"/>
      <c r="ES728" s="18"/>
      <c r="ET728" s="18"/>
      <c r="EU728" s="18"/>
      <c r="EV728" s="18"/>
      <c r="EW728" s="18"/>
      <c r="EX728" s="18"/>
    </row>
    <row r="729">
      <c r="A729" s="101"/>
      <c r="B729" s="105"/>
      <c r="C729" s="105"/>
      <c r="D729" s="106"/>
      <c r="E729" s="110"/>
      <c r="F729" s="92"/>
      <c r="G729" s="18"/>
      <c r="H729" s="101" t="str">
        <f>IFERROR(__xludf.DUMMYFUNCTION("""COMPUTED_VALUE"""),"")</f>
        <v/>
      </c>
      <c r="I729" s="67" t="str">
        <f>IFERROR(__xludf.DUMMYFUNCTION("""COMPUTED_VALUE"""),"")</f>
        <v/>
      </c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/>
      <c r="DN729" s="18"/>
      <c r="DO729" s="18"/>
      <c r="DP729" s="18"/>
      <c r="DQ729" s="18"/>
      <c r="DR729" s="18"/>
      <c r="DS729" s="18"/>
      <c r="DT729" s="18"/>
      <c r="DU729" s="18"/>
      <c r="DV729" s="18"/>
      <c r="DW729" s="18"/>
      <c r="DX729" s="18"/>
      <c r="DY729" s="18"/>
      <c r="DZ729" s="18"/>
      <c r="EA729" s="18"/>
      <c r="EB729" s="18"/>
      <c r="EC729" s="18"/>
      <c r="ED729" s="18"/>
      <c r="EE729" s="18"/>
      <c r="EF729" s="18"/>
      <c r="EG729" s="18"/>
      <c r="EH729" s="18"/>
      <c r="EI729" s="18"/>
      <c r="EJ729" s="18"/>
      <c r="EK729" s="18"/>
      <c r="EL729" s="18"/>
      <c r="EM729" s="18"/>
      <c r="EN729" s="18"/>
      <c r="EO729" s="18"/>
      <c r="EP729" s="18"/>
      <c r="EQ729" s="18"/>
      <c r="ER729" s="18"/>
      <c r="ES729" s="18"/>
      <c r="ET729" s="18"/>
      <c r="EU729" s="18"/>
      <c r="EV729" s="18"/>
      <c r="EW729" s="18"/>
      <c r="EX729" s="18"/>
    </row>
    <row r="730">
      <c r="A730" s="101"/>
      <c r="B730" s="105"/>
      <c r="C730" s="105"/>
      <c r="D730" s="106"/>
      <c r="E730" s="110"/>
      <c r="F730" s="92"/>
      <c r="G730" s="18"/>
      <c r="H730" s="101" t="str">
        <f>IFERROR(__xludf.DUMMYFUNCTION("""COMPUTED_VALUE"""),"")</f>
        <v/>
      </c>
      <c r="I730" s="67" t="str">
        <f>IFERROR(__xludf.DUMMYFUNCTION("""COMPUTED_VALUE"""),"")</f>
        <v/>
      </c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/>
      <c r="DN730" s="18"/>
      <c r="DO730" s="18"/>
      <c r="DP730" s="18"/>
      <c r="DQ730" s="18"/>
      <c r="DR730" s="18"/>
      <c r="DS730" s="18"/>
      <c r="DT730" s="18"/>
      <c r="DU730" s="18"/>
      <c r="DV730" s="18"/>
      <c r="DW730" s="18"/>
      <c r="DX730" s="18"/>
      <c r="DY730" s="18"/>
      <c r="DZ730" s="18"/>
      <c r="EA730" s="18"/>
      <c r="EB730" s="18"/>
      <c r="EC730" s="18"/>
      <c r="ED730" s="18"/>
      <c r="EE730" s="18"/>
      <c r="EF730" s="18"/>
      <c r="EG730" s="18"/>
      <c r="EH730" s="18"/>
      <c r="EI730" s="18"/>
      <c r="EJ730" s="18"/>
      <c r="EK730" s="18"/>
      <c r="EL730" s="18"/>
      <c r="EM730" s="18"/>
      <c r="EN730" s="18"/>
      <c r="EO730" s="18"/>
      <c r="EP730" s="18"/>
      <c r="EQ730" s="18"/>
      <c r="ER730" s="18"/>
      <c r="ES730" s="18"/>
      <c r="ET730" s="18"/>
      <c r="EU730" s="18"/>
      <c r="EV730" s="18"/>
      <c r="EW730" s="18"/>
      <c r="EX730" s="18"/>
    </row>
    <row r="731">
      <c r="A731" s="101"/>
      <c r="B731" s="105"/>
      <c r="C731" s="105"/>
      <c r="D731" s="106"/>
      <c r="E731" s="110"/>
      <c r="F731" s="92"/>
      <c r="G731" s="18"/>
      <c r="H731" s="101" t="str">
        <f>IFERROR(__xludf.DUMMYFUNCTION("""COMPUTED_VALUE"""),"")</f>
        <v/>
      </c>
      <c r="I731" s="67" t="str">
        <f>IFERROR(__xludf.DUMMYFUNCTION("""COMPUTED_VALUE"""),"")</f>
        <v/>
      </c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  <c r="DW731" s="18"/>
      <c r="DX731" s="18"/>
      <c r="DY731" s="18"/>
      <c r="DZ731" s="18"/>
      <c r="EA731" s="18"/>
      <c r="EB731" s="18"/>
      <c r="EC731" s="18"/>
      <c r="ED731" s="18"/>
      <c r="EE731" s="18"/>
      <c r="EF731" s="18"/>
      <c r="EG731" s="18"/>
      <c r="EH731" s="18"/>
      <c r="EI731" s="18"/>
      <c r="EJ731" s="18"/>
      <c r="EK731" s="18"/>
      <c r="EL731" s="18"/>
      <c r="EM731" s="18"/>
      <c r="EN731" s="18"/>
      <c r="EO731" s="18"/>
      <c r="EP731" s="18"/>
      <c r="EQ731" s="18"/>
      <c r="ER731" s="18"/>
      <c r="ES731" s="18"/>
      <c r="ET731" s="18"/>
      <c r="EU731" s="18"/>
      <c r="EV731" s="18"/>
      <c r="EW731" s="18"/>
      <c r="EX731" s="18"/>
    </row>
    <row r="732">
      <c r="A732" s="101"/>
      <c r="B732" s="105"/>
      <c r="C732" s="105"/>
      <c r="D732" s="106"/>
      <c r="E732" s="110"/>
      <c r="F732" s="92"/>
      <c r="G732" s="18"/>
      <c r="H732" s="101" t="str">
        <f>IFERROR(__xludf.DUMMYFUNCTION("""COMPUTED_VALUE"""),"")</f>
        <v/>
      </c>
      <c r="I732" s="67" t="str">
        <f>IFERROR(__xludf.DUMMYFUNCTION("""COMPUTED_VALUE"""),"")</f>
        <v/>
      </c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  <c r="DW732" s="18"/>
      <c r="DX732" s="18"/>
      <c r="DY732" s="18"/>
      <c r="DZ732" s="18"/>
      <c r="EA732" s="18"/>
      <c r="EB732" s="18"/>
      <c r="EC732" s="18"/>
      <c r="ED732" s="18"/>
      <c r="EE732" s="18"/>
      <c r="EF732" s="18"/>
      <c r="EG732" s="18"/>
      <c r="EH732" s="18"/>
      <c r="EI732" s="18"/>
      <c r="EJ732" s="18"/>
      <c r="EK732" s="18"/>
      <c r="EL732" s="18"/>
      <c r="EM732" s="18"/>
      <c r="EN732" s="18"/>
      <c r="EO732" s="18"/>
      <c r="EP732" s="18"/>
      <c r="EQ732" s="18"/>
      <c r="ER732" s="18"/>
      <c r="ES732" s="18"/>
      <c r="ET732" s="18"/>
      <c r="EU732" s="18"/>
      <c r="EV732" s="18"/>
      <c r="EW732" s="18"/>
      <c r="EX732" s="18"/>
    </row>
    <row r="733">
      <c r="A733" s="101"/>
      <c r="B733" s="105"/>
      <c r="C733" s="105"/>
      <c r="D733" s="106"/>
      <c r="E733" s="110"/>
      <c r="F733" s="92"/>
      <c r="G733" s="18"/>
      <c r="H733" s="101" t="str">
        <f>IFERROR(__xludf.DUMMYFUNCTION("""COMPUTED_VALUE"""),"")</f>
        <v/>
      </c>
      <c r="I733" s="67" t="str">
        <f>IFERROR(__xludf.DUMMYFUNCTION("""COMPUTED_VALUE"""),"")</f>
        <v/>
      </c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  <c r="DW733" s="18"/>
      <c r="DX733" s="18"/>
      <c r="DY733" s="18"/>
      <c r="DZ733" s="18"/>
      <c r="EA733" s="18"/>
      <c r="EB733" s="18"/>
      <c r="EC733" s="18"/>
      <c r="ED733" s="18"/>
      <c r="EE733" s="18"/>
      <c r="EF733" s="18"/>
      <c r="EG733" s="18"/>
      <c r="EH733" s="18"/>
      <c r="EI733" s="18"/>
      <c r="EJ733" s="18"/>
      <c r="EK733" s="18"/>
      <c r="EL733" s="18"/>
      <c r="EM733" s="18"/>
      <c r="EN733" s="18"/>
      <c r="EO733" s="18"/>
      <c r="EP733" s="18"/>
      <c r="EQ733" s="18"/>
      <c r="ER733" s="18"/>
      <c r="ES733" s="18"/>
      <c r="ET733" s="18"/>
      <c r="EU733" s="18"/>
      <c r="EV733" s="18"/>
      <c r="EW733" s="18"/>
      <c r="EX733" s="18"/>
    </row>
    <row r="734">
      <c r="A734" s="101"/>
      <c r="B734" s="105"/>
      <c r="C734" s="105"/>
      <c r="D734" s="106"/>
      <c r="E734" s="110"/>
      <c r="F734" s="92"/>
      <c r="G734" s="18"/>
      <c r="H734" s="101" t="str">
        <f>IFERROR(__xludf.DUMMYFUNCTION("""COMPUTED_VALUE"""),"")</f>
        <v/>
      </c>
      <c r="I734" s="67" t="str">
        <f>IFERROR(__xludf.DUMMYFUNCTION("""COMPUTED_VALUE"""),"")</f>
        <v/>
      </c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E734" s="18"/>
      <c r="EF734" s="18"/>
      <c r="EG734" s="18"/>
      <c r="EH734" s="18"/>
      <c r="EI734" s="18"/>
      <c r="EJ734" s="18"/>
      <c r="EK734" s="18"/>
      <c r="EL734" s="18"/>
      <c r="EM734" s="18"/>
      <c r="EN734" s="18"/>
      <c r="EO734" s="18"/>
      <c r="EP734" s="18"/>
      <c r="EQ734" s="18"/>
      <c r="ER734" s="18"/>
      <c r="ES734" s="18"/>
      <c r="ET734" s="18"/>
      <c r="EU734" s="18"/>
      <c r="EV734" s="18"/>
      <c r="EW734" s="18"/>
      <c r="EX734" s="18"/>
    </row>
    <row r="735">
      <c r="A735" s="101"/>
      <c r="B735" s="105"/>
      <c r="C735" s="105"/>
      <c r="D735" s="106"/>
      <c r="E735" s="110"/>
      <c r="F735" s="92"/>
      <c r="G735" s="18"/>
      <c r="H735" s="101" t="str">
        <f>IFERROR(__xludf.DUMMYFUNCTION("""COMPUTED_VALUE"""),"")</f>
        <v/>
      </c>
      <c r="I735" s="67" t="str">
        <f>IFERROR(__xludf.DUMMYFUNCTION("""COMPUTED_VALUE"""),"")</f>
        <v/>
      </c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  <c r="DW735" s="18"/>
      <c r="DX735" s="18"/>
      <c r="DY735" s="18"/>
      <c r="DZ735" s="18"/>
      <c r="EA735" s="18"/>
      <c r="EB735" s="18"/>
      <c r="EC735" s="18"/>
      <c r="ED735" s="18"/>
      <c r="EE735" s="18"/>
      <c r="EF735" s="18"/>
      <c r="EG735" s="18"/>
      <c r="EH735" s="18"/>
      <c r="EI735" s="18"/>
      <c r="EJ735" s="18"/>
      <c r="EK735" s="18"/>
      <c r="EL735" s="18"/>
      <c r="EM735" s="18"/>
      <c r="EN735" s="18"/>
      <c r="EO735" s="18"/>
      <c r="EP735" s="18"/>
      <c r="EQ735" s="18"/>
      <c r="ER735" s="18"/>
      <c r="ES735" s="18"/>
      <c r="ET735" s="18"/>
      <c r="EU735" s="18"/>
      <c r="EV735" s="18"/>
      <c r="EW735" s="18"/>
      <c r="EX735" s="18"/>
    </row>
    <row r="736">
      <c r="A736" s="101"/>
      <c r="B736" s="105"/>
      <c r="C736" s="105"/>
      <c r="D736" s="106"/>
      <c r="E736" s="110"/>
      <c r="F736" s="92"/>
      <c r="G736" s="18"/>
      <c r="H736" s="101" t="str">
        <f>IFERROR(__xludf.DUMMYFUNCTION("""COMPUTED_VALUE"""),"")</f>
        <v/>
      </c>
      <c r="I736" s="67" t="str">
        <f>IFERROR(__xludf.DUMMYFUNCTION("""COMPUTED_VALUE"""),"")</f>
        <v/>
      </c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  <c r="DW736" s="18"/>
      <c r="DX736" s="18"/>
      <c r="DY736" s="18"/>
      <c r="DZ736" s="18"/>
      <c r="EA736" s="18"/>
      <c r="EB736" s="18"/>
      <c r="EC736" s="18"/>
      <c r="ED736" s="18"/>
      <c r="EE736" s="18"/>
      <c r="EF736" s="18"/>
      <c r="EG736" s="18"/>
      <c r="EH736" s="18"/>
      <c r="EI736" s="18"/>
      <c r="EJ736" s="18"/>
      <c r="EK736" s="18"/>
      <c r="EL736" s="18"/>
      <c r="EM736" s="18"/>
      <c r="EN736" s="18"/>
      <c r="EO736" s="18"/>
      <c r="EP736" s="18"/>
      <c r="EQ736" s="18"/>
      <c r="ER736" s="18"/>
      <c r="ES736" s="18"/>
      <c r="ET736" s="18"/>
      <c r="EU736" s="18"/>
      <c r="EV736" s="18"/>
      <c r="EW736" s="18"/>
      <c r="EX736" s="18"/>
    </row>
    <row r="737">
      <c r="A737" s="101"/>
      <c r="B737" s="105"/>
      <c r="C737" s="105"/>
      <c r="D737" s="106"/>
      <c r="E737" s="110"/>
      <c r="F737" s="92"/>
      <c r="G737" s="18"/>
      <c r="H737" s="101" t="str">
        <f>IFERROR(__xludf.DUMMYFUNCTION("""COMPUTED_VALUE"""),"")</f>
        <v/>
      </c>
      <c r="I737" s="67" t="str">
        <f>IFERROR(__xludf.DUMMYFUNCTION("""COMPUTED_VALUE"""),"")</f>
        <v/>
      </c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  <c r="DW737" s="18"/>
      <c r="DX737" s="18"/>
      <c r="DY737" s="18"/>
      <c r="DZ737" s="18"/>
      <c r="EA737" s="18"/>
      <c r="EB737" s="18"/>
      <c r="EC737" s="18"/>
      <c r="ED737" s="18"/>
      <c r="EE737" s="18"/>
      <c r="EF737" s="18"/>
      <c r="EG737" s="18"/>
      <c r="EH737" s="18"/>
      <c r="EI737" s="18"/>
      <c r="EJ737" s="18"/>
      <c r="EK737" s="18"/>
      <c r="EL737" s="18"/>
      <c r="EM737" s="18"/>
      <c r="EN737" s="18"/>
      <c r="EO737" s="18"/>
      <c r="EP737" s="18"/>
      <c r="EQ737" s="18"/>
      <c r="ER737" s="18"/>
      <c r="ES737" s="18"/>
      <c r="ET737" s="18"/>
      <c r="EU737" s="18"/>
      <c r="EV737" s="18"/>
      <c r="EW737" s="18"/>
      <c r="EX737" s="18"/>
    </row>
    <row r="738">
      <c r="A738" s="101"/>
      <c r="B738" s="105"/>
      <c r="C738" s="105"/>
      <c r="D738" s="106"/>
      <c r="E738" s="110"/>
      <c r="F738" s="92"/>
      <c r="G738" s="18"/>
      <c r="H738" s="101" t="str">
        <f>IFERROR(__xludf.DUMMYFUNCTION("""COMPUTED_VALUE"""),"")</f>
        <v/>
      </c>
      <c r="I738" s="67" t="str">
        <f>IFERROR(__xludf.DUMMYFUNCTION("""COMPUTED_VALUE"""),"")</f>
        <v/>
      </c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  <c r="DW738" s="18"/>
      <c r="DX738" s="18"/>
      <c r="DY738" s="18"/>
      <c r="DZ738" s="18"/>
      <c r="EA738" s="18"/>
      <c r="EB738" s="18"/>
      <c r="EC738" s="18"/>
      <c r="ED738" s="18"/>
      <c r="EE738" s="18"/>
      <c r="EF738" s="18"/>
      <c r="EG738" s="18"/>
      <c r="EH738" s="18"/>
      <c r="EI738" s="18"/>
      <c r="EJ738" s="18"/>
      <c r="EK738" s="18"/>
      <c r="EL738" s="18"/>
      <c r="EM738" s="18"/>
      <c r="EN738" s="18"/>
      <c r="EO738" s="18"/>
      <c r="EP738" s="18"/>
      <c r="EQ738" s="18"/>
      <c r="ER738" s="18"/>
      <c r="ES738" s="18"/>
      <c r="ET738" s="18"/>
      <c r="EU738" s="18"/>
      <c r="EV738" s="18"/>
      <c r="EW738" s="18"/>
      <c r="EX738" s="18"/>
    </row>
    <row r="739">
      <c r="A739" s="101"/>
      <c r="B739" s="105"/>
      <c r="C739" s="105"/>
      <c r="D739" s="106"/>
      <c r="E739" s="110"/>
      <c r="F739" s="92"/>
      <c r="G739" s="18"/>
      <c r="H739" s="101" t="str">
        <f>IFERROR(__xludf.DUMMYFUNCTION("""COMPUTED_VALUE"""),"")</f>
        <v/>
      </c>
      <c r="I739" s="67" t="str">
        <f>IFERROR(__xludf.DUMMYFUNCTION("""COMPUTED_VALUE"""),"")</f>
        <v/>
      </c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E739" s="18"/>
      <c r="EF739" s="18"/>
      <c r="EG739" s="18"/>
      <c r="EH739" s="18"/>
      <c r="EI739" s="18"/>
      <c r="EJ739" s="18"/>
      <c r="EK739" s="18"/>
      <c r="EL739" s="18"/>
      <c r="EM739" s="18"/>
      <c r="EN739" s="18"/>
      <c r="EO739" s="18"/>
      <c r="EP739" s="18"/>
      <c r="EQ739" s="18"/>
      <c r="ER739" s="18"/>
      <c r="ES739" s="18"/>
      <c r="ET739" s="18"/>
      <c r="EU739" s="18"/>
      <c r="EV739" s="18"/>
      <c r="EW739" s="18"/>
      <c r="EX739" s="18"/>
    </row>
    <row r="740">
      <c r="A740" s="101"/>
      <c r="B740" s="105"/>
      <c r="C740" s="105"/>
      <c r="D740" s="106"/>
      <c r="E740" s="110"/>
      <c r="F740" s="92"/>
      <c r="G740" s="18"/>
      <c r="H740" s="101" t="str">
        <f>IFERROR(__xludf.DUMMYFUNCTION("""COMPUTED_VALUE"""),"")</f>
        <v/>
      </c>
      <c r="I740" s="67" t="str">
        <f>IFERROR(__xludf.DUMMYFUNCTION("""COMPUTED_VALUE"""),"")</f>
        <v/>
      </c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E740" s="18"/>
      <c r="EF740" s="18"/>
      <c r="EG740" s="18"/>
      <c r="EH740" s="18"/>
      <c r="EI740" s="18"/>
      <c r="EJ740" s="18"/>
      <c r="EK740" s="18"/>
      <c r="EL740" s="18"/>
      <c r="EM740" s="18"/>
      <c r="EN740" s="18"/>
      <c r="EO740" s="18"/>
      <c r="EP740" s="18"/>
      <c r="EQ740" s="18"/>
      <c r="ER740" s="18"/>
      <c r="ES740" s="18"/>
      <c r="ET740" s="18"/>
      <c r="EU740" s="18"/>
      <c r="EV740" s="18"/>
      <c r="EW740" s="18"/>
      <c r="EX740" s="18"/>
    </row>
    <row r="741">
      <c r="A741" s="101"/>
      <c r="B741" s="105"/>
      <c r="C741" s="105"/>
      <c r="D741" s="106"/>
      <c r="E741" s="110"/>
      <c r="F741" s="92"/>
      <c r="G741" s="18"/>
      <c r="H741" s="101" t="str">
        <f>IFERROR(__xludf.DUMMYFUNCTION("""COMPUTED_VALUE"""),"")</f>
        <v/>
      </c>
      <c r="I741" s="67" t="str">
        <f>IFERROR(__xludf.DUMMYFUNCTION("""COMPUTED_VALUE"""),"")</f>
        <v/>
      </c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E741" s="18"/>
      <c r="EF741" s="18"/>
      <c r="EG741" s="18"/>
      <c r="EH741" s="18"/>
      <c r="EI741" s="18"/>
      <c r="EJ741" s="18"/>
      <c r="EK741" s="18"/>
      <c r="EL741" s="18"/>
      <c r="EM741" s="18"/>
      <c r="EN741" s="18"/>
      <c r="EO741" s="18"/>
      <c r="EP741" s="18"/>
      <c r="EQ741" s="18"/>
      <c r="ER741" s="18"/>
      <c r="ES741" s="18"/>
      <c r="ET741" s="18"/>
      <c r="EU741" s="18"/>
      <c r="EV741" s="18"/>
      <c r="EW741" s="18"/>
      <c r="EX741" s="18"/>
    </row>
    <row r="742">
      <c r="A742" s="101"/>
      <c r="B742" s="105"/>
      <c r="C742" s="105"/>
      <c r="D742" s="106"/>
      <c r="E742" s="110"/>
      <c r="F742" s="92"/>
      <c r="G742" s="18"/>
      <c r="H742" s="101" t="str">
        <f>IFERROR(__xludf.DUMMYFUNCTION("""COMPUTED_VALUE"""),"")</f>
        <v/>
      </c>
      <c r="I742" s="67" t="str">
        <f>IFERROR(__xludf.DUMMYFUNCTION("""COMPUTED_VALUE"""),"")</f>
        <v/>
      </c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E742" s="18"/>
      <c r="EF742" s="18"/>
      <c r="EG742" s="18"/>
      <c r="EH742" s="18"/>
      <c r="EI742" s="18"/>
      <c r="EJ742" s="18"/>
      <c r="EK742" s="18"/>
      <c r="EL742" s="18"/>
      <c r="EM742" s="18"/>
      <c r="EN742" s="18"/>
      <c r="EO742" s="18"/>
      <c r="EP742" s="18"/>
      <c r="EQ742" s="18"/>
      <c r="ER742" s="18"/>
      <c r="ES742" s="18"/>
      <c r="ET742" s="18"/>
      <c r="EU742" s="18"/>
      <c r="EV742" s="18"/>
      <c r="EW742" s="18"/>
      <c r="EX742" s="18"/>
    </row>
    <row r="743">
      <c r="A743" s="101"/>
      <c r="B743" s="105"/>
      <c r="C743" s="105"/>
      <c r="D743" s="106"/>
      <c r="E743" s="110"/>
      <c r="F743" s="92"/>
      <c r="G743" s="18"/>
      <c r="H743" s="101" t="str">
        <f>IFERROR(__xludf.DUMMYFUNCTION("""COMPUTED_VALUE"""),"")</f>
        <v/>
      </c>
      <c r="I743" s="67" t="str">
        <f>IFERROR(__xludf.DUMMYFUNCTION("""COMPUTED_VALUE"""),"")</f>
        <v/>
      </c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E743" s="18"/>
      <c r="EF743" s="18"/>
      <c r="EG743" s="18"/>
      <c r="EH743" s="18"/>
      <c r="EI743" s="18"/>
      <c r="EJ743" s="18"/>
      <c r="EK743" s="18"/>
      <c r="EL743" s="18"/>
      <c r="EM743" s="18"/>
      <c r="EN743" s="18"/>
      <c r="EO743" s="18"/>
      <c r="EP743" s="18"/>
      <c r="EQ743" s="18"/>
      <c r="ER743" s="18"/>
      <c r="ES743" s="18"/>
      <c r="ET743" s="18"/>
      <c r="EU743" s="18"/>
      <c r="EV743" s="18"/>
      <c r="EW743" s="18"/>
      <c r="EX743" s="18"/>
    </row>
    <row r="744">
      <c r="A744" s="101"/>
      <c r="B744" s="105"/>
      <c r="C744" s="105"/>
      <c r="D744" s="106"/>
      <c r="E744" s="110"/>
      <c r="F744" s="92"/>
      <c r="G744" s="18"/>
      <c r="H744" s="101" t="str">
        <f>IFERROR(__xludf.DUMMYFUNCTION("""COMPUTED_VALUE"""),"")</f>
        <v/>
      </c>
      <c r="I744" s="67" t="str">
        <f>IFERROR(__xludf.DUMMYFUNCTION("""COMPUTED_VALUE"""),"")</f>
        <v/>
      </c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E744" s="18"/>
      <c r="EF744" s="18"/>
      <c r="EG744" s="18"/>
      <c r="EH744" s="18"/>
      <c r="EI744" s="18"/>
      <c r="EJ744" s="18"/>
      <c r="EK744" s="18"/>
      <c r="EL744" s="18"/>
      <c r="EM744" s="18"/>
      <c r="EN744" s="18"/>
      <c r="EO744" s="18"/>
      <c r="EP744" s="18"/>
      <c r="EQ744" s="18"/>
      <c r="ER744" s="18"/>
      <c r="ES744" s="18"/>
      <c r="ET744" s="18"/>
      <c r="EU744" s="18"/>
      <c r="EV744" s="18"/>
      <c r="EW744" s="18"/>
      <c r="EX744" s="18"/>
    </row>
    <row r="745">
      <c r="A745" s="101"/>
      <c r="B745" s="105"/>
      <c r="C745" s="105"/>
      <c r="D745" s="106"/>
      <c r="E745" s="110"/>
      <c r="F745" s="92"/>
      <c r="G745" s="18"/>
      <c r="H745" s="101" t="str">
        <f>IFERROR(__xludf.DUMMYFUNCTION("""COMPUTED_VALUE"""),"")</f>
        <v/>
      </c>
      <c r="I745" s="67" t="str">
        <f>IFERROR(__xludf.DUMMYFUNCTION("""COMPUTED_VALUE"""),"")</f>
        <v/>
      </c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E745" s="18"/>
      <c r="EF745" s="18"/>
      <c r="EG745" s="18"/>
      <c r="EH745" s="18"/>
      <c r="EI745" s="18"/>
      <c r="EJ745" s="18"/>
      <c r="EK745" s="18"/>
      <c r="EL745" s="18"/>
      <c r="EM745" s="18"/>
      <c r="EN745" s="18"/>
      <c r="EO745" s="18"/>
      <c r="EP745" s="18"/>
      <c r="EQ745" s="18"/>
      <c r="ER745" s="18"/>
      <c r="ES745" s="18"/>
      <c r="ET745" s="18"/>
      <c r="EU745" s="18"/>
      <c r="EV745" s="18"/>
      <c r="EW745" s="18"/>
      <c r="EX745" s="18"/>
    </row>
    <row r="746">
      <c r="A746" s="101"/>
      <c r="B746" s="105"/>
      <c r="C746" s="105"/>
      <c r="D746" s="106"/>
      <c r="E746" s="110"/>
      <c r="F746" s="92"/>
      <c r="G746" s="18"/>
      <c r="H746" s="101" t="str">
        <f>IFERROR(__xludf.DUMMYFUNCTION("""COMPUTED_VALUE"""),"")</f>
        <v/>
      </c>
      <c r="I746" s="67" t="str">
        <f>IFERROR(__xludf.DUMMYFUNCTION("""COMPUTED_VALUE"""),"")</f>
        <v/>
      </c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E746" s="18"/>
      <c r="EF746" s="18"/>
      <c r="EG746" s="18"/>
      <c r="EH746" s="18"/>
      <c r="EI746" s="18"/>
      <c r="EJ746" s="18"/>
      <c r="EK746" s="18"/>
      <c r="EL746" s="18"/>
      <c r="EM746" s="18"/>
      <c r="EN746" s="18"/>
      <c r="EO746" s="18"/>
      <c r="EP746" s="18"/>
      <c r="EQ746" s="18"/>
      <c r="ER746" s="18"/>
      <c r="ES746" s="18"/>
      <c r="ET746" s="18"/>
      <c r="EU746" s="18"/>
      <c r="EV746" s="18"/>
      <c r="EW746" s="18"/>
      <c r="EX746" s="18"/>
    </row>
    <row r="747">
      <c r="A747" s="101"/>
      <c r="B747" s="105"/>
      <c r="C747" s="105"/>
      <c r="D747" s="106"/>
      <c r="E747" s="110"/>
      <c r="F747" s="92"/>
      <c r="G747" s="18"/>
      <c r="H747" s="101" t="str">
        <f>IFERROR(__xludf.DUMMYFUNCTION("""COMPUTED_VALUE"""),"")</f>
        <v/>
      </c>
      <c r="I747" s="67" t="str">
        <f>IFERROR(__xludf.DUMMYFUNCTION("""COMPUTED_VALUE"""),"")</f>
        <v/>
      </c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E747" s="18"/>
      <c r="EF747" s="18"/>
      <c r="EG747" s="18"/>
      <c r="EH747" s="18"/>
      <c r="EI747" s="18"/>
      <c r="EJ747" s="18"/>
      <c r="EK747" s="18"/>
      <c r="EL747" s="18"/>
      <c r="EM747" s="18"/>
      <c r="EN747" s="18"/>
      <c r="EO747" s="18"/>
      <c r="EP747" s="18"/>
      <c r="EQ747" s="18"/>
      <c r="ER747" s="18"/>
      <c r="ES747" s="18"/>
      <c r="ET747" s="18"/>
      <c r="EU747" s="18"/>
      <c r="EV747" s="18"/>
      <c r="EW747" s="18"/>
      <c r="EX747" s="18"/>
    </row>
    <row r="748">
      <c r="A748" s="101"/>
      <c r="B748" s="105"/>
      <c r="C748" s="105"/>
      <c r="D748" s="106"/>
      <c r="E748" s="110"/>
      <c r="F748" s="92"/>
      <c r="G748" s="18"/>
      <c r="H748" s="101" t="str">
        <f>IFERROR(__xludf.DUMMYFUNCTION("""COMPUTED_VALUE"""),"")</f>
        <v/>
      </c>
      <c r="I748" s="67" t="str">
        <f>IFERROR(__xludf.DUMMYFUNCTION("""COMPUTED_VALUE"""),"")</f>
        <v/>
      </c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  <c r="DW748" s="18"/>
      <c r="DX748" s="18"/>
      <c r="DY748" s="18"/>
      <c r="DZ748" s="18"/>
      <c r="EA748" s="18"/>
      <c r="EB748" s="18"/>
      <c r="EC748" s="18"/>
      <c r="ED748" s="18"/>
      <c r="EE748" s="18"/>
      <c r="EF748" s="18"/>
      <c r="EG748" s="18"/>
      <c r="EH748" s="18"/>
      <c r="EI748" s="18"/>
      <c r="EJ748" s="18"/>
      <c r="EK748" s="18"/>
      <c r="EL748" s="18"/>
      <c r="EM748" s="18"/>
      <c r="EN748" s="18"/>
      <c r="EO748" s="18"/>
      <c r="EP748" s="18"/>
      <c r="EQ748" s="18"/>
      <c r="ER748" s="18"/>
      <c r="ES748" s="18"/>
      <c r="ET748" s="18"/>
      <c r="EU748" s="18"/>
      <c r="EV748" s="18"/>
      <c r="EW748" s="18"/>
      <c r="EX748" s="18"/>
    </row>
    <row r="749">
      <c r="A749" s="101"/>
      <c r="B749" s="105"/>
      <c r="C749" s="105"/>
      <c r="D749" s="106"/>
      <c r="E749" s="110"/>
      <c r="F749" s="92"/>
      <c r="G749" s="18"/>
      <c r="H749" s="101" t="str">
        <f>IFERROR(__xludf.DUMMYFUNCTION("""COMPUTED_VALUE"""),"")</f>
        <v/>
      </c>
      <c r="I749" s="67" t="str">
        <f>IFERROR(__xludf.DUMMYFUNCTION("""COMPUTED_VALUE"""),"")</f>
        <v/>
      </c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  <c r="DW749" s="18"/>
      <c r="DX749" s="18"/>
      <c r="DY749" s="18"/>
      <c r="DZ749" s="18"/>
      <c r="EA749" s="18"/>
      <c r="EB749" s="18"/>
      <c r="EC749" s="18"/>
      <c r="ED749" s="18"/>
      <c r="EE749" s="18"/>
      <c r="EF749" s="18"/>
      <c r="EG749" s="18"/>
      <c r="EH749" s="18"/>
      <c r="EI749" s="18"/>
      <c r="EJ749" s="18"/>
      <c r="EK749" s="18"/>
      <c r="EL749" s="18"/>
      <c r="EM749" s="18"/>
      <c r="EN749" s="18"/>
      <c r="EO749" s="18"/>
      <c r="EP749" s="18"/>
      <c r="EQ749" s="18"/>
      <c r="ER749" s="18"/>
      <c r="ES749" s="18"/>
      <c r="ET749" s="18"/>
      <c r="EU749" s="18"/>
      <c r="EV749" s="18"/>
      <c r="EW749" s="18"/>
      <c r="EX749" s="18"/>
    </row>
    <row r="750">
      <c r="A750" s="101"/>
      <c r="B750" s="105"/>
      <c r="C750" s="105"/>
      <c r="D750" s="106"/>
      <c r="E750" s="110"/>
      <c r="F750" s="92"/>
      <c r="G750" s="18"/>
      <c r="H750" s="101" t="str">
        <f>IFERROR(__xludf.DUMMYFUNCTION("""COMPUTED_VALUE"""),"")</f>
        <v/>
      </c>
      <c r="I750" s="67" t="str">
        <f>IFERROR(__xludf.DUMMYFUNCTION("""COMPUTED_VALUE"""),"")</f>
        <v/>
      </c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  <c r="DW750" s="18"/>
      <c r="DX750" s="18"/>
      <c r="DY750" s="18"/>
      <c r="DZ750" s="18"/>
      <c r="EA750" s="18"/>
      <c r="EB750" s="18"/>
      <c r="EC750" s="18"/>
      <c r="ED750" s="18"/>
      <c r="EE750" s="18"/>
      <c r="EF750" s="18"/>
      <c r="EG750" s="18"/>
      <c r="EH750" s="18"/>
      <c r="EI750" s="18"/>
      <c r="EJ750" s="18"/>
      <c r="EK750" s="18"/>
      <c r="EL750" s="18"/>
      <c r="EM750" s="18"/>
      <c r="EN750" s="18"/>
      <c r="EO750" s="18"/>
      <c r="EP750" s="18"/>
      <c r="EQ750" s="18"/>
      <c r="ER750" s="18"/>
      <c r="ES750" s="18"/>
      <c r="ET750" s="18"/>
      <c r="EU750" s="18"/>
      <c r="EV750" s="18"/>
      <c r="EW750" s="18"/>
      <c r="EX750" s="18"/>
    </row>
    <row r="751">
      <c r="A751" s="101"/>
      <c r="B751" s="105"/>
      <c r="C751" s="105"/>
      <c r="D751" s="106"/>
      <c r="E751" s="110"/>
      <c r="F751" s="92"/>
      <c r="G751" s="18"/>
      <c r="H751" s="101" t="str">
        <f>IFERROR(__xludf.DUMMYFUNCTION("""COMPUTED_VALUE"""),"")</f>
        <v/>
      </c>
      <c r="I751" s="67" t="str">
        <f>IFERROR(__xludf.DUMMYFUNCTION("""COMPUTED_VALUE"""),"")</f>
        <v/>
      </c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  <c r="DW751" s="18"/>
      <c r="DX751" s="18"/>
      <c r="DY751" s="18"/>
      <c r="DZ751" s="18"/>
      <c r="EA751" s="18"/>
      <c r="EB751" s="18"/>
      <c r="EC751" s="18"/>
      <c r="ED751" s="18"/>
      <c r="EE751" s="18"/>
      <c r="EF751" s="18"/>
      <c r="EG751" s="18"/>
      <c r="EH751" s="18"/>
      <c r="EI751" s="18"/>
      <c r="EJ751" s="18"/>
      <c r="EK751" s="18"/>
      <c r="EL751" s="18"/>
      <c r="EM751" s="18"/>
      <c r="EN751" s="18"/>
      <c r="EO751" s="18"/>
      <c r="EP751" s="18"/>
      <c r="EQ751" s="18"/>
      <c r="ER751" s="18"/>
      <c r="ES751" s="18"/>
      <c r="ET751" s="18"/>
      <c r="EU751" s="18"/>
      <c r="EV751" s="18"/>
      <c r="EW751" s="18"/>
      <c r="EX751" s="18"/>
    </row>
    <row r="752">
      <c r="A752" s="101"/>
      <c r="B752" s="105"/>
      <c r="C752" s="105"/>
      <c r="D752" s="106"/>
      <c r="E752" s="110"/>
      <c r="F752" s="92"/>
      <c r="G752" s="18"/>
      <c r="H752" s="101" t="str">
        <f>IFERROR(__xludf.DUMMYFUNCTION("""COMPUTED_VALUE"""),"")</f>
        <v/>
      </c>
      <c r="I752" s="67" t="str">
        <f>IFERROR(__xludf.DUMMYFUNCTION("""COMPUTED_VALUE"""),"")</f>
        <v/>
      </c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E752" s="18"/>
      <c r="EF752" s="18"/>
      <c r="EG752" s="18"/>
      <c r="EH752" s="18"/>
      <c r="EI752" s="18"/>
      <c r="EJ752" s="18"/>
      <c r="EK752" s="18"/>
      <c r="EL752" s="18"/>
      <c r="EM752" s="18"/>
      <c r="EN752" s="18"/>
      <c r="EO752" s="18"/>
      <c r="EP752" s="18"/>
      <c r="EQ752" s="18"/>
      <c r="ER752" s="18"/>
      <c r="ES752" s="18"/>
      <c r="ET752" s="18"/>
      <c r="EU752" s="18"/>
      <c r="EV752" s="18"/>
      <c r="EW752" s="18"/>
      <c r="EX752" s="18"/>
    </row>
    <row r="753">
      <c r="A753" s="101"/>
      <c r="B753" s="105"/>
      <c r="C753" s="105"/>
      <c r="D753" s="106"/>
      <c r="E753" s="110"/>
      <c r="F753" s="92"/>
      <c r="G753" s="18"/>
      <c r="H753" s="101" t="str">
        <f>IFERROR(__xludf.DUMMYFUNCTION("""COMPUTED_VALUE"""),"")</f>
        <v/>
      </c>
      <c r="I753" s="67" t="str">
        <f>IFERROR(__xludf.DUMMYFUNCTION("""COMPUTED_VALUE"""),"")</f>
        <v/>
      </c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  <c r="DY753" s="18"/>
      <c r="DZ753" s="18"/>
      <c r="EA753" s="18"/>
      <c r="EB753" s="18"/>
      <c r="EC753" s="18"/>
      <c r="ED753" s="18"/>
      <c r="EE753" s="18"/>
      <c r="EF753" s="18"/>
      <c r="EG753" s="18"/>
      <c r="EH753" s="18"/>
      <c r="EI753" s="18"/>
      <c r="EJ753" s="18"/>
      <c r="EK753" s="18"/>
      <c r="EL753" s="18"/>
      <c r="EM753" s="18"/>
      <c r="EN753" s="18"/>
      <c r="EO753" s="18"/>
      <c r="EP753" s="18"/>
      <c r="EQ753" s="18"/>
      <c r="ER753" s="18"/>
      <c r="ES753" s="18"/>
      <c r="ET753" s="18"/>
      <c r="EU753" s="18"/>
      <c r="EV753" s="18"/>
      <c r="EW753" s="18"/>
      <c r="EX753" s="18"/>
    </row>
    <row r="754">
      <c r="A754" s="101"/>
      <c r="B754" s="105"/>
      <c r="C754" s="105"/>
      <c r="D754" s="106"/>
      <c r="E754" s="110"/>
      <c r="F754" s="92"/>
      <c r="G754" s="18"/>
      <c r="H754" s="101" t="str">
        <f>IFERROR(__xludf.DUMMYFUNCTION("""COMPUTED_VALUE"""),"")</f>
        <v/>
      </c>
      <c r="I754" s="67" t="str">
        <f>IFERROR(__xludf.DUMMYFUNCTION("""COMPUTED_VALUE"""),"")</f>
        <v/>
      </c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</row>
    <row r="755">
      <c r="A755" s="101"/>
      <c r="B755" s="105"/>
      <c r="C755" s="105"/>
      <c r="D755" s="106"/>
      <c r="E755" s="110"/>
      <c r="F755" s="92"/>
      <c r="G755" s="18"/>
      <c r="H755" s="101" t="str">
        <f>IFERROR(__xludf.DUMMYFUNCTION("""COMPUTED_VALUE"""),"")</f>
        <v/>
      </c>
      <c r="I755" s="67" t="str">
        <f>IFERROR(__xludf.DUMMYFUNCTION("""COMPUTED_VALUE"""),"")</f>
        <v/>
      </c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</row>
    <row r="756">
      <c r="A756" s="101"/>
      <c r="B756" s="105"/>
      <c r="C756" s="105"/>
      <c r="D756" s="106"/>
      <c r="E756" s="110"/>
      <c r="F756" s="92"/>
      <c r="G756" s="18"/>
      <c r="H756" s="101" t="str">
        <f>IFERROR(__xludf.DUMMYFUNCTION("""COMPUTED_VALUE"""),"")</f>
        <v/>
      </c>
      <c r="I756" s="67" t="str">
        <f>IFERROR(__xludf.DUMMYFUNCTION("""COMPUTED_VALUE"""),"")</f>
        <v/>
      </c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</row>
    <row r="757">
      <c r="A757" s="101"/>
      <c r="B757" s="105"/>
      <c r="C757" s="105"/>
      <c r="D757" s="106"/>
      <c r="E757" s="110"/>
      <c r="F757" s="92"/>
      <c r="G757" s="18"/>
      <c r="H757" s="101" t="str">
        <f>IFERROR(__xludf.DUMMYFUNCTION("""COMPUTED_VALUE"""),"")</f>
        <v/>
      </c>
      <c r="I757" s="67" t="str">
        <f>IFERROR(__xludf.DUMMYFUNCTION("""COMPUTED_VALUE"""),"")</f>
        <v/>
      </c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</row>
    <row r="758">
      <c r="A758" s="101"/>
      <c r="B758" s="105"/>
      <c r="C758" s="105"/>
      <c r="D758" s="106"/>
      <c r="E758" s="110"/>
      <c r="F758" s="92"/>
      <c r="G758" s="18"/>
      <c r="H758" s="101" t="str">
        <f>IFERROR(__xludf.DUMMYFUNCTION("""COMPUTED_VALUE"""),"")</f>
        <v/>
      </c>
      <c r="I758" s="67" t="str">
        <f>IFERROR(__xludf.DUMMYFUNCTION("""COMPUTED_VALUE"""),"")</f>
        <v/>
      </c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</row>
    <row r="759">
      <c r="A759" s="101"/>
      <c r="B759" s="105"/>
      <c r="C759" s="105"/>
      <c r="D759" s="106"/>
      <c r="E759" s="110"/>
      <c r="F759" s="92"/>
      <c r="G759" s="18"/>
      <c r="H759" s="101" t="str">
        <f>IFERROR(__xludf.DUMMYFUNCTION("""COMPUTED_VALUE"""),"")</f>
        <v/>
      </c>
      <c r="I759" s="67" t="str">
        <f>IFERROR(__xludf.DUMMYFUNCTION("""COMPUTED_VALUE"""),"")</f>
        <v/>
      </c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</row>
    <row r="760">
      <c r="A760" s="101"/>
      <c r="B760" s="105"/>
      <c r="C760" s="105"/>
      <c r="D760" s="106"/>
      <c r="E760" s="110"/>
      <c r="F760" s="92"/>
      <c r="G760" s="18"/>
      <c r="H760" s="101" t="str">
        <f>IFERROR(__xludf.DUMMYFUNCTION("""COMPUTED_VALUE"""),"")</f>
        <v/>
      </c>
      <c r="I760" s="67" t="str">
        <f>IFERROR(__xludf.DUMMYFUNCTION("""COMPUTED_VALUE"""),"")</f>
        <v/>
      </c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</row>
    <row r="761">
      <c r="A761" s="101"/>
      <c r="B761" s="105"/>
      <c r="C761" s="105"/>
      <c r="D761" s="106"/>
      <c r="E761" s="110"/>
      <c r="F761" s="92"/>
      <c r="G761" s="18"/>
      <c r="H761" s="101" t="str">
        <f>IFERROR(__xludf.DUMMYFUNCTION("""COMPUTED_VALUE"""),"")</f>
        <v/>
      </c>
      <c r="I761" s="67" t="str">
        <f>IFERROR(__xludf.DUMMYFUNCTION("""COMPUTED_VALUE"""),"")</f>
        <v/>
      </c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  <c r="DW761" s="18"/>
      <c r="DX761" s="18"/>
      <c r="DY761" s="18"/>
      <c r="DZ761" s="18"/>
      <c r="EA761" s="18"/>
      <c r="EB761" s="18"/>
      <c r="EC761" s="18"/>
      <c r="ED761" s="18"/>
      <c r="EE761" s="18"/>
      <c r="EF761" s="18"/>
      <c r="EG761" s="18"/>
      <c r="EH761" s="18"/>
      <c r="EI761" s="18"/>
      <c r="EJ761" s="18"/>
      <c r="EK761" s="18"/>
      <c r="EL761" s="18"/>
      <c r="EM761" s="18"/>
      <c r="EN761" s="18"/>
      <c r="EO761" s="18"/>
      <c r="EP761" s="18"/>
      <c r="EQ761" s="18"/>
      <c r="ER761" s="18"/>
      <c r="ES761" s="18"/>
      <c r="ET761" s="18"/>
      <c r="EU761" s="18"/>
      <c r="EV761" s="18"/>
      <c r="EW761" s="18"/>
      <c r="EX761" s="18"/>
    </row>
    <row r="762">
      <c r="A762" s="101"/>
      <c r="B762" s="105"/>
      <c r="C762" s="105"/>
      <c r="D762" s="106"/>
      <c r="E762" s="110"/>
      <c r="F762" s="92"/>
      <c r="G762" s="18"/>
      <c r="H762" s="101" t="str">
        <f>IFERROR(__xludf.DUMMYFUNCTION("""COMPUTED_VALUE"""),"")</f>
        <v/>
      </c>
      <c r="I762" s="67" t="str">
        <f>IFERROR(__xludf.DUMMYFUNCTION("""COMPUTED_VALUE"""),"")</f>
        <v/>
      </c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  <c r="DW762" s="18"/>
      <c r="DX762" s="18"/>
      <c r="DY762" s="18"/>
      <c r="DZ762" s="18"/>
      <c r="EA762" s="18"/>
      <c r="EB762" s="18"/>
      <c r="EC762" s="18"/>
      <c r="ED762" s="18"/>
      <c r="EE762" s="18"/>
      <c r="EF762" s="18"/>
      <c r="EG762" s="18"/>
      <c r="EH762" s="18"/>
      <c r="EI762" s="18"/>
      <c r="EJ762" s="18"/>
      <c r="EK762" s="18"/>
      <c r="EL762" s="18"/>
      <c r="EM762" s="18"/>
      <c r="EN762" s="18"/>
      <c r="EO762" s="18"/>
      <c r="EP762" s="18"/>
      <c r="EQ762" s="18"/>
      <c r="ER762" s="18"/>
      <c r="ES762" s="18"/>
      <c r="ET762" s="18"/>
      <c r="EU762" s="18"/>
      <c r="EV762" s="18"/>
      <c r="EW762" s="18"/>
      <c r="EX762" s="18"/>
    </row>
    <row r="763">
      <c r="A763" s="101"/>
      <c r="B763" s="105"/>
      <c r="C763" s="105"/>
      <c r="D763" s="106"/>
      <c r="E763" s="110"/>
      <c r="F763" s="92"/>
      <c r="G763" s="18"/>
      <c r="H763" s="101" t="str">
        <f>IFERROR(__xludf.DUMMYFUNCTION("""COMPUTED_VALUE"""),"")</f>
        <v/>
      </c>
      <c r="I763" s="67" t="str">
        <f>IFERROR(__xludf.DUMMYFUNCTION("""COMPUTED_VALUE"""),"")</f>
        <v/>
      </c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  <c r="DW763" s="18"/>
      <c r="DX763" s="18"/>
      <c r="DY763" s="18"/>
      <c r="DZ763" s="18"/>
      <c r="EA763" s="18"/>
      <c r="EB763" s="18"/>
      <c r="EC763" s="18"/>
      <c r="ED763" s="18"/>
      <c r="EE763" s="18"/>
      <c r="EF763" s="18"/>
      <c r="EG763" s="18"/>
      <c r="EH763" s="18"/>
      <c r="EI763" s="18"/>
      <c r="EJ763" s="18"/>
      <c r="EK763" s="18"/>
      <c r="EL763" s="18"/>
      <c r="EM763" s="18"/>
      <c r="EN763" s="18"/>
      <c r="EO763" s="18"/>
      <c r="EP763" s="18"/>
      <c r="EQ763" s="18"/>
      <c r="ER763" s="18"/>
      <c r="ES763" s="18"/>
      <c r="ET763" s="18"/>
      <c r="EU763" s="18"/>
      <c r="EV763" s="18"/>
      <c r="EW763" s="18"/>
      <c r="EX763" s="18"/>
    </row>
    <row r="764">
      <c r="A764" s="101"/>
      <c r="B764" s="105"/>
      <c r="C764" s="105"/>
      <c r="D764" s="106"/>
      <c r="E764" s="110"/>
      <c r="F764" s="92"/>
      <c r="G764" s="18"/>
      <c r="H764" s="101" t="str">
        <f>IFERROR(__xludf.DUMMYFUNCTION("""COMPUTED_VALUE"""),"")</f>
        <v/>
      </c>
      <c r="I764" s="67" t="str">
        <f>IFERROR(__xludf.DUMMYFUNCTION("""COMPUTED_VALUE"""),"")</f>
        <v/>
      </c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  <c r="DW764" s="18"/>
      <c r="DX764" s="18"/>
      <c r="DY764" s="18"/>
      <c r="DZ764" s="18"/>
      <c r="EA764" s="18"/>
      <c r="EB764" s="18"/>
      <c r="EC764" s="18"/>
      <c r="ED764" s="18"/>
      <c r="EE764" s="18"/>
      <c r="EF764" s="18"/>
      <c r="EG764" s="18"/>
      <c r="EH764" s="18"/>
      <c r="EI764" s="18"/>
      <c r="EJ764" s="18"/>
      <c r="EK764" s="18"/>
      <c r="EL764" s="18"/>
      <c r="EM764" s="18"/>
      <c r="EN764" s="18"/>
      <c r="EO764" s="18"/>
      <c r="EP764" s="18"/>
      <c r="EQ764" s="18"/>
      <c r="ER764" s="18"/>
      <c r="ES764" s="18"/>
      <c r="ET764" s="18"/>
      <c r="EU764" s="18"/>
      <c r="EV764" s="18"/>
      <c r="EW764" s="18"/>
      <c r="EX764" s="18"/>
    </row>
    <row r="765">
      <c r="A765" s="101"/>
      <c r="B765" s="105"/>
      <c r="C765" s="105"/>
      <c r="D765" s="106"/>
      <c r="E765" s="110"/>
      <c r="F765" s="92"/>
      <c r="G765" s="18"/>
      <c r="H765" s="101" t="str">
        <f>IFERROR(__xludf.DUMMYFUNCTION("""COMPUTED_VALUE"""),"")</f>
        <v/>
      </c>
      <c r="I765" s="67" t="str">
        <f>IFERROR(__xludf.DUMMYFUNCTION("""COMPUTED_VALUE"""),"")</f>
        <v/>
      </c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  <c r="DW765" s="18"/>
      <c r="DX765" s="18"/>
      <c r="DY765" s="18"/>
      <c r="DZ765" s="18"/>
      <c r="EA765" s="18"/>
      <c r="EB765" s="18"/>
      <c r="EC765" s="18"/>
      <c r="ED765" s="18"/>
      <c r="EE765" s="18"/>
      <c r="EF765" s="18"/>
      <c r="EG765" s="18"/>
      <c r="EH765" s="18"/>
      <c r="EI765" s="18"/>
      <c r="EJ765" s="18"/>
      <c r="EK765" s="18"/>
      <c r="EL765" s="18"/>
      <c r="EM765" s="18"/>
      <c r="EN765" s="18"/>
      <c r="EO765" s="18"/>
      <c r="EP765" s="18"/>
      <c r="EQ765" s="18"/>
      <c r="ER765" s="18"/>
      <c r="ES765" s="18"/>
      <c r="ET765" s="18"/>
      <c r="EU765" s="18"/>
      <c r="EV765" s="18"/>
      <c r="EW765" s="18"/>
      <c r="EX765" s="18"/>
    </row>
    <row r="766">
      <c r="A766" s="101"/>
      <c r="B766" s="105"/>
      <c r="C766" s="105"/>
      <c r="D766" s="106"/>
      <c r="E766" s="110"/>
      <c r="F766" s="92"/>
      <c r="G766" s="18"/>
      <c r="H766" s="101" t="str">
        <f>IFERROR(__xludf.DUMMYFUNCTION("""COMPUTED_VALUE"""),"")</f>
        <v/>
      </c>
      <c r="I766" s="67" t="str">
        <f>IFERROR(__xludf.DUMMYFUNCTION("""COMPUTED_VALUE"""),"")</f>
        <v/>
      </c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E766" s="18"/>
      <c r="EF766" s="18"/>
      <c r="EG766" s="18"/>
      <c r="EH766" s="18"/>
      <c r="EI766" s="18"/>
      <c r="EJ766" s="18"/>
      <c r="EK766" s="18"/>
      <c r="EL766" s="18"/>
      <c r="EM766" s="18"/>
      <c r="EN766" s="18"/>
      <c r="EO766" s="18"/>
      <c r="EP766" s="18"/>
      <c r="EQ766" s="18"/>
      <c r="ER766" s="18"/>
      <c r="ES766" s="18"/>
      <c r="ET766" s="18"/>
      <c r="EU766" s="18"/>
      <c r="EV766" s="18"/>
      <c r="EW766" s="18"/>
      <c r="EX766" s="18"/>
    </row>
    <row r="767">
      <c r="A767" s="101"/>
      <c r="B767" s="105"/>
      <c r="C767" s="105"/>
      <c r="D767" s="106"/>
      <c r="E767" s="110"/>
      <c r="F767" s="92"/>
      <c r="G767" s="18"/>
      <c r="H767" s="101" t="str">
        <f>IFERROR(__xludf.DUMMYFUNCTION("""COMPUTED_VALUE"""),"")</f>
        <v/>
      </c>
      <c r="I767" s="67" t="str">
        <f>IFERROR(__xludf.DUMMYFUNCTION("""COMPUTED_VALUE"""),"")</f>
        <v/>
      </c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  <c r="DW767" s="18"/>
      <c r="DX767" s="18"/>
      <c r="DY767" s="18"/>
      <c r="DZ767" s="18"/>
      <c r="EA767" s="18"/>
      <c r="EB767" s="18"/>
      <c r="EC767" s="18"/>
      <c r="ED767" s="18"/>
      <c r="EE767" s="18"/>
      <c r="EF767" s="18"/>
      <c r="EG767" s="18"/>
      <c r="EH767" s="18"/>
      <c r="EI767" s="18"/>
      <c r="EJ767" s="18"/>
      <c r="EK767" s="18"/>
      <c r="EL767" s="18"/>
      <c r="EM767" s="18"/>
      <c r="EN767" s="18"/>
      <c r="EO767" s="18"/>
      <c r="EP767" s="18"/>
      <c r="EQ767" s="18"/>
      <c r="ER767" s="18"/>
      <c r="ES767" s="18"/>
      <c r="ET767" s="18"/>
      <c r="EU767" s="18"/>
      <c r="EV767" s="18"/>
      <c r="EW767" s="18"/>
      <c r="EX767" s="18"/>
    </row>
    <row r="768">
      <c r="A768" s="101"/>
      <c r="B768" s="105"/>
      <c r="C768" s="105"/>
      <c r="D768" s="106"/>
      <c r="E768" s="110"/>
      <c r="F768" s="92"/>
      <c r="G768" s="18"/>
      <c r="H768" s="101" t="str">
        <f>IFERROR(__xludf.DUMMYFUNCTION("""COMPUTED_VALUE"""),"")</f>
        <v/>
      </c>
      <c r="I768" s="67" t="str">
        <f>IFERROR(__xludf.DUMMYFUNCTION("""COMPUTED_VALUE"""),"")</f>
        <v/>
      </c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  <c r="DW768" s="18"/>
      <c r="DX768" s="18"/>
      <c r="DY768" s="18"/>
      <c r="DZ768" s="18"/>
      <c r="EA768" s="18"/>
      <c r="EB768" s="18"/>
      <c r="EC768" s="18"/>
      <c r="ED768" s="18"/>
      <c r="EE768" s="18"/>
      <c r="EF768" s="18"/>
      <c r="EG768" s="18"/>
      <c r="EH768" s="18"/>
      <c r="EI768" s="18"/>
      <c r="EJ768" s="18"/>
      <c r="EK768" s="18"/>
      <c r="EL768" s="18"/>
      <c r="EM768" s="18"/>
      <c r="EN768" s="18"/>
      <c r="EO768" s="18"/>
      <c r="EP768" s="18"/>
      <c r="EQ768" s="18"/>
      <c r="ER768" s="18"/>
      <c r="ES768" s="18"/>
      <c r="ET768" s="18"/>
      <c r="EU768" s="18"/>
      <c r="EV768" s="18"/>
      <c r="EW768" s="18"/>
      <c r="EX768" s="18"/>
    </row>
    <row r="769">
      <c r="A769" s="101"/>
      <c r="B769" s="105"/>
      <c r="C769" s="105"/>
      <c r="D769" s="106"/>
      <c r="E769" s="110"/>
      <c r="F769" s="92"/>
      <c r="G769" s="18"/>
      <c r="H769" s="101" t="str">
        <f>IFERROR(__xludf.DUMMYFUNCTION("""COMPUTED_VALUE"""),"")</f>
        <v/>
      </c>
      <c r="I769" s="67" t="str">
        <f>IFERROR(__xludf.DUMMYFUNCTION("""COMPUTED_VALUE"""),"")</f>
        <v/>
      </c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  <c r="DW769" s="18"/>
      <c r="DX769" s="18"/>
      <c r="DY769" s="18"/>
      <c r="DZ769" s="18"/>
      <c r="EA769" s="18"/>
      <c r="EB769" s="18"/>
      <c r="EC769" s="18"/>
      <c r="ED769" s="18"/>
      <c r="EE769" s="18"/>
      <c r="EF769" s="18"/>
      <c r="EG769" s="18"/>
      <c r="EH769" s="18"/>
      <c r="EI769" s="18"/>
      <c r="EJ769" s="18"/>
      <c r="EK769" s="18"/>
      <c r="EL769" s="18"/>
      <c r="EM769" s="18"/>
      <c r="EN769" s="18"/>
      <c r="EO769" s="18"/>
      <c r="EP769" s="18"/>
      <c r="EQ769" s="18"/>
      <c r="ER769" s="18"/>
      <c r="ES769" s="18"/>
      <c r="ET769" s="18"/>
      <c r="EU769" s="18"/>
      <c r="EV769" s="18"/>
      <c r="EW769" s="18"/>
      <c r="EX769" s="18"/>
    </row>
    <row r="770">
      <c r="A770" s="101"/>
      <c r="B770" s="105"/>
      <c r="C770" s="105"/>
      <c r="D770" s="106"/>
      <c r="E770" s="110"/>
      <c r="F770" s="92"/>
      <c r="G770" s="18"/>
      <c r="H770" s="101" t="str">
        <f>IFERROR(__xludf.DUMMYFUNCTION("""COMPUTED_VALUE"""),"")</f>
        <v/>
      </c>
      <c r="I770" s="67" t="str">
        <f>IFERROR(__xludf.DUMMYFUNCTION("""COMPUTED_VALUE"""),"")</f>
        <v/>
      </c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  <c r="DW770" s="18"/>
      <c r="DX770" s="18"/>
      <c r="DY770" s="18"/>
      <c r="DZ770" s="18"/>
      <c r="EA770" s="18"/>
      <c r="EB770" s="18"/>
      <c r="EC770" s="18"/>
      <c r="ED770" s="18"/>
      <c r="EE770" s="18"/>
      <c r="EF770" s="18"/>
      <c r="EG770" s="18"/>
      <c r="EH770" s="18"/>
      <c r="EI770" s="18"/>
      <c r="EJ770" s="18"/>
      <c r="EK770" s="18"/>
      <c r="EL770" s="18"/>
      <c r="EM770" s="18"/>
      <c r="EN770" s="18"/>
      <c r="EO770" s="18"/>
      <c r="EP770" s="18"/>
      <c r="EQ770" s="18"/>
      <c r="ER770" s="18"/>
      <c r="ES770" s="18"/>
      <c r="ET770" s="18"/>
      <c r="EU770" s="18"/>
      <c r="EV770" s="18"/>
      <c r="EW770" s="18"/>
      <c r="EX770" s="18"/>
    </row>
    <row r="771">
      <c r="A771" s="101"/>
      <c r="B771" s="105"/>
      <c r="C771" s="105"/>
      <c r="D771" s="106"/>
      <c r="E771" s="110"/>
      <c r="F771" s="92"/>
      <c r="G771" s="18"/>
      <c r="H771" s="101" t="str">
        <f>IFERROR(__xludf.DUMMYFUNCTION("""COMPUTED_VALUE"""),"")</f>
        <v/>
      </c>
      <c r="I771" s="67" t="str">
        <f>IFERROR(__xludf.DUMMYFUNCTION("""COMPUTED_VALUE"""),"")</f>
        <v/>
      </c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E771" s="18"/>
      <c r="EF771" s="18"/>
      <c r="EG771" s="18"/>
      <c r="EH771" s="18"/>
      <c r="EI771" s="18"/>
      <c r="EJ771" s="18"/>
      <c r="EK771" s="18"/>
      <c r="EL771" s="18"/>
      <c r="EM771" s="18"/>
      <c r="EN771" s="18"/>
      <c r="EO771" s="18"/>
      <c r="EP771" s="18"/>
      <c r="EQ771" s="18"/>
      <c r="ER771" s="18"/>
      <c r="ES771" s="18"/>
      <c r="ET771" s="18"/>
      <c r="EU771" s="18"/>
      <c r="EV771" s="18"/>
      <c r="EW771" s="18"/>
      <c r="EX771" s="18"/>
    </row>
    <row r="772">
      <c r="A772" s="101"/>
      <c r="B772" s="105"/>
      <c r="C772" s="105"/>
      <c r="D772" s="106"/>
      <c r="E772" s="110"/>
      <c r="F772" s="92"/>
      <c r="G772" s="18"/>
      <c r="H772" s="101" t="str">
        <f>IFERROR(__xludf.DUMMYFUNCTION("""COMPUTED_VALUE"""),"")</f>
        <v/>
      </c>
      <c r="I772" s="67" t="str">
        <f>IFERROR(__xludf.DUMMYFUNCTION("""COMPUTED_VALUE"""),"")</f>
        <v/>
      </c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8"/>
      <c r="DD772" s="18"/>
      <c r="DE772" s="18"/>
      <c r="DF772" s="18"/>
      <c r="DG772" s="18"/>
      <c r="DH772" s="18"/>
      <c r="DI772" s="18"/>
      <c r="DJ772" s="18"/>
      <c r="DK772" s="18"/>
      <c r="DL772" s="18"/>
      <c r="DM772" s="18"/>
      <c r="DN772" s="18"/>
      <c r="DO772" s="18"/>
      <c r="DP772" s="18"/>
      <c r="DQ772" s="18"/>
      <c r="DR772" s="18"/>
      <c r="DS772" s="18"/>
      <c r="DT772" s="18"/>
      <c r="DU772" s="18"/>
      <c r="DV772" s="18"/>
      <c r="DW772" s="18"/>
      <c r="DX772" s="18"/>
      <c r="DY772" s="18"/>
      <c r="DZ772" s="18"/>
      <c r="EA772" s="18"/>
      <c r="EB772" s="18"/>
      <c r="EC772" s="18"/>
      <c r="ED772" s="18"/>
      <c r="EE772" s="18"/>
      <c r="EF772" s="18"/>
      <c r="EG772" s="18"/>
      <c r="EH772" s="18"/>
      <c r="EI772" s="18"/>
      <c r="EJ772" s="18"/>
      <c r="EK772" s="18"/>
      <c r="EL772" s="18"/>
      <c r="EM772" s="18"/>
      <c r="EN772" s="18"/>
      <c r="EO772" s="18"/>
      <c r="EP772" s="18"/>
      <c r="EQ772" s="18"/>
      <c r="ER772" s="18"/>
      <c r="ES772" s="18"/>
      <c r="ET772" s="18"/>
      <c r="EU772" s="18"/>
      <c r="EV772" s="18"/>
      <c r="EW772" s="18"/>
      <c r="EX772" s="18"/>
    </row>
    <row r="773">
      <c r="A773" s="101"/>
      <c r="B773" s="105"/>
      <c r="C773" s="105"/>
      <c r="D773" s="106"/>
      <c r="E773" s="110"/>
      <c r="F773" s="92"/>
      <c r="G773" s="18"/>
      <c r="H773" s="101" t="str">
        <f>IFERROR(__xludf.DUMMYFUNCTION("""COMPUTED_VALUE"""),"")</f>
        <v/>
      </c>
      <c r="I773" s="67" t="str">
        <f>IFERROR(__xludf.DUMMYFUNCTION("""COMPUTED_VALUE"""),"")</f>
        <v/>
      </c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8"/>
      <c r="DC773" s="18"/>
      <c r="DD773" s="18"/>
      <c r="DE773" s="18"/>
      <c r="DF773" s="18"/>
      <c r="DG773" s="18"/>
      <c r="DH773" s="18"/>
      <c r="DI773" s="18"/>
      <c r="DJ773" s="18"/>
      <c r="DK773" s="18"/>
      <c r="DL773" s="18"/>
      <c r="DM773" s="18"/>
      <c r="DN773" s="18"/>
      <c r="DO773" s="18"/>
      <c r="DP773" s="18"/>
      <c r="DQ773" s="18"/>
      <c r="DR773" s="18"/>
      <c r="DS773" s="18"/>
      <c r="DT773" s="18"/>
      <c r="DU773" s="18"/>
      <c r="DV773" s="18"/>
      <c r="DW773" s="18"/>
      <c r="DX773" s="18"/>
      <c r="DY773" s="18"/>
      <c r="DZ773" s="18"/>
      <c r="EA773" s="18"/>
      <c r="EB773" s="18"/>
      <c r="EC773" s="18"/>
      <c r="ED773" s="18"/>
      <c r="EE773" s="18"/>
      <c r="EF773" s="18"/>
      <c r="EG773" s="18"/>
      <c r="EH773" s="18"/>
      <c r="EI773" s="18"/>
      <c r="EJ773" s="18"/>
      <c r="EK773" s="18"/>
      <c r="EL773" s="18"/>
      <c r="EM773" s="18"/>
      <c r="EN773" s="18"/>
      <c r="EO773" s="18"/>
      <c r="EP773" s="18"/>
      <c r="EQ773" s="18"/>
      <c r="ER773" s="18"/>
      <c r="ES773" s="18"/>
      <c r="ET773" s="18"/>
      <c r="EU773" s="18"/>
      <c r="EV773" s="18"/>
      <c r="EW773" s="18"/>
      <c r="EX773" s="18"/>
    </row>
    <row r="774">
      <c r="A774" s="101"/>
      <c r="B774" s="105"/>
      <c r="C774" s="105"/>
      <c r="D774" s="106"/>
      <c r="E774" s="110"/>
      <c r="F774" s="92"/>
      <c r="G774" s="18"/>
      <c r="H774" s="101" t="str">
        <f>IFERROR(__xludf.DUMMYFUNCTION("""COMPUTED_VALUE"""),"")</f>
        <v/>
      </c>
      <c r="I774" s="67" t="str">
        <f>IFERROR(__xludf.DUMMYFUNCTION("""COMPUTED_VALUE"""),"")</f>
        <v/>
      </c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8"/>
      <c r="DB774" s="18"/>
      <c r="DC774" s="18"/>
      <c r="DD774" s="18"/>
      <c r="DE774" s="18"/>
      <c r="DF774" s="18"/>
      <c r="DG774" s="18"/>
      <c r="DH774" s="18"/>
      <c r="DI774" s="18"/>
      <c r="DJ774" s="18"/>
      <c r="DK774" s="18"/>
      <c r="DL774" s="18"/>
      <c r="DM774" s="18"/>
      <c r="DN774" s="18"/>
      <c r="DO774" s="18"/>
      <c r="DP774" s="18"/>
      <c r="DQ774" s="18"/>
      <c r="DR774" s="18"/>
      <c r="DS774" s="18"/>
      <c r="DT774" s="18"/>
      <c r="DU774" s="18"/>
      <c r="DV774" s="18"/>
      <c r="DW774" s="18"/>
      <c r="DX774" s="18"/>
      <c r="DY774" s="18"/>
      <c r="DZ774" s="18"/>
      <c r="EA774" s="18"/>
      <c r="EB774" s="18"/>
      <c r="EC774" s="18"/>
      <c r="ED774" s="18"/>
      <c r="EE774" s="18"/>
      <c r="EF774" s="18"/>
      <c r="EG774" s="18"/>
      <c r="EH774" s="18"/>
      <c r="EI774" s="18"/>
      <c r="EJ774" s="18"/>
      <c r="EK774" s="18"/>
      <c r="EL774" s="18"/>
      <c r="EM774" s="18"/>
      <c r="EN774" s="18"/>
      <c r="EO774" s="18"/>
      <c r="EP774" s="18"/>
      <c r="EQ774" s="18"/>
      <c r="ER774" s="18"/>
      <c r="ES774" s="18"/>
      <c r="ET774" s="18"/>
      <c r="EU774" s="18"/>
      <c r="EV774" s="18"/>
      <c r="EW774" s="18"/>
      <c r="EX774" s="18"/>
    </row>
    <row r="775">
      <c r="A775" s="101"/>
      <c r="B775" s="105"/>
      <c r="C775" s="105"/>
      <c r="D775" s="106"/>
      <c r="E775" s="110"/>
      <c r="F775" s="92"/>
      <c r="G775" s="18"/>
      <c r="H775" s="101" t="str">
        <f>IFERROR(__xludf.DUMMYFUNCTION("""COMPUTED_VALUE"""),"")</f>
        <v/>
      </c>
      <c r="I775" s="67" t="str">
        <f>IFERROR(__xludf.DUMMYFUNCTION("""COMPUTED_VALUE"""),"")</f>
        <v/>
      </c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8"/>
      <c r="DA775" s="18"/>
      <c r="DB775" s="18"/>
      <c r="DC775" s="18"/>
      <c r="DD775" s="18"/>
      <c r="DE775" s="18"/>
      <c r="DF775" s="18"/>
      <c r="DG775" s="18"/>
      <c r="DH775" s="18"/>
      <c r="DI775" s="18"/>
      <c r="DJ775" s="18"/>
      <c r="DK775" s="18"/>
      <c r="DL775" s="18"/>
      <c r="DM775" s="18"/>
      <c r="DN775" s="18"/>
      <c r="DO775" s="18"/>
      <c r="DP775" s="18"/>
      <c r="DQ775" s="18"/>
      <c r="DR775" s="18"/>
      <c r="DS775" s="18"/>
      <c r="DT775" s="18"/>
      <c r="DU775" s="18"/>
      <c r="DV775" s="18"/>
      <c r="DW775" s="18"/>
      <c r="DX775" s="18"/>
      <c r="DY775" s="18"/>
      <c r="DZ775" s="18"/>
      <c r="EA775" s="18"/>
      <c r="EB775" s="18"/>
      <c r="EC775" s="18"/>
      <c r="ED775" s="18"/>
      <c r="EE775" s="18"/>
      <c r="EF775" s="18"/>
      <c r="EG775" s="18"/>
      <c r="EH775" s="18"/>
      <c r="EI775" s="18"/>
      <c r="EJ775" s="18"/>
      <c r="EK775" s="18"/>
      <c r="EL775" s="18"/>
      <c r="EM775" s="18"/>
      <c r="EN775" s="18"/>
      <c r="EO775" s="18"/>
      <c r="EP775" s="18"/>
      <c r="EQ775" s="18"/>
      <c r="ER775" s="18"/>
      <c r="ES775" s="18"/>
      <c r="ET775" s="18"/>
      <c r="EU775" s="18"/>
      <c r="EV775" s="18"/>
      <c r="EW775" s="18"/>
      <c r="EX775" s="18"/>
    </row>
    <row r="776">
      <c r="A776" s="101"/>
      <c r="B776" s="105"/>
      <c r="C776" s="105"/>
      <c r="D776" s="106"/>
      <c r="E776" s="110"/>
      <c r="F776" s="92"/>
      <c r="G776" s="18"/>
      <c r="H776" s="101" t="str">
        <f>IFERROR(__xludf.DUMMYFUNCTION("""COMPUTED_VALUE"""),"")</f>
        <v/>
      </c>
      <c r="I776" s="67" t="str">
        <f>IFERROR(__xludf.DUMMYFUNCTION("""COMPUTED_VALUE"""),"")</f>
        <v/>
      </c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8"/>
      <c r="CZ776" s="18"/>
      <c r="DA776" s="18"/>
      <c r="DB776" s="18"/>
      <c r="DC776" s="18"/>
      <c r="DD776" s="18"/>
      <c r="DE776" s="18"/>
      <c r="DF776" s="18"/>
      <c r="DG776" s="18"/>
      <c r="DH776" s="18"/>
      <c r="DI776" s="18"/>
      <c r="DJ776" s="18"/>
      <c r="DK776" s="18"/>
      <c r="DL776" s="18"/>
      <c r="DM776" s="18"/>
      <c r="DN776" s="18"/>
      <c r="DO776" s="18"/>
      <c r="DP776" s="18"/>
      <c r="DQ776" s="18"/>
      <c r="DR776" s="18"/>
      <c r="DS776" s="18"/>
      <c r="DT776" s="18"/>
      <c r="DU776" s="18"/>
      <c r="DV776" s="18"/>
      <c r="DW776" s="18"/>
      <c r="DX776" s="18"/>
      <c r="DY776" s="18"/>
      <c r="DZ776" s="18"/>
      <c r="EA776" s="18"/>
      <c r="EB776" s="18"/>
      <c r="EC776" s="18"/>
      <c r="ED776" s="18"/>
      <c r="EE776" s="18"/>
      <c r="EF776" s="18"/>
      <c r="EG776" s="18"/>
      <c r="EH776" s="18"/>
      <c r="EI776" s="18"/>
      <c r="EJ776" s="18"/>
      <c r="EK776" s="18"/>
      <c r="EL776" s="18"/>
      <c r="EM776" s="18"/>
      <c r="EN776" s="18"/>
      <c r="EO776" s="18"/>
      <c r="EP776" s="18"/>
      <c r="EQ776" s="18"/>
      <c r="ER776" s="18"/>
      <c r="ES776" s="18"/>
      <c r="ET776" s="18"/>
      <c r="EU776" s="18"/>
      <c r="EV776" s="18"/>
      <c r="EW776" s="18"/>
      <c r="EX776" s="18"/>
    </row>
    <row r="777">
      <c r="A777" s="101"/>
      <c r="B777" s="105"/>
      <c r="C777" s="105"/>
      <c r="D777" s="106"/>
      <c r="E777" s="110"/>
      <c r="F777" s="92"/>
      <c r="G777" s="18"/>
      <c r="H777" s="101" t="str">
        <f>IFERROR(__xludf.DUMMYFUNCTION("""COMPUTED_VALUE"""),"")</f>
        <v/>
      </c>
      <c r="I777" s="67" t="str">
        <f>IFERROR(__xludf.DUMMYFUNCTION("""COMPUTED_VALUE"""),"")</f>
        <v/>
      </c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8"/>
      <c r="CY777" s="18"/>
      <c r="CZ777" s="18"/>
      <c r="DA777" s="18"/>
      <c r="DB777" s="18"/>
      <c r="DC777" s="18"/>
      <c r="DD777" s="18"/>
      <c r="DE777" s="18"/>
      <c r="DF777" s="18"/>
      <c r="DG777" s="18"/>
      <c r="DH777" s="18"/>
      <c r="DI777" s="18"/>
      <c r="DJ777" s="18"/>
      <c r="DK777" s="18"/>
      <c r="DL777" s="18"/>
      <c r="DM777" s="18"/>
      <c r="DN777" s="18"/>
      <c r="DO777" s="18"/>
      <c r="DP777" s="18"/>
      <c r="DQ777" s="18"/>
      <c r="DR777" s="18"/>
      <c r="DS777" s="18"/>
      <c r="DT777" s="18"/>
      <c r="DU777" s="18"/>
      <c r="DV777" s="18"/>
      <c r="DW777" s="18"/>
      <c r="DX777" s="18"/>
      <c r="DY777" s="18"/>
      <c r="DZ777" s="18"/>
      <c r="EA777" s="18"/>
      <c r="EB777" s="18"/>
      <c r="EC777" s="18"/>
      <c r="ED777" s="18"/>
      <c r="EE777" s="18"/>
      <c r="EF777" s="18"/>
      <c r="EG777" s="18"/>
      <c r="EH777" s="18"/>
      <c r="EI777" s="18"/>
      <c r="EJ777" s="18"/>
      <c r="EK777" s="18"/>
      <c r="EL777" s="18"/>
      <c r="EM777" s="18"/>
      <c r="EN777" s="18"/>
      <c r="EO777" s="18"/>
      <c r="EP777" s="18"/>
      <c r="EQ777" s="18"/>
      <c r="ER777" s="18"/>
      <c r="ES777" s="18"/>
      <c r="ET777" s="18"/>
      <c r="EU777" s="18"/>
      <c r="EV777" s="18"/>
      <c r="EW777" s="18"/>
      <c r="EX777" s="18"/>
    </row>
    <row r="778">
      <c r="A778" s="101"/>
      <c r="B778" s="105"/>
      <c r="C778" s="105"/>
      <c r="D778" s="106"/>
      <c r="E778" s="110"/>
      <c r="F778" s="92"/>
      <c r="G778" s="18"/>
      <c r="H778" s="101" t="str">
        <f>IFERROR(__xludf.DUMMYFUNCTION("""COMPUTED_VALUE"""),"")</f>
        <v/>
      </c>
      <c r="I778" s="67" t="str">
        <f>IFERROR(__xludf.DUMMYFUNCTION("""COMPUTED_VALUE"""),"")</f>
        <v/>
      </c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8"/>
      <c r="CW778" s="18"/>
      <c r="CX778" s="18"/>
      <c r="CY778" s="18"/>
      <c r="CZ778" s="18"/>
      <c r="DA778" s="18"/>
      <c r="DB778" s="18"/>
      <c r="DC778" s="18"/>
      <c r="DD778" s="18"/>
      <c r="DE778" s="18"/>
      <c r="DF778" s="18"/>
      <c r="DG778" s="18"/>
      <c r="DH778" s="18"/>
      <c r="DI778" s="18"/>
      <c r="DJ778" s="18"/>
      <c r="DK778" s="18"/>
      <c r="DL778" s="18"/>
      <c r="DM778" s="18"/>
      <c r="DN778" s="18"/>
      <c r="DO778" s="18"/>
      <c r="DP778" s="18"/>
      <c r="DQ778" s="18"/>
      <c r="DR778" s="18"/>
      <c r="DS778" s="18"/>
      <c r="DT778" s="18"/>
      <c r="DU778" s="18"/>
      <c r="DV778" s="18"/>
      <c r="DW778" s="18"/>
      <c r="DX778" s="18"/>
      <c r="DY778" s="18"/>
      <c r="DZ778" s="18"/>
      <c r="EA778" s="18"/>
      <c r="EB778" s="18"/>
      <c r="EC778" s="18"/>
      <c r="ED778" s="18"/>
      <c r="EE778" s="18"/>
      <c r="EF778" s="18"/>
      <c r="EG778" s="18"/>
      <c r="EH778" s="18"/>
      <c r="EI778" s="18"/>
      <c r="EJ778" s="18"/>
      <c r="EK778" s="18"/>
      <c r="EL778" s="18"/>
      <c r="EM778" s="18"/>
      <c r="EN778" s="18"/>
      <c r="EO778" s="18"/>
      <c r="EP778" s="18"/>
      <c r="EQ778" s="18"/>
      <c r="ER778" s="18"/>
      <c r="ES778" s="18"/>
      <c r="ET778" s="18"/>
      <c r="EU778" s="18"/>
      <c r="EV778" s="18"/>
      <c r="EW778" s="18"/>
      <c r="EX778" s="18"/>
    </row>
    <row r="779">
      <c r="A779" s="101"/>
      <c r="B779" s="105"/>
      <c r="C779" s="105"/>
      <c r="D779" s="106"/>
      <c r="E779" s="110"/>
      <c r="F779" s="92"/>
      <c r="G779" s="18"/>
      <c r="H779" s="101" t="str">
        <f>IFERROR(__xludf.DUMMYFUNCTION("""COMPUTED_VALUE"""),"")</f>
        <v/>
      </c>
      <c r="I779" s="67" t="str">
        <f>IFERROR(__xludf.DUMMYFUNCTION("""COMPUTED_VALUE"""),"")</f>
        <v/>
      </c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8"/>
      <c r="CV779" s="18"/>
      <c r="CW779" s="18"/>
      <c r="CX779" s="18"/>
      <c r="CY779" s="18"/>
      <c r="CZ779" s="18"/>
      <c r="DA779" s="18"/>
      <c r="DB779" s="18"/>
      <c r="DC779" s="18"/>
      <c r="DD779" s="18"/>
      <c r="DE779" s="18"/>
      <c r="DF779" s="18"/>
      <c r="DG779" s="18"/>
      <c r="DH779" s="18"/>
      <c r="DI779" s="18"/>
      <c r="DJ779" s="18"/>
      <c r="DK779" s="18"/>
      <c r="DL779" s="18"/>
      <c r="DM779" s="18"/>
      <c r="DN779" s="18"/>
      <c r="DO779" s="18"/>
      <c r="DP779" s="18"/>
      <c r="DQ779" s="18"/>
      <c r="DR779" s="18"/>
      <c r="DS779" s="18"/>
      <c r="DT779" s="18"/>
      <c r="DU779" s="18"/>
      <c r="DV779" s="18"/>
      <c r="DW779" s="18"/>
      <c r="DX779" s="18"/>
      <c r="DY779" s="18"/>
      <c r="DZ779" s="18"/>
      <c r="EA779" s="18"/>
      <c r="EB779" s="18"/>
      <c r="EC779" s="18"/>
      <c r="ED779" s="18"/>
      <c r="EE779" s="18"/>
      <c r="EF779" s="18"/>
      <c r="EG779" s="18"/>
      <c r="EH779" s="18"/>
      <c r="EI779" s="18"/>
      <c r="EJ779" s="18"/>
      <c r="EK779" s="18"/>
      <c r="EL779" s="18"/>
      <c r="EM779" s="18"/>
      <c r="EN779" s="18"/>
      <c r="EO779" s="18"/>
      <c r="EP779" s="18"/>
      <c r="EQ779" s="18"/>
      <c r="ER779" s="18"/>
      <c r="ES779" s="18"/>
      <c r="ET779" s="18"/>
      <c r="EU779" s="18"/>
      <c r="EV779" s="18"/>
      <c r="EW779" s="18"/>
      <c r="EX779" s="18"/>
    </row>
    <row r="780">
      <c r="A780" s="101"/>
      <c r="B780" s="105"/>
      <c r="C780" s="105"/>
      <c r="D780" s="106"/>
      <c r="E780" s="110"/>
      <c r="F780" s="92"/>
      <c r="G780" s="18"/>
      <c r="H780" s="101" t="str">
        <f>IFERROR(__xludf.DUMMYFUNCTION("""COMPUTED_VALUE"""),"")</f>
        <v/>
      </c>
      <c r="I780" s="67" t="str">
        <f>IFERROR(__xludf.DUMMYFUNCTION("""COMPUTED_VALUE"""),"")</f>
        <v/>
      </c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8"/>
      <c r="CU780" s="18"/>
      <c r="CV780" s="18"/>
      <c r="CW780" s="18"/>
      <c r="CX780" s="18"/>
      <c r="CY780" s="18"/>
      <c r="CZ780" s="18"/>
      <c r="DA780" s="18"/>
      <c r="DB780" s="18"/>
      <c r="DC780" s="18"/>
      <c r="DD780" s="18"/>
      <c r="DE780" s="18"/>
      <c r="DF780" s="18"/>
      <c r="DG780" s="18"/>
      <c r="DH780" s="18"/>
      <c r="DI780" s="18"/>
      <c r="DJ780" s="18"/>
      <c r="DK780" s="18"/>
      <c r="DL780" s="18"/>
      <c r="DM780" s="18"/>
      <c r="DN780" s="18"/>
      <c r="DO780" s="18"/>
      <c r="DP780" s="18"/>
      <c r="DQ780" s="18"/>
      <c r="DR780" s="18"/>
      <c r="DS780" s="18"/>
      <c r="DT780" s="18"/>
      <c r="DU780" s="18"/>
      <c r="DV780" s="18"/>
      <c r="DW780" s="18"/>
      <c r="DX780" s="18"/>
      <c r="DY780" s="18"/>
      <c r="DZ780" s="18"/>
      <c r="EA780" s="18"/>
      <c r="EB780" s="18"/>
      <c r="EC780" s="18"/>
      <c r="ED780" s="18"/>
      <c r="EE780" s="18"/>
      <c r="EF780" s="18"/>
      <c r="EG780" s="18"/>
      <c r="EH780" s="18"/>
      <c r="EI780" s="18"/>
      <c r="EJ780" s="18"/>
      <c r="EK780" s="18"/>
      <c r="EL780" s="18"/>
      <c r="EM780" s="18"/>
      <c r="EN780" s="18"/>
      <c r="EO780" s="18"/>
      <c r="EP780" s="18"/>
      <c r="EQ780" s="18"/>
      <c r="ER780" s="18"/>
      <c r="ES780" s="18"/>
      <c r="ET780" s="18"/>
      <c r="EU780" s="18"/>
      <c r="EV780" s="18"/>
      <c r="EW780" s="18"/>
      <c r="EX780" s="18"/>
    </row>
    <row r="781">
      <c r="A781" s="101"/>
      <c r="B781" s="105"/>
      <c r="C781" s="105"/>
      <c r="D781" s="106"/>
      <c r="E781" s="110"/>
      <c r="F781" s="92"/>
      <c r="G781" s="18"/>
      <c r="H781" s="101" t="str">
        <f>IFERROR(__xludf.DUMMYFUNCTION("""COMPUTED_VALUE"""),"")</f>
        <v/>
      </c>
      <c r="I781" s="67" t="str">
        <f>IFERROR(__xludf.DUMMYFUNCTION("""COMPUTED_VALUE"""),"")</f>
        <v/>
      </c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8"/>
      <c r="CT781" s="18"/>
      <c r="CU781" s="18"/>
      <c r="CV781" s="18"/>
      <c r="CW781" s="18"/>
      <c r="CX781" s="18"/>
      <c r="CY781" s="18"/>
      <c r="CZ781" s="18"/>
      <c r="DA781" s="18"/>
      <c r="DB781" s="18"/>
      <c r="DC781" s="18"/>
      <c r="DD781" s="18"/>
      <c r="DE781" s="18"/>
      <c r="DF781" s="18"/>
      <c r="DG781" s="18"/>
      <c r="DH781" s="18"/>
      <c r="DI781" s="18"/>
      <c r="DJ781" s="18"/>
      <c r="DK781" s="18"/>
      <c r="DL781" s="18"/>
      <c r="DM781" s="18"/>
      <c r="DN781" s="18"/>
      <c r="DO781" s="18"/>
      <c r="DP781" s="18"/>
      <c r="DQ781" s="18"/>
      <c r="DR781" s="18"/>
      <c r="DS781" s="18"/>
      <c r="DT781" s="18"/>
      <c r="DU781" s="18"/>
      <c r="DV781" s="18"/>
      <c r="DW781" s="18"/>
      <c r="DX781" s="18"/>
      <c r="DY781" s="18"/>
      <c r="DZ781" s="18"/>
      <c r="EA781" s="18"/>
      <c r="EB781" s="18"/>
      <c r="EC781" s="18"/>
      <c r="ED781" s="18"/>
      <c r="EE781" s="18"/>
      <c r="EF781" s="18"/>
      <c r="EG781" s="18"/>
      <c r="EH781" s="18"/>
      <c r="EI781" s="18"/>
      <c r="EJ781" s="18"/>
      <c r="EK781" s="18"/>
      <c r="EL781" s="18"/>
      <c r="EM781" s="18"/>
      <c r="EN781" s="18"/>
      <c r="EO781" s="18"/>
      <c r="EP781" s="18"/>
      <c r="EQ781" s="18"/>
      <c r="ER781" s="18"/>
      <c r="ES781" s="18"/>
      <c r="ET781" s="18"/>
      <c r="EU781" s="18"/>
      <c r="EV781" s="18"/>
      <c r="EW781" s="18"/>
      <c r="EX781" s="18"/>
    </row>
    <row r="782">
      <c r="A782" s="101"/>
      <c r="B782" s="105"/>
      <c r="C782" s="105"/>
      <c r="D782" s="106"/>
      <c r="E782" s="110"/>
      <c r="F782" s="92"/>
      <c r="G782" s="18"/>
      <c r="H782" s="101" t="str">
        <f>IFERROR(__xludf.DUMMYFUNCTION("""COMPUTED_VALUE"""),"")</f>
        <v/>
      </c>
      <c r="I782" s="67" t="str">
        <f>IFERROR(__xludf.DUMMYFUNCTION("""COMPUTED_VALUE"""),"")</f>
        <v/>
      </c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8"/>
      <c r="CR782" s="18"/>
      <c r="CS782" s="18"/>
      <c r="CT782" s="18"/>
      <c r="CU782" s="18"/>
      <c r="CV782" s="18"/>
      <c r="CW782" s="18"/>
      <c r="CX782" s="18"/>
      <c r="CY782" s="18"/>
      <c r="CZ782" s="18"/>
      <c r="DA782" s="18"/>
      <c r="DB782" s="18"/>
      <c r="DC782" s="18"/>
      <c r="DD782" s="18"/>
      <c r="DE782" s="18"/>
      <c r="DF782" s="18"/>
      <c r="DG782" s="18"/>
      <c r="DH782" s="18"/>
      <c r="DI782" s="18"/>
      <c r="DJ782" s="18"/>
      <c r="DK782" s="18"/>
      <c r="DL782" s="18"/>
      <c r="DM782" s="18"/>
      <c r="DN782" s="18"/>
      <c r="DO782" s="18"/>
      <c r="DP782" s="18"/>
      <c r="DQ782" s="18"/>
      <c r="DR782" s="18"/>
      <c r="DS782" s="18"/>
      <c r="DT782" s="18"/>
      <c r="DU782" s="18"/>
      <c r="DV782" s="18"/>
      <c r="DW782" s="18"/>
      <c r="DX782" s="18"/>
      <c r="DY782" s="18"/>
      <c r="DZ782" s="18"/>
      <c r="EA782" s="18"/>
      <c r="EB782" s="18"/>
      <c r="EC782" s="18"/>
      <c r="ED782" s="18"/>
      <c r="EE782" s="18"/>
      <c r="EF782" s="18"/>
      <c r="EG782" s="18"/>
      <c r="EH782" s="18"/>
      <c r="EI782" s="18"/>
      <c r="EJ782" s="18"/>
      <c r="EK782" s="18"/>
      <c r="EL782" s="18"/>
      <c r="EM782" s="18"/>
      <c r="EN782" s="18"/>
      <c r="EO782" s="18"/>
      <c r="EP782" s="18"/>
      <c r="EQ782" s="18"/>
      <c r="ER782" s="18"/>
      <c r="ES782" s="18"/>
      <c r="ET782" s="18"/>
      <c r="EU782" s="18"/>
      <c r="EV782" s="18"/>
      <c r="EW782" s="18"/>
      <c r="EX782" s="18"/>
    </row>
    <row r="783">
      <c r="A783" s="101"/>
      <c r="B783" s="105"/>
      <c r="C783" s="105"/>
      <c r="D783" s="106"/>
      <c r="E783" s="110"/>
      <c r="F783" s="92"/>
      <c r="G783" s="18"/>
      <c r="H783" s="101" t="str">
        <f>IFERROR(__xludf.DUMMYFUNCTION("""COMPUTED_VALUE"""),"")</f>
        <v/>
      </c>
      <c r="I783" s="67" t="str">
        <f>IFERROR(__xludf.DUMMYFUNCTION("""COMPUTED_VALUE"""),"")</f>
        <v/>
      </c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8"/>
      <c r="CQ783" s="18"/>
      <c r="CR783" s="18"/>
      <c r="CS783" s="18"/>
      <c r="CT783" s="18"/>
      <c r="CU783" s="18"/>
      <c r="CV783" s="18"/>
      <c r="CW783" s="18"/>
      <c r="CX783" s="18"/>
      <c r="CY783" s="18"/>
      <c r="CZ783" s="18"/>
      <c r="DA783" s="18"/>
      <c r="DB783" s="18"/>
      <c r="DC783" s="18"/>
      <c r="DD783" s="18"/>
      <c r="DE783" s="18"/>
      <c r="DF783" s="18"/>
      <c r="DG783" s="18"/>
      <c r="DH783" s="18"/>
      <c r="DI783" s="18"/>
      <c r="DJ783" s="18"/>
      <c r="DK783" s="18"/>
      <c r="DL783" s="18"/>
      <c r="DM783" s="18"/>
      <c r="DN783" s="18"/>
      <c r="DO783" s="18"/>
      <c r="DP783" s="18"/>
      <c r="DQ783" s="18"/>
      <c r="DR783" s="18"/>
      <c r="DS783" s="18"/>
      <c r="DT783" s="18"/>
      <c r="DU783" s="18"/>
      <c r="DV783" s="18"/>
      <c r="DW783" s="18"/>
      <c r="DX783" s="18"/>
      <c r="DY783" s="18"/>
      <c r="DZ783" s="18"/>
      <c r="EA783" s="18"/>
      <c r="EB783" s="18"/>
      <c r="EC783" s="18"/>
      <c r="ED783" s="18"/>
      <c r="EE783" s="18"/>
      <c r="EF783" s="18"/>
      <c r="EG783" s="18"/>
      <c r="EH783" s="18"/>
      <c r="EI783" s="18"/>
      <c r="EJ783" s="18"/>
      <c r="EK783" s="18"/>
      <c r="EL783" s="18"/>
      <c r="EM783" s="18"/>
      <c r="EN783" s="18"/>
      <c r="EO783" s="18"/>
      <c r="EP783" s="18"/>
      <c r="EQ783" s="18"/>
      <c r="ER783" s="18"/>
      <c r="ES783" s="18"/>
      <c r="ET783" s="18"/>
      <c r="EU783" s="18"/>
      <c r="EV783" s="18"/>
      <c r="EW783" s="18"/>
      <c r="EX783" s="18"/>
    </row>
    <row r="784">
      <c r="A784" s="101"/>
      <c r="B784" s="105"/>
      <c r="C784" s="105"/>
      <c r="D784" s="106"/>
      <c r="E784" s="110"/>
      <c r="F784" s="92"/>
      <c r="G784" s="18"/>
      <c r="H784" s="101" t="str">
        <f>IFERROR(__xludf.DUMMYFUNCTION("""COMPUTED_VALUE"""),"")</f>
        <v/>
      </c>
      <c r="I784" s="67" t="str">
        <f>IFERROR(__xludf.DUMMYFUNCTION("""COMPUTED_VALUE"""),"")</f>
        <v/>
      </c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  <c r="CP784" s="18"/>
      <c r="CQ784" s="18"/>
      <c r="CR784" s="18"/>
      <c r="CS784" s="18"/>
      <c r="CT784" s="18"/>
      <c r="CU784" s="18"/>
      <c r="CV784" s="18"/>
      <c r="CW784" s="18"/>
      <c r="CX784" s="18"/>
      <c r="CY784" s="18"/>
      <c r="CZ784" s="18"/>
      <c r="DA784" s="18"/>
      <c r="DB784" s="18"/>
      <c r="DC784" s="18"/>
      <c r="DD784" s="18"/>
      <c r="DE784" s="18"/>
      <c r="DF784" s="18"/>
      <c r="DG784" s="18"/>
      <c r="DH784" s="18"/>
      <c r="DI784" s="18"/>
      <c r="DJ784" s="18"/>
      <c r="DK784" s="18"/>
      <c r="DL784" s="18"/>
      <c r="DM784" s="18"/>
      <c r="DN784" s="18"/>
      <c r="DO784" s="18"/>
      <c r="DP784" s="18"/>
      <c r="DQ784" s="18"/>
      <c r="DR784" s="18"/>
      <c r="DS784" s="18"/>
      <c r="DT784" s="18"/>
      <c r="DU784" s="18"/>
      <c r="DV784" s="18"/>
      <c r="DW784" s="18"/>
      <c r="DX784" s="18"/>
      <c r="DY784" s="18"/>
      <c r="DZ784" s="18"/>
      <c r="EA784" s="18"/>
      <c r="EB784" s="18"/>
      <c r="EC784" s="18"/>
      <c r="ED784" s="18"/>
      <c r="EE784" s="18"/>
      <c r="EF784" s="18"/>
      <c r="EG784" s="18"/>
      <c r="EH784" s="18"/>
      <c r="EI784" s="18"/>
      <c r="EJ784" s="18"/>
      <c r="EK784" s="18"/>
      <c r="EL784" s="18"/>
      <c r="EM784" s="18"/>
      <c r="EN784" s="18"/>
      <c r="EO784" s="18"/>
      <c r="EP784" s="18"/>
      <c r="EQ784" s="18"/>
      <c r="ER784" s="18"/>
      <c r="ES784" s="18"/>
      <c r="ET784" s="18"/>
      <c r="EU784" s="18"/>
      <c r="EV784" s="18"/>
      <c r="EW784" s="18"/>
      <c r="EX784" s="18"/>
    </row>
    <row r="785">
      <c r="A785" s="101"/>
      <c r="B785" s="105"/>
      <c r="C785" s="105"/>
      <c r="D785" s="106"/>
      <c r="E785" s="110"/>
      <c r="F785" s="92"/>
      <c r="G785" s="18"/>
      <c r="H785" s="101" t="str">
        <f>IFERROR(__xludf.DUMMYFUNCTION("""COMPUTED_VALUE"""),"")</f>
        <v/>
      </c>
      <c r="I785" s="67" t="str">
        <f>IFERROR(__xludf.DUMMYFUNCTION("""COMPUTED_VALUE"""),"")</f>
        <v/>
      </c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  <c r="CP785" s="18"/>
      <c r="CQ785" s="18"/>
      <c r="CR785" s="18"/>
      <c r="CS785" s="18"/>
      <c r="CT785" s="18"/>
      <c r="CU785" s="18"/>
      <c r="CV785" s="18"/>
      <c r="CW785" s="18"/>
      <c r="CX785" s="18"/>
      <c r="CY785" s="18"/>
      <c r="CZ785" s="18"/>
      <c r="DA785" s="18"/>
      <c r="DB785" s="18"/>
      <c r="DC785" s="18"/>
      <c r="DD785" s="18"/>
      <c r="DE785" s="18"/>
      <c r="DF785" s="18"/>
      <c r="DG785" s="18"/>
      <c r="DH785" s="18"/>
      <c r="DI785" s="18"/>
      <c r="DJ785" s="18"/>
      <c r="DK785" s="18"/>
      <c r="DL785" s="18"/>
      <c r="DM785" s="18"/>
      <c r="DN785" s="18"/>
      <c r="DO785" s="18"/>
      <c r="DP785" s="18"/>
      <c r="DQ785" s="18"/>
      <c r="DR785" s="18"/>
      <c r="DS785" s="18"/>
      <c r="DT785" s="18"/>
      <c r="DU785" s="18"/>
      <c r="DV785" s="18"/>
      <c r="DW785" s="18"/>
      <c r="DX785" s="18"/>
      <c r="DY785" s="18"/>
      <c r="DZ785" s="18"/>
      <c r="EA785" s="18"/>
      <c r="EB785" s="18"/>
      <c r="EC785" s="18"/>
      <c r="ED785" s="18"/>
      <c r="EE785" s="18"/>
      <c r="EF785" s="18"/>
      <c r="EG785" s="18"/>
      <c r="EH785" s="18"/>
      <c r="EI785" s="18"/>
      <c r="EJ785" s="18"/>
      <c r="EK785" s="18"/>
      <c r="EL785" s="18"/>
      <c r="EM785" s="18"/>
      <c r="EN785" s="18"/>
      <c r="EO785" s="18"/>
      <c r="EP785" s="18"/>
      <c r="EQ785" s="18"/>
      <c r="ER785" s="18"/>
      <c r="ES785" s="18"/>
      <c r="ET785" s="18"/>
      <c r="EU785" s="18"/>
      <c r="EV785" s="18"/>
      <c r="EW785" s="18"/>
      <c r="EX785" s="18"/>
    </row>
    <row r="786">
      <c r="A786" s="101"/>
      <c r="B786" s="105"/>
      <c r="C786" s="105"/>
      <c r="D786" s="106"/>
      <c r="E786" s="110"/>
      <c r="F786" s="92"/>
      <c r="G786" s="18"/>
      <c r="H786" s="101" t="str">
        <f>IFERROR(__xludf.DUMMYFUNCTION("""COMPUTED_VALUE"""),"")</f>
        <v/>
      </c>
      <c r="I786" s="67" t="str">
        <f>IFERROR(__xludf.DUMMYFUNCTION("""COMPUTED_VALUE"""),"")</f>
        <v/>
      </c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  <c r="CP786" s="18"/>
      <c r="CQ786" s="18"/>
      <c r="CR786" s="18"/>
      <c r="CS786" s="18"/>
      <c r="CT786" s="18"/>
      <c r="CU786" s="18"/>
      <c r="CV786" s="18"/>
      <c r="CW786" s="18"/>
      <c r="CX786" s="18"/>
      <c r="CY786" s="18"/>
      <c r="CZ786" s="18"/>
      <c r="DA786" s="18"/>
      <c r="DB786" s="18"/>
      <c r="DC786" s="18"/>
      <c r="DD786" s="18"/>
      <c r="DE786" s="18"/>
      <c r="DF786" s="18"/>
      <c r="DG786" s="18"/>
      <c r="DH786" s="18"/>
      <c r="DI786" s="18"/>
      <c r="DJ786" s="18"/>
      <c r="DK786" s="18"/>
      <c r="DL786" s="18"/>
      <c r="DM786" s="18"/>
      <c r="DN786" s="18"/>
      <c r="DO786" s="18"/>
      <c r="DP786" s="18"/>
      <c r="DQ786" s="18"/>
      <c r="DR786" s="18"/>
      <c r="DS786" s="18"/>
      <c r="DT786" s="18"/>
      <c r="DU786" s="18"/>
      <c r="DV786" s="18"/>
      <c r="DW786" s="18"/>
      <c r="DX786" s="18"/>
      <c r="DY786" s="18"/>
      <c r="DZ786" s="18"/>
      <c r="EA786" s="18"/>
      <c r="EB786" s="18"/>
      <c r="EC786" s="18"/>
      <c r="ED786" s="18"/>
      <c r="EE786" s="18"/>
      <c r="EF786" s="18"/>
      <c r="EG786" s="18"/>
      <c r="EH786" s="18"/>
      <c r="EI786" s="18"/>
      <c r="EJ786" s="18"/>
      <c r="EK786" s="18"/>
      <c r="EL786" s="18"/>
      <c r="EM786" s="18"/>
      <c r="EN786" s="18"/>
      <c r="EO786" s="18"/>
      <c r="EP786" s="18"/>
      <c r="EQ786" s="18"/>
      <c r="ER786" s="18"/>
      <c r="ES786" s="18"/>
      <c r="ET786" s="18"/>
      <c r="EU786" s="18"/>
      <c r="EV786" s="18"/>
      <c r="EW786" s="18"/>
      <c r="EX786" s="18"/>
    </row>
    <row r="787">
      <c r="A787" s="101"/>
      <c r="B787" s="105"/>
      <c r="C787" s="105"/>
      <c r="D787" s="106"/>
      <c r="E787" s="110"/>
      <c r="F787" s="92"/>
      <c r="G787" s="18"/>
      <c r="H787" s="101" t="str">
        <f>IFERROR(__xludf.DUMMYFUNCTION("""COMPUTED_VALUE"""),"")</f>
        <v/>
      </c>
      <c r="I787" s="67" t="str">
        <f>IFERROR(__xludf.DUMMYFUNCTION("""COMPUTED_VALUE"""),"")</f>
        <v/>
      </c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  <c r="CP787" s="18"/>
      <c r="CQ787" s="18"/>
      <c r="CR787" s="18"/>
      <c r="CS787" s="18"/>
      <c r="CT787" s="18"/>
      <c r="CU787" s="18"/>
      <c r="CV787" s="18"/>
      <c r="CW787" s="18"/>
      <c r="CX787" s="18"/>
      <c r="CY787" s="18"/>
      <c r="CZ787" s="18"/>
      <c r="DA787" s="18"/>
      <c r="DB787" s="18"/>
      <c r="DC787" s="18"/>
      <c r="DD787" s="18"/>
      <c r="DE787" s="18"/>
      <c r="DF787" s="18"/>
      <c r="DG787" s="18"/>
      <c r="DH787" s="18"/>
      <c r="DI787" s="18"/>
      <c r="DJ787" s="18"/>
      <c r="DK787" s="18"/>
      <c r="DL787" s="18"/>
      <c r="DM787" s="18"/>
      <c r="DN787" s="18"/>
      <c r="DO787" s="18"/>
      <c r="DP787" s="18"/>
      <c r="DQ787" s="18"/>
      <c r="DR787" s="18"/>
      <c r="DS787" s="18"/>
      <c r="DT787" s="18"/>
      <c r="DU787" s="18"/>
      <c r="DV787" s="18"/>
      <c r="DW787" s="18"/>
      <c r="DX787" s="18"/>
      <c r="DY787" s="18"/>
      <c r="DZ787" s="18"/>
      <c r="EA787" s="18"/>
      <c r="EB787" s="18"/>
      <c r="EC787" s="18"/>
      <c r="ED787" s="18"/>
      <c r="EE787" s="18"/>
      <c r="EF787" s="18"/>
      <c r="EG787" s="18"/>
      <c r="EH787" s="18"/>
      <c r="EI787" s="18"/>
      <c r="EJ787" s="18"/>
      <c r="EK787" s="18"/>
      <c r="EL787" s="18"/>
      <c r="EM787" s="18"/>
      <c r="EN787" s="18"/>
      <c r="EO787" s="18"/>
      <c r="EP787" s="18"/>
      <c r="EQ787" s="18"/>
      <c r="ER787" s="18"/>
      <c r="ES787" s="18"/>
      <c r="ET787" s="18"/>
      <c r="EU787" s="18"/>
      <c r="EV787" s="18"/>
      <c r="EW787" s="18"/>
      <c r="EX787" s="18"/>
    </row>
    <row r="788">
      <c r="A788" s="101"/>
      <c r="B788" s="105"/>
      <c r="C788" s="105"/>
      <c r="D788" s="106"/>
      <c r="E788" s="110"/>
      <c r="F788" s="92"/>
      <c r="G788" s="18"/>
      <c r="H788" s="101" t="str">
        <f>IFERROR(__xludf.DUMMYFUNCTION("""COMPUTED_VALUE"""),"")</f>
        <v/>
      </c>
      <c r="I788" s="67" t="str">
        <f>IFERROR(__xludf.DUMMYFUNCTION("""COMPUTED_VALUE"""),"")</f>
        <v/>
      </c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  <c r="CP788" s="18"/>
      <c r="CQ788" s="18"/>
      <c r="CR788" s="18"/>
      <c r="CS788" s="18"/>
      <c r="CT788" s="18"/>
      <c r="CU788" s="18"/>
      <c r="CV788" s="18"/>
      <c r="CW788" s="18"/>
      <c r="CX788" s="18"/>
      <c r="CY788" s="18"/>
      <c r="CZ788" s="18"/>
      <c r="DA788" s="18"/>
      <c r="DB788" s="18"/>
      <c r="DC788" s="18"/>
      <c r="DD788" s="18"/>
      <c r="DE788" s="18"/>
      <c r="DF788" s="18"/>
      <c r="DG788" s="18"/>
      <c r="DH788" s="18"/>
      <c r="DI788" s="18"/>
      <c r="DJ788" s="18"/>
      <c r="DK788" s="18"/>
      <c r="DL788" s="18"/>
      <c r="DM788" s="18"/>
      <c r="DN788" s="18"/>
      <c r="DO788" s="18"/>
      <c r="DP788" s="18"/>
      <c r="DQ788" s="18"/>
      <c r="DR788" s="18"/>
      <c r="DS788" s="18"/>
      <c r="DT788" s="18"/>
      <c r="DU788" s="18"/>
      <c r="DV788" s="18"/>
      <c r="DW788" s="18"/>
      <c r="DX788" s="18"/>
      <c r="DY788" s="18"/>
      <c r="DZ788" s="18"/>
      <c r="EA788" s="18"/>
      <c r="EB788" s="18"/>
      <c r="EC788" s="18"/>
      <c r="ED788" s="18"/>
      <c r="EE788" s="18"/>
      <c r="EF788" s="18"/>
      <c r="EG788" s="18"/>
      <c r="EH788" s="18"/>
      <c r="EI788" s="18"/>
      <c r="EJ788" s="18"/>
      <c r="EK788" s="18"/>
      <c r="EL788" s="18"/>
      <c r="EM788" s="18"/>
      <c r="EN788" s="18"/>
      <c r="EO788" s="18"/>
      <c r="EP788" s="18"/>
      <c r="EQ788" s="18"/>
      <c r="ER788" s="18"/>
      <c r="ES788" s="18"/>
      <c r="ET788" s="18"/>
      <c r="EU788" s="18"/>
      <c r="EV788" s="18"/>
      <c r="EW788" s="18"/>
      <c r="EX788" s="18"/>
    </row>
    <row r="789">
      <c r="A789" s="101"/>
      <c r="B789" s="105"/>
      <c r="C789" s="105"/>
      <c r="D789" s="106"/>
      <c r="E789" s="110"/>
      <c r="F789" s="92"/>
      <c r="G789" s="18"/>
      <c r="H789" s="101" t="str">
        <f>IFERROR(__xludf.DUMMYFUNCTION("""COMPUTED_VALUE"""),"")</f>
        <v/>
      </c>
      <c r="I789" s="67" t="str">
        <f>IFERROR(__xludf.DUMMYFUNCTION("""COMPUTED_VALUE"""),"")</f>
        <v/>
      </c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  <c r="CP789" s="18"/>
      <c r="CQ789" s="18"/>
      <c r="CR789" s="18"/>
      <c r="CS789" s="18"/>
      <c r="CT789" s="18"/>
      <c r="CU789" s="18"/>
      <c r="CV789" s="18"/>
      <c r="CW789" s="18"/>
      <c r="CX789" s="18"/>
      <c r="CY789" s="18"/>
      <c r="CZ789" s="18"/>
      <c r="DA789" s="18"/>
      <c r="DB789" s="18"/>
      <c r="DC789" s="18"/>
      <c r="DD789" s="18"/>
      <c r="DE789" s="18"/>
      <c r="DF789" s="18"/>
      <c r="DG789" s="18"/>
      <c r="DH789" s="18"/>
      <c r="DI789" s="18"/>
      <c r="DJ789" s="18"/>
      <c r="DK789" s="18"/>
      <c r="DL789" s="18"/>
      <c r="DM789" s="18"/>
      <c r="DN789" s="18"/>
      <c r="DO789" s="18"/>
      <c r="DP789" s="18"/>
      <c r="DQ789" s="18"/>
      <c r="DR789" s="18"/>
      <c r="DS789" s="18"/>
      <c r="DT789" s="18"/>
      <c r="DU789" s="18"/>
      <c r="DV789" s="18"/>
      <c r="DW789" s="18"/>
      <c r="DX789" s="18"/>
      <c r="DY789" s="18"/>
      <c r="DZ789" s="18"/>
      <c r="EA789" s="18"/>
      <c r="EB789" s="18"/>
      <c r="EC789" s="18"/>
      <c r="ED789" s="18"/>
      <c r="EE789" s="18"/>
      <c r="EF789" s="18"/>
      <c r="EG789" s="18"/>
      <c r="EH789" s="18"/>
      <c r="EI789" s="18"/>
      <c r="EJ789" s="18"/>
      <c r="EK789" s="18"/>
      <c r="EL789" s="18"/>
      <c r="EM789" s="18"/>
      <c r="EN789" s="18"/>
      <c r="EO789" s="18"/>
      <c r="EP789" s="18"/>
      <c r="EQ789" s="18"/>
      <c r="ER789" s="18"/>
      <c r="ES789" s="18"/>
      <c r="ET789" s="18"/>
      <c r="EU789" s="18"/>
      <c r="EV789" s="18"/>
      <c r="EW789" s="18"/>
      <c r="EX789" s="18"/>
    </row>
    <row r="790">
      <c r="A790" s="101"/>
      <c r="B790" s="105"/>
      <c r="C790" s="105"/>
      <c r="D790" s="106"/>
      <c r="E790" s="110"/>
      <c r="F790" s="92"/>
      <c r="G790" s="18"/>
      <c r="H790" s="101" t="str">
        <f>IFERROR(__xludf.DUMMYFUNCTION("""COMPUTED_VALUE"""),"")</f>
        <v/>
      </c>
      <c r="I790" s="67" t="str">
        <f>IFERROR(__xludf.DUMMYFUNCTION("""COMPUTED_VALUE"""),"")</f>
        <v/>
      </c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  <c r="CP790" s="18"/>
      <c r="CQ790" s="18"/>
      <c r="CR790" s="18"/>
      <c r="CS790" s="18"/>
      <c r="CT790" s="18"/>
      <c r="CU790" s="18"/>
      <c r="CV790" s="18"/>
      <c r="CW790" s="18"/>
      <c r="CX790" s="18"/>
      <c r="CY790" s="18"/>
      <c r="CZ790" s="18"/>
      <c r="DA790" s="18"/>
      <c r="DB790" s="18"/>
      <c r="DC790" s="18"/>
      <c r="DD790" s="18"/>
      <c r="DE790" s="18"/>
      <c r="DF790" s="18"/>
      <c r="DG790" s="18"/>
      <c r="DH790" s="18"/>
      <c r="DI790" s="18"/>
      <c r="DJ790" s="18"/>
      <c r="DK790" s="18"/>
      <c r="DL790" s="18"/>
      <c r="DM790" s="18"/>
      <c r="DN790" s="18"/>
      <c r="DO790" s="18"/>
      <c r="DP790" s="18"/>
      <c r="DQ790" s="18"/>
      <c r="DR790" s="18"/>
      <c r="DS790" s="18"/>
      <c r="DT790" s="18"/>
      <c r="DU790" s="18"/>
      <c r="DV790" s="18"/>
      <c r="DW790" s="18"/>
      <c r="DX790" s="18"/>
      <c r="DY790" s="18"/>
      <c r="DZ790" s="18"/>
      <c r="EA790" s="18"/>
      <c r="EB790" s="18"/>
      <c r="EC790" s="18"/>
      <c r="ED790" s="18"/>
      <c r="EE790" s="18"/>
      <c r="EF790" s="18"/>
      <c r="EG790" s="18"/>
      <c r="EH790" s="18"/>
      <c r="EI790" s="18"/>
      <c r="EJ790" s="18"/>
      <c r="EK790" s="18"/>
      <c r="EL790" s="18"/>
      <c r="EM790" s="18"/>
      <c r="EN790" s="18"/>
      <c r="EO790" s="18"/>
      <c r="EP790" s="18"/>
      <c r="EQ790" s="18"/>
      <c r="ER790" s="18"/>
      <c r="ES790" s="18"/>
      <c r="ET790" s="18"/>
      <c r="EU790" s="18"/>
      <c r="EV790" s="18"/>
      <c r="EW790" s="18"/>
      <c r="EX790" s="18"/>
    </row>
    <row r="791">
      <c r="A791" s="101"/>
      <c r="B791" s="105"/>
      <c r="C791" s="105"/>
      <c r="D791" s="106"/>
      <c r="E791" s="110"/>
      <c r="F791" s="92"/>
      <c r="G791" s="18"/>
      <c r="H791" s="101" t="str">
        <f>IFERROR(__xludf.DUMMYFUNCTION("""COMPUTED_VALUE"""),"")</f>
        <v/>
      </c>
      <c r="I791" s="67" t="str">
        <f>IFERROR(__xludf.DUMMYFUNCTION("""COMPUTED_VALUE"""),"")</f>
        <v/>
      </c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  <c r="CP791" s="18"/>
      <c r="CQ791" s="18"/>
      <c r="CR791" s="18"/>
      <c r="CS791" s="18"/>
      <c r="CT791" s="18"/>
      <c r="CU791" s="18"/>
      <c r="CV791" s="18"/>
      <c r="CW791" s="18"/>
      <c r="CX791" s="18"/>
      <c r="CY791" s="18"/>
      <c r="CZ791" s="18"/>
      <c r="DA791" s="18"/>
      <c r="DB791" s="18"/>
      <c r="DC791" s="18"/>
      <c r="DD791" s="18"/>
      <c r="DE791" s="18"/>
      <c r="DF791" s="18"/>
      <c r="DG791" s="18"/>
      <c r="DH791" s="18"/>
      <c r="DI791" s="18"/>
      <c r="DJ791" s="18"/>
      <c r="DK791" s="18"/>
      <c r="DL791" s="18"/>
      <c r="DM791" s="18"/>
      <c r="DN791" s="18"/>
      <c r="DO791" s="18"/>
      <c r="DP791" s="18"/>
      <c r="DQ791" s="18"/>
      <c r="DR791" s="18"/>
      <c r="DS791" s="18"/>
      <c r="DT791" s="18"/>
      <c r="DU791" s="18"/>
      <c r="DV791" s="18"/>
      <c r="DW791" s="18"/>
      <c r="DX791" s="18"/>
      <c r="DY791" s="18"/>
      <c r="DZ791" s="18"/>
      <c r="EA791" s="18"/>
      <c r="EB791" s="18"/>
      <c r="EC791" s="18"/>
      <c r="ED791" s="18"/>
      <c r="EE791" s="18"/>
      <c r="EF791" s="18"/>
      <c r="EG791" s="18"/>
      <c r="EH791" s="18"/>
      <c r="EI791" s="18"/>
      <c r="EJ791" s="18"/>
      <c r="EK791" s="18"/>
      <c r="EL791" s="18"/>
      <c r="EM791" s="18"/>
      <c r="EN791" s="18"/>
      <c r="EO791" s="18"/>
      <c r="EP791" s="18"/>
      <c r="EQ791" s="18"/>
      <c r="ER791" s="18"/>
      <c r="ES791" s="18"/>
      <c r="ET791" s="18"/>
      <c r="EU791" s="18"/>
      <c r="EV791" s="18"/>
      <c r="EW791" s="18"/>
      <c r="EX791" s="18"/>
    </row>
    <row r="792">
      <c r="A792" s="101"/>
      <c r="B792" s="105"/>
      <c r="C792" s="105"/>
      <c r="D792" s="106"/>
      <c r="E792" s="110"/>
      <c r="F792" s="92"/>
      <c r="G792" s="18"/>
      <c r="H792" s="101" t="str">
        <f>IFERROR(__xludf.DUMMYFUNCTION("""COMPUTED_VALUE"""),"")</f>
        <v/>
      </c>
      <c r="I792" s="67" t="str">
        <f>IFERROR(__xludf.DUMMYFUNCTION("""COMPUTED_VALUE"""),"")</f>
        <v/>
      </c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  <c r="CP792" s="18"/>
      <c r="CQ792" s="18"/>
      <c r="CR792" s="18"/>
      <c r="CS792" s="18"/>
      <c r="CT792" s="18"/>
      <c r="CU792" s="18"/>
      <c r="CV792" s="18"/>
      <c r="CW792" s="18"/>
      <c r="CX792" s="18"/>
      <c r="CY792" s="18"/>
      <c r="CZ792" s="18"/>
      <c r="DA792" s="18"/>
      <c r="DB792" s="18"/>
      <c r="DC792" s="18"/>
      <c r="DD792" s="18"/>
      <c r="DE792" s="18"/>
      <c r="DF792" s="18"/>
      <c r="DG792" s="18"/>
      <c r="DH792" s="18"/>
      <c r="DI792" s="18"/>
      <c r="DJ792" s="18"/>
      <c r="DK792" s="18"/>
      <c r="DL792" s="18"/>
      <c r="DM792" s="18"/>
      <c r="DN792" s="18"/>
      <c r="DO792" s="18"/>
      <c r="DP792" s="18"/>
      <c r="DQ792" s="18"/>
      <c r="DR792" s="18"/>
      <c r="DS792" s="18"/>
      <c r="DT792" s="18"/>
      <c r="DU792" s="18"/>
      <c r="DV792" s="18"/>
      <c r="DW792" s="18"/>
      <c r="DX792" s="18"/>
      <c r="DY792" s="18"/>
      <c r="DZ792" s="18"/>
      <c r="EA792" s="18"/>
      <c r="EB792" s="18"/>
      <c r="EC792" s="18"/>
      <c r="ED792" s="18"/>
      <c r="EE792" s="18"/>
      <c r="EF792" s="18"/>
      <c r="EG792" s="18"/>
      <c r="EH792" s="18"/>
      <c r="EI792" s="18"/>
      <c r="EJ792" s="18"/>
      <c r="EK792" s="18"/>
      <c r="EL792" s="18"/>
      <c r="EM792" s="18"/>
      <c r="EN792" s="18"/>
      <c r="EO792" s="18"/>
      <c r="EP792" s="18"/>
      <c r="EQ792" s="18"/>
      <c r="ER792" s="18"/>
      <c r="ES792" s="18"/>
      <c r="ET792" s="18"/>
      <c r="EU792" s="18"/>
      <c r="EV792" s="18"/>
      <c r="EW792" s="18"/>
      <c r="EX792" s="18"/>
    </row>
    <row r="793">
      <c r="A793" s="101"/>
      <c r="B793" s="105"/>
      <c r="C793" s="105"/>
      <c r="D793" s="106"/>
      <c r="E793" s="110"/>
      <c r="F793" s="92"/>
      <c r="G793" s="18"/>
      <c r="H793" s="101" t="str">
        <f>IFERROR(__xludf.DUMMYFUNCTION("""COMPUTED_VALUE"""),"")</f>
        <v/>
      </c>
      <c r="I793" s="67" t="str">
        <f>IFERROR(__xludf.DUMMYFUNCTION("""COMPUTED_VALUE"""),"")</f>
        <v/>
      </c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  <c r="CP793" s="18"/>
      <c r="CQ793" s="18"/>
      <c r="CR793" s="18"/>
      <c r="CS793" s="18"/>
      <c r="CT793" s="18"/>
      <c r="CU793" s="18"/>
      <c r="CV793" s="18"/>
      <c r="CW793" s="18"/>
      <c r="CX793" s="18"/>
      <c r="CY793" s="18"/>
      <c r="CZ793" s="18"/>
      <c r="DA793" s="18"/>
      <c r="DB793" s="18"/>
      <c r="DC793" s="18"/>
      <c r="DD793" s="18"/>
      <c r="DE793" s="18"/>
      <c r="DF793" s="18"/>
      <c r="DG793" s="18"/>
      <c r="DH793" s="18"/>
      <c r="DI793" s="18"/>
      <c r="DJ793" s="18"/>
      <c r="DK793" s="18"/>
      <c r="DL793" s="18"/>
      <c r="DM793" s="18"/>
      <c r="DN793" s="18"/>
      <c r="DO793" s="18"/>
      <c r="DP793" s="18"/>
      <c r="DQ793" s="18"/>
      <c r="DR793" s="18"/>
      <c r="DS793" s="18"/>
      <c r="DT793" s="18"/>
      <c r="DU793" s="18"/>
      <c r="DV793" s="18"/>
      <c r="DW793" s="18"/>
      <c r="DX793" s="18"/>
      <c r="DY793" s="18"/>
      <c r="DZ793" s="18"/>
      <c r="EA793" s="18"/>
      <c r="EB793" s="18"/>
      <c r="EC793" s="18"/>
      <c r="ED793" s="18"/>
      <c r="EE793" s="18"/>
      <c r="EF793" s="18"/>
      <c r="EG793" s="18"/>
      <c r="EH793" s="18"/>
      <c r="EI793" s="18"/>
      <c r="EJ793" s="18"/>
      <c r="EK793" s="18"/>
      <c r="EL793" s="18"/>
      <c r="EM793" s="18"/>
      <c r="EN793" s="18"/>
      <c r="EO793" s="18"/>
      <c r="EP793" s="18"/>
      <c r="EQ793" s="18"/>
      <c r="ER793" s="18"/>
      <c r="ES793" s="18"/>
      <c r="ET793" s="18"/>
      <c r="EU793" s="18"/>
      <c r="EV793" s="18"/>
      <c r="EW793" s="18"/>
      <c r="EX793" s="18"/>
    </row>
    <row r="794">
      <c r="A794" s="101"/>
      <c r="B794" s="105"/>
      <c r="C794" s="105"/>
      <c r="D794" s="106"/>
      <c r="E794" s="110"/>
      <c r="F794" s="92"/>
      <c r="G794" s="18"/>
      <c r="H794" s="101" t="str">
        <f>IFERROR(__xludf.DUMMYFUNCTION("""COMPUTED_VALUE"""),"")</f>
        <v/>
      </c>
      <c r="I794" s="67" t="str">
        <f>IFERROR(__xludf.DUMMYFUNCTION("""COMPUTED_VALUE"""),"")</f>
        <v/>
      </c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  <c r="CP794" s="18"/>
      <c r="CQ794" s="18"/>
      <c r="CR794" s="18"/>
      <c r="CS794" s="18"/>
      <c r="CT794" s="18"/>
      <c r="CU794" s="18"/>
      <c r="CV794" s="18"/>
      <c r="CW794" s="18"/>
      <c r="CX794" s="18"/>
      <c r="CY794" s="18"/>
      <c r="CZ794" s="18"/>
      <c r="DA794" s="18"/>
      <c r="DB794" s="18"/>
      <c r="DC794" s="18"/>
      <c r="DD794" s="18"/>
      <c r="DE794" s="18"/>
      <c r="DF794" s="18"/>
      <c r="DG794" s="18"/>
      <c r="DH794" s="18"/>
      <c r="DI794" s="18"/>
      <c r="DJ794" s="18"/>
      <c r="DK794" s="18"/>
      <c r="DL794" s="18"/>
      <c r="DM794" s="18"/>
      <c r="DN794" s="18"/>
      <c r="DO794" s="18"/>
      <c r="DP794" s="18"/>
      <c r="DQ794" s="18"/>
      <c r="DR794" s="18"/>
      <c r="DS794" s="18"/>
      <c r="DT794" s="18"/>
      <c r="DU794" s="18"/>
      <c r="DV794" s="18"/>
      <c r="DW794" s="18"/>
      <c r="DX794" s="18"/>
      <c r="DY794" s="18"/>
      <c r="DZ794" s="18"/>
      <c r="EA794" s="18"/>
      <c r="EB794" s="18"/>
      <c r="EC794" s="18"/>
      <c r="ED794" s="18"/>
      <c r="EE794" s="18"/>
      <c r="EF794" s="18"/>
      <c r="EG794" s="18"/>
      <c r="EH794" s="18"/>
      <c r="EI794" s="18"/>
      <c r="EJ794" s="18"/>
      <c r="EK794" s="18"/>
      <c r="EL794" s="18"/>
      <c r="EM794" s="18"/>
      <c r="EN794" s="18"/>
      <c r="EO794" s="18"/>
      <c r="EP794" s="18"/>
      <c r="EQ794" s="18"/>
      <c r="ER794" s="18"/>
      <c r="ES794" s="18"/>
      <c r="ET794" s="18"/>
      <c r="EU794" s="18"/>
      <c r="EV794" s="18"/>
      <c r="EW794" s="18"/>
      <c r="EX794" s="18"/>
    </row>
    <row r="795">
      <c r="A795" s="101"/>
      <c r="B795" s="105"/>
      <c r="C795" s="105"/>
      <c r="D795" s="106"/>
      <c r="E795" s="110"/>
      <c r="F795" s="92"/>
      <c r="G795" s="18"/>
      <c r="H795" s="101" t="str">
        <f>IFERROR(__xludf.DUMMYFUNCTION("""COMPUTED_VALUE"""),"")</f>
        <v/>
      </c>
      <c r="I795" s="67" t="str">
        <f>IFERROR(__xludf.DUMMYFUNCTION("""COMPUTED_VALUE"""),"")</f>
        <v/>
      </c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  <c r="CP795" s="18"/>
      <c r="CQ795" s="18"/>
      <c r="CR795" s="18"/>
      <c r="CS795" s="18"/>
      <c r="CT795" s="18"/>
      <c r="CU795" s="18"/>
      <c r="CV795" s="18"/>
      <c r="CW795" s="18"/>
      <c r="CX795" s="18"/>
      <c r="CY795" s="18"/>
      <c r="CZ795" s="18"/>
      <c r="DA795" s="18"/>
      <c r="DB795" s="18"/>
      <c r="DC795" s="18"/>
      <c r="DD795" s="18"/>
      <c r="DE795" s="18"/>
      <c r="DF795" s="18"/>
      <c r="DG795" s="18"/>
      <c r="DH795" s="18"/>
      <c r="DI795" s="18"/>
      <c r="DJ795" s="18"/>
      <c r="DK795" s="18"/>
      <c r="DL795" s="18"/>
      <c r="DM795" s="18"/>
      <c r="DN795" s="18"/>
      <c r="DO795" s="18"/>
      <c r="DP795" s="18"/>
      <c r="DQ795" s="18"/>
      <c r="DR795" s="18"/>
      <c r="DS795" s="18"/>
      <c r="DT795" s="18"/>
      <c r="DU795" s="18"/>
      <c r="DV795" s="18"/>
      <c r="DW795" s="18"/>
      <c r="DX795" s="18"/>
      <c r="DY795" s="18"/>
      <c r="DZ795" s="18"/>
      <c r="EA795" s="18"/>
      <c r="EB795" s="18"/>
      <c r="EC795" s="18"/>
      <c r="ED795" s="18"/>
      <c r="EE795" s="18"/>
      <c r="EF795" s="18"/>
      <c r="EG795" s="18"/>
      <c r="EH795" s="18"/>
      <c r="EI795" s="18"/>
      <c r="EJ795" s="18"/>
      <c r="EK795" s="18"/>
      <c r="EL795" s="18"/>
      <c r="EM795" s="18"/>
      <c r="EN795" s="18"/>
      <c r="EO795" s="18"/>
      <c r="EP795" s="18"/>
      <c r="EQ795" s="18"/>
      <c r="ER795" s="18"/>
      <c r="ES795" s="18"/>
      <c r="ET795" s="18"/>
      <c r="EU795" s="18"/>
      <c r="EV795" s="18"/>
      <c r="EW795" s="18"/>
      <c r="EX795" s="18"/>
    </row>
    <row r="796">
      <c r="A796" s="101"/>
      <c r="B796" s="105"/>
      <c r="C796" s="105"/>
      <c r="D796" s="106"/>
      <c r="E796" s="110"/>
      <c r="F796" s="92"/>
      <c r="G796" s="18"/>
      <c r="H796" s="101" t="str">
        <f>IFERROR(__xludf.DUMMYFUNCTION("""COMPUTED_VALUE"""),"")</f>
        <v/>
      </c>
      <c r="I796" s="67" t="str">
        <f>IFERROR(__xludf.DUMMYFUNCTION("""COMPUTED_VALUE"""),"")</f>
        <v/>
      </c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  <c r="CP796" s="18"/>
      <c r="CQ796" s="18"/>
      <c r="CR796" s="18"/>
      <c r="CS796" s="18"/>
      <c r="CT796" s="18"/>
      <c r="CU796" s="18"/>
      <c r="CV796" s="18"/>
      <c r="CW796" s="18"/>
      <c r="CX796" s="18"/>
      <c r="CY796" s="18"/>
      <c r="CZ796" s="18"/>
      <c r="DA796" s="18"/>
      <c r="DB796" s="18"/>
      <c r="DC796" s="18"/>
      <c r="DD796" s="18"/>
      <c r="DE796" s="18"/>
      <c r="DF796" s="18"/>
      <c r="DG796" s="18"/>
      <c r="DH796" s="18"/>
      <c r="DI796" s="18"/>
      <c r="DJ796" s="18"/>
      <c r="DK796" s="18"/>
      <c r="DL796" s="18"/>
      <c r="DM796" s="18"/>
      <c r="DN796" s="18"/>
      <c r="DO796" s="18"/>
      <c r="DP796" s="18"/>
      <c r="DQ796" s="18"/>
      <c r="DR796" s="18"/>
      <c r="DS796" s="18"/>
      <c r="DT796" s="18"/>
      <c r="DU796" s="18"/>
      <c r="DV796" s="18"/>
      <c r="DW796" s="18"/>
      <c r="DX796" s="18"/>
      <c r="DY796" s="18"/>
      <c r="DZ796" s="18"/>
      <c r="EA796" s="18"/>
      <c r="EB796" s="18"/>
      <c r="EC796" s="18"/>
      <c r="ED796" s="18"/>
      <c r="EE796" s="18"/>
      <c r="EF796" s="18"/>
      <c r="EG796" s="18"/>
      <c r="EH796" s="18"/>
      <c r="EI796" s="18"/>
      <c r="EJ796" s="18"/>
      <c r="EK796" s="18"/>
      <c r="EL796" s="18"/>
      <c r="EM796" s="18"/>
      <c r="EN796" s="18"/>
      <c r="EO796" s="18"/>
      <c r="EP796" s="18"/>
      <c r="EQ796" s="18"/>
      <c r="ER796" s="18"/>
      <c r="ES796" s="18"/>
      <c r="ET796" s="18"/>
      <c r="EU796" s="18"/>
      <c r="EV796" s="18"/>
      <c r="EW796" s="18"/>
      <c r="EX796" s="18"/>
    </row>
    <row r="797">
      <c r="A797" s="101"/>
      <c r="B797" s="105"/>
      <c r="C797" s="105"/>
      <c r="D797" s="106"/>
      <c r="E797" s="110"/>
      <c r="F797" s="92"/>
      <c r="G797" s="18"/>
      <c r="H797" s="101" t="str">
        <f>IFERROR(__xludf.DUMMYFUNCTION("""COMPUTED_VALUE"""),"")</f>
        <v/>
      </c>
      <c r="I797" s="67" t="str">
        <f>IFERROR(__xludf.DUMMYFUNCTION("""COMPUTED_VALUE"""),"")</f>
        <v/>
      </c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  <c r="DW797" s="18"/>
      <c r="DX797" s="18"/>
      <c r="DY797" s="18"/>
      <c r="DZ797" s="18"/>
      <c r="EA797" s="18"/>
      <c r="EB797" s="18"/>
      <c r="EC797" s="18"/>
      <c r="ED797" s="18"/>
      <c r="EE797" s="18"/>
      <c r="EF797" s="18"/>
      <c r="EG797" s="18"/>
      <c r="EH797" s="18"/>
      <c r="EI797" s="18"/>
      <c r="EJ797" s="18"/>
      <c r="EK797" s="18"/>
      <c r="EL797" s="18"/>
      <c r="EM797" s="18"/>
      <c r="EN797" s="18"/>
      <c r="EO797" s="18"/>
      <c r="EP797" s="18"/>
      <c r="EQ797" s="18"/>
      <c r="ER797" s="18"/>
      <c r="ES797" s="18"/>
      <c r="ET797" s="18"/>
      <c r="EU797" s="18"/>
      <c r="EV797" s="18"/>
      <c r="EW797" s="18"/>
      <c r="EX797" s="18"/>
    </row>
    <row r="798">
      <c r="A798" s="101"/>
      <c r="B798" s="105"/>
      <c r="C798" s="105"/>
      <c r="D798" s="106"/>
      <c r="E798" s="110"/>
      <c r="F798" s="92"/>
      <c r="G798" s="18"/>
      <c r="H798" s="101" t="str">
        <f>IFERROR(__xludf.DUMMYFUNCTION("""COMPUTED_VALUE"""),"")</f>
        <v/>
      </c>
      <c r="I798" s="67" t="str">
        <f>IFERROR(__xludf.DUMMYFUNCTION("""COMPUTED_VALUE"""),"")</f>
        <v/>
      </c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  <c r="CP798" s="18"/>
      <c r="CQ798" s="18"/>
      <c r="CR798" s="18"/>
      <c r="CS798" s="18"/>
      <c r="CT798" s="18"/>
      <c r="CU798" s="18"/>
      <c r="CV798" s="18"/>
      <c r="CW798" s="18"/>
      <c r="CX798" s="18"/>
      <c r="CY798" s="18"/>
      <c r="CZ798" s="18"/>
      <c r="DA798" s="18"/>
      <c r="DB798" s="18"/>
      <c r="DC798" s="18"/>
      <c r="DD798" s="18"/>
      <c r="DE798" s="18"/>
      <c r="DF798" s="18"/>
      <c r="DG798" s="18"/>
      <c r="DH798" s="18"/>
      <c r="DI798" s="18"/>
      <c r="DJ798" s="18"/>
      <c r="DK798" s="18"/>
      <c r="DL798" s="18"/>
      <c r="DM798" s="18"/>
      <c r="DN798" s="18"/>
      <c r="DO798" s="18"/>
      <c r="DP798" s="18"/>
      <c r="DQ798" s="18"/>
      <c r="DR798" s="18"/>
      <c r="DS798" s="18"/>
      <c r="DT798" s="18"/>
      <c r="DU798" s="18"/>
      <c r="DV798" s="18"/>
      <c r="DW798" s="18"/>
      <c r="DX798" s="18"/>
      <c r="DY798" s="18"/>
      <c r="DZ798" s="18"/>
      <c r="EA798" s="18"/>
      <c r="EB798" s="18"/>
      <c r="EC798" s="18"/>
      <c r="ED798" s="18"/>
      <c r="EE798" s="18"/>
      <c r="EF798" s="18"/>
      <c r="EG798" s="18"/>
      <c r="EH798" s="18"/>
      <c r="EI798" s="18"/>
      <c r="EJ798" s="18"/>
      <c r="EK798" s="18"/>
      <c r="EL798" s="18"/>
      <c r="EM798" s="18"/>
      <c r="EN798" s="18"/>
      <c r="EO798" s="18"/>
      <c r="EP798" s="18"/>
      <c r="EQ798" s="18"/>
      <c r="ER798" s="18"/>
      <c r="ES798" s="18"/>
      <c r="ET798" s="18"/>
      <c r="EU798" s="18"/>
      <c r="EV798" s="18"/>
      <c r="EW798" s="18"/>
      <c r="EX798" s="18"/>
    </row>
    <row r="799">
      <c r="A799" s="101"/>
      <c r="B799" s="105"/>
      <c r="C799" s="105"/>
      <c r="D799" s="106"/>
      <c r="E799" s="110"/>
      <c r="F799" s="92"/>
      <c r="G799" s="18"/>
      <c r="H799" s="101" t="str">
        <f>IFERROR(__xludf.DUMMYFUNCTION("""COMPUTED_VALUE"""),"")</f>
        <v/>
      </c>
      <c r="I799" s="67" t="str">
        <f>IFERROR(__xludf.DUMMYFUNCTION("""COMPUTED_VALUE"""),"")</f>
        <v/>
      </c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  <c r="CP799" s="18"/>
      <c r="CQ799" s="18"/>
      <c r="CR799" s="18"/>
      <c r="CS799" s="18"/>
      <c r="CT799" s="18"/>
      <c r="CU799" s="18"/>
      <c r="CV799" s="18"/>
      <c r="CW799" s="18"/>
      <c r="CX799" s="18"/>
      <c r="CY799" s="18"/>
      <c r="CZ799" s="18"/>
      <c r="DA799" s="18"/>
      <c r="DB799" s="18"/>
      <c r="DC799" s="18"/>
      <c r="DD799" s="18"/>
      <c r="DE799" s="18"/>
      <c r="DF799" s="18"/>
      <c r="DG799" s="18"/>
      <c r="DH799" s="18"/>
      <c r="DI799" s="18"/>
      <c r="DJ799" s="18"/>
      <c r="DK799" s="18"/>
      <c r="DL799" s="18"/>
      <c r="DM799" s="18"/>
      <c r="DN799" s="18"/>
      <c r="DO799" s="18"/>
      <c r="DP799" s="18"/>
      <c r="DQ799" s="18"/>
      <c r="DR799" s="18"/>
      <c r="DS799" s="18"/>
      <c r="DT799" s="18"/>
      <c r="DU799" s="18"/>
      <c r="DV799" s="18"/>
      <c r="DW799" s="18"/>
      <c r="DX799" s="18"/>
      <c r="DY799" s="18"/>
      <c r="DZ799" s="18"/>
      <c r="EA799" s="18"/>
      <c r="EB799" s="18"/>
      <c r="EC799" s="18"/>
      <c r="ED799" s="18"/>
      <c r="EE799" s="18"/>
      <c r="EF799" s="18"/>
      <c r="EG799" s="18"/>
      <c r="EH799" s="18"/>
      <c r="EI799" s="18"/>
      <c r="EJ799" s="18"/>
      <c r="EK799" s="18"/>
      <c r="EL799" s="18"/>
      <c r="EM799" s="18"/>
      <c r="EN799" s="18"/>
      <c r="EO799" s="18"/>
      <c r="EP799" s="18"/>
      <c r="EQ799" s="18"/>
      <c r="ER799" s="18"/>
      <c r="ES799" s="18"/>
      <c r="ET799" s="18"/>
      <c r="EU799" s="18"/>
      <c r="EV799" s="18"/>
      <c r="EW799" s="18"/>
      <c r="EX799" s="18"/>
    </row>
    <row r="800">
      <c r="A800" s="101"/>
      <c r="B800" s="105"/>
      <c r="C800" s="105"/>
      <c r="D800" s="106"/>
      <c r="E800" s="110"/>
      <c r="F800" s="92"/>
      <c r="G800" s="18"/>
      <c r="H800" s="101" t="str">
        <f>IFERROR(__xludf.DUMMYFUNCTION("""COMPUTED_VALUE"""),"")</f>
        <v/>
      </c>
      <c r="I800" s="67" t="str">
        <f>IFERROR(__xludf.DUMMYFUNCTION("""COMPUTED_VALUE"""),"")</f>
        <v/>
      </c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  <c r="CP800" s="18"/>
      <c r="CQ800" s="18"/>
      <c r="CR800" s="18"/>
      <c r="CS800" s="18"/>
      <c r="CT800" s="18"/>
      <c r="CU800" s="18"/>
      <c r="CV800" s="18"/>
      <c r="CW800" s="18"/>
      <c r="CX800" s="18"/>
      <c r="CY800" s="18"/>
      <c r="CZ800" s="18"/>
      <c r="DA800" s="18"/>
      <c r="DB800" s="18"/>
      <c r="DC800" s="18"/>
      <c r="DD800" s="18"/>
      <c r="DE800" s="18"/>
      <c r="DF800" s="18"/>
      <c r="DG800" s="18"/>
      <c r="DH800" s="18"/>
      <c r="DI800" s="18"/>
      <c r="DJ800" s="18"/>
      <c r="DK800" s="18"/>
      <c r="DL800" s="18"/>
      <c r="DM800" s="18"/>
      <c r="DN800" s="18"/>
      <c r="DO800" s="18"/>
      <c r="DP800" s="18"/>
      <c r="DQ800" s="18"/>
      <c r="DR800" s="18"/>
      <c r="DS800" s="18"/>
      <c r="DT800" s="18"/>
      <c r="DU800" s="18"/>
      <c r="DV800" s="18"/>
      <c r="DW800" s="18"/>
      <c r="DX800" s="18"/>
      <c r="DY800" s="18"/>
      <c r="DZ800" s="18"/>
      <c r="EA800" s="18"/>
      <c r="EB800" s="18"/>
      <c r="EC800" s="18"/>
      <c r="ED800" s="18"/>
      <c r="EE800" s="18"/>
      <c r="EF800" s="18"/>
      <c r="EG800" s="18"/>
      <c r="EH800" s="18"/>
      <c r="EI800" s="18"/>
      <c r="EJ800" s="18"/>
      <c r="EK800" s="18"/>
      <c r="EL800" s="18"/>
      <c r="EM800" s="18"/>
      <c r="EN800" s="18"/>
      <c r="EO800" s="18"/>
      <c r="EP800" s="18"/>
      <c r="EQ800" s="18"/>
      <c r="ER800" s="18"/>
      <c r="ES800" s="18"/>
      <c r="ET800" s="18"/>
      <c r="EU800" s="18"/>
      <c r="EV800" s="18"/>
      <c r="EW800" s="18"/>
      <c r="EX800" s="18"/>
    </row>
    <row r="801">
      <c r="A801" s="101"/>
      <c r="B801" s="105"/>
      <c r="C801" s="105"/>
      <c r="D801" s="106"/>
      <c r="E801" s="110"/>
      <c r="F801" s="92"/>
      <c r="G801" s="18"/>
      <c r="H801" s="101" t="str">
        <f>IFERROR(__xludf.DUMMYFUNCTION("""COMPUTED_VALUE"""),"")</f>
        <v/>
      </c>
      <c r="I801" s="67" t="str">
        <f>IFERROR(__xludf.DUMMYFUNCTION("""COMPUTED_VALUE"""),"")</f>
        <v/>
      </c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  <c r="CP801" s="18"/>
      <c r="CQ801" s="18"/>
      <c r="CR801" s="18"/>
      <c r="CS801" s="18"/>
      <c r="CT801" s="18"/>
      <c r="CU801" s="18"/>
      <c r="CV801" s="18"/>
      <c r="CW801" s="18"/>
      <c r="CX801" s="18"/>
      <c r="CY801" s="18"/>
      <c r="CZ801" s="18"/>
      <c r="DA801" s="18"/>
      <c r="DB801" s="18"/>
      <c r="DC801" s="18"/>
      <c r="DD801" s="18"/>
      <c r="DE801" s="18"/>
      <c r="DF801" s="18"/>
      <c r="DG801" s="18"/>
      <c r="DH801" s="18"/>
      <c r="DI801" s="18"/>
      <c r="DJ801" s="18"/>
      <c r="DK801" s="18"/>
      <c r="DL801" s="18"/>
      <c r="DM801" s="18"/>
      <c r="DN801" s="18"/>
      <c r="DO801" s="18"/>
      <c r="DP801" s="18"/>
      <c r="DQ801" s="18"/>
      <c r="DR801" s="18"/>
      <c r="DS801" s="18"/>
      <c r="DT801" s="18"/>
      <c r="DU801" s="18"/>
      <c r="DV801" s="18"/>
      <c r="DW801" s="18"/>
      <c r="DX801" s="18"/>
      <c r="DY801" s="18"/>
      <c r="DZ801" s="18"/>
      <c r="EA801" s="18"/>
      <c r="EB801" s="18"/>
      <c r="EC801" s="18"/>
      <c r="ED801" s="18"/>
      <c r="EE801" s="18"/>
      <c r="EF801" s="18"/>
      <c r="EG801" s="18"/>
      <c r="EH801" s="18"/>
      <c r="EI801" s="18"/>
      <c r="EJ801" s="18"/>
      <c r="EK801" s="18"/>
      <c r="EL801" s="18"/>
      <c r="EM801" s="18"/>
      <c r="EN801" s="18"/>
      <c r="EO801" s="18"/>
      <c r="EP801" s="18"/>
      <c r="EQ801" s="18"/>
      <c r="ER801" s="18"/>
      <c r="ES801" s="18"/>
      <c r="ET801" s="18"/>
      <c r="EU801" s="18"/>
      <c r="EV801" s="18"/>
      <c r="EW801" s="18"/>
      <c r="EX801" s="18"/>
    </row>
    <row r="802">
      <c r="A802" s="101"/>
      <c r="B802" s="105"/>
      <c r="C802" s="105"/>
      <c r="D802" s="106"/>
      <c r="E802" s="110"/>
      <c r="F802" s="92"/>
      <c r="G802" s="18"/>
      <c r="H802" s="101" t="str">
        <f>IFERROR(__xludf.DUMMYFUNCTION("""COMPUTED_VALUE"""),"")</f>
        <v/>
      </c>
      <c r="I802" s="67" t="str">
        <f>IFERROR(__xludf.DUMMYFUNCTION("""COMPUTED_VALUE"""),"")</f>
        <v/>
      </c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  <c r="CP802" s="18"/>
      <c r="CQ802" s="18"/>
      <c r="CR802" s="18"/>
      <c r="CS802" s="18"/>
      <c r="CT802" s="18"/>
      <c r="CU802" s="18"/>
      <c r="CV802" s="18"/>
      <c r="CW802" s="18"/>
      <c r="CX802" s="18"/>
      <c r="CY802" s="18"/>
      <c r="CZ802" s="18"/>
      <c r="DA802" s="18"/>
      <c r="DB802" s="18"/>
      <c r="DC802" s="18"/>
      <c r="DD802" s="18"/>
      <c r="DE802" s="18"/>
      <c r="DF802" s="18"/>
      <c r="DG802" s="18"/>
      <c r="DH802" s="18"/>
      <c r="DI802" s="18"/>
      <c r="DJ802" s="18"/>
      <c r="DK802" s="18"/>
      <c r="DL802" s="18"/>
      <c r="DM802" s="18"/>
      <c r="DN802" s="18"/>
      <c r="DO802" s="18"/>
      <c r="DP802" s="18"/>
      <c r="DQ802" s="18"/>
      <c r="DR802" s="18"/>
      <c r="DS802" s="18"/>
      <c r="DT802" s="18"/>
      <c r="DU802" s="18"/>
      <c r="DV802" s="18"/>
      <c r="DW802" s="18"/>
      <c r="DX802" s="18"/>
      <c r="DY802" s="18"/>
      <c r="DZ802" s="18"/>
      <c r="EA802" s="18"/>
      <c r="EB802" s="18"/>
      <c r="EC802" s="18"/>
      <c r="ED802" s="18"/>
      <c r="EE802" s="18"/>
      <c r="EF802" s="18"/>
      <c r="EG802" s="18"/>
      <c r="EH802" s="18"/>
      <c r="EI802" s="18"/>
      <c r="EJ802" s="18"/>
      <c r="EK802" s="18"/>
      <c r="EL802" s="18"/>
      <c r="EM802" s="18"/>
      <c r="EN802" s="18"/>
      <c r="EO802" s="18"/>
      <c r="EP802" s="18"/>
      <c r="EQ802" s="18"/>
      <c r="ER802" s="18"/>
      <c r="ES802" s="18"/>
      <c r="ET802" s="18"/>
      <c r="EU802" s="18"/>
      <c r="EV802" s="18"/>
      <c r="EW802" s="18"/>
      <c r="EX802" s="18"/>
    </row>
    <row r="803">
      <c r="A803" s="101"/>
      <c r="B803" s="105"/>
      <c r="C803" s="105"/>
      <c r="D803" s="106"/>
      <c r="E803" s="110"/>
      <c r="F803" s="92"/>
      <c r="G803" s="18"/>
      <c r="H803" s="101" t="str">
        <f>IFERROR(__xludf.DUMMYFUNCTION("""COMPUTED_VALUE"""),"")</f>
        <v/>
      </c>
      <c r="I803" s="67" t="str">
        <f>IFERROR(__xludf.DUMMYFUNCTION("""COMPUTED_VALUE"""),"")</f>
        <v/>
      </c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  <c r="CP803" s="18"/>
      <c r="CQ803" s="18"/>
      <c r="CR803" s="18"/>
      <c r="CS803" s="18"/>
      <c r="CT803" s="18"/>
      <c r="CU803" s="18"/>
      <c r="CV803" s="18"/>
      <c r="CW803" s="18"/>
      <c r="CX803" s="18"/>
      <c r="CY803" s="18"/>
      <c r="CZ803" s="18"/>
      <c r="DA803" s="18"/>
      <c r="DB803" s="18"/>
      <c r="DC803" s="18"/>
      <c r="DD803" s="18"/>
      <c r="DE803" s="18"/>
      <c r="DF803" s="18"/>
      <c r="DG803" s="18"/>
      <c r="DH803" s="18"/>
      <c r="DI803" s="18"/>
      <c r="DJ803" s="18"/>
      <c r="DK803" s="18"/>
      <c r="DL803" s="18"/>
      <c r="DM803" s="18"/>
      <c r="DN803" s="18"/>
      <c r="DO803" s="18"/>
      <c r="DP803" s="18"/>
      <c r="DQ803" s="18"/>
      <c r="DR803" s="18"/>
      <c r="DS803" s="18"/>
      <c r="DT803" s="18"/>
      <c r="DU803" s="18"/>
      <c r="DV803" s="18"/>
      <c r="DW803" s="18"/>
      <c r="DX803" s="18"/>
      <c r="DY803" s="18"/>
      <c r="DZ803" s="18"/>
      <c r="EA803" s="18"/>
      <c r="EB803" s="18"/>
      <c r="EC803" s="18"/>
      <c r="ED803" s="18"/>
      <c r="EE803" s="18"/>
      <c r="EF803" s="18"/>
      <c r="EG803" s="18"/>
      <c r="EH803" s="18"/>
      <c r="EI803" s="18"/>
      <c r="EJ803" s="18"/>
      <c r="EK803" s="18"/>
      <c r="EL803" s="18"/>
      <c r="EM803" s="18"/>
      <c r="EN803" s="18"/>
      <c r="EO803" s="18"/>
      <c r="EP803" s="18"/>
      <c r="EQ803" s="18"/>
      <c r="ER803" s="18"/>
      <c r="ES803" s="18"/>
      <c r="ET803" s="18"/>
      <c r="EU803" s="18"/>
      <c r="EV803" s="18"/>
      <c r="EW803" s="18"/>
      <c r="EX803" s="18"/>
    </row>
    <row r="804">
      <c r="A804" s="101"/>
      <c r="B804" s="105"/>
      <c r="C804" s="105"/>
      <c r="D804" s="106"/>
      <c r="E804" s="110"/>
      <c r="F804" s="92"/>
      <c r="G804" s="18"/>
      <c r="H804" s="101" t="str">
        <f>IFERROR(__xludf.DUMMYFUNCTION("""COMPUTED_VALUE"""),"")</f>
        <v/>
      </c>
      <c r="I804" s="67" t="str">
        <f>IFERROR(__xludf.DUMMYFUNCTION("""COMPUTED_VALUE"""),"")</f>
        <v/>
      </c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  <c r="CP804" s="18"/>
      <c r="CQ804" s="18"/>
      <c r="CR804" s="18"/>
      <c r="CS804" s="18"/>
      <c r="CT804" s="18"/>
      <c r="CU804" s="18"/>
      <c r="CV804" s="18"/>
      <c r="CW804" s="18"/>
      <c r="CX804" s="18"/>
      <c r="CY804" s="18"/>
      <c r="CZ804" s="18"/>
      <c r="DA804" s="18"/>
      <c r="DB804" s="18"/>
      <c r="DC804" s="18"/>
      <c r="DD804" s="18"/>
      <c r="DE804" s="18"/>
      <c r="DF804" s="18"/>
      <c r="DG804" s="18"/>
      <c r="DH804" s="18"/>
      <c r="DI804" s="18"/>
      <c r="DJ804" s="18"/>
      <c r="DK804" s="18"/>
      <c r="DL804" s="18"/>
      <c r="DM804" s="18"/>
      <c r="DN804" s="18"/>
      <c r="DO804" s="18"/>
      <c r="DP804" s="18"/>
      <c r="DQ804" s="18"/>
      <c r="DR804" s="18"/>
      <c r="DS804" s="18"/>
      <c r="DT804" s="18"/>
      <c r="DU804" s="18"/>
      <c r="DV804" s="18"/>
      <c r="DW804" s="18"/>
      <c r="DX804" s="18"/>
      <c r="DY804" s="18"/>
      <c r="DZ804" s="18"/>
      <c r="EA804" s="18"/>
      <c r="EB804" s="18"/>
      <c r="EC804" s="18"/>
      <c r="ED804" s="18"/>
      <c r="EE804" s="18"/>
      <c r="EF804" s="18"/>
      <c r="EG804" s="18"/>
      <c r="EH804" s="18"/>
      <c r="EI804" s="18"/>
      <c r="EJ804" s="18"/>
      <c r="EK804" s="18"/>
      <c r="EL804" s="18"/>
      <c r="EM804" s="18"/>
      <c r="EN804" s="18"/>
      <c r="EO804" s="18"/>
      <c r="EP804" s="18"/>
      <c r="EQ804" s="18"/>
      <c r="ER804" s="18"/>
      <c r="ES804" s="18"/>
      <c r="ET804" s="18"/>
      <c r="EU804" s="18"/>
      <c r="EV804" s="18"/>
      <c r="EW804" s="18"/>
      <c r="EX804" s="18"/>
    </row>
    <row r="805">
      <c r="A805" s="101"/>
      <c r="B805" s="105"/>
      <c r="C805" s="105"/>
      <c r="D805" s="106"/>
      <c r="E805" s="110"/>
      <c r="F805" s="92"/>
      <c r="G805" s="18"/>
      <c r="H805" s="101" t="str">
        <f>IFERROR(__xludf.DUMMYFUNCTION("""COMPUTED_VALUE"""),"")</f>
        <v/>
      </c>
      <c r="I805" s="67" t="str">
        <f>IFERROR(__xludf.DUMMYFUNCTION("""COMPUTED_VALUE"""),"")</f>
        <v/>
      </c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  <c r="CP805" s="18"/>
      <c r="CQ805" s="18"/>
      <c r="CR805" s="18"/>
      <c r="CS805" s="18"/>
      <c r="CT805" s="18"/>
      <c r="CU805" s="18"/>
      <c r="CV805" s="18"/>
      <c r="CW805" s="18"/>
      <c r="CX805" s="18"/>
      <c r="CY805" s="18"/>
      <c r="CZ805" s="18"/>
      <c r="DA805" s="18"/>
      <c r="DB805" s="18"/>
      <c r="DC805" s="18"/>
      <c r="DD805" s="18"/>
      <c r="DE805" s="18"/>
      <c r="DF805" s="18"/>
      <c r="DG805" s="18"/>
      <c r="DH805" s="18"/>
      <c r="DI805" s="18"/>
      <c r="DJ805" s="18"/>
      <c r="DK805" s="18"/>
      <c r="DL805" s="18"/>
      <c r="DM805" s="18"/>
      <c r="DN805" s="18"/>
      <c r="DO805" s="18"/>
      <c r="DP805" s="18"/>
      <c r="DQ805" s="18"/>
      <c r="DR805" s="18"/>
      <c r="DS805" s="18"/>
      <c r="DT805" s="18"/>
      <c r="DU805" s="18"/>
      <c r="DV805" s="18"/>
      <c r="DW805" s="18"/>
      <c r="DX805" s="18"/>
      <c r="DY805" s="18"/>
      <c r="DZ805" s="18"/>
      <c r="EA805" s="18"/>
      <c r="EB805" s="18"/>
      <c r="EC805" s="18"/>
      <c r="ED805" s="18"/>
      <c r="EE805" s="18"/>
      <c r="EF805" s="18"/>
      <c r="EG805" s="18"/>
      <c r="EH805" s="18"/>
      <c r="EI805" s="18"/>
      <c r="EJ805" s="18"/>
      <c r="EK805" s="18"/>
      <c r="EL805" s="18"/>
      <c r="EM805" s="18"/>
      <c r="EN805" s="18"/>
      <c r="EO805" s="18"/>
      <c r="EP805" s="18"/>
      <c r="EQ805" s="18"/>
      <c r="ER805" s="18"/>
      <c r="ES805" s="18"/>
      <c r="ET805" s="18"/>
      <c r="EU805" s="18"/>
      <c r="EV805" s="18"/>
      <c r="EW805" s="18"/>
      <c r="EX805" s="18"/>
    </row>
    <row r="806">
      <c r="A806" s="101"/>
      <c r="B806" s="105"/>
      <c r="C806" s="105"/>
      <c r="D806" s="106"/>
      <c r="E806" s="110"/>
      <c r="F806" s="92"/>
      <c r="G806" s="18"/>
      <c r="H806" s="101" t="str">
        <f>IFERROR(__xludf.DUMMYFUNCTION("""COMPUTED_VALUE"""),"")</f>
        <v/>
      </c>
      <c r="I806" s="67" t="str">
        <f>IFERROR(__xludf.DUMMYFUNCTION("""COMPUTED_VALUE"""),"")</f>
        <v/>
      </c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  <c r="CP806" s="18"/>
      <c r="CQ806" s="18"/>
      <c r="CR806" s="18"/>
      <c r="CS806" s="18"/>
      <c r="CT806" s="18"/>
      <c r="CU806" s="18"/>
      <c r="CV806" s="18"/>
      <c r="CW806" s="18"/>
      <c r="CX806" s="18"/>
      <c r="CY806" s="18"/>
      <c r="CZ806" s="18"/>
      <c r="DA806" s="18"/>
      <c r="DB806" s="18"/>
      <c r="DC806" s="18"/>
      <c r="DD806" s="18"/>
      <c r="DE806" s="18"/>
      <c r="DF806" s="18"/>
      <c r="DG806" s="18"/>
      <c r="DH806" s="18"/>
      <c r="DI806" s="18"/>
      <c r="DJ806" s="18"/>
      <c r="DK806" s="18"/>
      <c r="DL806" s="18"/>
      <c r="DM806" s="18"/>
      <c r="DN806" s="18"/>
      <c r="DO806" s="18"/>
      <c r="DP806" s="18"/>
      <c r="DQ806" s="18"/>
      <c r="DR806" s="18"/>
      <c r="DS806" s="18"/>
      <c r="DT806" s="18"/>
      <c r="DU806" s="18"/>
      <c r="DV806" s="18"/>
      <c r="DW806" s="18"/>
      <c r="DX806" s="18"/>
      <c r="DY806" s="18"/>
      <c r="DZ806" s="18"/>
      <c r="EA806" s="18"/>
      <c r="EB806" s="18"/>
      <c r="EC806" s="18"/>
      <c r="ED806" s="18"/>
      <c r="EE806" s="18"/>
      <c r="EF806" s="18"/>
      <c r="EG806" s="18"/>
      <c r="EH806" s="18"/>
      <c r="EI806" s="18"/>
      <c r="EJ806" s="18"/>
      <c r="EK806" s="18"/>
      <c r="EL806" s="18"/>
      <c r="EM806" s="18"/>
      <c r="EN806" s="18"/>
      <c r="EO806" s="18"/>
      <c r="EP806" s="18"/>
      <c r="EQ806" s="18"/>
      <c r="ER806" s="18"/>
      <c r="ES806" s="18"/>
      <c r="ET806" s="18"/>
      <c r="EU806" s="18"/>
      <c r="EV806" s="18"/>
      <c r="EW806" s="18"/>
      <c r="EX806" s="18"/>
    </row>
    <row r="807">
      <c r="A807" s="101"/>
      <c r="B807" s="105"/>
      <c r="C807" s="105"/>
      <c r="D807" s="106"/>
      <c r="E807" s="110"/>
      <c r="F807" s="92"/>
      <c r="G807" s="18"/>
      <c r="H807" s="101" t="str">
        <f>IFERROR(__xludf.DUMMYFUNCTION("""COMPUTED_VALUE"""),"")</f>
        <v/>
      </c>
      <c r="I807" s="67" t="str">
        <f>IFERROR(__xludf.DUMMYFUNCTION("""COMPUTED_VALUE"""),"")</f>
        <v/>
      </c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  <c r="CP807" s="18"/>
      <c r="CQ807" s="18"/>
      <c r="CR807" s="18"/>
      <c r="CS807" s="18"/>
      <c r="CT807" s="18"/>
      <c r="CU807" s="18"/>
      <c r="CV807" s="18"/>
      <c r="CW807" s="18"/>
      <c r="CX807" s="18"/>
      <c r="CY807" s="18"/>
      <c r="CZ807" s="18"/>
      <c r="DA807" s="18"/>
      <c r="DB807" s="18"/>
      <c r="DC807" s="18"/>
      <c r="DD807" s="18"/>
      <c r="DE807" s="18"/>
      <c r="DF807" s="18"/>
      <c r="DG807" s="18"/>
      <c r="DH807" s="18"/>
      <c r="DI807" s="18"/>
      <c r="DJ807" s="18"/>
      <c r="DK807" s="18"/>
      <c r="DL807" s="18"/>
      <c r="DM807" s="18"/>
      <c r="DN807" s="18"/>
      <c r="DO807" s="18"/>
      <c r="DP807" s="18"/>
      <c r="DQ807" s="18"/>
      <c r="DR807" s="18"/>
      <c r="DS807" s="18"/>
      <c r="DT807" s="18"/>
      <c r="DU807" s="18"/>
      <c r="DV807" s="18"/>
      <c r="DW807" s="18"/>
      <c r="DX807" s="18"/>
      <c r="DY807" s="18"/>
      <c r="DZ807" s="18"/>
      <c r="EA807" s="18"/>
      <c r="EB807" s="18"/>
      <c r="EC807" s="18"/>
      <c r="ED807" s="18"/>
      <c r="EE807" s="18"/>
      <c r="EF807" s="18"/>
      <c r="EG807" s="18"/>
      <c r="EH807" s="18"/>
      <c r="EI807" s="18"/>
      <c r="EJ807" s="18"/>
      <c r="EK807" s="18"/>
      <c r="EL807" s="18"/>
      <c r="EM807" s="18"/>
      <c r="EN807" s="18"/>
      <c r="EO807" s="18"/>
      <c r="EP807" s="18"/>
      <c r="EQ807" s="18"/>
      <c r="ER807" s="18"/>
      <c r="ES807" s="18"/>
      <c r="ET807" s="18"/>
      <c r="EU807" s="18"/>
      <c r="EV807" s="18"/>
      <c r="EW807" s="18"/>
      <c r="EX807" s="18"/>
    </row>
    <row r="808">
      <c r="A808" s="101"/>
      <c r="B808" s="105"/>
      <c r="C808" s="105"/>
      <c r="D808" s="106"/>
      <c r="E808" s="110"/>
      <c r="F808" s="92"/>
      <c r="G808" s="18"/>
      <c r="H808" s="101" t="str">
        <f>IFERROR(__xludf.DUMMYFUNCTION("""COMPUTED_VALUE"""),"")</f>
        <v/>
      </c>
      <c r="I808" s="67" t="str">
        <f>IFERROR(__xludf.DUMMYFUNCTION("""COMPUTED_VALUE"""),"")</f>
        <v/>
      </c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  <c r="DW808" s="18"/>
      <c r="DX808" s="18"/>
      <c r="DY808" s="18"/>
      <c r="DZ808" s="18"/>
      <c r="EA808" s="18"/>
      <c r="EB808" s="18"/>
      <c r="EC808" s="18"/>
      <c r="ED808" s="18"/>
      <c r="EE808" s="18"/>
      <c r="EF808" s="18"/>
      <c r="EG808" s="18"/>
      <c r="EH808" s="18"/>
      <c r="EI808" s="18"/>
      <c r="EJ808" s="18"/>
      <c r="EK808" s="18"/>
      <c r="EL808" s="18"/>
      <c r="EM808" s="18"/>
      <c r="EN808" s="18"/>
      <c r="EO808" s="18"/>
      <c r="EP808" s="18"/>
      <c r="EQ808" s="18"/>
      <c r="ER808" s="18"/>
      <c r="ES808" s="18"/>
      <c r="ET808" s="18"/>
      <c r="EU808" s="18"/>
      <c r="EV808" s="18"/>
      <c r="EW808" s="18"/>
      <c r="EX808" s="18"/>
    </row>
    <row r="809">
      <c r="A809" s="101"/>
      <c r="B809" s="105"/>
      <c r="C809" s="105"/>
      <c r="D809" s="106"/>
      <c r="E809" s="110"/>
      <c r="F809" s="92"/>
      <c r="G809" s="18"/>
      <c r="H809" s="101" t="str">
        <f>IFERROR(__xludf.DUMMYFUNCTION("""COMPUTED_VALUE"""),"")</f>
        <v/>
      </c>
      <c r="I809" s="67" t="str">
        <f>IFERROR(__xludf.DUMMYFUNCTION("""COMPUTED_VALUE"""),"")</f>
        <v/>
      </c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  <c r="DW809" s="18"/>
      <c r="DX809" s="18"/>
      <c r="DY809" s="18"/>
      <c r="DZ809" s="18"/>
      <c r="EA809" s="18"/>
      <c r="EB809" s="18"/>
      <c r="EC809" s="18"/>
      <c r="ED809" s="18"/>
      <c r="EE809" s="18"/>
      <c r="EF809" s="18"/>
      <c r="EG809" s="18"/>
      <c r="EH809" s="18"/>
      <c r="EI809" s="18"/>
      <c r="EJ809" s="18"/>
      <c r="EK809" s="18"/>
      <c r="EL809" s="18"/>
      <c r="EM809" s="18"/>
      <c r="EN809" s="18"/>
      <c r="EO809" s="18"/>
      <c r="EP809" s="18"/>
      <c r="EQ809" s="18"/>
      <c r="ER809" s="18"/>
      <c r="ES809" s="18"/>
      <c r="ET809" s="18"/>
      <c r="EU809" s="18"/>
      <c r="EV809" s="18"/>
      <c r="EW809" s="18"/>
      <c r="EX809" s="18"/>
    </row>
    <row r="810">
      <c r="A810" s="101"/>
      <c r="B810" s="105"/>
      <c r="C810" s="105"/>
      <c r="D810" s="106"/>
      <c r="E810" s="110"/>
      <c r="F810" s="92"/>
      <c r="G810" s="18"/>
      <c r="H810" s="101" t="str">
        <f>IFERROR(__xludf.DUMMYFUNCTION("""COMPUTED_VALUE"""),"")</f>
        <v/>
      </c>
      <c r="I810" s="67" t="str">
        <f>IFERROR(__xludf.DUMMYFUNCTION("""COMPUTED_VALUE"""),"")</f>
        <v/>
      </c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  <c r="DW810" s="18"/>
      <c r="DX810" s="18"/>
      <c r="DY810" s="18"/>
      <c r="DZ810" s="18"/>
      <c r="EA810" s="18"/>
      <c r="EB810" s="18"/>
      <c r="EC810" s="18"/>
      <c r="ED810" s="18"/>
      <c r="EE810" s="18"/>
      <c r="EF810" s="18"/>
      <c r="EG810" s="18"/>
      <c r="EH810" s="18"/>
      <c r="EI810" s="18"/>
      <c r="EJ810" s="18"/>
      <c r="EK810" s="18"/>
      <c r="EL810" s="18"/>
      <c r="EM810" s="18"/>
      <c r="EN810" s="18"/>
      <c r="EO810" s="18"/>
      <c r="EP810" s="18"/>
      <c r="EQ810" s="18"/>
      <c r="ER810" s="18"/>
      <c r="ES810" s="18"/>
      <c r="ET810" s="18"/>
      <c r="EU810" s="18"/>
      <c r="EV810" s="18"/>
      <c r="EW810" s="18"/>
      <c r="EX810" s="18"/>
    </row>
    <row r="811">
      <c r="A811" s="101"/>
      <c r="B811" s="105"/>
      <c r="C811" s="105"/>
      <c r="D811" s="106"/>
      <c r="E811" s="110"/>
      <c r="F811" s="92"/>
      <c r="G811" s="18"/>
      <c r="H811" s="101" t="str">
        <f>IFERROR(__xludf.DUMMYFUNCTION("""COMPUTED_VALUE"""),"")</f>
        <v/>
      </c>
      <c r="I811" s="67" t="str">
        <f>IFERROR(__xludf.DUMMYFUNCTION("""COMPUTED_VALUE"""),"")</f>
        <v/>
      </c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  <c r="DW811" s="18"/>
      <c r="DX811" s="18"/>
      <c r="DY811" s="18"/>
      <c r="DZ811" s="18"/>
      <c r="EA811" s="18"/>
      <c r="EB811" s="18"/>
      <c r="EC811" s="18"/>
      <c r="ED811" s="18"/>
      <c r="EE811" s="18"/>
      <c r="EF811" s="18"/>
      <c r="EG811" s="18"/>
      <c r="EH811" s="18"/>
      <c r="EI811" s="18"/>
      <c r="EJ811" s="18"/>
      <c r="EK811" s="18"/>
      <c r="EL811" s="18"/>
      <c r="EM811" s="18"/>
      <c r="EN811" s="18"/>
      <c r="EO811" s="18"/>
      <c r="EP811" s="18"/>
      <c r="EQ811" s="18"/>
      <c r="ER811" s="18"/>
      <c r="ES811" s="18"/>
      <c r="ET811" s="18"/>
      <c r="EU811" s="18"/>
      <c r="EV811" s="18"/>
      <c r="EW811" s="18"/>
      <c r="EX811" s="18"/>
    </row>
    <row r="812">
      <c r="A812" s="101"/>
      <c r="B812" s="105"/>
      <c r="C812" s="105"/>
      <c r="D812" s="106"/>
      <c r="E812" s="110"/>
      <c r="F812" s="92"/>
      <c r="G812" s="18"/>
      <c r="H812" s="101" t="str">
        <f>IFERROR(__xludf.DUMMYFUNCTION("""COMPUTED_VALUE"""),"")</f>
        <v/>
      </c>
      <c r="I812" s="67" t="str">
        <f>IFERROR(__xludf.DUMMYFUNCTION("""COMPUTED_VALUE"""),"")</f>
        <v/>
      </c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8"/>
      <c r="DV812" s="18"/>
      <c r="DW812" s="18"/>
      <c r="DX812" s="18"/>
      <c r="DY812" s="18"/>
      <c r="DZ812" s="18"/>
      <c r="EA812" s="18"/>
      <c r="EB812" s="18"/>
      <c r="EC812" s="18"/>
      <c r="ED812" s="18"/>
      <c r="EE812" s="18"/>
      <c r="EF812" s="18"/>
      <c r="EG812" s="18"/>
      <c r="EH812" s="18"/>
      <c r="EI812" s="18"/>
      <c r="EJ812" s="18"/>
      <c r="EK812" s="18"/>
      <c r="EL812" s="18"/>
      <c r="EM812" s="18"/>
      <c r="EN812" s="18"/>
      <c r="EO812" s="18"/>
      <c r="EP812" s="18"/>
      <c r="EQ812" s="18"/>
      <c r="ER812" s="18"/>
      <c r="ES812" s="18"/>
      <c r="ET812" s="18"/>
      <c r="EU812" s="18"/>
      <c r="EV812" s="18"/>
      <c r="EW812" s="18"/>
      <c r="EX812" s="18"/>
    </row>
    <row r="813">
      <c r="A813" s="101"/>
      <c r="B813" s="105"/>
      <c r="C813" s="105"/>
      <c r="D813" s="106"/>
      <c r="E813" s="110"/>
      <c r="F813" s="92"/>
      <c r="G813" s="18"/>
      <c r="H813" s="101" t="str">
        <f>IFERROR(__xludf.DUMMYFUNCTION("""COMPUTED_VALUE"""),"")</f>
        <v/>
      </c>
      <c r="I813" s="67" t="str">
        <f>IFERROR(__xludf.DUMMYFUNCTION("""COMPUTED_VALUE"""),"")</f>
        <v/>
      </c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8"/>
      <c r="DU813" s="18"/>
      <c r="DV813" s="18"/>
      <c r="DW813" s="18"/>
      <c r="DX813" s="18"/>
      <c r="DY813" s="18"/>
      <c r="DZ813" s="18"/>
      <c r="EA813" s="18"/>
      <c r="EB813" s="18"/>
      <c r="EC813" s="18"/>
      <c r="ED813" s="18"/>
      <c r="EE813" s="18"/>
      <c r="EF813" s="18"/>
      <c r="EG813" s="18"/>
      <c r="EH813" s="18"/>
      <c r="EI813" s="18"/>
      <c r="EJ813" s="18"/>
      <c r="EK813" s="18"/>
      <c r="EL813" s="18"/>
      <c r="EM813" s="18"/>
      <c r="EN813" s="18"/>
      <c r="EO813" s="18"/>
      <c r="EP813" s="18"/>
      <c r="EQ813" s="18"/>
      <c r="ER813" s="18"/>
      <c r="ES813" s="18"/>
      <c r="ET813" s="18"/>
      <c r="EU813" s="18"/>
      <c r="EV813" s="18"/>
      <c r="EW813" s="18"/>
      <c r="EX813" s="18"/>
    </row>
    <row r="814">
      <c r="A814" s="101"/>
      <c r="B814" s="105"/>
      <c r="C814" s="105"/>
      <c r="D814" s="106"/>
      <c r="E814" s="110"/>
      <c r="F814" s="92"/>
      <c r="G814" s="18"/>
      <c r="H814" s="101" t="str">
        <f>IFERROR(__xludf.DUMMYFUNCTION("""COMPUTED_VALUE"""),"")</f>
        <v/>
      </c>
      <c r="I814" s="67" t="str">
        <f>IFERROR(__xludf.DUMMYFUNCTION("""COMPUTED_VALUE"""),"")</f>
        <v/>
      </c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8"/>
      <c r="DT814" s="18"/>
      <c r="DU814" s="18"/>
      <c r="DV814" s="18"/>
      <c r="DW814" s="18"/>
      <c r="DX814" s="18"/>
      <c r="DY814" s="18"/>
      <c r="DZ814" s="18"/>
      <c r="EA814" s="18"/>
      <c r="EB814" s="18"/>
      <c r="EC814" s="18"/>
      <c r="ED814" s="18"/>
      <c r="EE814" s="18"/>
      <c r="EF814" s="18"/>
      <c r="EG814" s="18"/>
      <c r="EH814" s="18"/>
      <c r="EI814" s="18"/>
      <c r="EJ814" s="18"/>
      <c r="EK814" s="18"/>
      <c r="EL814" s="18"/>
      <c r="EM814" s="18"/>
      <c r="EN814" s="18"/>
      <c r="EO814" s="18"/>
      <c r="EP814" s="18"/>
      <c r="EQ814" s="18"/>
      <c r="ER814" s="18"/>
      <c r="ES814" s="18"/>
      <c r="ET814" s="18"/>
      <c r="EU814" s="18"/>
      <c r="EV814" s="18"/>
      <c r="EW814" s="18"/>
      <c r="EX814" s="18"/>
    </row>
    <row r="815">
      <c r="A815" s="101"/>
      <c r="B815" s="105"/>
      <c r="C815" s="105"/>
      <c r="D815" s="106"/>
      <c r="E815" s="110"/>
      <c r="F815" s="92"/>
      <c r="G815" s="18"/>
      <c r="H815" s="101" t="str">
        <f>IFERROR(__xludf.DUMMYFUNCTION("""COMPUTED_VALUE"""),"")</f>
        <v/>
      </c>
      <c r="I815" s="67" t="str">
        <f>IFERROR(__xludf.DUMMYFUNCTION("""COMPUTED_VALUE"""),"")</f>
        <v/>
      </c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8"/>
      <c r="DS815" s="18"/>
      <c r="DT815" s="18"/>
      <c r="DU815" s="18"/>
      <c r="DV815" s="18"/>
      <c r="DW815" s="18"/>
      <c r="DX815" s="18"/>
      <c r="DY815" s="18"/>
      <c r="DZ815" s="18"/>
      <c r="EA815" s="18"/>
      <c r="EB815" s="18"/>
      <c r="EC815" s="18"/>
      <c r="ED815" s="18"/>
      <c r="EE815" s="18"/>
      <c r="EF815" s="18"/>
      <c r="EG815" s="18"/>
      <c r="EH815" s="18"/>
      <c r="EI815" s="18"/>
      <c r="EJ815" s="18"/>
      <c r="EK815" s="18"/>
      <c r="EL815" s="18"/>
      <c r="EM815" s="18"/>
      <c r="EN815" s="18"/>
      <c r="EO815" s="18"/>
      <c r="EP815" s="18"/>
      <c r="EQ815" s="18"/>
      <c r="ER815" s="18"/>
      <c r="ES815" s="18"/>
      <c r="ET815" s="18"/>
      <c r="EU815" s="18"/>
      <c r="EV815" s="18"/>
      <c r="EW815" s="18"/>
      <c r="EX815" s="18"/>
    </row>
    <row r="816">
      <c r="A816" s="101"/>
      <c r="B816" s="105"/>
      <c r="C816" s="105"/>
      <c r="D816" s="106"/>
      <c r="E816" s="110"/>
      <c r="F816" s="92"/>
      <c r="G816" s="18"/>
      <c r="H816" s="101" t="str">
        <f>IFERROR(__xludf.DUMMYFUNCTION("""COMPUTED_VALUE"""),"")</f>
        <v/>
      </c>
      <c r="I816" s="67" t="str">
        <f>IFERROR(__xludf.DUMMYFUNCTION("""COMPUTED_VALUE"""),"")</f>
        <v/>
      </c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8"/>
      <c r="DR816" s="18"/>
      <c r="DS816" s="18"/>
      <c r="DT816" s="18"/>
      <c r="DU816" s="18"/>
      <c r="DV816" s="18"/>
      <c r="DW816" s="18"/>
      <c r="DX816" s="18"/>
      <c r="DY816" s="18"/>
      <c r="DZ816" s="18"/>
      <c r="EA816" s="18"/>
      <c r="EB816" s="18"/>
      <c r="EC816" s="18"/>
      <c r="ED816" s="18"/>
      <c r="EE816" s="18"/>
      <c r="EF816" s="18"/>
      <c r="EG816" s="18"/>
      <c r="EH816" s="18"/>
      <c r="EI816" s="18"/>
      <c r="EJ816" s="18"/>
      <c r="EK816" s="18"/>
      <c r="EL816" s="18"/>
      <c r="EM816" s="18"/>
      <c r="EN816" s="18"/>
      <c r="EO816" s="18"/>
      <c r="EP816" s="18"/>
      <c r="EQ816" s="18"/>
      <c r="ER816" s="18"/>
      <c r="ES816" s="18"/>
      <c r="ET816" s="18"/>
      <c r="EU816" s="18"/>
      <c r="EV816" s="18"/>
      <c r="EW816" s="18"/>
      <c r="EX816" s="18"/>
    </row>
    <row r="817">
      <c r="A817" s="101"/>
      <c r="B817" s="105"/>
      <c r="C817" s="105"/>
      <c r="D817" s="106"/>
      <c r="E817" s="110"/>
      <c r="F817" s="92"/>
      <c r="G817" s="18"/>
      <c r="H817" s="101" t="str">
        <f>IFERROR(__xludf.DUMMYFUNCTION("""COMPUTED_VALUE"""),"")</f>
        <v/>
      </c>
      <c r="I817" s="67" t="str">
        <f>IFERROR(__xludf.DUMMYFUNCTION("""COMPUTED_VALUE"""),"")</f>
        <v/>
      </c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  <c r="DO817" s="18"/>
      <c r="DP817" s="18"/>
      <c r="DQ817" s="18"/>
      <c r="DR817" s="18"/>
      <c r="DS817" s="18"/>
      <c r="DT817" s="18"/>
      <c r="DU817" s="18"/>
      <c r="DV817" s="18"/>
      <c r="DW817" s="18"/>
      <c r="DX817" s="18"/>
      <c r="DY817" s="18"/>
      <c r="DZ817" s="18"/>
      <c r="EA817" s="18"/>
      <c r="EB817" s="18"/>
      <c r="EC817" s="18"/>
      <c r="ED817" s="18"/>
      <c r="EE817" s="18"/>
      <c r="EF817" s="18"/>
      <c r="EG817" s="18"/>
      <c r="EH817" s="18"/>
      <c r="EI817" s="18"/>
      <c r="EJ817" s="18"/>
      <c r="EK817" s="18"/>
      <c r="EL817" s="18"/>
      <c r="EM817" s="18"/>
      <c r="EN817" s="18"/>
      <c r="EO817" s="18"/>
      <c r="EP817" s="18"/>
      <c r="EQ817" s="18"/>
      <c r="ER817" s="18"/>
      <c r="ES817" s="18"/>
      <c r="ET817" s="18"/>
      <c r="EU817" s="18"/>
      <c r="EV817" s="18"/>
      <c r="EW817" s="18"/>
      <c r="EX817" s="18"/>
    </row>
    <row r="818">
      <c r="A818" s="101"/>
      <c r="B818" s="105"/>
      <c r="C818" s="105"/>
      <c r="D818" s="106"/>
      <c r="E818" s="110"/>
      <c r="F818" s="92"/>
      <c r="G818" s="18"/>
      <c r="H818" s="101" t="str">
        <f>IFERROR(__xludf.DUMMYFUNCTION("""COMPUTED_VALUE"""),"")</f>
        <v/>
      </c>
      <c r="I818" s="67" t="str">
        <f>IFERROR(__xludf.DUMMYFUNCTION("""COMPUTED_VALUE"""),"")</f>
        <v/>
      </c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8"/>
      <c r="DO818" s="18"/>
      <c r="DP818" s="18"/>
      <c r="DQ818" s="18"/>
      <c r="DR818" s="18"/>
      <c r="DS818" s="18"/>
      <c r="DT818" s="18"/>
      <c r="DU818" s="18"/>
      <c r="DV818" s="18"/>
      <c r="DW818" s="18"/>
      <c r="DX818" s="18"/>
      <c r="DY818" s="18"/>
      <c r="DZ818" s="18"/>
      <c r="EA818" s="18"/>
      <c r="EB818" s="18"/>
      <c r="EC818" s="18"/>
      <c r="ED818" s="18"/>
      <c r="EE818" s="18"/>
      <c r="EF818" s="18"/>
      <c r="EG818" s="18"/>
      <c r="EH818" s="18"/>
      <c r="EI818" s="18"/>
      <c r="EJ818" s="18"/>
      <c r="EK818" s="18"/>
      <c r="EL818" s="18"/>
      <c r="EM818" s="18"/>
      <c r="EN818" s="18"/>
      <c r="EO818" s="18"/>
      <c r="EP818" s="18"/>
      <c r="EQ818" s="18"/>
      <c r="ER818" s="18"/>
      <c r="ES818" s="18"/>
      <c r="ET818" s="18"/>
      <c r="EU818" s="18"/>
      <c r="EV818" s="18"/>
      <c r="EW818" s="18"/>
      <c r="EX818" s="18"/>
    </row>
    <row r="819">
      <c r="A819" s="101"/>
      <c r="B819" s="105"/>
      <c r="C819" s="105"/>
      <c r="D819" s="106"/>
      <c r="E819" s="110"/>
      <c r="F819" s="92"/>
      <c r="G819" s="18"/>
      <c r="H819" s="101" t="str">
        <f>IFERROR(__xludf.DUMMYFUNCTION("""COMPUTED_VALUE"""),"")</f>
        <v/>
      </c>
      <c r="I819" s="67" t="str">
        <f>IFERROR(__xludf.DUMMYFUNCTION("""COMPUTED_VALUE"""),"")</f>
        <v/>
      </c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8"/>
      <c r="DN819" s="18"/>
      <c r="DO819" s="18"/>
      <c r="DP819" s="18"/>
      <c r="DQ819" s="18"/>
      <c r="DR819" s="18"/>
      <c r="DS819" s="18"/>
      <c r="DT819" s="18"/>
      <c r="DU819" s="18"/>
      <c r="DV819" s="18"/>
      <c r="DW819" s="18"/>
      <c r="DX819" s="18"/>
      <c r="DY819" s="18"/>
      <c r="DZ819" s="18"/>
      <c r="EA819" s="18"/>
      <c r="EB819" s="18"/>
      <c r="EC819" s="18"/>
      <c r="ED819" s="18"/>
      <c r="EE819" s="18"/>
      <c r="EF819" s="18"/>
      <c r="EG819" s="18"/>
      <c r="EH819" s="18"/>
      <c r="EI819" s="18"/>
      <c r="EJ819" s="18"/>
      <c r="EK819" s="18"/>
      <c r="EL819" s="18"/>
      <c r="EM819" s="18"/>
      <c r="EN819" s="18"/>
      <c r="EO819" s="18"/>
      <c r="EP819" s="18"/>
      <c r="EQ819" s="18"/>
      <c r="ER819" s="18"/>
      <c r="ES819" s="18"/>
      <c r="ET819" s="18"/>
      <c r="EU819" s="18"/>
      <c r="EV819" s="18"/>
      <c r="EW819" s="18"/>
      <c r="EX819" s="18"/>
    </row>
    <row r="820">
      <c r="A820" s="101"/>
      <c r="B820" s="105"/>
      <c r="C820" s="105"/>
      <c r="D820" s="106"/>
      <c r="E820" s="110"/>
      <c r="F820" s="92"/>
      <c r="G820" s="18"/>
      <c r="H820" s="101" t="str">
        <f>IFERROR(__xludf.DUMMYFUNCTION("""COMPUTED_VALUE"""),"")</f>
        <v/>
      </c>
      <c r="I820" s="67" t="str">
        <f>IFERROR(__xludf.DUMMYFUNCTION("""COMPUTED_VALUE"""),"")</f>
        <v/>
      </c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8"/>
      <c r="DM820" s="18"/>
      <c r="DN820" s="18"/>
      <c r="DO820" s="18"/>
      <c r="DP820" s="18"/>
      <c r="DQ820" s="18"/>
      <c r="DR820" s="18"/>
      <c r="DS820" s="18"/>
      <c r="DT820" s="18"/>
      <c r="DU820" s="18"/>
      <c r="DV820" s="18"/>
      <c r="DW820" s="18"/>
      <c r="DX820" s="18"/>
      <c r="DY820" s="18"/>
      <c r="DZ820" s="18"/>
      <c r="EA820" s="18"/>
      <c r="EB820" s="18"/>
      <c r="EC820" s="18"/>
      <c r="ED820" s="18"/>
      <c r="EE820" s="18"/>
      <c r="EF820" s="18"/>
      <c r="EG820" s="18"/>
      <c r="EH820" s="18"/>
      <c r="EI820" s="18"/>
      <c r="EJ820" s="18"/>
      <c r="EK820" s="18"/>
      <c r="EL820" s="18"/>
      <c r="EM820" s="18"/>
      <c r="EN820" s="18"/>
      <c r="EO820" s="18"/>
      <c r="EP820" s="18"/>
      <c r="EQ820" s="18"/>
      <c r="ER820" s="18"/>
      <c r="ES820" s="18"/>
      <c r="ET820" s="18"/>
      <c r="EU820" s="18"/>
      <c r="EV820" s="18"/>
      <c r="EW820" s="18"/>
      <c r="EX820" s="18"/>
    </row>
    <row r="821">
      <c r="A821" s="101"/>
      <c r="B821" s="105"/>
      <c r="C821" s="105"/>
      <c r="D821" s="106"/>
      <c r="E821" s="110"/>
      <c r="F821" s="92"/>
      <c r="G821" s="18"/>
      <c r="H821" s="101" t="str">
        <f>IFERROR(__xludf.DUMMYFUNCTION("""COMPUTED_VALUE"""),"")</f>
        <v/>
      </c>
      <c r="I821" s="67" t="str">
        <f>IFERROR(__xludf.DUMMYFUNCTION("""COMPUTED_VALUE"""),"")</f>
        <v/>
      </c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8"/>
      <c r="DK821" s="18"/>
      <c r="DL821" s="18"/>
      <c r="DM821" s="18"/>
      <c r="DN821" s="18"/>
      <c r="DO821" s="18"/>
      <c r="DP821" s="18"/>
      <c r="DQ821" s="18"/>
      <c r="DR821" s="18"/>
      <c r="DS821" s="18"/>
      <c r="DT821" s="18"/>
      <c r="DU821" s="18"/>
      <c r="DV821" s="18"/>
      <c r="DW821" s="18"/>
      <c r="DX821" s="18"/>
      <c r="DY821" s="18"/>
      <c r="DZ821" s="18"/>
      <c r="EA821" s="18"/>
      <c r="EB821" s="18"/>
      <c r="EC821" s="18"/>
      <c r="ED821" s="18"/>
      <c r="EE821" s="18"/>
      <c r="EF821" s="18"/>
      <c r="EG821" s="18"/>
      <c r="EH821" s="18"/>
      <c r="EI821" s="18"/>
      <c r="EJ821" s="18"/>
      <c r="EK821" s="18"/>
      <c r="EL821" s="18"/>
      <c r="EM821" s="18"/>
      <c r="EN821" s="18"/>
      <c r="EO821" s="18"/>
      <c r="EP821" s="18"/>
      <c r="EQ821" s="18"/>
      <c r="ER821" s="18"/>
      <c r="ES821" s="18"/>
      <c r="ET821" s="18"/>
      <c r="EU821" s="18"/>
      <c r="EV821" s="18"/>
      <c r="EW821" s="18"/>
      <c r="EX821" s="18"/>
    </row>
    <row r="822">
      <c r="A822" s="101"/>
      <c r="B822" s="105"/>
      <c r="C822" s="105"/>
      <c r="D822" s="106"/>
      <c r="E822" s="110"/>
      <c r="F822" s="92"/>
      <c r="G822" s="18"/>
      <c r="H822" s="101" t="str">
        <f>IFERROR(__xludf.DUMMYFUNCTION("""COMPUTED_VALUE"""),"")</f>
        <v/>
      </c>
      <c r="I822" s="67" t="str">
        <f>IFERROR(__xludf.DUMMYFUNCTION("""COMPUTED_VALUE"""),"")</f>
        <v/>
      </c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8"/>
      <c r="DJ822" s="18"/>
      <c r="DK822" s="18"/>
      <c r="DL822" s="18"/>
      <c r="DM822" s="18"/>
      <c r="DN822" s="18"/>
      <c r="DO822" s="18"/>
      <c r="DP822" s="18"/>
      <c r="DQ822" s="18"/>
      <c r="DR822" s="18"/>
      <c r="DS822" s="18"/>
      <c r="DT822" s="18"/>
      <c r="DU822" s="18"/>
      <c r="DV822" s="18"/>
      <c r="DW822" s="18"/>
      <c r="DX822" s="18"/>
      <c r="DY822" s="18"/>
      <c r="DZ822" s="18"/>
      <c r="EA822" s="18"/>
      <c r="EB822" s="18"/>
      <c r="EC822" s="18"/>
      <c r="ED822" s="18"/>
      <c r="EE822" s="18"/>
      <c r="EF822" s="18"/>
      <c r="EG822" s="18"/>
      <c r="EH822" s="18"/>
      <c r="EI822" s="18"/>
      <c r="EJ822" s="18"/>
      <c r="EK822" s="18"/>
      <c r="EL822" s="18"/>
      <c r="EM822" s="18"/>
      <c r="EN822" s="18"/>
      <c r="EO822" s="18"/>
      <c r="EP822" s="18"/>
      <c r="EQ822" s="18"/>
      <c r="ER822" s="18"/>
      <c r="ES822" s="18"/>
      <c r="ET822" s="18"/>
      <c r="EU822" s="18"/>
      <c r="EV822" s="18"/>
      <c r="EW822" s="18"/>
      <c r="EX822" s="18"/>
    </row>
    <row r="823">
      <c r="A823" s="101"/>
      <c r="B823" s="105"/>
      <c r="C823" s="105"/>
      <c r="D823" s="106"/>
      <c r="E823" s="110"/>
      <c r="F823" s="92"/>
      <c r="G823" s="18"/>
      <c r="H823" s="101" t="str">
        <f>IFERROR(__xludf.DUMMYFUNCTION("""COMPUTED_VALUE"""),"")</f>
        <v/>
      </c>
      <c r="I823" s="67" t="str">
        <f>IFERROR(__xludf.DUMMYFUNCTION("""COMPUTED_VALUE"""),"")</f>
        <v/>
      </c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8"/>
      <c r="DI823" s="18"/>
      <c r="DJ823" s="18"/>
      <c r="DK823" s="18"/>
      <c r="DL823" s="18"/>
      <c r="DM823" s="18"/>
      <c r="DN823" s="18"/>
      <c r="DO823" s="18"/>
      <c r="DP823" s="18"/>
      <c r="DQ823" s="18"/>
      <c r="DR823" s="18"/>
      <c r="DS823" s="18"/>
      <c r="DT823" s="18"/>
      <c r="DU823" s="18"/>
      <c r="DV823" s="18"/>
      <c r="DW823" s="18"/>
      <c r="DX823" s="18"/>
      <c r="DY823" s="18"/>
      <c r="DZ823" s="18"/>
      <c r="EA823" s="18"/>
      <c r="EB823" s="18"/>
      <c r="EC823" s="18"/>
      <c r="ED823" s="18"/>
      <c r="EE823" s="18"/>
      <c r="EF823" s="18"/>
      <c r="EG823" s="18"/>
      <c r="EH823" s="18"/>
      <c r="EI823" s="18"/>
      <c r="EJ823" s="18"/>
      <c r="EK823" s="18"/>
      <c r="EL823" s="18"/>
      <c r="EM823" s="18"/>
      <c r="EN823" s="18"/>
      <c r="EO823" s="18"/>
      <c r="EP823" s="18"/>
      <c r="EQ823" s="18"/>
      <c r="ER823" s="18"/>
      <c r="ES823" s="18"/>
      <c r="ET823" s="18"/>
      <c r="EU823" s="18"/>
      <c r="EV823" s="18"/>
      <c r="EW823" s="18"/>
      <c r="EX823" s="18"/>
    </row>
    <row r="824">
      <c r="A824" s="101"/>
      <c r="B824" s="105"/>
      <c r="C824" s="105"/>
      <c r="D824" s="106"/>
      <c r="E824" s="110"/>
      <c r="F824" s="92"/>
      <c r="G824" s="18"/>
      <c r="H824" s="101" t="str">
        <f>IFERROR(__xludf.DUMMYFUNCTION("""COMPUTED_VALUE"""),"")</f>
        <v/>
      </c>
      <c r="I824" s="67" t="str">
        <f>IFERROR(__xludf.DUMMYFUNCTION("""COMPUTED_VALUE"""),"")</f>
        <v/>
      </c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8"/>
      <c r="DH824" s="18"/>
      <c r="DI824" s="18"/>
      <c r="DJ824" s="18"/>
      <c r="DK824" s="18"/>
      <c r="DL824" s="18"/>
      <c r="DM824" s="18"/>
      <c r="DN824" s="18"/>
      <c r="DO824" s="18"/>
      <c r="DP824" s="18"/>
      <c r="DQ824" s="18"/>
      <c r="DR824" s="18"/>
      <c r="DS824" s="18"/>
      <c r="DT824" s="18"/>
      <c r="DU824" s="18"/>
      <c r="DV824" s="18"/>
      <c r="DW824" s="18"/>
      <c r="DX824" s="18"/>
      <c r="DY824" s="18"/>
      <c r="DZ824" s="18"/>
      <c r="EA824" s="18"/>
      <c r="EB824" s="18"/>
      <c r="EC824" s="18"/>
      <c r="ED824" s="18"/>
      <c r="EE824" s="18"/>
      <c r="EF824" s="18"/>
      <c r="EG824" s="18"/>
      <c r="EH824" s="18"/>
      <c r="EI824" s="18"/>
      <c r="EJ824" s="18"/>
      <c r="EK824" s="18"/>
      <c r="EL824" s="18"/>
      <c r="EM824" s="18"/>
      <c r="EN824" s="18"/>
      <c r="EO824" s="18"/>
      <c r="EP824" s="18"/>
      <c r="EQ824" s="18"/>
      <c r="ER824" s="18"/>
      <c r="ES824" s="18"/>
      <c r="ET824" s="18"/>
      <c r="EU824" s="18"/>
      <c r="EV824" s="18"/>
      <c r="EW824" s="18"/>
      <c r="EX824" s="18"/>
    </row>
    <row r="825">
      <c r="A825" s="101"/>
      <c r="B825" s="105"/>
      <c r="C825" s="105"/>
      <c r="D825" s="106"/>
      <c r="E825" s="110"/>
      <c r="F825" s="92"/>
      <c r="G825" s="18"/>
      <c r="H825" s="101" t="str">
        <f>IFERROR(__xludf.DUMMYFUNCTION("""COMPUTED_VALUE"""),"")</f>
        <v/>
      </c>
      <c r="I825" s="67" t="str">
        <f>IFERROR(__xludf.DUMMYFUNCTION("""COMPUTED_VALUE"""),"")</f>
        <v/>
      </c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8"/>
      <c r="DG825" s="18"/>
      <c r="DH825" s="18"/>
      <c r="DI825" s="18"/>
      <c r="DJ825" s="18"/>
      <c r="DK825" s="18"/>
      <c r="DL825" s="18"/>
      <c r="DM825" s="18"/>
      <c r="DN825" s="18"/>
      <c r="DO825" s="18"/>
      <c r="DP825" s="18"/>
      <c r="DQ825" s="18"/>
      <c r="DR825" s="18"/>
      <c r="DS825" s="18"/>
      <c r="DT825" s="18"/>
      <c r="DU825" s="18"/>
      <c r="DV825" s="18"/>
      <c r="DW825" s="18"/>
      <c r="DX825" s="18"/>
      <c r="DY825" s="18"/>
      <c r="DZ825" s="18"/>
      <c r="EA825" s="18"/>
      <c r="EB825" s="18"/>
      <c r="EC825" s="18"/>
      <c r="ED825" s="18"/>
      <c r="EE825" s="18"/>
      <c r="EF825" s="18"/>
      <c r="EG825" s="18"/>
      <c r="EH825" s="18"/>
      <c r="EI825" s="18"/>
      <c r="EJ825" s="18"/>
      <c r="EK825" s="18"/>
      <c r="EL825" s="18"/>
      <c r="EM825" s="18"/>
      <c r="EN825" s="18"/>
      <c r="EO825" s="18"/>
      <c r="EP825" s="18"/>
      <c r="EQ825" s="18"/>
      <c r="ER825" s="18"/>
      <c r="ES825" s="18"/>
      <c r="ET825" s="18"/>
      <c r="EU825" s="18"/>
      <c r="EV825" s="18"/>
      <c r="EW825" s="18"/>
      <c r="EX825" s="18"/>
    </row>
    <row r="826">
      <c r="A826" s="101"/>
      <c r="B826" s="105"/>
      <c r="C826" s="105"/>
      <c r="D826" s="106"/>
      <c r="E826" s="110"/>
      <c r="F826" s="92"/>
      <c r="G826" s="18"/>
      <c r="H826" s="101" t="str">
        <f>IFERROR(__xludf.DUMMYFUNCTION("""COMPUTED_VALUE"""),"")</f>
        <v/>
      </c>
      <c r="I826" s="67" t="str">
        <f>IFERROR(__xludf.DUMMYFUNCTION("""COMPUTED_VALUE"""),"")</f>
        <v/>
      </c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8"/>
      <c r="DF826" s="18"/>
      <c r="DG826" s="18"/>
      <c r="DH826" s="18"/>
      <c r="DI826" s="18"/>
      <c r="DJ826" s="18"/>
      <c r="DK826" s="18"/>
      <c r="DL826" s="18"/>
      <c r="DM826" s="18"/>
      <c r="DN826" s="18"/>
      <c r="DO826" s="18"/>
      <c r="DP826" s="18"/>
      <c r="DQ826" s="18"/>
      <c r="DR826" s="18"/>
      <c r="DS826" s="18"/>
      <c r="DT826" s="18"/>
      <c r="DU826" s="18"/>
      <c r="DV826" s="18"/>
      <c r="DW826" s="18"/>
      <c r="DX826" s="18"/>
      <c r="DY826" s="18"/>
      <c r="DZ826" s="18"/>
      <c r="EA826" s="18"/>
      <c r="EB826" s="18"/>
      <c r="EC826" s="18"/>
      <c r="ED826" s="18"/>
      <c r="EE826" s="18"/>
      <c r="EF826" s="18"/>
      <c r="EG826" s="18"/>
      <c r="EH826" s="18"/>
      <c r="EI826" s="18"/>
      <c r="EJ826" s="18"/>
      <c r="EK826" s="18"/>
      <c r="EL826" s="18"/>
      <c r="EM826" s="18"/>
      <c r="EN826" s="18"/>
      <c r="EO826" s="18"/>
      <c r="EP826" s="18"/>
      <c r="EQ826" s="18"/>
      <c r="ER826" s="18"/>
      <c r="ES826" s="18"/>
      <c r="ET826" s="18"/>
      <c r="EU826" s="18"/>
      <c r="EV826" s="18"/>
      <c r="EW826" s="18"/>
      <c r="EX826" s="18"/>
    </row>
    <row r="827">
      <c r="A827" s="101"/>
      <c r="B827" s="105"/>
      <c r="C827" s="105"/>
      <c r="D827" s="106"/>
      <c r="E827" s="110"/>
      <c r="F827" s="92"/>
      <c r="G827" s="18"/>
      <c r="H827" s="101" t="str">
        <f>IFERROR(__xludf.DUMMYFUNCTION("""COMPUTED_VALUE"""),"")</f>
        <v/>
      </c>
      <c r="I827" s="67" t="str">
        <f>IFERROR(__xludf.DUMMYFUNCTION("""COMPUTED_VALUE"""),"")</f>
        <v/>
      </c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8"/>
      <c r="DE827" s="18"/>
      <c r="DF827" s="18"/>
      <c r="DG827" s="18"/>
      <c r="DH827" s="18"/>
      <c r="DI827" s="18"/>
      <c r="DJ827" s="18"/>
      <c r="DK827" s="18"/>
      <c r="DL827" s="18"/>
      <c r="DM827" s="18"/>
      <c r="DN827" s="18"/>
      <c r="DO827" s="18"/>
      <c r="DP827" s="18"/>
      <c r="DQ827" s="18"/>
      <c r="DR827" s="18"/>
      <c r="DS827" s="18"/>
      <c r="DT827" s="18"/>
      <c r="DU827" s="18"/>
      <c r="DV827" s="18"/>
      <c r="DW827" s="18"/>
      <c r="DX827" s="18"/>
      <c r="DY827" s="18"/>
      <c r="DZ827" s="18"/>
      <c r="EA827" s="18"/>
      <c r="EB827" s="18"/>
      <c r="EC827" s="18"/>
      <c r="ED827" s="18"/>
      <c r="EE827" s="18"/>
      <c r="EF827" s="18"/>
      <c r="EG827" s="18"/>
      <c r="EH827" s="18"/>
      <c r="EI827" s="18"/>
      <c r="EJ827" s="18"/>
      <c r="EK827" s="18"/>
      <c r="EL827" s="18"/>
      <c r="EM827" s="18"/>
      <c r="EN827" s="18"/>
      <c r="EO827" s="18"/>
      <c r="EP827" s="18"/>
      <c r="EQ827" s="18"/>
      <c r="ER827" s="18"/>
      <c r="ES827" s="18"/>
      <c r="ET827" s="18"/>
      <c r="EU827" s="18"/>
      <c r="EV827" s="18"/>
      <c r="EW827" s="18"/>
      <c r="EX827" s="18"/>
    </row>
    <row r="828">
      <c r="A828" s="101"/>
      <c r="B828" s="105"/>
      <c r="C828" s="105"/>
      <c r="D828" s="106"/>
      <c r="E828" s="110"/>
      <c r="F828" s="92"/>
      <c r="G828" s="18"/>
      <c r="H828" s="101" t="str">
        <f>IFERROR(__xludf.DUMMYFUNCTION("""COMPUTED_VALUE"""),"")</f>
        <v/>
      </c>
      <c r="I828" s="67" t="str">
        <f>IFERROR(__xludf.DUMMYFUNCTION("""COMPUTED_VALUE"""),"")</f>
        <v/>
      </c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8"/>
      <c r="DD828" s="18"/>
      <c r="DE828" s="18"/>
      <c r="DF828" s="18"/>
      <c r="DG828" s="18"/>
      <c r="DH828" s="18"/>
      <c r="DI828" s="18"/>
      <c r="DJ828" s="18"/>
      <c r="DK828" s="18"/>
      <c r="DL828" s="18"/>
      <c r="DM828" s="18"/>
      <c r="DN828" s="18"/>
      <c r="DO828" s="18"/>
      <c r="DP828" s="18"/>
      <c r="DQ828" s="18"/>
      <c r="DR828" s="18"/>
      <c r="DS828" s="18"/>
      <c r="DT828" s="18"/>
      <c r="DU828" s="18"/>
      <c r="DV828" s="18"/>
      <c r="DW828" s="18"/>
      <c r="DX828" s="18"/>
      <c r="DY828" s="18"/>
      <c r="DZ828" s="18"/>
      <c r="EA828" s="18"/>
      <c r="EB828" s="18"/>
      <c r="EC828" s="18"/>
      <c r="ED828" s="18"/>
      <c r="EE828" s="18"/>
      <c r="EF828" s="18"/>
      <c r="EG828" s="18"/>
      <c r="EH828" s="18"/>
      <c r="EI828" s="18"/>
      <c r="EJ828" s="18"/>
      <c r="EK828" s="18"/>
      <c r="EL828" s="18"/>
      <c r="EM828" s="18"/>
      <c r="EN828" s="18"/>
      <c r="EO828" s="18"/>
      <c r="EP828" s="18"/>
      <c r="EQ828" s="18"/>
      <c r="ER828" s="18"/>
      <c r="ES828" s="18"/>
      <c r="ET828" s="18"/>
      <c r="EU828" s="18"/>
      <c r="EV828" s="18"/>
      <c r="EW828" s="18"/>
      <c r="EX828" s="18"/>
    </row>
    <row r="829">
      <c r="A829" s="101"/>
      <c r="B829" s="105"/>
      <c r="C829" s="105"/>
      <c r="D829" s="106"/>
      <c r="E829" s="110"/>
      <c r="F829" s="92"/>
      <c r="G829" s="18"/>
      <c r="H829" s="101" t="str">
        <f>IFERROR(__xludf.DUMMYFUNCTION("""COMPUTED_VALUE"""),"")</f>
        <v/>
      </c>
      <c r="I829" s="67" t="str">
        <f>IFERROR(__xludf.DUMMYFUNCTION("""COMPUTED_VALUE"""),"")</f>
        <v/>
      </c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8"/>
      <c r="DC829" s="18"/>
      <c r="DD829" s="18"/>
      <c r="DE829" s="18"/>
      <c r="DF829" s="18"/>
      <c r="DG829" s="18"/>
      <c r="DH829" s="18"/>
      <c r="DI829" s="18"/>
      <c r="DJ829" s="18"/>
      <c r="DK829" s="18"/>
      <c r="DL829" s="18"/>
      <c r="DM829" s="18"/>
      <c r="DN829" s="18"/>
      <c r="DO829" s="18"/>
      <c r="DP829" s="18"/>
      <c r="DQ829" s="18"/>
      <c r="DR829" s="18"/>
      <c r="DS829" s="18"/>
      <c r="DT829" s="18"/>
      <c r="DU829" s="18"/>
      <c r="DV829" s="18"/>
      <c r="DW829" s="18"/>
      <c r="DX829" s="18"/>
      <c r="DY829" s="18"/>
      <c r="DZ829" s="18"/>
      <c r="EA829" s="18"/>
      <c r="EB829" s="18"/>
      <c r="EC829" s="18"/>
      <c r="ED829" s="18"/>
      <c r="EE829" s="18"/>
      <c r="EF829" s="18"/>
      <c r="EG829" s="18"/>
      <c r="EH829" s="18"/>
      <c r="EI829" s="18"/>
      <c r="EJ829" s="18"/>
      <c r="EK829" s="18"/>
      <c r="EL829" s="18"/>
      <c r="EM829" s="18"/>
      <c r="EN829" s="18"/>
      <c r="EO829" s="18"/>
      <c r="EP829" s="18"/>
      <c r="EQ829" s="18"/>
      <c r="ER829" s="18"/>
      <c r="ES829" s="18"/>
      <c r="ET829" s="18"/>
      <c r="EU829" s="18"/>
      <c r="EV829" s="18"/>
      <c r="EW829" s="18"/>
      <c r="EX829" s="18"/>
    </row>
    <row r="830">
      <c r="A830" s="101"/>
      <c r="B830" s="105"/>
      <c r="C830" s="105"/>
      <c r="D830" s="106"/>
      <c r="E830" s="110"/>
      <c r="F830" s="92"/>
      <c r="G830" s="18"/>
      <c r="H830" s="101" t="str">
        <f>IFERROR(__xludf.DUMMYFUNCTION("""COMPUTED_VALUE"""),"")</f>
        <v/>
      </c>
      <c r="I830" s="67" t="str">
        <f>IFERROR(__xludf.DUMMYFUNCTION("""COMPUTED_VALUE"""),"")</f>
        <v/>
      </c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8"/>
      <c r="DB830" s="18"/>
      <c r="DC830" s="18"/>
      <c r="DD830" s="18"/>
      <c r="DE830" s="18"/>
      <c r="DF830" s="18"/>
      <c r="DG830" s="18"/>
      <c r="DH830" s="18"/>
      <c r="DI830" s="18"/>
      <c r="DJ830" s="18"/>
      <c r="DK830" s="18"/>
      <c r="DL830" s="18"/>
      <c r="DM830" s="18"/>
      <c r="DN830" s="18"/>
      <c r="DO830" s="18"/>
      <c r="DP830" s="18"/>
      <c r="DQ830" s="18"/>
      <c r="DR830" s="18"/>
      <c r="DS830" s="18"/>
      <c r="DT830" s="18"/>
      <c r="DU830" s="18"/>
      <c r="DV830" s="18"/>
      <c r="DW830" s="18"/>
      <c r="DX830" s="18"/>
      <c r="DY830" s="18"/>
      <c r="DZ830" s="18"/>
      <c r="EA830" s="18"/>
      <c r="EB830" s="18"/>
      <c r="EC830" s="18"/>
      <c r="ED830" s="18"/>
      <c r="EE830" s="18"/>
      <c r="EF830" s="18"/>
      <c r="EG830" s="18"/>
      <c r="EH830" s="18"/>
      <c r="EI830" s="18"/>
      <c r="EJ830" s="18"/>
      <c r="EK830" s="18"/>
      <c r="EL830" s="18"/>
      <c r="EM830" s="18"/>
      <c r="EN830" s="18"/>
      <c r="EO830" s="18"/>
      <c r="EP830" s="18"/>
      <c r="EQ830" s="18"/>
      <c r="ER830" s="18"/>
      <c r="ES830" s="18"/>
      <c r="ET830" s="18"/>
      <c r="EU830" s="18"/>
      <c r="EV830" s="18"/>
      <c r="EW830" s="18"/>
      <c r="EX830" s="18"/>
    </row>
    <row r="831">
      <c r="A831" s="101"/>
      <c r="B831" s="105"/>
      <c r="C831" s="105"/>
      <c r="D831" s="106"/>
      <c r="E831" s="110"/>
      <c r="F831" s="92"/>
      <c r="G831" s="18"/>
      <c r="H831" s="101" t="str">
        <f>IFERROR(__xludf.DUMMYFUNCTION("""COMPUTED_VALUE"""),"")</f>
        <v/>
      </c>
      <c r="I831" s="67" t="str">
        <f>IFERROR(__xludf.DUMMYFUNCTION("""COMPUTED_VALUE"""),"")</f>
        <v/>
      </c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8"/>
      <c r="DA831" s="18"/>
      <c r="DB831" s="18"/>
      <c r="DC831" s="18"/>
      <c r="DD831" s="18"/>
      <c r="DE831" s="18"/>
      <c r="DF831" s="18"/>
      <c r="DG831" s="18"/>
      <c r="DH831" s="18"/>
      <c r="DI831" s="18"/>
      <c r="DJ831" s="18"/>
      <c r="DK831" s="18"/>
      <c r="DL831" s="18"/>
      <c r="DM831" s="18"/>
      <c r="DN831" s="18"/>
      <c r="DO831" s="18"/>
      <c r="DP831" s="18"/>
      <c r="DQ831" s="18"/>
      <c r="DR831" s="18"/>
      <c r="DS831" s="18"/>
      <c r="DT831" s="18"/>
      <c r="DU831" s="18"/>
      <c r="DV831" s="18"/>
      <c r="DW831" s="18"/>
      <c r="DX831" s="18"/>
      <c r="DY831" s="18"/>
      <c r="DZ831" s="18"/>
      <c r="EA831" s="18"/>
      <c r="EB831" s="18"/>
      <c r="EC831" s="18"/>
      <c r="ED831" s="18"/>
      <c r="EE831" s="18"/>
      <c r="EF831" s="18"/>
      <c r="EG831" s="18"/>
      <c r="EH831" s="18"/>
      <c r="EI831" s="18"/>
      <c r="EJ831" s="18"/>
      <c r="EK831" s="18"/>
      <c r="EL831" s="18"/>
      <c r="EM831" s="18"/>
      <c r="EN831" s="18"/>
      <c r="EO831" s="18"/>
      <c r="EP831" s="18"/>
      <c r="EQ831" s="18"/>
      <c r="ER831" s="18"/>
      <c r="ES831" s="18"/>
      <c r="ET831" s="18"/>
      <c r="EU831" s="18"/>
      <c r="EV831" s="18"/>
      <c r="EW831" s="18"/>
      <c r="EX831" s="18"/>
    </row>
    <row r="832">
      <c r="A832" s="101"/>
      <c r="B832" s="105"/>
      <c r="C832" s="105"/>
      <c r="D832" s="106"/>
      <c r="E832" s="110"/>
      <c r="F832" s="92"/>
      <c r="G832" s="18"/>
      <c r="H832" s="101" t="str">
        <f>IFERROR(__xludf.DUMMYFUNCTION("""COMPUTED_VALUE"""),"")</f>
        <v/>
      </c>
      <c r="I832" s="67" t="str">
        <f>IFERROR(__xludf.DUMMYFUNCTION("""COMPUTED_VALUE"""),"")</f>
        <v/>
      </c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8"/>
      <c r="CZ832" s="18"/>
      <c r="DA832" s="18"/>
      <c r="DB832" s="18"/>
      <c r="DC832" s="18"/>
      <c r="DD832" s="18"/>
      <c r="DE832" s="18"/>
      <c r="DF832" s="18"/>
      <c r="DG832" s="18"/>
      <c r="DH832" s="18"/>
      <c r="DI832" s="18"/>
      <c r="DJ832" s="18"/>
      <c r="DK832" s="18"/>
      <c r="DL832" s="18"/>
      <c r="DM832" s="18"/>
      <c r="DN832" s="18"/>
      <c r="DO832" s="18"/>
      <c r="DP832" s="18"/>
      <c r="DQ832" s="18"/>
      <c r="DR832" s="18"/>
      <c r="DS832" s="18"/>
      <c r="DT832" s="18"/>
      <c r="DU832" s="18"/>
      <c r="DV832" s="18"/>
      <c r="DW832" s="18"/>
      <c r="DX832" s="18"/>
      <c r="DY832" s="18"/>
      <c r="DZ832" s="18"/>
      <c r="EA832" s="18"/>
      <c r="EB832" s="18"/>
      <c r="EC832" s="18"/>
      <c r="ED832" s="18"/>
      <c r="EE832" s="18"/>
      <c r="EF832" s="18"/>
      <c r="EG832" s="18"/>
      <c r="EH832" s="18"/>
      <c r="EI832" s="18"/>
      <c r="EJ832" s="18"/>
      <c r="EK832" s="18"/>
      <c r="EL832" s="18"/>
      <c r="EM832" s="18"/>
      <c r="EN832" s="18"/>
      <c r="EO832" s="18"/>
      <c r="EP832" s="18"/>
      <c r="EQ832" s="18"/>
      <c r="ER832" s="18"/>
      <c r="ES832" s="18"/>
      <c r="ET832" s="18"/>
      <c r="EU832" s="18"/>
      <c r="EV832" s="18"/>
      <c r="EW832" s="18"/>
      <c r="EX832" s="18"/>
    </row>
    <row r="833">
      <c r="A833" s="101"/>
      <c r="B833" s="105"/>
      <c r="C833" s="105"/>
      <c r="D833" s="106"/>
      <c r="E833" s="110"/>
      <c r="F833" s="92"/>
      <c r="G833" s="18"/>
      <c r="H833" s="101" t="str">
        <f>IFERROR(__xludf.DUMMYFUNCTION("""COMPUTED_VALUE"""),"")</f>
        <v/>
      </c>
      <c r="I833" s="67" t="str">
        <f>IFERROR(__xludf.DUMMYFUNCTION("""COMPUTED_VALUE"""),"")</f>
        <v/>
      </c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  <c r="CX833" s="18"/>
      <c r="CY833" s="18"/>
      <c r="CZ833" s="18"/>
      <c r="DA833" s="18"/>
      <c r="DB833" s="18"/>
      <c r="DC833" s="18"/>
      <c r="DD833" s="18"/>
      <c r="DE833" s="18"/>
      <c r="DF833" s="18"/>
      <c r="DG833" s="18"/>
      <c r="DH833" s="18"/>
      <c r="DI833" s="18"/>
      <c r="DJ833" s="18"/>
      <c r="DK833" s="18"/>
      <c r="DL833" s="18"/>
      <c r="DM833" s="18"/>
      <c r="DN833" s="18"/>
      <c r="DO833" s="18"/>
      <c r="DP833" s="18"/>
      <c r="DQ833" s="18"/>
      <c r="DR833" s="18"/>
      <c r="DS833" s="18"/>
      <c r="DT833" s="18"/>
      <c r="DU833" s="18"/>
      <c r="DV833" s="18"/>
      <c r="DW833" s="18"/>
      <c r="DX833" s="18"/>
      <c r="DY833" s="18"/>
      <c r="DZ833" s="18"/>
      <c r="EA833" s="18"/>
      <c r="EB833" s="18"/>
      <c r="EC833" s="18"/>
      <c r="ED833" s="18"/>
      <c r="EE833" s="18"/>
      <c r="EF833" s="18"/>
      <c r="EG833" s="18"/>
      <c r="EH833" s="18"/>
      <c r="EI833" s="18"/>
      <c r="EJ833" s="18"/>
      <c r="EK833" s="18"/>
      <c r="EL833" s="18"/>
      <c r="EM833" s="18"/>
      <c r="EN833" s="18"/>
      <c r="EO833" s="18"/>
      <c r="EP833" s="18"/>
      <c r="EQ833" s="18"/>
      <c r="ER833" s="18"/>
      <c r="ES833" s="18"/>
      <c r="ET833" s="18"/>
      <c r="EU833" s="18"/>
      <c r="EV833" s="18"/>
      <c r="EW833" s="18"/>
      <c r="EX833" s="18"/>
    </row>
    <row r="834">
      <c r="A834" s="101"/>
      <c r="B834" s="105"/>
      <c r="C834" s="105"/>
      <c r="D834" s="106"/>
      <c r="E834" s="110"/>
      <c r="F834" s="92"/>
      <c r="G834" s="18"/>
      <c r="H834" s="101" t="str">
        <f>IFERROR(__xludf.DUMMYFUNCTION("""COMPUTED_VALUE"""),"")</f>
        <v/>
      </c>
      <c r="I834" s="67" t="str">
        <f>IFERROR(__xludf.DUMMYFUNCTION("""COMPUTED_VALUE"""),"")</f>
        <v/>
      </c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8"/>
      <c r="CW834" s="18"/>
      <c r="CX834" s="18"/>
      <c r="CY834" s="18"/>
      <c r="CZ834" s="18"/>
      <c r="DA834" s="18"/>
      <c r="DB834" s="18"/>
      <c r="DC834" s="18"/>
      <c r="DD834" s="18"/>
      <c r="DE834" s="18"/>
      <c r="DF834" s="18"/>
      <c r="DG834" s="18"/>
      <c r="DH834" s="18"/>
      <c r="DI834" s="18"/>
      <c r="DJ834" s="18"/>
      <c r="DK834" s="18"/>
      <c r="DL834" s="18"/>
      <c r="DM834" s="18"/>
      <c r="DN834" s="18"/>
      <c r="DO834" s="18"/>
      <c r="DP834" s="18"/>
      <c r="DQ834" s="18"/>
      <c r="DR834" s="18"/>
      <c r="DS834" s="18"/>
      <c r="DT834" s="18"/>
      <c r="DU834" s="18"/>
      <c r="DV834" s="18"/>
      <c r="DW834" s="18"/>
      <c r="DX834" s="18"/>
      <c r="DY834" s="18"/>
      <c r="DZ834" s="18"/>
      <c r="EA834" s="18"/>
      <c r="EB834" s="18"/>
      <c r="EC834" s="18"/>
      <c r="ED834" s="18"/>
      <c r="EE834" s="18"/>
      <c r="EF834" s="18"/>
      <c r="EG834" s="18"/>
      <c r="EH834" s="18"/>
      <c r="EI834" s="18"/>
      <c r="EJ834" s="18"/>
      <c r="EK834" s="18"/>
      <c r="EL834" s="18"/>
      <c r="EM834" s="18"/>
      <c r="EN834" s="18"/>
      <c r="EO834" s="18"/>
      <c r="EP834" s="18"/>
      <c r="EQ834" s="18"/>
      <c r="ER834" s="18"/>
      <c r="ES834" s="18"/>
      <c r="ET834" s="18"/>
      <c r="EU834" s="18"/>
      <c r="EV834" s="18"/>
      <c r="EW834" s="18"/>
      <c r="EX834" s="18"/>
    </row>
    <row r="835">
      <c r="A835" s="101"/>
      <c r="B835" s="105"/>
      <c r="C835" s="105"/>
      <c r="D835" s="106"/>
      <c r="E835" s="110"/>
      <c r="F835" s="92"/>
      <c r="G835" s="18"/>
      <c r="H835" s="101" t="str">
        <f>IFERROR(__xludf.DUMMYFUNCTION("""COMPUTED_VALUE"""),"")</f>
        <v/>
      </c>
      <c r="I835" s="67" t="str">
        <f>IFERROR(__xludf.DUMMYFUNCTION("""COMPUTED_VALUE"""),"")</f>
        <v/>
      </c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8"/>
      <c r="CV835" s="18"/>
      <c r="CW835" s="18"/>
      <c r="CX835" s="18"/>
      <c r="CY835" s="18"/>
      <c r="CZ835" s="18"/>
      <c r="DA835" s="18"/>
      <c r="DB835" s="18"/>
      <c r="DC835" s="18"/>
      <c r="DD835" s="18"/>
      <c r="DE835" s="18"/>
      <c r="DF835" s="18"/>
      <c r="DG835" s="18"/>
      <c r="DH835" s="18"/>
      <c r="DI835" s="18"/>
      <c r="DJ835" s="18"/>
      <c r="DK835" s="18"/>
      <c r="DL835" s="18"/>
      <c r="DM835" s="18"/>
      <c r="DN835" s="18"/>
      <c r="DO835" s="18"/>
      <c r="DP835" s="18"/>
      <c r="DQ835" s="18"/>
      <c r="DR835" s="18"/>
      <c r="DS835" s="18"/>
      <c r="DT835" s="18"/>
      <c r="DU835" s="18"/>
      <c r="DV835" s="18"/>
      <c r="DW835" s="18"/>
      <c r="DX835" s="18"/>
      <c r="DY835" s="18"/>
      <c r="DZ835" s="18"/>
      <c r="EA835" s="18"/>
      <c r="EB835" s="18"/>
      <c r="EC835" s="18"/>
      <c r="ED835" s="18"/>
      <c r="EE835" s="18"/>
      <c r="EF835" s="18"/>
      <c r="EG835" s="18"/>
      <c r="EH835" s="18"/>
      <c r="EI835" s="18"/>
      <c r="EJ835" s="18"/>
      <c r="EK835" s="18"/>
      <c r="EL835" s="18"/>
      <c r="EM835" s="18"/>
      <c r="EN835" s="18"/>
      <c r="EO835" s="18"/>
      <c r="EP835" s="18"/>
      <c r="EQ835" s="18"/>
      <c r="ER835" s="18"/>
      <c r="ES835" s="18"/>
      <c r="ET835" s="18"/>
      <c r="EU835" s="18"/>
      <c r="EV835" s="18"/>
      <c r="EW835" s="18"/>
      <c r="EX835" s="18"/>
    </row>
    <row r="836">
      <c r="A836" s="101"/>
      <c r="B836" s="105"/>
      <c r="C836" s="105"/>
      <c r="D836" s="106"/>
      <c r="E836" s="110"/>
      <c r="F836" s="92"/>
      <c r="G836" s="18"/>
      <c r="H836" s="101" t="str">
        <f>IFERROR(__xludf.DUMMYFUNCTION("""COMPUTED_VALUE"""),"")</f>
        <v/>
      </c>
      <c r="I836" s="67" t="str">
        <f>IFERROR(__xludf.DUMMYFUNCTION("""COMPUTED_VALUE"""),"")</f>
        <v/>
      </c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8"/>
      <c r="CU836" s="18"/>
      <c r="CV836" s="18"/>
      <c r="CW836" s="18"/>
      <c r="CX836" s="18"/>
      <c r="CY836" s="18"/>
      <c r="CZ836" s="18"/>
      <c r="DA836" s="18"/>
      <c r="DB836" s="18"/>
      <c r="DC836" s="18"/>
      <c r="DD836" s="18"/>
      <c r="DE836" s="18"/>
      <c r="DF836" s="18"/>
      <c r="DG836" s="18"/>
      <c r="DH836" s="18"/>
      <c r="DI836" s="18"/>
      <c r="DJ836" s="18"/>
      <c r="DK836" s="18"/>
      <c r="DL836" s="18"/>
      <c r="DM836" s="18"/>
      <c r="DN836" s="18"/>
      <c r="DO836" s="18"/>
      <c r="DP836" s="18"/>
      <c r="DQ836" s="18"/>
      <c r="DR836" s="18"/>
      <c r="DS836" s="18"/>
      <c r="DT836" s="18"/>
      <c r="DU836" s="18"/>
      <c r="DV836" s="18"/>
      <c r="DW836" s="18"/>
      <c r="DX836" s="18"/>
      <c r="DY836" s="18"/>
      <c r="DZ836" s="18"/>
      <c r="EA836" s="18"/>
      <c r="EB836" s="18"/>
      <c r="EC836" s="18"/>
      <c r="ED836" s="18"/>
      <c r="EE836" s="18"/>
      <c r="EF836" s="18"/>
      <c r="EG836" s="18"/>
      <c r="EH836" s="18"/>
      <c r="EI836" s="18"/>
      <c r="EJ836" s="18"/>
      <c r="EK836" s="18"/>
      <c r="EL836" s="18"/>
      <c r="EM836" s="18"/>
      <c r="EN836" s="18"/>
      <c r="EO836" s="18"/>
      <c r="EP836" s="18"/>
      <c r="EQ836" s="18"/>
      <c r="ER836" s="18"/>
      <c r="ES836" s="18"/>
      <c r="ET836" s="18"/>
      <c r="EU836" s="18"/>
      <c r="EV836" s="18"/>
      <c r="EW836" s="18"/>
      <c r="EX836" s="18"/>
    </row>
    <row r="837">
      <c r="A837" s="101"/>
      <c r="B837" s="105"/>
      <c r="C837" s="105"/>
      <c r="D837" s="106"/>
      <c r="E837" s="110"/>
      <c r="F837" s="92"/>
      <c r="G837" s="18"/>
      <c r="H837" s="101" t="str">
        <f>IFERROR(__xludf.DUMMYFUNCTION("""COMPUTED_VALUE"""),"")</f>
        <v/>
      </c>
      <c r="I837" s="67" t="str">
        <f>IFERROR(__xludf.DUMMYFUNCTION("""COMPUTED_VALUE"""),"")</f>
        <v/>
      </c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8"/>
      <c r="CT837" s="18"/>
      <c r="CU837" s="18"/>
      <c r="CV837" s="18"/>
      <c r="CW837" s="18"/>
      <c r="CX837" s="18"/>
      <c r="CY837" s="18"/>
      <c r="CZ837" s="18"/>
      <c r="DA837" s="18"/>
      <c r="DB837" s="18"/>
      <c r="DC837" s="18"/>
      <c r="DD837" s="18"/>
      <c r="DE837" s="18"/>
      <c r="DF837" s="18"/>
      <c r="DG837" s="18"/>
      <c r="DH837" s="18"/>
      <c r="DI837" s="18"/>
      <c r="DJ837" s="18"/>
      <c r="DK837" s="18"/>
      <c r="DL837" s="18"/>
      <c r="DM837" s="18"/>
      <c r="DN837" s="18"/>
      <c r="DO837" s="18"/>
      <c r="DP837" s="18"/>
      <c r="DQ837" s="18"/>
      <c r="DR837" s="18"/>
      <c r="DS837" s="18"/>
      <c r="DT837" s="18"/>
      <c r="DU837" s="18"/>
      <c r="DV837" s="18"/>
      <c r="DW837" s="18"/>
      <c r="DX837" s="18"/>
      <c r="DY837" s="18"/>
      <c r="DZ837" s="18"/>
      <c r="EA837" s="18"/>
      <c r="EB837" s="18"/>
      <c r="EC837" s="18"/>
      <c r="ED837" s="18"/>
      <c r="EE837" s="18"/>
      <c r="EF837" s="18"/>
      <c r="EG837" s="18"/>
      <c r="EH837" s="18"/>
      <c r="EI837" s="18"/>
      <c r="EJ837" s="18"/>
      <c r="EK837" s="18"/>
      <c r="EL837" s="18"/>
      <c r="EM837" s="18"/>
      <c r="EN837" s="18"/>
      <c r="EO837" s="18"/>
      <c r="EP837" s="18"/>
      <c r="EQ837" s="18"/>
      <c r="ER837" s="18"/>
      <c r="ES837" s="18"/>
      <c r="ET837" s="18"/>
      <c r="EU837" s="18"/>
      <c r="EV837" s="18"/>
      <c r="EW837" s="18"/>
      <c r="EX837" s="18"/>
    </row>
    <row r="838">
      <c r="A838" s="101"/>
      <c r="B838" s="105"/>
      <c r="C838" s="105"/>
      <c r="D838" s="106"/>
      <c r="E838" s="110"/>
      <c r="F838" s="92"/>
      <c r="G838" s="18"/>
      <c r="H838" s="101" t="str">
        <f>IFERROR(__xludf.DUMMYFUNCTION("""COMPUTED_VALUE"""),"")</f>
        <v/>
      </c>
      <c r="I838" s="67" t="str">
        <f>IFERROR(__xludf.DUMMYFUNCTION("""COMPUTED_VALUE"""),"")</f>
        <v/>
      </c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8"/>
      <c r="CR838" s="18"/>
      <c r="CS838" s="18"/>
      <c r="CT838" s="18"/>
      <c r="CU838" s="18"/>
      <c r="CV838" s="18"/>
      <c r="CW838" s="18"/>
      <c r="CX838" s="18"/>
      <c r="CY838" s="18"/>
      <c r="CZ838" s="18"/>
      <c r="DA838" s="18"/>
      <c r="DB838" s="18"/>
      <c r="DC838" s="18"/>
      <c r="DD838" s="18"/>
      <c r="DE838" s="18"/>
      <c r="DF838" s="18"/>
      <c r="DG838" s="18"/>
      <c r="DH838" s="18"/>
      <c r="DI838" s="18"/>
      <c r="DJ838" s="18"/>
      <c r="DK838" s="18"/>
      <c r="DL838" s="18"/>
      <c r="DM838" s="18"/>
      <c r="DN838" s="18"/>
      <c r="DO838" s="18"/>
      <c r="DP838" s="18"/>
      <c r="DQ838" s="18"/>
      <c r="DR838" s="18"/>
      <c r="DS838" s="18"/>
      <c r="DT838" s="18"/>
      <c r="DU838" s="18"/>
      <c r="DV838" s="18"/>
      <c r="DW838" s="18"/>
      <c r="DX838" s="18"/>
      <c r="DY838" s="18"/>
      <c r="DZ838" s="18"/>
      <c r="EA838" s="18"/>
      <c r="EB838" s="18"/>
      <c r="EC838" s="18"/>
      <c r="ED838" s="18"/>
      <c r="EE838" s="18"/>
      <c r="EF838" s="18"/>
      <c r="EG838" s="18"/>
      <c r="EH838" s="18"/>
      <c r="EI838" s="18"/>
      <c r="EJ838" s="18"/>
      <c r="EK838" s="18"/>
      <c r="EL838" s="18"/>
      <c r="EM838" s="18"/>
      <c r="EN838" s="18"/>
      <c r="EO838" s="18"/>
      <c r="EP838" s="18"/>
      <c r="EQ838" s="18"/>
      <c r="ER838" s="18"/>
      <c r="ES838" s="18"/>
      <c r="ET838" s="18"/>
      <c r="EU838" s="18"/>
      <c r="EV838" s="18"/>
      <c r="EW838" s="18"/>
      <c r="EX838" s="18"/>
    </row>
    <row r="839">
      <c r="A839" s="101"/>
      <c r="B839" s="105"/>
      <c r="C839" s="105"/>
      <c r="D839" s="106"/>
      <c r="E839" s="110"/>
      <c r="F839" s="92"/>
      <c r="G839" s="18"/>
      <c r="H839" s="101" t="str">
        <f>IFERROR(__xludf.DUMMYFUNCTION("""COMPUTED_VALUE"""),"")</f>
        <v/>
      </c>
      <c r="I839" s="67" t="str">
        <f>IFERROR(__xludf.DUMMYFUNCTION("""COMPUTED_VALUE"""),"")</f>
        <v/>
      </c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8"/>
      <c r="CQ839" s="18"/>
      <c r="CR839" s="18"/>
      <c r="CS839" s="18"/>
      <c r="CT839" s="18"/>
      <c r="CU839" s="18"/>
      <c r="CV839" s="18"/>
      <c r="CW839" s="18"/>
      <c r="CX839" s="18"/>
      <c r="CY839" s="18"/>
      <c r="CZ839" s="18"/>
      <c r="DA839" s="18"/>
      <c r="DB839" s="18"/>
      <c r="DC839" s="18"/>
      <c r="DD839" s="18"/>
      <c r="DE839" s="18"/>
      <c r="DF839" s="18"/>
      <c r="DG839" s="18"/>
      <c r="DH839" s="18"/>
      <c r="DI839" s="18"/>
      <c r="DJ839" s="18"/>
      <c r="DK839" s="18"/>
      <c r="DL839" s="18"/>
      <c r="DM839" s="18"/>
      <c r="DN839" s="18"/>
      <c r="DO839" s="18"/>
      <c r="DP839" s="18"/>
      <c r="DQ839" s="18"/>
      <c r="DR839" s="18"/>
      <c r="DS839" s="18"/>
      <c r="DT839" s="18"/>
      <c r="DU839" s="18"/>
      <c r="DV839" s="18"/>
      <c r="DW839" s="18"/>
      <c r="DX839" s="18"/>
      <c r="DY839" s="18"/>
      <c r="DZ839" s="18"/>
      <c r="EA839" s="18"/>
      <c r="EB839" s="18"/>
      <c r="EC839" s="18"/>
      <c r="ED839" s="18"/>
      <c r="EE839" s="18"/>
      <c r="EF839" s="18"/>
      <c r="EG839" s="18"/>
      <c r="EH839" s="18"/>
      <c r="EI839" s="18"/>
      <c r="EJ839" s="18"/>
      <c r="EK839" s="18"/>
      <c r="EL839" s="18"/>
      <c r="EM839" s="18"/>
      <c r="EN839" s="18"/>
      <c r="EO839" s="18"/>
      <c r="EP839" s="18"/>
      <c r="EQ839" s="18"/>
      <c r="ER839" s="18"/>
      <c r="ES839" s="18"/>
      <c r="ET839" s="18"/>
      <c r="EU839" s="18"/>
      <c r="EV839" s="18"/>
      <c r="EW839" s="18"/>
      <c r="EX839" s="18"/>
    </row>
    <row r="840">
      <c r="A840" s="101"/>
      <c r="B840" s="105"/>
      <c r="C840" s="105"/>
      <c r="D840" s="106"/>
      <c r="E840" s="110"/>
      <c r="F840" s="92"/>
      <c r="G840" s="18"/>
      <c r="H840" s="101" t="str">
        <f>IFERROR(__xludf.DUMMYFUNCTION("""COMPUTED_VALUE"""),"")</f>
        <v/>
      </c>
      <c r="I840" s="67" t="str">
        <f>IFERROR(__xludf.DUMMYFUNCTION("""COMPUTED_VALUE"""),"")</f>
        <v/>
      </c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  <c r="CP840" s="18"/>
      <c r="CQ840" s="18"/>
      <c r="CR840" s="18"/>
      <c r="CS840" s="18"/>
      <c r="CT840" s="18"/>
      <c r="CU840" s="18"/>
      <c r="CV840" s="18"/>
      <c r="CW840" s="18"/>
      <c r="CX840" s="18"/>
      <c r="CY840" s="18"/>
      <c r="CZ840" s="18"/>
      <c r="DA840" s="18"/>
      <c r="DB840" s="18"/>
      <c r="DC840" s="18"/>
      <c r="DD840" s="18"/>
      <c r="DE840" s="18"/>
      <c r="DF840" s="18"/>
      <c r="DG840" s="18"/>
      <c r="DH840" s="18"/>
      <c r="DI840" s="18"/>
      <c r="DJ840" s="18"/>
      <c r="DK840" s="18"/>
      <c r="DL840" s="18"/>
      <c r="DM840" s="18"/>
      <c r="DN840" s="18"/>
      <c r="DO840" s="18"/>
      <c r="DP840" s="18"/>
      <c r="DQ840" s="18"/>
      <c r="DR840" s="18"/>
      <c r="DS840" s="18"/>
      <c r="DT840" s="18"/>
      <c r="DU840" s="18"/>
      <c r="DV840" s="18"/>
      <c r="DW840" s="18"/>
      <c r="DX840" s="18"/>
      <c r="DY840" s="18"/>
      <c r="DZ840" s="18"/>
      <c r="EA840" s="18"/>
      <c r="EB840" s="18"/>
      <c r="EC840" s="18"/>
      <c r="ED840" s="18"/>
      <c r="EE840" s="18"/>
      <c r="EF840" s="18"/>
      <c r="EG840" s="18"/>
      <c r="EH840" s="18"/>
      <c r="EI840" s="18"/>
      <c r="EJ840" s="18"/>
      <c r="EK840" s="18"/>
      <c r="EL840" s="18"/>
      <c r="EM840" s="18"/>
      <c r="EN840" s="18"/>
      <c r="EO840" s="18"/>
      <c r="EP840" s="18"/>
      <c r="EQ840" s="18"/>
      <c r="ER840" s="18"/>
      <c r="ES840" s="18"/>
      <c r="ET840" s="18"/>
      <c r="EU840" s="18"/>
      <c r="EV840" s="18"/>
      <c r="EW840" s="18"/>
      <c r="EX840" s="18"/>
    </row>
    <row r="841">
      <c r="A841" s="101"/>
      <c r="B841" s="105"/>
      <c r="C841" s="105"/>
      <c r="D841" s="106"/>
      <c r="E841" s="110"/>
      <c r="F841" s="92"/>
      <c r="G841" s="18"/>
      <c r="H841" s="101" t="str">
        <f>IFERROR(__xludf.DUMMYFUNCTION("""COMPUTED_VALUE"""),"")</f>
        <v/>
      </c>
      <c r="I841" s="67" t="str">
        <f>IFERROR(__xludf.DUMMYFUNCTION("""COMPUTED_VALUE"""),"")</f>
        <v/>
      </c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  <c r="CP841" s="18"/>
      <c r="CQ841" s="18"/>
      <c r="CR841" s="18"/>
      <c r="CS841" s="18"/>
      <c r="CT841" s="18"/>
      <c r="CU841" s="18"/>
      <c r="CV841" s="18"/>
      <c r="CW841" s="18"/>
      <c r="CX841" s="18"/>
      <c r="CY841" s="18"/>
      <c r="CZ841" s="18"/>
      <c r="DA841" s="18"/>
      <c r="DB841" s="18"/>
      <c r="DC841" s="18"/>
      <c r="DD841" s="18"/>
      <c r="DE841" s="18"/>
      <c r="DF841" s="18"/>
      <c r="DG841" s="18"/>
      <c r="DH841" s="18"/>
      <c r="DI841" s="18"/>
      <c r="DJ841" s="18"/>
      <c r="DK841" s="18"/>
      <c r="DL841" s="18"/>
      <c r="DM841" s="18"/>
      <c r="DN841" s="18"/>
      <c r="DO841" s="18"/>
      <c r="DP841" s="18"/>
      <c r="DQ841" s="18"/>
      <c r="DR841" s="18"/>
      <c r="DS841" s="18"/>
      <c r="DT841" s="18"/>
      <c r="DU841" s="18"/>
      <c r="DV841" s="18"/>
      <c r="DW841" s="18"/>
      <c r="DX841" s="18"/>
      <c r="DY841" s="18"/>
      <c r="DZ841" s="18"/>
      <c r="EA841" s="18"/>
      <c r="EB841" s="18"/>
      <c r="EC841" s="18"/>
      <c r="ED841" s="18"/>
      <c r="EE841" s="18"/>
      <c r="EF841" s="18"/>
      <c r="EG841" s="18"/>
      <c r="EH841" s="18"/>
      <c r="EI841" s="18"/>
      <c r="EJ841" s="18"/>
      <c r="EK841" s="18"/>
      <c r="EL841" s="18"/>
      <c r="EM841" s="18"/>
      <c r="EN841" s="18"/>
      <c r="EO841" s="18"/>
      <c r="EP841" s="18"/>
      <c r="EQ841" s="18"/>
      <c r="ER841" s="18"/>
      <c r="ES841" s="18"/>
      <c r="ET841" s="18"/>
      <c r="EU841" s="18"/>
      <c r="EV841" s="18"/>
      <c r="EW841" s="18"/>
      <c r="EX841" s="18"/>
    </row>
    <row r="842">
      <c r="A842" s="101"/>
      <c r="B842" s="105"/>
      <c r="C842" s="105"/>
      <c r="D842" s="106"/>
      <c r="E842" s="110"/>
      <c r="F842" s="92"/>
      <c r="G842" s="18"/>
      <c r="H842" s="101" t="str">
        <f>IFERROR(__xludf.DUMMYFUNCTION("""COMPUTED_VALUE"""),"")</f>
        <v/>
      </c>
      <c r="I842" s="67" t="str">
        <f>IFERROR(__xludf.DUMMYFUNCTION("""COMPUTED_VALUE"""),"")</f>
        <v/>
      </c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  <c r="CP842" s="18"/>
      <c r="CQ842" s="18"/>
      <c r="CR842" s="18"/>
      <c r="CS842" s="18"/>
      <c r="CT842" s="18"/>
      <c r="CU842" s="18"/>
      <c r="CV842" s="18"/>
      <c r="CW842" s="18"/>
      <c r="CX842" s="18"/>
      <c r="CY842" s="18"/>
      <c r="CZ842" s="18"/>
      <c r="DA842" s="18"/>
      <c r="DB842" s="18"/>
      <c r="DC842" s="18"/>
      <c r="DD842" s="18"/>
      <c r="DE842" s="18"/>
      <c r="DF842" s="18"/>
      <c r="DG842" s="18"/>
      <c r="DH842" s="18"/>
      <c r="DI842" s="18"/>
      <c r="DJ842" s="18"/>
      <c r="DK842" s="18"/>
      <c r="DL842" s="18"/>
      <c r="DM842" s="18"/>
      <c r="DN842" s="18"/>
      <c r="DO842" s="18"/>
      <c r="DP842" s="18"/>
      <c r="DQ842" s="18"/>
      <c r="DR842" s="18"/>
      <c r="DS842" s="18"/>
      <c r="DT842" s="18"/>
      <c r="DU842" s="18"/>
      <c r="DV842" s="18"/>
      <c r="DW842" s="18"/>
      <c r="DX842" s="18"/>
      <c r="DY842" s="18"/>
      <c r="DZ842" s="18"/>
      <c r="EA842" s="18"/>
      <c r="EB842" s="18"/>
      <c r="EC842" s="18"/>
      <c r="ED842" s="18"/>
      <c r="EE842" s="18"/>
      <c r="EF842" s="18"/>
      <c r="EG842" s="18"/>
      <c r="EH842" s="18"/>
      <c r="EI842" s="18"/>
      <c r="EJ842" s="18"/>
      <c r="EK842" s="18"/>
      <c r="EL842" s="18"/>
      <c r="EM842" s="18"/>
      <c r="EN842" s="18"/>
      <c r="EO842" s="18"/>
      <c r="EP842" s="18"/>
      <c r="EQ842" s="18"/>
      <c r="ER842" s="18"/>
      <c r="ES842" s="18"/>
      <c r="ET842" s="18"/>
      <c r="EU842" s="18"/>
      <c r="EV842" s="18"/>
      <c r="EW842" s="18"/>
      <c r="EX842" s="18"/>
    </row>
    <row r="843">
      <c r="A843" s="101"/>
      <c r="B843" s="105"/>
      <c r="C843" s="105"/>
      <c r="D843" s="106"/>
      <c r="E843" s="110"/>
      <c r="F843" s="92"/>
      <c r="G843" s="18"/>
      <c r="H843" s="101" t="str">
        <f>IFERROR(__xludf.DUMMYFUNCTION("""COMPUTED_VALUE"""),"")</f>
        <v/>
      </c>
      <c r="I843" s="67" t="str">
        <f>IFERROR(__xludf.DUMMYFUNCTION("""COMPUTED_VALUE"""),"")</f>
        <v/>
      </c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  <c r="CP843" s="18"/>
      <c r="CQ843" s="18"/>
      <c r="CR843" s="18"/>
      <c r="CS843" s="18"/>
      <c r="CT843" s="18"/>
      <c r="CU843" s="18"/>
      <c r="CV843" s="18"/>
      <c r="CW843" s="18"/>
      <c r="CX843" s="18"/>
      <c r="CY843" s="18"/>
      <c r="CZ843" s="18"/>
      <c r="DA843" s="18"/>
      <c r="DB843" s="18"/>
      <c r="DC843" s="18"/>
      <c r="DD843" s="18"/>
      <c r="DE843" s="18"/>
      <c r="DF843" s="18"/>
      <c r="DG843" s="18"/>
      <c r="DH843" s="18"/>
      <c r="DI843" s="18"/>
      <c r="DJ843" s="18"/>
      <c r="DK843" s="18"/>
      <c r="DL843" s="18"/>
      <c r="DM843" s="18"/>
      <c r="DN843" s="18"/>
      <c r="DO843" s="18"/>
      <c r="DP843" s="18"/>
      <c r="DQ843" s="18"/>
      <c r="DR843" s="18"/>
      <c r="DS843" s="18"/>
      <c r="DT843" s="18"/>
      <c r="DU843" s="18"/>
      <c r="DV843" s="18"/>
      <c r="DW843" s="18"/>
      <c r="DX843" s="18"/>
      <c r="DY843" s="18"/>
      <c r="DZ843" s="18"/>
      <c r="EA843" s="18"/>
      <c r="EB843" s="18"/>
      <c r="EC843" s="18"/>
      <c r="ED843" s="18"/>
      <c r="EE843" s="18"/>
      <c r="EF843" s="18"/>
      <c r="EG843" s="18"/>
      <c r="EH843" s="18"/>
      <c r="EI843" s="18"/>
      <c r="EJ843" s="18"/>
      <c r="EK843" s="18"/>
      <c r="EL843" s="18"/>
      <c r="EM843" s="18"/>
      <c r="EN843" s="18"/>
      <c r="EO843" s="18"/>
      <c r="EP843" s="18"/>
      <c r="EQ843" s="18"/>
      <c r="ER843" s="18"/>
      <c r="ES843" s="18"/>
      <c r="ET843" s="18"/>
      <c r="EU843" s="18"/>
      <c r="EV843" s="18"/>
      <c r="EW843" s="18"/>
      <c r="EX843" s="18"/>
    </row>
    <row r="844">
      <c r="A844" s="101"/>
      <c r="B844" s="105"/>
      <c r="C844" s="105"/>
      <c r="D844" s="106"/>
      <c r="E844" s="110"/>
      <c r="F844" s="92"/>
      <c r="G844" s="18"/>
      <c r="H844" s="101" t="str">
        <f>IFERROR(__xludf.DUMMYFUNCTION("""COMPUTED_VALUE"""),"")</f>
        <v/>
      </c>
      <c r="I844" s="67" t="str">
        <f>IFERROR(__xludf.DUMMYFUNCTION("""COMPUTED_VALUE"""),"")</f>
        <v/>
      </c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  <c r="CP844" s="18"/>
      <c r="CQ844" s="18"/>
      <c r="CR844" s="18"/>
      <c r="CS844" s="18"/>
      <c r="CT844" s="18"/>
      <c r="CU844" s="18"/>
      <c r="CV844" s="18"/>
      <c r="CW844" s="18"/>
      <c r="CX844" s="18"/>
      <c r="CY844" s="18"/>
      <c r="CZ844" s="18"/>
      <c r="DA844" s="18"/>
      <c r="DB844" s="18"/>
      <c r="DC844" s="18"/>
      <c r="DD844" s="18"/>
      <c r="DE844" s="18"/>
      <c r="DF844" s="18"/>
      <c r="DG844" s="18"/>
      <c r="DH844" s="18"/>
      <c r="DI844" s="18"/>
      <c r="DJ844" s="18"/>
      <c r="DK844" s="18"/>
      <c r="DL844" s="18"/>
      <c r="DM844" s="18"/>
      <c r="DN844" s="18"/>
      <c r="DO844" s="18"/>
      <c r="DP844" s="18"/>
      <c r="DQ844" s="18"/>
      <c r="DR844" s="18"/>
      <c r="DS844" s="18"/>
      <c r="DT844" s="18"/>
      <c r="DU844" s="18"/>
      <c r="DV844" s="18"/>
      <c r="DW844" s="18"/>
      <c r="DX844" s="18"/>
      <c r="DY844" s="18"/>
      <c r="DZ844" s="18"/>
      <c r="EA844" s="18"/>
      <c r="EB844" s="18"/>
      <c r="EC844" s="18"/>
      <c r="ED844" s="18"/>
      <c r="EE844" s="18"/>
      <c r="EF844" s="18"/>
      <c r="EG844" s="18"/>
      <c r="EH844" s="18"/>
      <c r="EI844" s="18"/>
      <c r="EJ844" s="18"/>
      <c r="EK844" s="18"/>
      <c r="EL844" s="18"/>
      <c r="EM844" s="18"/>
      <c r="EN844" s="18"/>
      <c r="EO844" s="18"/>
      <c r="EP844" s="18"/>
      <c r="EQ844" s="18"/>
      <c r="ER844" s="18"/>
      <c r="ES844" s="18"/>
      <c r="ET844" s="18"/>
      <c r="EU844" s="18"/>
      <c r="EV844" s="18"/>
      <c r="EW844" s="18"/>
      <c r="EX844" s="18"/>
    </row>
    <row r="845">
      <c r="A845" s="101"/>
      <c r="B845" s="105"/>
      <c r="C845" s="105"/>
      <c r="D845" s="106"/>
      <c r="E845" s="110"/>
      <c r="F845" s="92"/>
      <c r="G845" s="18"/>
      <c r="H845" s="101" t="str">
        <f>IFERROR(__xludf.DUMMYFUNCTION("""COMPUTED_VALUE"""),"")</f>
        <v/>
      </c>
      <c r="I845" s="67" t="str">
        <f>IFERROR(__xludf.DUMMYFUNCTION("""COMPUTED_VALUE"""),"")</f>
        <v/>
      </c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  <c r="CP845" s="18"/>
      <c r="CQ845" s="18"/>
      <c r="CR845" s="18"/>
      <c r="CS845" s="18"/>
      <c r="CT845" s="18"/>
      <c r="CU845" s="18"/>
      <c r="CV845" s="18"/>
      <c r="CW845" s="18"/>
      <c r="CX845" s="18"/>
      <c r="CY845" s="18"/>
      <c r="CZ845" s="18"/>
      <c r="DA845" s="18"/>
      <c r="DB845" s="18"/>
      <c r="DC845" s="18"/>
      <c r="DD845" s="18"/>
      <c r="DE845" s="18"/>
      <c r="DF845" s="18"/>
      <c r="DG845" s="18"/>
      <c r="DH845" s="18"/>
      <c r="DI845" s="18"/>
      <c r="DJ845" s="18"/>
      <c r="DK845" s="18"/>
      <c r="DL845" s="18"/>
      <c r="DM845" s="18"/>
      <c r="DN845" s="18"/>
      <c r="DO845" s="18"/>
      <c r="DP845" s="18"/>
      <c r="DQ845" s="18"/>
      <c r="DR845" s="18"/>
      <c r="DS845" s="18"/>
      <c r="DT845" s="18"/>
      <c r="DU845" s="18"/>
      <c r="DV845" s="18"/>
      <c r="DW845" s="18"/>
      <c r="DX845" s="18"/>
      <c r="DY845" s="18"/>
      <c r="DZ845" s="18"/>
      <c r="EA845" s="18"/>
      <c r="EB845" s="18"/>
      <c r="EC845" s="18"/>
      <c r="ED845" s="18"/>
      <c r="EE845" s="18"/>
      <c r="EF845" s="18"/>
      <c r="EG845" s="18"/>
      <c r="EH845" s="18"/>
      <c r="EI845" s="18"/>
      <c r="EJ845" s="18"/>
      <c r="EK845" s="18"/>
      <c r="EL845" s="18"/>
      <c r="EM845" s="18"/>
      <c r="EN845" s="18"/>
      <c r="EO845" s="18"/>
      <c r="EP845" s="18"/>
      <c r="EQ845" s="18"/>
      <c r="ER845" s="18"/>
      <c r="ES845" s="18"/>
      <c r="ET845" s="18"/>
      <c r="EU845" s="18"/>
      <c r="EV845" s="18"/>
      <c r="EW845" s="18"/>
      <c r="EX845" s="18"/>
    </row>
    <row r="846">
      <c r="A846" s="101"/>
      <c r="B846" s="105"/>
      <c r="C846" s="105"/>
      <c r="D846" s="106"/>
      <c r="E846" s="110"/>
      <c r="F846" s="92"/>
      <c r="G846" s="18"/>
      <c r="H846" s="101" t="str">
        <f>IFERROR(__xludf.DUMMYFUNCTION("""COMPUTED_VALUE"""),"")</f>
        <v/>
      </c>
      <c r="I846" s="67" t="str">
        <f>IFERROR(__xludf.DUMMYFUNCTION("""COMPUTED_VALUE"""),"")</f>
        <v/>
      </c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  <c r="CP846" s="18"/>
      <c r="CQ846" s="18"/>
      <c r="CR846" s="18"/>
      <c r="CS846" s="18"/>
      <c r="CT846" s="18"/>
      <c r="CU846" s="18"/>
      <c r="CV846" s="18"/>
      <c r="CW846" s="18"/>
      <c r="CX846" s="18"/>
      <c r="CY846" s="18"/>
      <c r="CZ846" s="18"/>
      <c r="DA846" s="18"/>
      <c r="DB846" s="18"/>
      <c r="DC846" s="18"/>
      <c r="DD846" s="18"/>
      <c r="DE846" s="18"/>
      <c r="DF846" s="18"/>
      <c r="DG846" s="18"/>
      <c r="DH846" s="18"/>
      <c r="DI846" s="18"/>
      <c r="DJ846" s="18"/>
      <c r="DK846" s="18"/>
      <c r="DL846" s="18"/>
      <c r="DM846" s="18"/>
      <c r="DN846" s="18"/>
      <c r="DO846" s="18"/>
      <c r="DP846" s="18"/>
      <c r="DQ846" s="18"/>
      <c r="DR846" s="18"/>
      <c r="DS846" s="18"/>
      <c r="DT846" s="18"/>
      <c r="DU846" s="18"/>
      <c r="DV846" s="18"/>
      <c r="DW846" s="18"/>
      <c r="DX846" s="18"/>
      <c r="DY846" s="18"/>
      <c r="DZ846" s="18"/>
      <c r="EA846" s="18"/>
      <c r="EB846" s="18"/>
      <c r="EC846" s="18"/>
      <c r="ED846" s="18"/>
      <c r="EE846" s="18"/>
      <c r="EF846" s="18"/>
      <c r="EG846" s="18"/>
      <c r="EH846" s="18"/>
      <c r="EI846" s="18"/>
      <c r="EJ846" s="18"/>
      <c r="EK846" s="18"/>
      <c r="EL846" s="18"/>
      <c r="EM846" s="18"/>
      <c r="EN846" s="18"/>
      <c r="EO846" s="18"/>
      <c r="EP846" s="18"/>
      <c r="EQ846" s="18"/>
      <c r="ER846" s="18"/>
      <c r="ES846" s="18"/>
      <c r="ET846" s="18"/>
      <c r="EU846" s="18"/>
      <c r="EV846" s="18"/>
      <c r="EW846" s="18"/>
      <c r="EX846" s="18"/>
    </row>
    <row r="847">
      <c r="A847" s="101"/>
      <c r="B847" s="105"/>
      <c r="C847" s="105"/>
      <c r="D847" s="106"/>
      <c r="E847" s="110"/>
      <c r="F847" s="92"/>
      <c r="G847" s="18"/>
      <c r="H847" s="101" t="str">
        <f>IFERROR(__xludf.DUMMYFUNCTION("""COMPUTED_VALUE"""),"")</f>
        <v/>
      </c>
      <c r="I847" s="67" t="str">
        <f>IFERROR(__xludf.DUMMYFUNCTION("""COMPUTED_VALUE"""),"")</f>
        <v/>
      </c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  <c r="CP847" s="18"/>
      <c r="CQ847" s="18"/>
      <c r="CR847" s="18"/>
      <c r="CS847" s="18"/>
      <c r="CT847" s="18"/>
      <c r="CU847" s="18"/>
      <c r="CV847" s="18"/>
      <c r="CW847" s="18"/>
      <c r="CX847" s="18"/>
      <c r="CY847" s="18"/>
      <c r="CZ847" s="18"/>
      <c r="DA847" s="18"/>
      <c r="DB847" s="18"/>
      <c r="DC847" s="18"/>
      <c r="DD847" s="18"/>
      <c r="DE847" s="18"/>
      <c r="DF847" s="18"/>
      <c r="DG847" s="18"/>
      <c r="DH847" s="18"/>
      <c r="DI847" s="18"/>
      <c r="DJ847" s="18"/>
      <c r="DK847" s="18"/>
      <c r="DL847" s="18"/>
      <c r="DM847" s="18"/>
      <c r="DN847" s="18"/>
      <c r="DO847" s="18"/>
      <c r="DP847" s="18"/>
      <c r="DQ847" s="18"/>
      <c r="DR847" s="18"/>
      <c r="DS847" s="18"/>
      <c r="DT847" s="18"/>
      <c r="DU847" s="18"/>
      <c r="DV847" s="18"/>
      <c r="DW847" s="18"/>
      <c r="DX847" s="18"/>
      <c r="DY847" s="18"/>
      <c r="DZ847" s="18"/>
      <c r="EA847" s="18"/>
      <c r="EB847" s="18"/>
      <c r="EC847" s="18"/>
      <c r="ED847" s="18"/>
      <c r="EE847" s="18"/>
      <c r="EF847" s="18"/>
      <c r="EG847" s="18"/>
      <c r="EH847" s="18"/>
      <c r="EI847" s="18"/>
      <c r="EJ847" s="18"/>
      <c r="EK847" s="18"/>
      <c r="EL847" s="18"/>
      <c r="EM847" s="18"/>
      <c r="EN847" s="18"/>
      <c r="EO847" s="18"/>
      <c r="EP847" s="18"/>
      <c r="EQ847" s="18"/>
      <c r="ER847" s="18"/>
      <c r="ES847" s="18"/>
      <c r="ET847" s="18"/>
      <c r="EU847" s="18"/>
      <c r="EV847" s="18"/>
      <c r="EW847" s="18"/>
      <c r="EX847" s="18"/>
    </row>
    <row r="848">
      <c r="A848" s="101"/>
      <c r="B848" s="105"/>
      <c r="C848" s="105"/>
      <c r="D848" s="106"/>
      <c r="E848" s="110"/>
      <c r="F848" s="92"/>
      <c r="G848" s="18"/>
      <c r="H848" s="101" t="str">
        <f>IFERROR(__xludf.DUMMYFUNCTION("""COMPUTED_VALUE"""),"")</f>
        <v/>
      </c>
      <c r="I848" s="67" t="str">
        <f>IFERROR(__xludf.DUMMYFUNCTION("""COMPUTED_VALUE"""),"")</f>
        <v/>
      </c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  <c r="CP848" s="18"/>
      <c r="CQ848" s="18"/>
      <c r="CR848" s="18"/>
      <c r="CS848" s="18"/>
      <c r="CT848" s="18"/>
      <c r="CU848" s="18"/>
      <c r="CV848" s="18"/>
      <c r="CW848" s="18"/>
      <c r="CX848" s="18"/>
      <c r="CY848" s="18"/>
      <c r="CZ848" s="18"/>
      <c r="DA848" s="18"/>
      <c r="DB848" s="18"/>
      <c r="DC848" s="18"/>
      <c r="DD848" s="18"/>
      <c r="DE848" s="18"/>
      <c r="DF848" s="18"/>
      <c r="DG848" s="18"/>
      <c r="DH848" s="18"/>
      <c r="DI848" s="18"/>
      <c r="DJ848" s="18"/>
      <c r="DK848" s="18"/>
      <c r="DL848" s="18"/>
      <c r="DM848" s="18"/>
      <c r="DN848" s="18"/>
      <c r="DO848" s="18"/>
      <c r="DP848" s="18"/>
      <c r="DQ848" s="18"/>
      <c r="DR848" s="18"/>
      <c r="DS848" s="18"/>
      <c r="DT848" s="18"/>
      <c r="DU848" s="18"/>
      <c r="DV848" s="18"/>
      <c r="DW848" s="18"/>
      <c r="DX848" s="18"/>
      <c r="DY848" s="18"/>
      <c r="DZ848" s="18"/>
      <c r="EA848" s="18"/>
      <c r="EB848" s="18"/>
      <c r="EC848" s="18"/>
      <c r="ED848" s="18"/>
      <c r="EE848" s="18"/>
      <c r="EF848" s="18"/>
      <c r="EG848" s="18"/>
      <c r="EH848" s="18"/>
      <c r="EI848" s="18"/>
      <c r="EJ848" s="18"/>
      <c r="EK848" s="18"/>
      <c r="EL848" s="18"/>
      <c r="EM848" s="18"/>
      <c r="EN848" s="18"/>
      <c r="EO848" s="18"/>
      <c r="EP848" s="18"/>
      <c r="EQ848" s="18"/>
      <c r="ER848" s="18"/>
      <c r="ES848" s="18"/>
      <c r="ET848" s="18"/>
      <c r="EU848" s="18"/>
      <c r="EV848" s="18"/>
      <c r="EW848" s="18"/>
      <c r="EX848" s="18"/>
    </row>
    <row r="849">
      <c r="A849" s="101"/>
      <c r="B849" s="105"/>
      <c r="C849" s="105"/>
      <c r="D849" s="106"/>
      <c r="E849" s="110"/>
      <c r="F849" s="92"/>
      <c r="G849" s="18"/>
      <c r="H849" s="101" t="str">
        <f>IFERROR(__xludf.DUMMYFUNCTION("""COMPUTED_VALUE"""),"")</f>
        <v/>
      </c>
      <c r="I849" s="67" t="str">
        <f>IFERROR(__xludf.DUMMYFUNCTION("""COMPUTED_VALUE"""),"")</f>
        <v/>
      </c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  <c r="CP849" s="18"/>
      <c r="CQ849" s="18"/>
      <c r="CR849" s="18"/>
      <c r="CS849" s="18"/>
      <c r="CT849" s="18"/>
      <c r="CU849" s="18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8"/>
      <c r="DG849" s="18"/>
      <c r="DH849" s="18"/>
      <c r="DI849" s="18"/>
      <c r="DJ849" s="18"/>
      <c r="DK849" s="18"/>
      <c r="DL849" s="18"/>
      <c r="DM849" s="18"/>
      <c r="DN849" s="18"/>
      <c r="DO849" s="18"/>
      <c r="DP849" s="18"/>
      <c r="DQ849" s="18"/>
      <c r="DR849" s="18"/>
      <c r="DS849" s="18"/>
      <c r="DT849" s="18"/>
      <c r="DU849" s="18"/>
      <c r="DV849" s="18"/>
      <c r="DW849" s="18"/>
      <c r="DX849" s="18"/>
      <c r="DY849" s="18"/>
      <c r="DZ849" s="18"/>
      <c r="EA849" s="18"/>
      <c r="EB849" s="18"/>
      <c r="EC849" s="18"/>
      <c r="ED849" s="18"/>
      <c r="EE849" s="18"/>
      <c r="EF849" s="18"/>
      <c r="EG849" s="18"/>
      <c r="EH849" s="18"/>
      <c r="EI849" s="18"/>
      <c r="EJ849" s="18"/>
      <c r="EK849" s="18"/>
      <c r="EL849" s="18"/>
      <c r="EM849" s="18"/>
      <c r="EN849" s="18"/>
      <c r="EO849" s="18"/>
      <c r="EP849" s="18"/>
      <c r="EQ849" s="18"/>
      <c r="ER849" s="18"/>
      <c r="ES849" s="18"/>
      <c r="ET849" s="18"/>
      <c r="EU849" s="18"/>
      <c r="EV849" s="18"/>
      <c r="EW849" s="18"/>
      <c r="EX849" s="18"/>
    </row>
    <row r="850">
      <c r="A850" s="101"/>
      <c r="B850" s="105"/>
      <c r="C850" s="105"/>
      <c r="D850" s="106"/>
      <c r="E850" s="110"/>
      <c r="F850" s="92"/>
      <c r="G850" s="18"/>
      <c r="H850" s="101" t="str">
        <f>IFERROR(__xludf.DUMMYFUNCTION("""COMPUTED_VALUE"""),"")</f>
        <v/>
      </c>
      <c r="I850" s="67" t="str">
        <f>IFERROR(__xludf.DUMMYFUNCTION("""COMPUTED_VALUE"""),"")</f>
        <v/>
      </c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  <c r="CP850" s="18"/>
      <c r="CQ850" s="18"/>
      <c r="CR850" s="18"/>
      <c r="CS850" s="18"/>
      <c r="CT850" s="18"/>
      <c r="CU850" s="18"/>
      <c r="CV850" s="18"/>
      <c r="CW850" s="18"/>
      <c r="CX850" s="18"/>
      <c r="CY850" s="18"/>
      <c r="CZ850" s="18"/>
      <c r="DA850" s="18"/>
      <c r="DB850" s="18"/>
      <c r="DC850" s="18"/>
      <c r="DD850" s="18"/>
      <c r="DE850" s="18"/>
      <c r="DF850" s="18"/>
      <c r="DG850" s="18"/>
      <c r="DH850" s="18"/>
      <c r="DI850" s="18"/>
      <c r="DJ850" s="18"/>
      <c r="DK850" s="18"/>
      <c r="DL850" s="18"/>
      <c r="DM850" s="18"/>
      <c r="DN850" s="18"/>
      <c r="DO850" s="18"/>
      <c r="DP850" s="18"/>
      <c r="DQ850" s="18"/>
      <c r="DR850" s="18"/>
      <c r="DS850" s="18"/>
      <c r="DT850" s="18"/>
      <c r="DU850" s="18"/>
      <c r="DV850" s="18"/>
      <c r="DW850" s="18"/>
      <c r="DX850" s="18"/>
      <c r="DY850" s="18"/>
      <c r="DZ850" s="18"/>
      <c r="EA850" s="18"/>
      <c r="EB850" s="18"/>
      <c r="EC850" s="18"/>
      <c r="ED850" s="18"/>
      <c r="EE850" s="18"/>
      <c r="EF850" s="18"/>
      <c r="EG850" s="18"/>
      <c r="EH850" s="18"/>
      <c r="EI850" s="18"/>
      <c r="EJ850" s="18"/>
      <c r="EK850" s="18"/>
      <c r="EL850" s="18"/>
      <c r="EM850" s="18"/>
      <c r="EN850" s="18"/>
      <c r="EO850" s="18"/>
      <c r="EP850" s="18"/>
      <c r="EQ850" s="18"/>
      <c r="ER850" s="18"/>
      <c r="ES850" s="18"/>
      <c r="ET850" s="18"/>
      <c r="EU850" s="18"/>
      <c r="EV850" s="18"/>
      <c r="EW850" s="18"/>
      <c r="EX850" s="18"/>
    </row>
    <row r="851">
      <c r="A851" s="101"/>
      <c r="B851" s="105"/>
      <c r="C851" s="105"/>
      <c r="D851" s="106"/>
      <c r="E851" s="110"/>
      <c r="F851" s="92"/>
      <c r="G851" s="18"/>
      <c r="H851" s="101" t="str">
        <f>IFERROR(__xludf.DUMMYFUNCTION("""COMPUTED_VALUE"""),"")</f>
        <v/>
      </c>
      <c r="I851" s="67" t="str">
        <f>IFERROR(__xludf.DUMMYFUNCTION("""COMPUTED_VALUE"""),"")</f>
        <v/>
      </c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  <c r="CP851" s="18"/>
      <c r="CQ851" s="18"/>
      <c r="CR851" s="18"/>
      <c r="CS851" s="18"/>
      <c r="CT851" s="18"/>
      <c r="CU851" s="18"/>
      <c r="CV851" s="18"/>
      <c r="CW851" s="18"/>
      <c r="CX851" s="18"/>
      <c r="CY851" s="18"/>
      <c r="CZ851" s="18"/>
      <c r="DA851" s="18"/>
      <c r="DB851" s="18"/>
      <c r="DC851" s="18"/>
      <c r="DD851" s="18"/>
      <c r="DE851" s="18"/>
      <c r="DF851" s="18"/>
      <c r="DG851" s="18"/>
      <c r="DH851" s="18"/>
      <c r="DI851" s="18"/>
      <c r="DJ851" s="18"/>
      <c r="DK851" s="18"/>
      <c r="DL851" s="18"/>
      <c r="DM851" s="18"/>
      <c r="DN851" s="18"/>
      <c r="DO851" s="18"/>
      <c r="DP851" s="18"/>
      <c r="DQ851" s="18"/>
      <c r="DR851" s="18"/>
      <c r="DS851" s="18"/>
      <c r="DT851" s="18"/>
      <c r="DU851" s="18"/>
      <c r="DV851" s="18"/>
      <c r="DW851" s="18"/>
      <c r="DX851" s="18"/>
      <c r="DY851" s="18"/>
      <c r="DZ851" s="18"/>
      <c r="EA851" s="18"/>
      <c r="EB851" s="18"/>
      <c r="EC851" s="18"/>
      <c r="ED851" s="18"/>
      <c r="EE851" s="18"/>
      <c r="EF851" s="18"/>
      <c r="EG851" s="18"/>
      <c r="EH851" s="18"/>
      <c r="EI851" s="18"/>
      <c r="EJ851" s="18"/>
      <c r="EK851" s="18"/>
      <c r="EL851" s="18"/>
      <c r="EM851" s="18"/>
      <c r="EN851" s="18"/>
      <c r="EO851" s="18"/>
      <c r="EP851" s="18"/>
      <c r="EQ851" s="18"/>
      <c r="ER851" s="18"/>
      <c r="ES851" s="18"/>
      <c r="ET851" s="18"/>
      <c r="EU851" s="18"/>
      <c r="EV851" s="18"/>
      <c r="EW851" s="18"/>
      <c r="EX851" s="18"/>
    </row>
    <row r="852">
      <c r="A852" s="101"/>
      <c r="B852" s="105"/>
      <c r="C852" s="105"/>
      <c r="D852" s="106"/>
      <c r="E852" s="110"/>
      <c r="F852" s="92"/>
      <c r="G852" s="18"/>
      <c r="H852" s="101" t="str">
        <f>IFERROR(__xludf.DUMMYFUNCTION("""COMPUTED_VALUE"""),"")</f>
        <v/>
      </c>
      <c r="I852" s="67" t="str">
        <f>IFERROR(__xludf.DUMMYFUNCTION("""COMPUTED_VALUE"""),"")</f>
        <v/>
      </c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  <c r="CP852" s="18"/>
      <c r="CQ852" s="18"/>
      <c r="CR852" s="18"/>
      <c r="CS852" s="18"/>
      <c r="CT852" s="18"/>
      <c r="CU852" s="18"/>
      <c r="CV852" s="18"/>
      <c r="CW852" s="18"/>
      <c r="CX852" s="18"/>
      <c r="CY852" s="18"/>
      <c r="CZ852" s="18"/>
      <c r="DA852" s="18"/>
      <c r="DB852" s="18"/>
      <c r="DC852" s="18"/>
      <c r="DD852" s="18"/>
      <c r="DE852" s="18"/>
      <c r="DF852" s="18"/>
      <c r="DG852" s="18"/>
      <c r="DH852" s="18"/>
      <c r="DI852" s="18"/>
      <c r="DJ852" s="18"/>
      <c r="DK852" s="18"/>
      <c r="DL852" s="18"/>
      <c r="DM852" s="18"/>
      <c r="DN852" s="18"/>
      <c r="DO852" s="18"/>
      <c r="DP852" s="18"/>
      <c r="DQ852" s="18"/>
      <c r="DR852" s="18"/>
      <c r="DS852" s="18"/>
      <c r="DT852" s="18"/>
      <c r="DU852" s="18"/>
      <c r="DV852" s="18"/>
      <c r="DW852" s="18"/>
      <c r="DX852" s="18"/>
      <c r="DY852" s="18"/>
      <c r="DZ852" s="18"/>
      <c r="EA852" s="18"/>
      <c r="EB852" s="18"/>
      <c r="EC852" s="18"/>
      <c r="ED852" s="18"/>
      <c r="EE852" s="18"/>
      <c r="EF852" s="18"/>
      <c r="EG852" s="18"/>
      <c r="EH852" s="18"/>
      <c r="EI852" s="18"/>
      <c r="EJ852" s="18"/>
      <c r="EK852" s="18"/>
      <c r="EL852" s="18"/>
      <c r="EM852" s="18"/>
      <c r="EN852" s="18"/>
      <c r="EO852" s="18"/>
      <c r="EP852" s="18"/>
      <c r="EQ852" s="18"/>
      <c r="ER852" s="18"/>
      <c r="ES852" s="18"/>
      <c r="ET852" s="18"/>
      <c r="EU852" s="18"/>
      <c r="EV852" s="18"/>
      <c r="EW852" s="18"/>
      <c r="EX852" s="18"/>
    </row>
    <row r="853">
      <c r="A853" s="101"/>
      <c r="B853" s="105"/>
      <c r="C853" s="105"/>
      <c r="D853" s="106"/>
      <c r="E853" s="110"/>
      <c r="F853" s="92"/>
      <c r="G853" s="18"/>
      <c r="H853" s="101" t="str">
        <f>IFERROR(__xludf.DUMMYFUNCTION("""COMPUTED_VALUE"""),"")</f>
        <v/>
      </c>
      <c r="I853" s="67" t="str">
        <f>IFERROR(__xludf.DUMMYFUNCTION("""COMPUTED_VALUE"""),"")</f>
        <v/>
      </c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  <c r="CP853" s="18"/>
      <c r="CQ853" s="18"/>
      <c r="CR853" s="18"/>
      <c r="CS853" s="18"/>
      <c r="CT853" s="18"/>
      <c r="CU853" s="18"/>
      <c r="CV853" s="18"/>
      <c r="CW853" s="18"/>
      <c r="CX853" s="18"/>
      <c r="CY853" s="18"/>
      <c r="CZ853" s="18"/>
      <c r="DA853" s="18"/>
      <c r="DB853" s="18"/>
      <c r="DC853" s="18"/>
      <c r="DD853" s="18"/>
      <c r="DE853" s="18"/>
      <c r="DF853" s="18"/>
      <c r="DG853" s="18"/>
      <c r="DH853" s="18"/>
      <c r="DI853" s="18"/>
      <c r="DJ853" s="18"/>
      <c r="DK853" s="18"/>
      <c r="DL853" s="18"/>
      <c r="DM853" s="18"/>
      <c r="DN853" s="18"/>
      <c r="DO853" s="18"/>
      <c r="DP853" s="18"/>
      <c r="DQ853" s="18"/>
      <c r="DR853" s="18"/>
      <c r="DS853" s="18"/>
      <c r="DT853" s="18"/>
      <c r="DU853" s="18"/>
      <c r="DV853" s="18"/>
      <c r="DW853" s="18"/>
      <c r="DX853" s="18"/>
      <c r="DY853" s="18"/>
      <c r="DZ853" s="18"/>
      <c r="EA853" s="18"/>
      <c r="EB853" s="18"/>
      <c r="EC853" s="18"/>
      <c r="ED853" s="18"/>
      <c r="EE853" s="18"/>
      <c r="EF853" s="18"/>
      <c r="EG853" s="18"/>
      <c r="EH853" s="18"/>
      <c r="EI853" s="18"/>
      <c r="EJ853" s="18"/>
      <c r="EK853" s="18"/>
      <c r="EL853" s="18"/>
      <c r="EM853" s="18"/>
      <c r="EN853" s="18"/>
      <c r="EO853" s="18"/>
      <c r="EP853" s="18"/>
      <c r="EQ853" s="18"/>
      <c r="ER853" s="18"/>
      <c r="ES853" s="18"/>
      <c r="ET853" s="18"/>
      <c r="EU853" s="18"/>
      <c r="EV853" s="18"/>
      <c r="EW853" s="18"/>
      <c r="EX853" s="18"/>
    </row>
    <row r="854">
      <c r="A854" s="101"/>
      <c r="B854" s="105"/>
      <c r="C854" s="105"/>
      <c r="D854" s="106"/>
      <c r="E854" s="110"/>
      <c r="F854" s="92"/>
      <c r="G854" s="18"/>
      <c r="H854" s="101" t="str">
        <f>IFERROR(__xludf.DUMMYFUNCTION("""COMPUTED_VALUE"""),"")</f>
        <v/>
      </c>
      <c r="I854" s="67" t="str">
        <f>IFERROR(__xludf.DUMMYFUNCTION("""COMPUTED_VALUE"""),"")</f>
        <v/>
      </c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  <c r="CP854" s="18"/>
      <c r="CQ854" s="18"/>
      <c r="CR854" s="18"/>
      <c r="CS854" s="18"/>
      <c r="CT854" s="18"/>
      <c r="CU854" s="18"/>
      <c r="CV854" s="18"/>
      <c r="CW854" s="18"/>
      <c r="CX854" s="18"/>
      <c r="CY854" s="18"/>
      <c r="CZ854" s="18"/>
      <c r="DA854" s="18"/>
      <c r="DB854" s="18"/>
      <c r="DC854" s="18"/>
      <c r="DD854" s="18"/>
      <c r="DE854" s="18"/>
      <c r="DF854" s="18"/>
      <c r="DG854" s="18"/>
      <c r="DH854" s="18"/>
      <c r="DI854" s="18"/>
      <c r="DJ854" s="18"/>
      <c r="DK854" s="18"/>
      <c r="DL854" s="18"/>
      <c r="DM854" s="18"/>
      <c r="DN854" s="18"/>
      <c r="DO854" s="18"/>
      <c r="DP854" s="18"/>
      <c r="DQ854" s="18"/>
      <c r="DR854" s="18"/>
      <c r="DS854" s="18"/>
      <c r="DT854" s="18"/>
      <c r="DU854" s="18"/>
      <c r="DV854" s="18"/>
      <c r="DW854" s="18"/>
      <c r="DX854" s="18"/>
      <c r="DY854" s="18"/>
      <c r="DZ854" s="18"/>
      <c r="EA854" s="18"/>
      <c r="EB854" s="18"/>
      <c r="EC854" s="18"/>
      <c r="ED854" s="18"/>
      <c r="EE854" s="18"/>
      <c r="EF854" s="18"/>
      <c r="EG854" s="18"/>
      <c r="EH854" s="18"/>
      <c r="EI854" s="18"/>
      <c r="EJ854" s="18"/>
      <c r="EK854" s="18"/>
      <c r="EL854" s="18"/>
      <c r="EM854" s="18"/>
      <c r="EN854" s="18"/>
      <c r="EO854" s="18"/>
      <c r="EP854" s="18"/>
      <c r="EQ854" s="18"/>
      <c r="ER854" s="18"/>
      <c r="ES854" s="18"/>
      <c r="ET854" s="18"/>
      <c r="EU854" s="18"/>
      <c r="EV854" s="18"/>
      <c r="EW854" s="18"/>
      <c r="EX854" s="18"/>
    </row>
    <row r="855">
      <c r="A855" s="101"/>
      <c r="B855" s="105"/>
      <c r="C855" s="105"/>
      <c r="D855" s="106"/>
      <c r="E855" s="110"/>
      <c r="F855" s="92"/>
      <c r="G855" s="18"/>
      <c r="H855" s="101" t="str">
        <f>IFERROR(__xludf.DUMMYFUNCTION("""COMPUTED_VALUE"""),"")</f>
        <v/>
      </c>
      <c r="I855" s="67" t="str">
        <f>IFERROR(__xludf.DUMMYFUNCTION("""COMPUTED_VALUE"""),"")</f>
        <v/>
      </c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  <c r="CP855" s="18"/>
      <c r="CQ855" s="18"/>
      <c r="CR855" s="18"/>
      <c r="CS855" s="18"/>
      <c r="CT855" s="18"/>
      <c r="CU855" s="18"/>
      <c r="CV855" s="18"/>
      <c r="CW855" s="18"/>
      <c r="CX855" s="18"/>
      <c r="CY855" s="18"/>
      <c r="CZ855" s="18"/>
      <c r="DA855" s="18"/>
      <c r="DB855" s="18"/>
      <c r="DC855" s="18"/>
      <c r="DD855" s="18"/>
      <c r="DE855" s="18"/>
      <c r="DF855" s="18"/>
      <c r="DG855" s="18"/>
      <c r="DH855" s="18"/>
      <c r="DI855" s="18"/>
      <c r="DJ855" s="18"/>
      <c r="DK855" s="18"/>
      <c r="DL855" s="18"/>
      <c r="DM855" s="18"/>
      <c r="DN855" s="18"/>
      <c r="DO855" s="18"/>
      <c r="DP855" s="18"/>
      <c r="DQ855" s="18"/>
      <c r="DR855" s="18"/>
      <c r="DS855" s="18"/>
      <c r="DT855" s="18"/>
      <c r="DU855" s="18"/>
      <c r="DV855" s="18"/>
      <c r="DW855" s="18"/>
      <c r="DX855" s="18"/>
      <c r="DY855" s="18"/>
      <c r="DZ855" s="18"/>
      <c r="EA855" s="18"/>
      <c r="EB855" s="18"/>
      <c r="EC855" s="18"/>
      <c r="ED855" s="18"/>
      <c r="EE855" s="18"/>
      <c r="EF855" s="18"/>
      <c r="EG855" s="18"/>
      <c r="EH855" s="18"/>
      <c r="EI855" s="18"/>
      <c r="EJ855" s="18"/>
      <c r="EK855" s="18"/>
      <c r="EL855" s="18"/>
      <c r="EM855" s="18"/>
      <c r="EN855" s="18"/>
      <c r="EO855" s="18"/>
      <c r="EP855" s="18"/>
      <c r="EQ855" s="18"/>
      <c r="ER855" s="18"/>
      <c r="ES855" s="18"/>
      <c r="ET855" s="18"/>
      <c r="EU855" s="18"/>
      <c r="EV855" s="18"/>
      <c r="EW855" s="18"/>
      <c r="EX855" s="18"/>
    </row>
    <row r="856">
      <c r="A856" s="101"/>
      <c r="B856" s="105"/>
      <c r="C856" s="105"/>
      <c r="D856" s="106"/>
      <c r="E856" s="110"/>
      <c r="F856" s="92"/>
      <c r="G856" s="18"/>
      <c r="H856" s="101" t="str">
        <f>IFERROR(__xludf.DUMMYFUNCTION("""COMPUTED_VALUE"""),"")</f>
        <v/>
      </c>
      <c r="I856" s="67" t="str">
        <f>IFERROR(__xludf.DUMMYFUNCTION("""COMPUTED_VALUE"""),"")</f>
        <v/>
      </c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  <c r="CP856" s="18"/>
      <c r="CQ856" s="18"/>
      <c r="CR856" s="18"/>
      <c r="CS856" s="18"/>
      <c r="CT856" s="18"/>
      <c r="CU856" s="18"/>
      <c r="CV856" s="18"/>
      <c r="CW856" s="18"/>
      <c r="CX856" s="18"/>
      <c r="CY856" s="18"/>
      <c r="CZ856" s="18"/>
      <c r="DA856" s="18"/>
      <c r="DB856" s="18"/>
      <c r="DC856" s="18"/>
      <c r="DD856" s="18"/>
      <c r="DE856" s="18"/>
      <c r="DF856" s="18"/>
      <c r="DG856" s="18"/>
      <c r="DH856" s="18"/>
      <c r="DI856" s="18"/>
      <c r="DJ856" s="18"/>
      <c r="DK856" s="18"/>
      <c r="DL856" s="18"/>
      <c r="DM856" s="18"/>
      <c r="DN856" s="18"/>
      <c r="DO856" s="18"/>
      <c r="DP856" s="18"/>
      <c r="DQ856" s="18"/>
      <c r="DR856" s="18"/>
      <c r="DS856" s="18"/>
      <c r="DT856" s="18"/>
      <c r="DU856" s="18"/>
      <c r="DV856" s="18"/>
      <c r="DW856" s="18"/>
      <c r="DX856" s="18"/>
      <c r="DY856" s="18"/>
      <c r="DZ856" s="18"/>
      <c r="EA856" s="18"/>
      <c r="EB856" s="18"/>
      <c r="EC856" s="18"/>
      <c r="ED856" s="18"/>
      <c r="EE856" s="18"/>
      <c r="EF856" s="18"/>
      <c r="EG856" s="18"/>
      <c r="EH856" s="18"/>
      <c r="EI856" s="18"/>
      <c r="EJ856" s="18"/>
      <c r="EK856" s="18"/>
      <c r="EL856" s="18"/>
      <c r="EM856" s="18"/>
      <c r="EN856" s="18"/>
      <c r="EO856" s="18"/>
      <c r="EP856" s="18"/>
      <c r="EQ856" s="18"/>
      <c r="ER856" s="18"/>
      <c r="ES856" s="18"/>
      <c r="ET856" s="18"/>
      <c r="EU856" s="18"/>
      <c r="EV856" s="18"/>
      <c r="EW856" s="18"/>
      <c r="EX856" s="18"/>
    </row>
    <row r="857">
      <c r="A857" s="101"/>
      <c r="B857" s="105"/>
      <c r="C857" s="105"/>
      <c r="D857" s="106"/>
      <c r="E857" s="110"/>
      <c r="F857" s="92"/>
      <c r="G857" s="18"/>
      <c r="H857" s="101" t="str">
        <f>IFERROR(__xludf.DUMMYFUNCTION("""COMPUTED_VALUE"""),"")</f>
        <v/>
      </c>
      <c r="I857" s="67" t="str">
        <f>IFERROR(__xludf.DUMMYFUNCTION("""COMPUTED_VALUE"""),"")</f>
        <v/>
      </c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  <c r="CP857" s="18"/>
      <c r="CQ857" s="18"/>
      <c r="CR857" s="18"/>
      <c r="CS857" s="18"/>
      <c r="CT857" s="18"/>
      <c r="CU857" s="18"/>
      <c r="CV857" s="18"/>
      <c r="CW857" s="18"/>
      <c r="CX857" s="18"/>
      <c r="CY857" s="18"/>
      <c r="CZ857" s="18"/>
      <c r="DA857" s="18"/>
      <c r="DB857" s="18"/>
      <c r="DC857" s="18"/>
      <c r="DD857" s="18"/>
      <c r="DE857" s="18"/>
      <c r="DF857" s="18"/>
      <c r="DG857" s="18"/>
      <c r="DH857" s="18"/>
      <c r="DI857" s="18"/>
      <c r="DJ857" s="18"/>
      <c r="DK857" s="18"/>
      <c r="DL857" s="18"/>
      <c r="DM857" s="18"/>
      <c r="DN857" s="18"/>
      <c r="DO857" s="18"/>
      <c r="DP857" s="18"/>
      <c r="DQ857" s="18"/>
      <c r="DR857" s="18"/>
      <c r="DS857" s="18"/>
      <c r="DT857" s="18"/>
      <c r="DU857" s="18"/>
      <c r="DV857" s="18"/>
      <c r="DW857" s="18"/>
      <c r="DX857" s="18"/>
      <c r="DY857" s="18"/>
      <c r="DZ857" s="18"/>
      <c r="EA857" s="18"/>
      <c r="EB857" s="18"/>
      <c r="EC857" s="18"/>
      <c r="ED857" s="18"/>
      <c r="EE857" s="18"/>
      <c r="EF857" s="18"/>
      <c r="EG857" s="18"/>
      <c r="EH857" s="18"/>
      <c r="EI857" s="18"/>
      <c r="EJ857" s="18"/>
      <c r="EK857" s="18"/>
      <c r="EL857" s="18"/>
      <c r="EM857" s="18"/>
      <c r="EN857" s="18"/>
      <c r="EO857" s="18"/>
      <c r="EP857" s="18"/>
      <c r="EQ857" s="18"/>
      <c r="ER857" s="18"/>
      <c r="ES857" s="18"/>
      <c r="ET857" s="18"/>
      <c r="EU857" s="18"/>
      <c r="EV857" s="18"/>
      <c r="EW857" s="18"/>
      <c r="EX857" s="18"/>
    </row>
    <row r="858">
      <c r="A858" s="101"/>
      <c r="B858" s="105"/>
      <c r="C858" s="105"/>
      <c r="D858" s="106"/>
      <c r="E858" s="110"/>
      <c r="F858" s="92"/>
      <c r="G858" s="18"/>
      <c r="H858" s="101" t="str">
        <f>IFERROR(__xludf.DUMMYFUNCTION("""COMPUTED_VALUE"""),"")</f>
        <v/>
      </c>
      <c r="I858" s="67" t="str">
        <f>IFERROR(__xludf.DUMMYFUNCTION("""COMPUTED_VALUE"""),"")</f>
        <v/>
      </c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  <c r="CP858" s="18"/>
      <c r="CQ858" s="18"/>
      <c r="CR858" s="18"/>
      <c r="CS858" s="18"/>
      <c r="CT858" s="18"/>
      <c r="CU858" s="18"/>
      <c r="CV858" s="18"/>
      <c r="CW858" s="18"/>
      <c r="CX858" s="18"/>
      <c r="CY858" s="18"/>
      <c r="CZ858" s="18"/>
      <c r="DA858" s="18"/>
      <c r="DB858" s="18"/>
      <c r="DC858" s="18"/>
      <c r="DD858" s="18"/>
      <c r="DE858" s="18"/>
      <c r="DF858" s="18"/>
      <c r="DG858" s="18"/>
      <c r="DH858" s="18"/>
      <c r="DI858" s="18"/>
      <c r="DJ858" s="18"/>
      <c r="DK858" s="18"/>
      <c r="DL858" s="18"/>
      <c r="DM858" s="18"/>
      <c r="DN858" s="18"/>
      <c r="DO858" s="18"/>
      <c r="DP858" s="18"/>
      <c r="DQ858" s="18"/>
      <c r="DR858" s="18"/>
      <c r="DS858" s="18"/>
      <c r="DT858" s="18"/>
      <c r="DU858" s="18"/>
      <c r="DV858" s="18"/>
      <c r="DW858" s="18"/>
      <c r="DX858" s="18"/>
      <c r="DY858" s="18"/>
      <c r="DZ858" s="18"/>
      <c r="EA858" s="18"/>
      <c r="EB858" s="18"/>
      <c r="EC858" s="18"/>
      <c r="ED858" s="18"/>
      <c r="EE858" s="18"/>
      <c r="EF858" s="18"/>
      <c r="EG858" s="18"/>
      <c r="EH858" s="18"/>
      <c r="EI858" s="18"/>
      <c r="EJ858" s="18"/>
      <c r="EK858" s="18"/>
      <c r="EL858" s="18"/>
      <c r="EM858" s="18"/>
      <c r="EN858" s="18"/>
      <c r="EO858" s="18"/>
      <c r="EP858" s="18"/>
      <c r="EQ858" s="18"/>
      <c r="ER858" s="18"/>
      <c r="ES858" s="18"/>
      <c r="ET858" s="18"/>
      <c r="EU858" s="18"/>
      <c r="EV858" s="18"/>
      <c r="EW858" s="18"/>
      <c r="EX858" s="18"/>
    </row>
    <row r="859">
      <c r="A859" s="101"/>
      <c r="B859" s="105"/>
      <c r="C859" s="105"/>
      <c r="D859" s="106"/>
      <c r="E859" s="110"/>
      <c r="F859" s="92"/>
      <c r="G859" s="18"/>
      <c r="H859" s="101" t="str">
        <f>IFERROR(__xludf.DUMMYFUNCTION("""COMPUTED_VALUE"""),"")</f>
        <v/>
      </c>
      <c r="I859" s="67" t="str">
        <f>IFERROR(__xludf.DUMMYFUNCTION("""COMPUTED_VALUE"""),"")</f>
        <v/>
      </c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  <c r="CP859" s="18"/>
      <c r="CQ859" s="18"/>
      <c r="CR859" s="18"/>
      <c r="CS859" s="18"/>
      <c r="CT859" s="18"/>
      <c r="CU859" s="18"/>
      <c r="CV859" s="18"/>
      <c r="CW859" s="18"/>
      <c r="CX859" s="18"/>
      <c r="CY859" s="18"/>
      <c r="CZ859" s="18"/>
      <c r="DA859" s="18"/>
      <c r="DB859" s="18"/>
      <c r="DC859" s="18"/>
      <c r="DD859" s="18"/>
      <c r="DE859" s="18"/>
      <c r="DF859" s="18"/>
      <c r="DG859" s="18"/>
      <c r="DH859" s="18"/>
      <c r="DI859" s="18"/>
      <c r="DJ859" s="18"/>
      <c r="DK859" s="18"/>
      <c r="DL859" s="18"/>
      <c r="DM859" s="18"/>
      <c r="DN859" s="18"/>
      <c r="DO859" s="18"/>
      <c r="DP859" s="18"/>
      <c r="DQ859" s="18"/>
      <c r="DR859" s="18"/>
      <c r="DS859" s="18"/>
      <c r="DT859" s="18"/>
      <c r="DU859" s="18"/>
      <c r="DV859" s="18"/>
      <c r="DW859" s="18"/>
      <c r="DX859" s="18"/>
      <c r="DY859" s="18"/>
      <c r="DZ859" s="18"/>
      <c r="EA859" s="18"/>
      <c r="EB859" s="18"/>
      <c r="EC859" s="18"/>
      <c r="ED859" s="18"/>
      <c r="EE859" s="18"/>
      <c r="EF859" s="18"/>
      <c r="EG859" s="18"/>
      <c r="EH859" s="18"/>
      <c r="EI859" s="18"/>
      <c r="EJ859" s="18"/>
      <c r="EK859" s="18"/>
      <c r="EL859" s="18"/>
      <c r="EM859" s="18"/>
      <c r="EN859" s="18"/>
      <c r="EO859" s="18"/>
      <c r="EP859" s="18"/>
      <c r="EQ859" s="18"/>
      <c r="ER859" s="18"/>
      <c r="ES859" s="18"/>
      <c r="ET859" s="18"/>
      <c r="EU859" s="18"/>
      <c r="EV859" s="18"/>
      <c r="EW859" s="18"/>
      <c r="EX859" s="18"/>
    </row>
    <row r="860">
      <c r="A860" s="101"/>
      <c r="B860" s="105"/>
      <c r="C860" s="105"/>
      <c r="D860" s="106"/>
      <c r="E860" s="110"/>
      <c r="F860" s="92"/>
      <c r="G860" s="18"/>
      <c r="H860" s="101" t="str">
        <f>IFERROR(__xludf.DUMMYFUNCTION("""COMPUTED_VALUE"""),"")</f>
        <v/>
      </c>
      <c r="I860" s="67" t="str">
        <f>IFERROR(__xludf.DUMMYFUNCTION("""COMPUTED_VALUE"""),"")</f>
        <v/>
      </c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  <c r="CP860" s="18"/>
      <c r="CQ860" s="18"/>
      <c r="CR860" s="18"/>
      <c r="CS860" s="18"/>
      <c r="CT860" s="18"/>
      <c r="CU860" s="18"/>
      <c r="CV860" s="18"/>
      <c r="CW860" s="18"/>
      <c r="CX860" s="18"/>
      <c r="CY860" s="18"/>
      <c r="CZ860" s="18"/>
      <c r="DA860" s="18"/>
      <c r="DB860" s="18"/>
      <c r="DC860" s="18"/>
      <c r="DD860" s="18"/>
      <c r="DE860" s="18"/>
      <c r="DF860" s="18"/>
      <c r="DG860" s="18"/>
      <c r="DH860" s="18"/>
      <c r="DI860" s="18"/>
      <c r="DJ860" s="18"/>
      <c r="DK860" s="18"/>
      <c r="DL860" s="18"/>
      <c r="DM860" s="18"/>
      <c r="DN860" s="18"/>
      <c r="DO860" s="18"/>
      <c r="DP860" s="18"/>
      <c r="DQ860" s="18"/>
      <c r="DR860" s="18"/>
      <c r="DS860" s="18"/>
      <c r="DT860" s="18"/>
      <c r="DU860" s="18"/>
      <c r="DV860" s="18"/>
      <c r="DW860" s="18"/>
      <c r="DX860" s="18"/>
      <c r="DY860" s="18"/>
      <c r="DZ860" s="18"/>
      <c r="EA860" s="18"/>
      <c r="EB860" s="18"/>
      <c r="EC860" s="18"/>
      <c r="ED860" s="18"/>
      <c r="EE860" s="18"/>
      <c r="EF860" s="18"/>
      <c r="EG860" s="18"/>
      <c r="EH860" s="18"/>
      <c r="EI860" s="18"/>
      <c r="EJ860" s="18"/>
      <c r="EK860" s="18"/>
      <c r="EL860" s="18"/>
      <c r="EM860" s="18"/>
      <c r="EN860" s="18"/>
      <c r="EO860" s="18"/>
      <c r="EP860" s="18"/>
      <c r="EQ860" s="18"/>
      <c r="ER860" s="18"/>
      <c r="ES860" s="18"/>
      <c r="ET860" s="18"/>
      <c r="EU860" s="18"/>
      <c r="EV860" s="18"/>
      <c r="EW860" s="18"/>
      <c r="EX860" s="18"/>
    </row>
    <row r="861">
      <c r="A861" s="101"/>
      <c r="B861" s="105"/>
      <c r="C861" s="105"/>
      <c r="D861" s="106"/>
      <c r="E861" s="110"/>
      <c r="F861" s="92"/>
      <c r="G861" s="18"/>
      <c r="H861" s="101" t="str">
        <f>IFERROR(__xludf.DUMMYFUNCTION("""COMPUTED_VALUE"""),"")</f>
        <v/>
      </c>
      <c r="I861" s="67" t="str">
        <f>IFERROR(__xludf.DUMMYFUNCTION("""COMPUTED_VALUE"""),"")</f>
        <v/>
      </c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  <c r="DW861" s="18"/>
      <c r="DX861" s="18"/>
      <c r="DY861" s="18"/>
      <c r="DZ861" s="18"/>
      <c r="EA861" s="18"/>
      <c r="EB861" s="18"/>
      <c r="EC861" s="18"/>
      <c r="ED861" s="18"/>
      <c r="EE861" s="18"/>
      <c r="EF861" s="18"/>
      <c r="EG861" s="18"/>
      <c r="EH861" s="18"/>
      <c r="EI861" s="18"/>
      <c r="EJ861" s="18"/>
      <c r="EK861" s="18"/>
      <c r="EL861" s="18"/>
      <c r="EM861" s="18"/>
      <c r="EN861" s="18"/>
      <c r="EO861" s="18"/>
      <c r="EP861" s="18"/>
      <c r="EQ861" s="18"/>
      <c r="ER861" s="18"/>
      <c r="ES861" s="18"/>
      <c r="ET861" s="18"/>
      <c r="EU861" s="18"/>
      <c r="EV861" s="18"/>
      <c r="EW861" s="18"/>
      <c r="EX861" s="18"/>
    </row>
    <row r="862">
      <c r="A862" s="101"/>
      <c r="B862" s="105"/>
      <c r="C862" s="105"/>
      <c r="D862" s="106"/>
      <c r="E862" s="110"/>
      <c r="F862" s="92"/>
      <c r="G862" s="18"/>
      <c r="H862" s="101" t="str">
        <f>IFERROR(__xludf.DUMMYFUNCTION("""COMPUTED_VALUE"""),"")</f>
        <v/>
      </c>
      <c r="I862" s="67" t="str">
        <f>IFERROR(__xludf.DUMMYFUNCTION("""COMPUTED_VALUE"""),"")</f>
        <v/>
      </c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8"/>
      <c r="DR862" s="18"/>
      <c r="DS862" s="18"/>
      <c r="DT862" s="18"/>
      <c r="DU862" s="18"/>
      <c r="DV862" s="18"/>
      <c r="DW862" s="18"/>
      <c r="DX862" s="18"/>
      <c r="DY862" s="18"/>
      <c r="DZ862" s="18"/>
      <c r="EA862" s="18"/>
      <c r="EB862" s="18"/>
      <c r="EC862" s="18"/>
      <c r="ED862" s="18"/>
      <c r="EE862" s="18"/>
      <c r="EF862" s="18"/>
      <c r="EG862" s="18"/>
      <c r="EH862" s="18"/>
      <c r="EI862" s="18"/>
      <c r="EJ862" s="18"/>
      <c r="EK862" s="18"/>
      <c r="EL862" s="18"/>
      <c r="EM862" s="18"/>
      <c r="EN862" s="18"/>
      <c r="EO862" s="18"/>
      <c r="EP862" s="18"/>
      <c r="EQ862" s="18"/>
      <c r="ER862" s="18"/>
      <c r="ES862" s="18"/>
      <c r="ET862" s="18"/>
      <c r="EU862" s="18"/>
      <c r="EV862" s="18"/>
      <c r="EW862" s="18"/>
      <c r="EX862" s="18"/>
    </row>
    <row r="863">
      <c r="A863" s="101"/>
      <c r="B863" s="105"/>
      <c r="C863" s="105"/>
      <c r="D863" s="106"/>
      <c r="E863" s="110"/>
      <c r="F863" s="92"/>
      <c r="G863" s="18"/>
      <c r="H863" s="101" t="str">
        <f>IFERROR(__xludf.DUMMYFUNCTION("""COMPUTED_VALUE"""),"")</f>
        <v/>
      </c>
      <c r="I863" s="67" t="str">
        <f>IFERROR(__xludf.DUMMYFUNCTION("""COMPUTED_VALUE"""),"")</f>
        <v/>
      </c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8"/>
      <c r="DP863" s="18"/>
      <c r="DQ863" s="18"/>
      <c r="DR863" s="18"/>
      <c r="DS863" s="18"/>
      <c r="DT863" s="18"/>
      <c r="DU863" s="18"/>
      <c r="DV863" s="18"/>
      <c r="DW863" s="18"/>
      <c r="DX863" s="18"/>
      <c r="DY863" s="18"/>
      <c r="DZ863" s="18"/>
      <c r="EA863" s="18"/>
      <c r="EB863" s="18"/>
      <c r="EC863" s="18"/>
      <c r="ED863" s="18"/>
      <c r="EE863" s="18"/>
      <c r="EF863" s="18"/>
      <c r="EG863" s="18"/>
      <c r="EH863" s="18"/>
      <c r="EI863" s="18"/>
      <c r="EJ863" s="18"/>
      <c r="EK863" s="18"/>
      <c r="EL863" s="18"/>
      <c r="EM863" s="18"/>
      <c r="EN863" s="18"/>
      <c r="EO863" s="18"/>
      <c r="EP863" s="18"/>
      <c r="EQ863" s="18"/>
      <c r="ER863" s="18"/>
      <c r="ES863" s="18"/>
      <c r="ET863" s="18"/>
      <c r="EU863" s="18"/>
      <c r="EV863" s="18"/>
      <c r="EW863" s="18"/>
      <c r="EX863" s="18"/>
    </row>
    <row r="864">
      <c r="A864" s="101"/>
      <c r="B864" s="105"/>
      <c r="C864" s="105"/>
      <c r="D864" s="106"/>
      <c r="E864" s="110"/>
      <c r="F864" s="92"/>
      <c r="G864" s="18"/>
      <c r="H864" s="101" t="str">
        <f>IFERROR(__xludf.DUMMYFUNCTION("""COMPUTED_VALUE"""),"")</f>
        <v/>
      </c>
      <c r="I864" s="67" t="str">
        <f>IFERROR(__xludf.DUMMYFUNCTION("""COMPUTED_VALUE"""),"")</f>
        <v/>
      </c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8"/>
      <c r="DO864" s="18"/>
      <c r="DP864" s="18"/>
      <c r="DQ864" s="18"/>
      <c r="DR864" s="18"/>
      <c r="DS864" s="18"/>
      <c r="DT864" s="18"/>
      <c r="DU864" s="18"/>
      <c r="DV864" s="18"/>
      <c r="DW864" s="18"/>
      <c r="DX864" s="18"/>
      <c r="DY864" s="18"/>
      <c r="DZ864" s="18"/>
      <c r="EA864" s="18"/>
      <c r="EB864" s="18"/>
      <c r="EC864" s="18"/>
      <c r="ED864" s="18"/>
      <c r="EE864" s="18"/>
      <c r="EF864" s="18"/>
      <c r="EG864" s="18"/>
      <c r="EH864" s="18"/>
      <c r="EI864" s="18"/>
      <c r="EJ864" s="18"/>
      <c r="EK864" s="18"/>
      <c r="EL864" s="18"/>
      <c r="EM864" s="18"/>
      <c r="EN864" s="18"/>
      <c r="EO864" s="18"/>
      <c r="EP864" s="18"/>
      <c r="EQ864" s="18"/>
      <c r="ER864" s="18"/>
      <c r="ES864" s="18"/>
      <c r="ET864" s="18"/>
      <c r="EU864" s="18"/>
      <c r="EV864" s="18"/>
      <c r="EW864" s="18"/>
      <c r="EX864" s="18"/>
    </row>
    <row r="865">
      <c r="A865" s="101"/>
      <c r="B865" s="105"/>
      <c r="C865" s="105"/>
      <c r="D865" s="106"/>
      <c r="E865" s="110"/>
      <c r="F865" s="92"/>
      <c r="G865" s="18"/>
      <c r="H865" s="101" t="str">
        <f>IFERROR(__xludf.DUMMYFUNCTION("""COMPUTED_VALUE"""),"")</f>
        <v/>
      </c>
      <c r="I865" s="67" t="str">
        <f>IFERROR(__xludf.DUMMYFUNCTION("""COMPUTED_VALUE"""),"")</f>
        <v/>
      </c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  <c r="DM865" s="18"/>
      <c r="DN865" s="18"/>
      <c r="DO865" s="18"/>
      <c r="DP865" s="18"/>
      <c r="DQ865" s="18"/>
      <c r="DR865" s="18"/>
      <c r="DS865" s="18"/>
      <c r="DT865" s="18"/>
      <c r="DU865" s="18"/>
      <c r="DV865" s="18"/>
      <c r="DW865" s="18"/>
      <c r="DX865" s="18"/>
      <c r="DY865" s="18"/>
      <c r="DZ865" s="18"/>
      <c r="EA865" s="18"/>
      <c r="EB865" s="18"/>
      <c r="EC865" s="18"/>
      <c r="ED865" s="18"/>
      <c r="EE865" s="18"/>
      <c r="EF865" s="18"/>
      <c r="EG865" s="18"/>
      <c r="EH865" s="18"/>
      <c r="EI865" s="18"/>
      <c r="EJ865" s="18"/>
      <c r="EK865" s="18"/>
      <c r="EL865" s="18"/>
      <c r="EM865" s="18"/>
      <c r="EN865" s="18"/>
      <c r="EO865" s="18"/>
      <c r="EP865" s="18"/>
      <c r="EQ865" s="18"/>
      <c r="ER865" s="18"/>
      <c r="ES865" s="18"/>
      <c r="ET865" s="18"/>
      <c r="EU865" s="18"/>
      <c r="EV865" s="18"/>
      <c r="EW865" s="18"/>
      <c r="EX865" s="18"/>
    </row>
    <row r="866">
      <c r="A866" s="101"/>
      <c r="B866" s="105"/>
      <c r="C866" s="105"/>
      <c r="D866" s="106"/>
      <c r="E866" s="110"/>
      <c r="F866" s="92"/>
      <c r="G866" s="18"/>
      <c r="H866" s="101" t="str">
        <f>IFERROR(__xludf.DUMMYFUNCTION("""COMPUTED_VALUE"""),"")</f>
        <v/>
      </c>
      <c r="I866" s="67" t="str">
        <f>IFERROR(__xludf.DUMMYFUNCTION("""COMPUTED_VALUE"""),"")</f>
        <v/>
      </c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8"/>
      <c r="DM866" s="18"/>
      <c r="DN866" s="18"/>
      <c r="DO866" s="18"/>
      <c r="DP866" s="18"/>
      <c r="DQ866" s="18"/>
      <c r="DR866" s="18"/>
      <c r="DS866" s="18"/>
      <c r="DT866" s="18"/>
      <c r="DU866" s="18"/>
      <c r="DV866" s="18"/>
      <c r="DW866" s="18"/>
      <c r="DX866" s="18"/>
      <c r="DY866" s="18"/>
      <c r="DZ866" s="18"/>
      <c r="EA866" s="18"/>
      <c r="EB866" s="18"/>
      <c r="EC866" s="18"/>
      <c r="ED866" s="18"/>
      <c r="EE866" s="18"/>
      <c r="EF866" s="18"/>
      <c r="EG866" s="18"/>
      <c r="EH866" s="18"/>
      <c r="EI866" s="18"/>
      <c r="EJ866" s="18"/>
      <c r="EK866" s="18"/>
      <c r="EL866" s="18"/>
      <c r="EM866" s="18"/>
      <c r="EN866" s="18"/>
      <c r="EO866" s="18"/>
      <c r="EP866" s="18"/>
      <c r="EQ866" s="18"/>
      <c r="ER866" s="18"/>
      <c r="ES866" s="18"/>
      <c r="ET866" s="18"/>
      <c r="EU866" s="18"/>
      <c r="EV866" s="18"/>
      <c r="EW866" s="18"/>
      <c r="EX866" s="18"/>
    </row>
    <row r="867">
      <c r="A867" s="101"/>
      <c r="B867" s="105"/>
      <c r="C867" s="105"/>
      <c r="D867" s="106"/>
      <c r="E867" s="110"/>
      <c r="F867" s="92"/>
      <c r="G867" s="18"/>
      <c r="H867" s="101" t="str">
        <f>IFERROR(__xludf.DUMMYFUNCTION("""COMPUTED_VALUE"""),"")</f>
        <v/>
      </c>
      <c r="I867" s="67" t="str">
        <f>IFERROR(__xludf.DUMMYFUNCTION("""COMPUTED_VALUE"""),"")</f>
        <v/>
      </c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8"/>
      <c r="DK867" s="18"/>
      <c r="DL867" s="18"/>
      <c r="DM867" s="18"/>
      <c r="DN867" s="18"/>
      <c r="DO867" s="18"/>
      <c r="DP867" s="18"/>
      <c r="DQ867" s="18"/>
      <c r="DR867" s="18"/>
      <c r="DS867" s="18"/>
      <c r="DT867" s="18"/>
      <c r="DU867" s="18"/>
      <c r="DV867" s="18"/>
      <c r="DW867" s="18"/>
      <c r="DX867" s="18"/>
      <c r="DY867" s="18"/>
      <c r="DZ867" s="18"/>
      <c r="EA867" s="18"/>
      <c r="EB867" s="18"/>
      <c r="EC867" s="18"/>
      <c r="ED867" s="18"/>
      <c r="EE867" s="18"/>
      <c r="EF867" s="18"/>
      <c r="EG867" s="18"/>
      <c r="EH867" s="18"/>
      <c r="EI867" s="18"/>
      <c r="EJ867" s="18"/>
      <c r="EK867" s="18"/>
      <c r="EL867" s="18"/>
      <c r="EM867" s="18"/>
      <c r="EN867" s="18"/>
      <c r="EO867" s="18"/>
      <c r="EP867" s="18"/>
      <c r="EQ867" s="18"/>
      <c r="ER867" s="18"/>
      <c r="ES867" s="18"/>
      <c r="ET867" s="18"/>
      <c r="EU867" s="18"/>
      <c r="EV867" s="18"/>
      <c r="EW867" s="18"/>
      <c r="EX867" s="18"/>
    </row>
    <row r="868">
      <c r="A868" s="101"/>
      <c r="B868" s="105"/>
      <c r="C868" s="105"/>
      <c r="D868" s="106"/>
      <c r="E868" s="110"/>
      <c r="F868" s="92"/>
      <c r="G868" s="18"/>
      <c r="H868" s="101" t="str">
        <f>IFERROR(__xludf.DUMMYFUNCTION("""COMPUTED_VALUE"""),"")</f>
        <v/>
      </c>
      <c r="I868" s="67" t="str">
        <f>IFERROR(__xludf.DUMMYFUNCTION("""COMPUTED_VALUE"""),"")</f>
        <v/>
      </c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8"/>
      <c r="DJ868" s="18"/>
      <c r="DK868" s="18"/>
      <c r="DL868" s="18"/>
      <c r="DM868" s="18"/>
      <c r="DN868" s="18"/>
      <c r="DO868" s="18"/>
      <c r="DP868" s="18"/>
      <c r="DQ868" s="18"/>
      <c r="DR868" s="18"/>
      <c r="DS868" s="18"/>
      <c r="DT868" s="18"/>
      <c r="DU868" s="18"/>
      <c r="DV868" s="18"/>
      <c r="DW868" s="18"/>
      <c r="DX868" s="18"/>
      <c r="DY868" s="18"/>
      <c r="DZ868" s="18"/>
      <c r="EA868" s="18"/>
      <c r="EB868" s="18"/>
      <c r="EC868" s="18"/>
      <c r="ED868" s="18"/>
      <c r="EE868" s="18"/>
      <c r="EF868" s="18"/>
      <c r="EG868" s="18"/>
      <c r="EH868" s="18"/>
      <c r="EI868" s="18"/>
      <c r="EJ868" s="18"/>
      <c r="EK868" s="18"/>
      <c r="EL868" s="18"/>
      <c r="EM868" s="18"/>
      <c r="EN868" s="18"/>
      <c r="EO868" s="18"/>
      <c r="EP868" s="18"/>
      <c r="EQ868" s="18"/>
      <c r="ER868" s="18"/>
      <c r="ES868" s="18"/>
      <c r="ET868" s="18"/>
      <c r="EU868" s="18"/>
      <c r="EV868" s="18"/>
      <c r="EW868" s="18"/>
      <c r="EX868" s="18"/>
    </row>
    <row r="869">
      <c r="A869" s="101"/>
      <c r="B869" s="105"/>
      <c r="C869" s="105"/>
      <c r="D869" s="106"/>
      <c r="E869" s="110"/>
      <c r="F869" s="92"/>
      <c r="G869" s="18"/>
      <c r="H869" s="101" t="str">
        <f>IFERROR(__xludf.DUMMYFUNCTION("""COMPUTED_VALUE"""),"")</f>
        <v/>
      </c>
      <c r="I869" s="67" t="str">
        <f>IFERROR(__xludf.DUMMYFUNCTION("""COMPUTED_VALUE"""),"")</f>
        <v/>
      </c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8"/>
      <c r="DI869" s="18"/>
      <c r="DJ869" s="18"/>
      <c r="DK869" s="18"/>
      <c r="DL869" s="18"/>
      <c r="DM869" s="18"/>
      <c r="DN869" s="18"/>
      <c r="DO869" s="18"/>
      <c r="DP869" s="18"/>
      <c r="DQ869" s="18"/>
      <c r="DR869" s="18"/>
      <c r="DS869" s="18"/>
      <c r="DT869" s="18"/>
      <c r="DU869" s="18"/>
      <c r="DV869" s="18"/>
      <c r="DW869" s="18"/>
      <c r="DX869" s="18"/>
      <c r="DY869" s="18"/>
      <c r="DZ869" s="18"/>
      <c r="EA869" s="18"/>
      <c r="EB869" s="18"/>
      <c r="EC869" s="18"/>
      <c r="ED869" s="18"/>
      <c r="EE869" s="18"/>
      <c r="EF869" s="18"/>
      <c r="EG869" s="18"/>
      <c r="EH869" s="18"/>
      <c r="EI869" s="18"/>
      <c r="EJ869" s="18"/>
      <c r="EK869" s="18"/>
      <c r="EL869" s="18"/>
      <c r="EM869" s="18"/>
      <c r="EN869" s="18"/>
      <c r="EO869" s="18"/>
      <c r="EP869" s="18"/>
      <c r="EQ869" s="18"/>
      <c r="ER869" s="18"/>
      <c r="ES869" s="18"/>
      <c r="ET869" s="18"/>
      <c r="EU869" s="18"/>
      <c r="EV869" s="18"/>
      <c r="EW869" s="18"/>
      <c r="EX869" s="18"/>
    </row>
    <row r="870">
      <c r="A870" s="101"/>
      <c r="B870" s="105"/>
      <c r="C870" s="105"/>
      <c r="D870" s="106"/>
      <c r="E870" s="110"/>
      <c r="F870" s="92"/>
      <c r="G870" s="18"/>
      <c r="H870" s="101" t="str">
        <f>IFERROR(__xludf.DUMMYFUNCTION("""COMPUTED_VALUE"""),"")</f>
        <v/>
      </c>
      <c r="I870" s="67" t="str">
        <f>IFERROR(__xludf.DUMMYFUNCTION("""COMPUTED_VALUE"""),"")</f>
        <v/>
      </c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8"/>
      <c r="DH870" s="18"/>
      <c r="DI870" s="18"/>
      <c r="DJ870" s="18"/>
      <c r="DK870" s="18"/>
      <c r="DL870" s="18"/>
      <c r="DM870" s="18"/>
      <c r="DN870" s="18"/>
      <c r="DO870" s="18"/>
      <c r="DP870" s="18"/>
      <c r="DQ870" s="18"/>
      <c r="DR870" s="18"/>
      <c r="DS870" s="18"/>
      <c r="DT870" s="18"/>
      <c r="DU870" s="18"/>
      <c r="DV870" s="18"/>
      <c r="DW870" s="18"/>
      <c r="DX870" s="18"/>
      <c r="DY870" s="18"/>
      <c r="DZ870" s="18"/>
      <c r="EA870" s="18"/>
      <c r="EB870" s="18"/>
      <c r="EC870" s="18"/>
      <c r="ED870" s="18"/>
      <c r="EE870" s="18"/>
      <c r="EF870" s="18"/>
      <c r="EG870" s="18"/>
      <c r="EH870" s="18"/>
      <c r="EI870" s="18"/>
      <c r="EJ870" s="18"/>
      <c r="EK870" s="18"/>
      <c r="EL870" s="18"/>
      <c r="EM870" s="18"/>
      <c r="EN870" s="18"/>
      <c r="EO870" s="18"/>
      <c r="EP870" s="18"/>
      <c r="EQ870" s="18"/>
      <c r="ER870" s="18"/>
      <c r="ES870" s="18"/>
      <c r="ET870" s="18"/>
      <c r="EU870" s="18"/>
      <c r="EV870" s="18"/>
      <c r="EW870" s="18"/>
      <c r="EX870" s="18"/>
    </row>
    <row r="871">
      <c r="A871" s="101"/>
      <c r="B871" s="105"/>
      <c r="C871" s="105"/>
      <c r="D871" s="106"/>
      <c r="E871" s="110"/>
      <c r="F871" s="92"/>
      <c r="G871" s="18"/>
      <c r="H871" s="101" t="str">
        <f>IFERROR(__xludf.DUMMYFUNCTION("""COMPUTED_VALUE"""),"")</f>
        <v/>
      </c>
      <c r="I871" s="67" t="str">
        <f>IFERROR(__xludf.DUMMYFUNCTION("""COMPUTED_VALUE"""),"")</f>
        <v/>
      </c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8"/>
      <c r="DG871" s="18"/>
      <c r="DH871" s="18"/>
      <c r="DI871" s="18"/>
      <c r="DJ871" s="18"/>
      <c r="DK871" s="18"/>
      <c r="DL871" s="18"/>
      <c r="DM871" s="18"/>
      <c r="DN871" s="18"/>
      <c r="DO871" s="18"/>
      <c r="DP871" s="18"/>
      <c r="DQ871" s="18"/>
      <c r="DR871" s="18"/>
      <c r="DS871" s="18"/>
      <c r="DT871" s="18"/>
      <c r="DU871" s="18"/>
      <c r="DV871" s="18"/>
      <c r="DW871" s="18"/>
      <c r="DX871" s="18"/>
      <c r="DY871" s="18"/>
      <c r="DZ871" s="18"/>
      <c r="EA871" s="18"/>
      <c r="EB871" s="18"/>
      <c r="EC871" s="18"/>
      <c r="ED871" s="18"/>
      <c r="EE871" s="18"/>
      <c r="EF871" s="18"/>
      <c r="EG871" s="18"/>
      <c r="EH871" s="18"/>
      <c r="EI871" s="18"/>
      <c r="EJ871" s="18"/>
      <c r="EK871" s="18"/>
      <c r="EL871" s="18"/>
      <c r="EM871" s="18"/>
      <c r="EN871" s="18"/>
      <c r="EO871" s="18"/>
      <c r="EP871" s="18"/>
      <c r="EQ871" s="18"/>
      <c r="ER871" s="18"/>
      <c r="ES871" s="18"/>
      <c r="ET871" s="18"/>
      <c r="EU871" s="18"/>
      <c r="EV871" s="18"/>
      <c r="EW871" s="18"/>
      <c r="EX871" s="18"/>
    </row>
    <row r="872">
      <c r="A872" s="101"/>
      <c r="B872" s="105"/>
      <c r="C872" s="105"/>
      <c r="D872" s="106"/>
      <c r="E872" s="110"/>
      <c r="F872" s="92"/>
      <c r="G872" s="18"/>
      <c r="H872" s="101" t="str">
        <f>IFERROR(__xludf.DUMMYFUNCTION("""COMPUTED_VALUE"""),"")</f>
        <v/>
      </c>
      <c r="I872" s="67" t="str">
        <f>IFERROR(__xludf.DUMMYFUNCTION("""COMPUTED_VALUE"""),"")</f>
        <v/>
      </c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8"/>
      <c r="DF872" s="18"/>
      <c r="DG872" s="18"/>
      <c r="DH872" s="18"/>
      <c r="DI872" s="18"/>
      <c r="DJ872" s="18"/>
      <c r="DK872" s="18"/>
      <c r="DL872" s="18"/>
      <c r="DM872" s="18"/>
      <c r="DN872" s="18"/>
      <c r="DO872" s="18"/>
      <c r="DP872" s="18"/>
      <c r="DQ872" s="18"/>
      <c r="DR872" s="18"/>
      <c r="DS872" s="18"/>
      <c r="DT872" s="18"/>
      <c r="DU872" s="18"/>
      <c r="DV872" s="18"/>
      <c r="DW872" s="18"/>
      <c r="DX872" s="18"/>
      <c r="DY872" s="18"/>
      <c r="DZ872" s="18"/>
      <c r="EA872" s="18"/>
      <c r="EB872" s="18"/>
      <c r="EC872" s="18"/>
      <c r="ED872" s="18"/>
      <c r="EE872" s="18"/>
      <c r="EF872" s="18"/>
      <c r="EG872" s="18"/>
      <c r="EH872" s="18"/>
      <c r="EI872" s="18"/>
      <c r="EJ872" s="18"/>
      <c r="EK872" s="18"/>
      <c r="EL872" s="18"/>
      <c r="EM872" s="18"/>
      <c r="EN872" s="18"/>
      <c r="EO872" s="18"/>
      <c r="EP872" s="18"/>
      <c r="EQ872" s="18"/>
      <c r="ER872" s="18"/>
      <c r="ES872" s="18"/>
      <c r="ET872" s="18"/>
      <c r="EU872" s="18"/>
      <c r="EV872" s="18"/>
      <c r="EW872" s="18"/>
      <c r="EX872" s="18"/>
    </row>
    <row r="873">
      <c r="A873" s="101"/>
      <c r="B873" s="105"/>
      <c r="C873" s="105"/>
      <c r="D873" s="106"/>
      <c r="E873" s="110"/>
      <c r="F873" s="92"/>
      <c r="G873" s="18"/>
      <c r="H873" s="101" t="str">
        <f>IFERROR(__xludf.DUMMYFUNCTION("""COMPUTED_VALUE"""),"")</f>
        <v/>
      </c>
      <c r="I873" s="67" t="str">
        <f>IFERROR(__xludf.DUMMYFUNCTION("""COMPUTED_VALUE"""),"")</f>
        <v/>
      </c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8"/>
      <c r="DE873" s="18"/>
      <c r="DF873" s="18"/>
      <c r="DG873" s="18"/>
      <c r="DH873" s="18"/>
      <c r="DI873" s="18"/>
      <c r="DJ873" s="18"/>
      <c r="DK873" s="18"/>
      <c r="DL873" s="18"/>
      <c r="DM873" s="18"/>
      <c r="DN873" s="18"/>
      <c r="DO873" s="18"/>
      <c r="DP873" s="18"/>
      <c r="DQ873" s="18"/>
      <c r="DR873" s="18"/>
      <c r="DS873" s="18"/>
      <c r="DT873" s="18"/>
      <c r="DU873" s="18"/>
      <c r="DV873" s="18"/>
      <c r="DW873" s="18"/>
      <c r="DX873" s="18"/>
      <c r="DY873" s="18"/>
      <c r="DZ873" s="18"/>
      <c r="EA873" s="18"/>
      <c r="EB873" s="18"/>
      <c r="EC873" s="18"/>
      <c r="ED873" s="18"/>
      <c r="EE873" s="18"/>
      <c r="EF873" s="18"/>
      <c r="EG873" s="18"/>
      <c r="EH873" s="18"/>
      <c r="EI873" s="18"/>
      <c r="EJ873" s="18"/>
      <c r="EK873" s="18"/>
      <c r="EL873" s="18"/>
      <c r="EM873" s="18"/>
      <c r="EN873" s="18"/>
      <c r="EO873" s="18"/>
      <c r="EP873" s="18"/>
      <c r="EQ873" s="18"/>
      <c r="ER873" s="18"/>
      <c r="ES873" s="18"/>
      <c r="ET873" s="18"/>
      <c r="EU873" s="18"/>
      <c r="EV873" s="18"/>
      <c r="EW873" s="18"/>
      <c r="EX873" s="18"/>
    </row>
    <row r="874">
      <c r="A874" s="101"/>
      <c r="B874" s="105"/>
      <c r="C874" s="105"/>
      <c r="D874" s="106"/>
      <c r="E874" s="110"/>
      <c r="F874" s="92"/>
      <c r="G874" s="18"/>
      <c r="H874" s="101" t="str">
        <f>IFERROR(__xludf.DUMMYFUNCTION("""COMPUTED_VALUE"""),"")</f>
        <v/>
      </c>
      <c r="I874" s="67" t="str">
        <f>IFERROR(__xludf.DUMMYFUNCTION("""COMPUTED_VALUE"""),"")</f>
        <v/>
      </c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8"/>
      <c r="DD874" s="18"/>
      <c r="DE874" s="18"/>
      <c r="DF874" s="18"/>
      <c r="DG874" s="18"/>
      <c r="DH874" s="18"/>
      <c r="DI874" s="18"/>
      <c r="DJ874" s="18"/>
      <c r="DK874" s="18"/>
      <c r="DL874" s="18"/>
      <c r="DM874" s="18"/>
      <c r="DN874" s="18"/>
      <c r="DO874" s="18"/>
      <c r="DP874" s="18"/>
      <c r="DQ874" s="18"/>
      <c r="DR874" s="18"/>
      <c r="DS874" s="18"/>
      <c r="DT874" s="18"/>
      <c r="DU874" s="18"/>
      <c r="DV874" s="18"/>
      <c r="DW874" s="18"/>
      <c r="DX874" s="18"/>
      <c r="DY874" s="18"/>
      <c r="DZ874" s="18"/>
      <c r="EA874" s="18"/>
      <c r="EB874" s="18"/>
      <c r="EC874" s="18"/>
      <c r="ED874" s="18"/>
      <c r="EE874" s="18"/>
      <c r="EF874" s="18"/>
      <c r="EG874" s="18"/>
      <c r="EH874" s="18"/>
      <c r="EI874" s="18"/>
      <c r="EJ874" s="18"/>
      <c r="EK874" s="18"/>
      <c r="EL874" s="18"/>
      <c r="EM874" s="18"/>
      <c r="EN874" s="18"/>
      <c r="EO874" s="18"/>
      <c r="EP874" s="18"/>
      <c r="EQ874" s="18"/>
      <c r="ER874" s="18"/>
      <c r="ES874" s="18"/>
      <c r="ET874" s="18"/>
      <c r="EU874" s="18"/>
      <c r="EV874" s="18"/>
      <c r="EW874" s="18"/>
      <c r="EX874" s="18"/>
    </row>
    <row r="875">
      <c r="A875" s="101"/>
      <c r="B875" s="105"/>
      <c r="C875" s="105"/>
      <c r="D875" s="106"/>
      <c r="E875" s="110"/>
      <c r="F875" s="92"/>
      <c r="G875" s="18"/>
      <c r="H875" s="101" t="str">
        <f>IFERROR(__xludf.DUMMYFUNCTION("""COMPUTED_VALUE"""),"")</f>
        <v/>
      </c>
      <c r="I875" s="67" t="str">
        <f>IFERROR(__xludf.DUMMYFUNCTION("""COMPUTED_VALUE"""),"")</f>
        <v/>
      </c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8"/>
      <c r="DC875" s="18"/>
      <c r="DD875" s="18"/>
      <c r="DE875" s="18"/>
      <c r="DF875" s="18"/>
      <c r="DG875" s="18"/>
      <c r="DH875" s="18"/>
      <c r="DI875" s="18"/>
      <c r="DJ875" s="18"/>
      <c r="DK875" s="18"/>
      <c r="DL875" s="18"/>
      <c r="DM875" s="18"/>
      <c r="DN875" s="18"/>
      <c r="DO875" s="18"/>
      <c r="DP875" s="18"/>
      <c r="DQ875" s="18"/>
      <c r="DR875" s="18"/>
      <c r="DS875" s="18"/>
      <c r="DT875" s="18"/>
      <c r="DU875" s="18"/>
      <c r="DV875" s="18"/>
      <c r="DW875" s="18"/>
      <c r="DX875" s="18"/>
      <c r="DY875" s="18"/>
      <c r="DZ875" s="18"/>
      <c r="EA875" s="18"/>
      <c r="EB875" s="18"/>
      <c r="EC875" s="18"/>
      <c r="ED875" s="18"/>
      <c r="EE875" s="18"/>
      <c r="EF875" s="18"/>
      <c r="EG875" s="18"/>
      <c r="EH875" s="18"/>
      <c r="EI875" s="18"/>
      <c r="EJ875" s="18"/>
      <c r="EK875" s="18"/>
      <c r="EL875" s="18"/>
      <c r="EM875" s="18"/>
      <c r="EN875" s="18"/>
      <c r="EO875" s="18"/>
      <c r="EP875" s="18"/>
      <c r="EQ875" s="18"/>
      <c r="ER875" s="18"/>
      <c r="ES875" s="18"/>
      <c r="ET875" s="18"/>
      <c r="EU875" s="18"/>
      <c r="EV875" s="18"/>
      <c r="EW875" s="18"/>
      <c r="EX875" s="18"/>
    </row>
    <row r="876">
      <c r="A876" s="101"/>
      <c r="B876" s="105"/>
      <c r="C876" s="105"/>
      <c r="D876" s="106"/>
      <c r="E876" s="110"/>
      <c r="F876" s="92"/>
      <c r="G876" s="18"/>
      <c r="H876" s="101" t="str">
        <f>IFERROR(__xludf.DUMMYFUNCTION("""COMPUTED_VALUE"""),"")</f>
        <v/>
      </c>
      <c r="I876" s="67" t="str">
        <f>IFERROR(__xludf.DUMMYFUNCTION("""COMPUTED_VALUE"""),"")</f>
        <v/>
      </c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8"/>
      <c r="DB876" s="18"/>
      <c r="DC876" s="18"/>
      <c r="DD876" s="18"/>
      <c r="DE876" s="18"/>
      <c r="DF876" s="18"/>
      <c r="DG876" s="18"/>
      <c r="DH876" s="18"/>
      <c r="DI876" s="18"/>
      <c r="DJ876" s="18"/>
      <c r="DK876" s="18"/>
      <c r="DL876" s="18"/>
      <c r="DM876" s="18"/>
      <c r="DN876" s="18"/>
      <c r="DO876" s="18"/>
      <c r="DP876" s="18"/>
      <c r="DQ876" s="18"/>
      <c r="DR876" s="18"/>
      <c r="DS876" s="18"/>
      <c r="DT876" s="18"/>
      <c r="DU876" s="18"/>
      <c r="DV876" s="18"/>
      <c r="DW876" s="18"/>
      <c r="DX876" s="18"/>
      <c r="DY876" s="18"/>
      <c r="DZ876" s="18"/>
      <c r="EA876" s="18"/>
      <c r="EB876" s="18"/>
      <c r="EC876" s="18"/>
      <c r="ED876" s="18"/>
      <c r="EE876" s="18"/>
      <c r="EF876" s="18"/>
      <c r="EG876" s="18"/>
      <c r="EH876" s="18"/>
      <c r="EI876" s="18"/>
      <c r="EJ876" s="18"/>
      <c r="EK876" s="18"/>
      <c r="EL876" s="18"/>
      <c r="EM876" s="18"/>
      <c r="EN876" s="18"/>
      <c r="EO876" s="18"/>
      <c r="EP876" s="18"/>
      <c r="EQ876" s="18"/>
      <c r="ER876" s="18"/>
      <c r="ES876" s="18"/>
      <c r="ET876" s="18"/>
      <c r="EU876" s="18"/>
      <c r="EV876" s="18"/>
      <c r="EW876" s="18"/>
      <c r="EX876" s="18"/>
    </row>
    <row r="877">
      <c r="A877" s="101"/>
      <c r="B877" s="105"/>
      <c r="C877" s="105"/>
      <c r="D877" s="106"/>
      <c r="E877" s="110"/>
      <c r="F877" s="92"/>
      <c r="G877" s="18"/>
      <c r="H877" s="101" t="str">
        <f>IFERROR(__xludf.DUMMYFUNCTION("""COMPUTED_VALUE"""),"")</f>
        <v/>
      </c>
      <c r="I877" s="67" t="str">
        <f>IFERROR(__xludf.DUMMYFUNCTION("""COMPUTED_VALUE"""),"")</f>
        <v/>
      </c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8"/>
      <c r="DA877" s="18"/>
      <c r="DB877" s="18"/>
      <c r="DC877" s="18"/>
      <c r="DD877" s="18"/>
      <c r="DE877" s="18"/>
      <c r="DF877" s="18"/>
      <c r="DG877" s="18"/>
      <c r="DH877" s="18"/>
      <c r="DI877" s="18"/>
      <c r="DJ877" s="18"/>
      <c r="DK877" s="18"/>
      <c r="DL877" s="18"/>
      <c r="DM877" s="18"/>
      <c r="DN877" s="18"/>
      <c r="DO877" s="18"/>
      <c r="DP877" s="18"/>
      <c r="DQ877" s="18"/>
      <c r="DR877" s="18"/>
      <c r="DS877" s="18"/>
      <c r="DT877" s="18"/>
      <c r="DU877" s="18"/>
      <c r="DV877" s="18"/>
      <c r="DW877" s="18"/>
      <c r="DX877" s="18"/>
      <c r="DY877" s="18"/>
      <c r="DZ877" s="18"/>
      <c r="EA877" s="18"/>
      <c r="EB877" s="18"/>
      <c r="EC877" s="18"/>
      <c r="ED877" s="18"/>
      <c r="EE877" s="18"/>
      <c r="EF877" s="18"/>
      <c r="EG877" s="18"/>
      <c r="EH877" s="18"/>
      <c r="EI877" s="18"/>
      <c r="EJ877" s="18"/>
      <c r="EK877" s="18"/>
      <c r="EL877" s="18"/>
      <c r="EM877" s="18"/>
      <c r="EN877" s="18"/>
      <c r="EO877" s="18"/>
      <c r="EP877" s="18"/>
      <c r="EQ877" s="18"/>
      <c r="ER877" s="18"/>
      <c r="ES877" s="18"/>
      <c r="ET877" s="18"/>
      <c r="EU877" s="18"/>
      <c r="EV877" s="18"/>
      <c r="EW877" s="18"/>
      <c r="EX877" s="18"/>
    </row>
    <row r="878">
      <c r="A878" s="101"/>
      <c r="B878" s="105"/>
      <c r="C878" s="105"/>
      <c r="D878" s="106"/>
      <c r="E878" s="110"/>
      <c r="F878" s="92"/>
      <c r="G878" s="18"/>
      <c r="H878" s="101" t="str">
        <f>IFERROR(__xludf.DUMMYFUNCTION("""COMPUTED_VALUE"""),"")</f>
        <v/>
      </c>
      <c r="I878" s="67" t="str">
        <f>IFERROR(__xludf.DUMMYFUNCTION("""COMPUTED_VALUE"""),"")</f>
        <v/>
      </c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8"/>
      <c r="CZ878" s="18"/>
      <c r="DA878" s="18"/>
      <c r="DB878" s="18"/>
      <c r="DC878" s="18"/>
      <c r="DD878" s="18"/>
      <c r="DE878" s="18"/>
      <c r="DF878" s="18"/>
      <c r="DG878" s="18"/>
      <c r="DH878" s="18"/>
      <c r="DI878" s="18"/>
      <c r="DJ878" s="18"/>
      <c r="DK878" s="18"/>
      <c r="DL878" s="18"/>
      <c r="DM878" s="18"/>
      <c r="DN878" s="18"/>
      <c r="DO878" s="18"/>
      <c r="DP878" s="18"/>
      <c r="DQ878" s="18"/>
      <c r="DR878" s="18"/>
      <c r="DS878" s="18"/>
      <c r="DT878" s="18"/>
      <c r="DU878" s="18"/>
      <c r="DV878" s="18"/>
      <c r="DW878" s="18"/>
      <c r="DX878" s="18"/>
      <c r="DY878" s="18"/>
      <c r="DZ878" s="18"/>
      <c r="EA878" s="18"/>
      <c r="EB878" s="18"/>
      <c r="EC878" s="18"/>
      <c r="ED878" s="18"/>
      <c r="EE878" s="18"/>
      <c r="EF878" s="18"/>
      <c r="EG878" s="18"/>
      <c r="EH878" s="18"/>
      <c r="EI878" s="18"/>
      <c r="EJ878" s="18"/>
      <c r="EK878" s="18"/>
      <c r="EL878" s="18"/>
      <c r="EM878" s="18"/>
      <c r="EN878" s="18"/>
      <c r="EO878" s="18"/>
      <c r="EP878" s="18"/>
      <c r="EQ878" s="18"/>
      <c r="ER878" s="18"/>
      <c r="ES878" s="18"/>
      <c r="ET878" s="18"/>
      <c r="EU878" s="18"/>
      <c r="EV878" s="18"/>
      <c r="EW878" s="18"/>
      <c r="EX878" s="18"/>
    </row>
    <row r="879">
      <c r="A879" s="101"/>
      <c r="B879" s="105"/>
      <c r="C879" s="105"/>
      <c r="D879" s="106"/>
      <c r="E879" s="110"/>
      <c r="F879" s="92"/>
      <c r="G879" s="18"/>
      <c r="H879" s="101" t="str">
        <f>IFERROR(__xludf.DUMMYFUNCTION("""COMPUTED_VALUE"""),"")</f>
        <v/>
      </c>
      <c r="I879" s="67" t="str">
        <f>IFERROR(__xludf.DUMMYFUNCTION("""COMPUTED_VALUE"""),"")</f>
        <v/>
      </c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8"/>
      <c r="CY879" s="18"/>
      <c r="CZ879" s="18"/>
      <c r="DA879" s="18"/>
      <c r="DB879" s="18"/>
      <c r="DC879" s="18"/>
      <c r="DD879" s="18"/>
      <c r="DE879" s="18"/>
      <c r="DF879" s="18"/>
      <c r="DG879" s="18"/>
      <c r="DH879" s="18"/>
      <c r="DI879" s="18"/>
      <c r="DJ879" s="18"/>
      <c r="DK879" s="18"/>
      <c r="DL879" s="18"/>
      <c r="DM879" s="18"/>
      <c r="DN879" s="18"/>
      <c r="DO879" s="18"/>
      <c r="DP879" s="18"/>
      <c r="DQ879" s="18"/>
      <c r="DR879" s="18"/>
      <c r="DS879" s="18"/>
      <c r="DT879" s="18"/>
      <c r="DU879" s="18"/>
      <c r="DV879" s="18"/>
      <c r="DW879" s="18"/>
      <c r="DX879" s="18"/>
      <c r="DY879" s="18"/>
      <c r="DZ879" s="18"/>
      <c r="EA879" s="18"/>
      <c r="EB879" s="18"/>
      <c r="EC879" s="18"/>
      <c r="ED879" s="18"/>
      <c r="EE879" s="18"/>
      <c r="EF879" s="18"/>
      <c r="EG879" s="18"/>
      <c r="EH879" s="18"/>
      <c r="EI879" s="18"/>
      <c r="EJ879" s="18"/>
      <c r="EK879" s="18"/>
      <c r="EL879" s="18"/>
      <c r="EM879" s="18"/>
      <c r="EN879" s="18"/>
      <c r="EO879" s="18"/>
      <c r="EP879" s="18"/>
      <c r="EQ879" s="18"/>
      <c r="ER879" s="18"/>
      <c r="ES879" s="18"/>
      <c r="ET879" s="18"/>
      <c r="EU879" s="18"/>
      <c r="EV879" s="18"/>
      <c r="EW879" s="18"/>
      <c r="EX879" s="18"/>
    </row>
    <row r="880">
      <c r="A880" s="101"/>
      <c r="B880" s="105"/>
      <c r="C880" s="105"/>
      <c r="D880" s="106"/>
      <c r="E880" s="110"/>
      <c r="F880" s="92"/>
      <c r="G880" s="18"/>
      <c r="H880" s="101" t="str">
        <f>IFERROR(__xludf.DUMMYFUNCTION("""COMPUTED_VALUE"""),"")</f>
        <v/>
      </c>
      <c r="I880" s="67" t="str">
        <f>IFERROR(__xludf.DUMMYFUNCTION("""COMPUTED_VALUE"""),"")</f>
        <v/>
      </c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8"/>
      <c r="CW880" s="18"/>
      <c r="CX880" s="18"/>
      <c r="CY880" s="18"/>
      <c r="CZ880" s="18"/>
      <c r="DA880" s="18"/>
      <c r="DB880" s="18"/>
      <c r="DC880" s="18"/>
      <c r="DD880" s="18"/>
      <c r="DE880" s="18"/>
      <c r="DF880" s="18"/>
      <c r="DG880" s="18"/>
      <c r="DH880" s="18"/>
      <c r="DI880" s="18"/>
      <c r="DJ880" s="18"/>
      <c r="DK880" s="18"/>
      <c r="DL880" s="18"/>
      <c r="DM880" s="18"/>
      <c r="DN880" s="18"/>
      <c r="DO880" s="18"/>
      <c r="DP880" s="18"/>
      <c r="DQ880" s="18"/>
      <c r="DR880" s="18"/>
      <c r="DS880" s="18"/>
      <c r="DT880" s="18"/>
      <c r="DU880" s="18"/>
      <c r="DV880" s="18"/>
      <c r="DW880" s="18"/>
      <c r="DX880" s="18"/>
      <c r="DY880" s="18"/>
      <c r="DZ880" s="18"/>
      <c r="EA880" s="18"/>
      <c r="EB880" s="18"/>
      <c r="EC880" s="18"/>
      <c r="ED880" s="18"/>
      <c r="EE880" s="18"/>
      <c r="EF880" s="18"/>
      <c r="EG880" s="18"/>
      <c r="EH880" s="18"/>
      <c r="EI880" s="18"/>
      <c r="EJ880" s="18"/>
      <c r="EK880" s="18"/>
      <c r="EL880" s="18"/>
      <c r="EM880" s="18"/>
      <c r="EN880" s="18"/>
      <c r="EO880" s="18"/>
      <c r="EP880" s="18"/>
      <c r="EQ880" s="18"/>
      <c r="ER880" s="18"/>
      <c r="ES880" s="18"/>
      <c r="ET880" s="18"/>
      <c r="EU880" s="18"/>
      <c r="EV880" s="18"/>
      <c r="EW880" s="18"/>
      <c r="EX880" s="18"/>
    </row>
    <row r="881">
      <c r="A881" s="101"/>
      <c r="B881" s="105"/>
      <c r="C881" s="105"/>
      <c r="D881" s="106"/>
      <c r="E881" s="110"/>
      <c r="F881" s="92"/>
      <c r="G881" s="18"/>
      <c r="H881" s="101" t="str">
        <f>IFERROR(__xludf.DUMMYFUNCTION("""COMPUTED_VALUE"""),"")</f>
        <v/>
      </c>
      <c r="I881" s="67" t="str">
        <f>IFERROR(__xludf.DUMMYFUNCTION("""COMPUTED_VALUE"""),"")</f>
        <v/>
      </c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  <c r="CU881" s="18"/>
      <c r="CV881" s="18"/>
      <c r="CW881" s="18"/>
      <c r="CX881" s="18"/>
      <c r="CY881" s="18"/>
      <c r="CZ881" s="18"/>
      <c r="DA881" s="18"/>
      <c r="DB881" s="18"/>
      <c r="DC881" s="18"/>
      <c r="DD881" s="18"/>
      <c r="DE881" s="18"/>
      <c r="DF881" s="18"/>
      <c r="DG881" s="18"/>
      <c r="DH881" s="18"/>
      <c r="DI881" s="18"/>
      <c r="DJ881" s="18"/>
      <c r="DK881" s="18"/>
      <c r="DL881" s="18"/>
      <c r="DM881" s="18"/>
      <c r="DN881" s="18"/>
      <c r="DO881" s="18"/>
      <c r="DP881" s="18"/>
      <c r="DQ881" s="18"/>
      <c r="DR881" s="18"/>
      <c r="DS881" s="18"/>
      <c r="DT881" s="18"/>
      <c r="DU881" s="18"/>
      <c r="DV881" s="18"/>
      <c r="DW881" s="18"/>
      <c r="DX881" s="18"/>
      <c r="DY881" s="18"/>
      <c r="DZ881" s="18"/>
      <c r="EA881" s="18"/>
      <c r="EB881" s="18"/>
      <c r="EC881" s="18"/>
      <c r="ED881" s="18"/>
      <c r="EE881" s="18"/>
      <c r="EF881" s="18"/>
      <c r="EG881" s="18"/>
      <c r="EH881" s="18"/>
      <c r="EI881" s="18"/>
      <c r="EJ881" s="18"/>
      <c r="EK881" s="18"/>
      <c r="EL881" s="18"/>
      <c r="EM881" s="18"/>
      <c r="EN881" s="18"/>
      <c r="EO881" s="18"/>
      <c r="EP881" s="18"/>
      <c r="EQ881" s="18"/>
      <c r="ER881" s="18"/>
      <c r="ES881" s="18"/>
      <c r="ET881" s="18"/>
      <c r="EU881" s="18"/>
      <c r="EV881" s="18"/>
      <c r="EW881" s="18"/>
      <c r="EX881" s="18"/>
    </row>
    <row r="882">
      <c r="A882" s="101"/>
      <c r="B882" s="105"/>
      <c r="C882" s="105"/>
      <c r="D882" s="106"/>
      <c r="E882" s="110"/>
      <c r="F882" s="92"/>
      <c r="G882" s="18"/>
      <c r="H882" s="101" t="str">
        <f>IFERROR(__xludf.DUMMYFUNCTION("""COMPUTED_VALUE"""),"")</f>
        <v/>
      </c>
      <c r="I882" s="67" t="str">
        <f>IFERROR(__xludf.DUMMYFUNCTION("""COMPUTED_VALUE"""),"")</f>
        <v/>
      </c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8"/>
      <c r="CU882" s="18"/>
      <c r="CV882" s="18"/>
      <c r="CW882" s="18"/>
      <c r="CX882" s="18"/>
      <c r="CY882" s="18"/>
      <c r="CZ882" s="18"/>
      <c r="DA882" s="18"/>
      <c r="DB882" s="18"/>
      <c r="DC882" s="18"/>
      <c r="DD882" s="18"/>
      <c r="DE882" s="18"/>
      <c r="DF882" s="18"/>
      <c r="DG882" s="18"/>
      <c r="DH882" s="18"/>
      <c r="DI882" s="18"/>
      <c r="DJ882" s="18"/>
      <c r="DK882" s="18"/>
      <c r="DL882" s="18"/>
      <c r="DM882" s="18"/>
      <c r="DN882" s="18"/>
      <c r="DO882" s="18"/>
      <c r="DP882" s="18"/>
      <c r="DQ882" s="18"/>
      <c r="DR882" s="18"/>
      <c r="DS882" s="18"/>
      <c r="DT882" s="18"/>
      <c r="DU882" s="18"/>
      <c r="DV882" s="18"/>
      <c r="DW882" s="18"/>
      <c r="DX882" s="18"/>
      <c r="DY882" s="18"/>
      <c r="DZ882" s="18"/>
      <c r="EA882" s="18"/>
      <c r="EB882" s="18"/>
      <c r="EC882" s="18"/>
      <c r="ED882" s="18"/>
      <c r="EE882" s="18"/>
      <c r="EF882" s="18"/>
      <c r="EG882" s="18"/>
      <c r="EH882" s="18"/>
      <c r="EI882" s="18"/>
      <c r="EJ882" s="18"/>
      <c r="EK882" s="18"/>
      <c r="EL882" s="18"/>
      <c r="EM882" s="18"/>
      <c r="EN882" s="18"/>
      <c r="EO882" s="18"/>
      <c r="EP882" s="18"/>
      <c r="EQ882" s="18"/>
      <c r="ER882" s="18"/>
      <c r="ES882" s="18"/>
      <c r="ET882" s="18"/>
      <c r="EU882" s="18"/>
      <c r="EV882" s="18"/>
      <c r="EW882" s="18"/>
      <c r="EX882" s="18"/>
    </row>
    <row r="883">
      <c r="A883" s="101"/>
      <c r="B883" s="105"/>
      <c r="C883" s="105"/>
      <c r="D883" s="106"/>
      <c r="E883" s="110"/>
      <c r="F883" s="92"/>
      <c r="G883" s="18"/>
      <c r="H883" s="101" t="str">
        <f>IFERROR(__xludf.DUMMYFUNCTION("""COMPUTED_VALUE"""),"")</f>
        <v/>
      </c>
      <c r="I883" s="67" t="str">
        <f>IFERROR(__xludf.DUMMYFUNCTION("""COMPUTED_VALUE"""),"")</f>
        <v/>
      </c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8"/>
      <c r="CT883" s="18"/>
      <c r="CU883" s="18"/>
      <c r="CV883" s="18"/>
      <c r="CW883" s="18"/>
      <c r="CX883" s="18"/>
      <c r="CY883" s="18"/>
      <c r="CZ883" s="18"/>
      <c r="DA883" s="18"/>
      <c r="DB883" s="18"/>
      <c r="DC883" s="18"/>
      <c r="DD883" s="18"/>
      <c r="DE883" s="18"/>
      <c r="DF883" s="18"/>
      <c r="DG883" s="18"/>
      <c r="DH883" s="18"/>
      <c r="DI883" s="18"/>
      <c r="DJ883" s="18"/>
      <c r="DK883" s="18"/>
      <c r="DL883" s="18"/>
      <c r="DM883" s="18"/>
      <c r="DN883" s="18"/>
      <c r="DO883" s="18"/>
      <c r="DP883" s="18"/>
      <c r="DQ883" s="18"/>
      <c r="DR883" s="18"/>
      <c r="DS883" s="18"/>
      <c r="DT883" s="18"/>
      <c r="DU883" s="18"/>
      <c r="DV883" s="18"/>
      <c r="DW883" s="18"/>
      <c r="DX883" s="18"/>
      <c r="DY883" s="18"/>
      <c r="DZ883" s="18"/>
      <c r="EA883" s="18"/>
      <c r="EB883" s="18"/>
      <c r="EC883" s="18"/>
      <c r="ED883" s="18"/>
      <c r="EE883" s="18"/>
      <c r="EF883" s="18"/>
      <c r="EG883" s="18"/>
      <c r="EH883" s="18"/>
      <c r="EI883" s="18"/>
      <c r="EJ883" s="18"/>
      <c r="EK883" s="18"/>
      <c r="EL883" s="18"/>
      <c r="EM883" s="18"/>
      <c r="EN883" s="18"/>
      <c r="EO883" s="18"/>
      <c r="EP883" s="18"/>
      <c r="EQ883" s="18"/>
      <c r="ER883" s="18"/>
      <c r="ES883" s="18"/>
      <c r="ET883" s="18"/>
      <c r="EU883" s="18"/>
      <c r="EV883" s="18"/>
      <c r="EW883" s="18"/>
      <c r="EX883" s="18"/>
    </row>
    <row r="884">
      <c r="A884" s="101"/>
      <c r="B884" s="105"/>
      <c r="C884" s="105"/>
      <c r="D884" s="106"/>
      <c r="E884" s="110"/>
      <c r="F884" s="92"/>
      <c r="G884" s="18"/>
      <c r="H884" s="101" t="str">
        <f>IFERROR(__xludf.DUMMYFUNCTION("""COMPUTED_VALUE"""),"")</f>
        <v/>
      </c>
      <c r="I884" s="67" t="str">
        <f>IFERROR(__xludf.DUMMYFUNCTION("""COMPUTED_VALUE"""),"")</f>
        <v/>
      </c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8"/>
      <c r="CR884" s="18"/>
      <c r="CS884" s="18"/>
      <c r="CT884" s="18"/>
      <c r="CU884" s="18"/>
      <c r="CV884" s="18"/>
      <c r="CW884" s="18"/>
      <c r="CX884" s="18"/>
      <c r="CY884" s="18"/>
      <c r="CZ884" s="18"/>
      <c r="DA884" s="18"/>
      <c r="DB884" s="18"/>
      <c r="DC884" s="18"/>
      <c r="DD884" s="18"/>
      <c r="DE884" s="18"/>
      <c r="DF884" s="18"/>
      <c r="DG884" s="18"/>
      <c r="DH884" s="18"/>
      <c r="DI884" s="18"/>
      <c r="DJ884" s="18"/>
      <c r="DK884" s="18"/>
      <c r="DL884" s="18"/>
      <c r="DM884" s="18"/>
      <c r="DN884" s="18"/>
      <c r="DO884" s="18"/>
      <c r="DP884" s="18"/>
      <c r="DQ884" s="18"/>
      <c r="DR884" s="18"/>
      <c r="DS884" s="18"/>
      <c r="DT884" s="18"/>
      <c r="DU884" s="18"/>
      <c r="DV884" s="18"/>
      <c r="DW884" s="18"/>
      <c r="DX884" s="18"/>
      <c r="DY884" s="18"/>
      <c r="DZ884" s="18"/>
      <c r="EA884" s="18"/>
      <c r="EB884" s="18"/>
      <c r="EC884" s="18"/>
      <c r="ED884" s="18"/>
      <c r="EE884" s="18"/>
      <c r="EF884" s="18"/>
      <c r="EG884" s="18"/>
      <c r="EH884" s="18"/>
      <c r="EI884" s="18"/>
      <c r="EJ884" s="18"/>
      <c r="EK884" s="18"/>
      <c r="EL884" s="18"/>
      <c r="EM884" s="18"/>
      <c r="EN884" s="18"/>
      <c r="EO884" s="18"/>
      <c r="EP884" s="18"/>
      <c r="EQ884" s="18"/>
      <c r="ER884" s="18"/>
      <c r="ES884" s="18"/>
      <c r="ET884" s="18"/>
      <c r="EU884" s="18"/>
      <c r="EV884" s="18"/>
      <c r="EW884" s="18"/>
      <c r="EX884" s="18"/>
    </row>
    <row r="885">
      <c r="A885" s="101"/>
      <c r="B885" s="105"/>
      <c r="C885" s="105"/>
      <c r="D885" s="106"/>
      <c r="E885" s="110"/>
      <c r="F885" s="92"/>
      <c r="G885" s="18"/>
      <c r="H885" s="101" t="str">
        <f>IFERROR(__xludf.DUMMYFUNCTION("""COMPUTED_VALUE"""),"")</f>
        <v/>
      </c>
      <c r="I885" s="67" t="str">
        <f>IFERROR(__xludf.DUMMYFUNCTION("""COMPUTED_VALUE"""),"")</f>
        <v/>
      </c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8"/>
      <c r="CQ885" s="18"/>
      <c r="CR885" s="18"/>
      <c r="CS885" s="18"/>
      <c r="CT885" s="18"/>
      <c r="CU885" s="18"/>
      <c r="CV885" s="18"/>
      <c r="CW885" s="18"/>
      <c r="CX885" s="18"/>
      <c r="CY885" s="18"/>
      <c r="CZ885" s="18"/>
      <c r="DA885" s="18"/>
      <c r="DB885" s="18"/>
      <c r="DC885" s="18"/>
      <c r="DD885" s="18"/>
      <c r="DE885" s="18"/>
      <c r="DF885" s="18"/>
      <c r="DG885" s="18"/>
      <c r="DH885" s="18"/>
      <c r="DI885" s="18"/>
      <c r="DJ885" s="18"/>
      <c r="DK885" s="18"/>
      <c r="DL885" s="18"/>
      <c r="DM885" s="18"/>
      <c r="DN885" s="18"/>
      <c r="DO885" s="18"/>
      <c r="DP885" s="18"/>
      <c r="DQ885" s="18"/>
      <c r="DR885" s="18"/>
      <c r="DS885" s="18"/>
      <c r="DT885" s="18"/>
      <c r="DU885" s="18"/>
      <c r="DV885" s="18"/>
      <c r="DW885" s="18"/>
      <c r="DX885" s="18"/>
      <c r="DY885" s="18"/>
      <c r="DZ885" s="18"/>
      <c r="EA885" s="18"/>
      <c r="EB885" s="18"/>
      <c r="EC885" s="18"/>
      <c r="ED885" s="18"/>
      <c r="EE885" s="18"/>
      <c r="EF885" s="18"/>
      <c r="EG885" s="18"/>
      <c r="EH885" s="18"/>
      <c r="EI885" s="18"/>
      <c r="EJ885" s="18"/>
      <c r="EK885" s="18"/>
      <c r="EL885" s="18"/>
      <c r="EM885" s="18"/>
      <c r="EN885" s="18"/>
      <c r="EO885" s="18"/>
      <c r="EP885" s="18"/>
      <c r="EQ885" s="18"/>
      <c r="ER885" s="18"/>
      <c r="ES885" s="18"/>
      <c r="ET885" s="18"/>
      <c r="EU885" s="18"/>
      <c r="EV885" s="18"/>
      <c r="EW885" s="18"/>
      <c r="EX885" s="18"/>
    </row>
    <row r="886">
      <c r="A886" s="101"/>
      <c r="B886" s="105"/>
      <c r="C886" s="105"/>
      <c r="D886" s="106"/>
      <c r="E886" s="110"/>
      <c r="F886" s="92"/>
      <c r="G886" s="18"/>
      <c r="H886" s="101" t="str">
        <f>IFERROR(__xludf.DUMMYFUNCTION("""COMPUTED_VALUE"""),"")</f>
        <v/>
      </c>
      <c r="I886" s="67" t="str">
        <f>IFERROR(__xludf.DUMMYFUNCTION("""COMPUTED_VALUE"""),"")</f>
        <v/>
      </c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  <c r="CP886" s="18"/>
      <c r="CQ886" s="18"/>
      <c r="CR886" s="18"/>
      <c r="CS886" s="18"/>
      <c r="CT886" s="18"/>
      <c r="CU886" s="18"/>
      <c r="CV886" s="18"/>
      <c r="CW886" s="18"/>
      <c r="CX886" s="18"/>
      <c r="CY886" s="18"/>
      <c r="CZ886" s="18"/>
      <c r="DA886" s="18"/>
      <c r="DB886" s="18"/>
      <c r="DC886" s="18"/>
      <c r="DD886" s="18"/>
      <c r="DE886" s="18"/>
      <c r="DF886" s="18"/>
      <c r="DG886" s="18"/>
      <c r="DH886" s="18"/>
      <c r="DI886" s="18"/>
      <c r="DJ886" s="18"/>
      <c r="DK886" s="18"/>
      <c r="DL886" s="18"/>
      <c r="DM886" s="18"/>
      <c r="DN886" s="18"/>
      <c r="DO886" s="18"/>
      <c r="DP886" s="18"/>
      <c r="DQ886" s="18"/>
      <c r="DR886" s="18"/>
      <c r="DS886" s="18"/>
      <c r="DT886" s="18"/>
      <c r="DU886" s="18"/>
      <c r="DV886" s="18"/>
      <c r="DW886" s="18"/>
      <c r="DX886" s="18"/>
      <c r="DY886" s="18"/>
      <c r="DZ886" s="18"/>
      <c r="EA886" s="18"/>
      <c r="EB886" s="18"/>
      <c r="EC886" s="18"/>
      <c r="ED886" s="18"/>
      <c r="EE886" s="18"/>
      <c r="EF886" s="18"/>
      <c r="EG886" s="18"/>
      <c r="EH886" s="18"/>
      <c r="EI886" s="18"/>
      <c r="EJ886" s="18"/>
      <c r="EK886" s="18"/>
      <c r="EL886" s="18"/>
      <c r="EM886" s="18"/>
      <c r="EN886" s="18"/>
      <c r="EO886" s="18"/>
      <c r="EP886" s="18"/>
      <c r="EQ886" s="18"/>
      <c r="ER886" s="18"/>
      <c r="ES886" s="18"/>
      <c r="ET886" s="18"/>
      <c r="EU886" s="18"/>
      <c r="EV886" s="18"/>
      <c r="EW886" s="18"/>
      <c r="EX886" s="18"/>
    </row>
    <row r="887">
      <c r="A887" s="101"/>
      <c r="B887" s="105"/>
      <c r="C887" s="105"/>
      <c r="D887" s="106"/>
      <c r="E887" s="110"/>
      <c r="F887" s="92"/>
      <c r="G887" s="18"/>
      <c r="H887" s="101" t="str">
        <f>IFERROR(__xludf.DUMMYFUNCTION("""COMPUTED_VALUE"""),"")</f>
        <v/>
      </c>
      <c r="I887" s="67" t="str">
        <f>IFERROR(__xludf.DUMMYFUNCTION("""COMPUTED_VALUE"""),"")</f>
        <v/>
      </c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  <c r="CP887" s="18"/>
      <c r="CQ887" s="18"/>
      <c r="CR887" s="18"/>
      <c r="CS887" s="18"/>
      <c r="CT887" s="18"/>
      <c r="CU887" s="18"/>
      <c r="CV887" s="18"/>
      <c r="CW887" s="18"/>
      <c r="CX887" s="18"/>
      <c r="CY887" s="18"/>
      <c r="CZ887" s="18"/>
      <c r="DA887" s="18"/>
      <c r="DB887" s="18"/>
      <c r="DC887" s="18"/>
      <c r="DD887" s="18"/>
      <c r="DE887" s="18"/>
      <c r="DF887" s="18"/>
      <c r="DG887" s="18"/>
      <c r="DH887" s="18"/>
      <c r="DI887" s="18"/>
      <c r="DJ887" s="18"/>
      <c r="DK887" s="18"/>
      <c r="DL887" s="18"/>
      <c r="DM887" s="18"/>
      <c r="DN887" s="18"/>
      <c r="DO887" s="18"/>
      <c r="DP887" s="18"/>
      <c r="DQ887" s="18"/>
      <c r="DR887" s="18"/>
      <c r="DS887" s="18"/>
      <c r="DT887" s="18"/>
      <c r="DU887" s="18"/>
      <c r="DV887" s="18"/>
      <c r="DW887" s="18"/>
      <c r="DX887" s="18"/>
      <c r="DY887" s="18"/>
      <c r="DZ887" s="18"/>
      <c r="EA887" s="18"/>
      <c r="EB887" s="18"/>
      <c r="EC887" s="18"/>
      <c r="ED887" s="18"/>
      <c r="EE887" s="18"/>
      <c r="EF887" s="18"/>
      <c r="EG887" s="18"/>
      <c r="EH887" s="18"/>
      <c r="EI887" s="18"/>
      <c r="EJ887" s="18"/>
      <c r="EK887" s="18"/>
      <c r="EL887" s="18"/>
      <c r="EM887" s="18"/>
      <c r="EN887" s="18"/>
      <c r="EO887" s="18"/>
      <c r="EP887" s="18"/>
      <c r="EQ887" s="18"/>
      <c r="ER887" s="18"/>
      <c r="ES887" s="18"/>
      <c r="ET887" s="18"/>
      <c r="EU887" s="18"/>
      <c r="EV887" s="18"/>
      <c r="EW887" s="18"/>
      <c r="EX887" s="18"/>
    </row>
    <row r="888">
      <c r="A888" s="101"/>
      <c r="B888" s="105"/>
      <c r="C888" s="105"/>
      <c r="D888" s="106"/>
      <c r="E888" s="110"/>
      <c r="F888" s="92"/>
      <c r="G888" s="18"/>
      <c r="H888" s="101" t="str">
        <f>IFERROR(__xludf.DUMMYFUNCTION("""COMPUTED_VALUE"""),"")</f>
        <v/>
      </c>
      <c r="I888" s="67" t="str">
        <f>IFERROR(__xludf.DUMMYFUNCTION("""COMPUTED_VALUE"""),"")</f>
        <v/>
      </c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  <c r="CP888" s="18"/>
      <c r="CQ888" s="18"/>
      <c r="CR888" s="18"/>
      <c r="CS888" s="18"/>
      <c r="CT888" s="18"/>
      <c r="CU888" s="18"/>
      <c r="CV888" s="18"/>
      <c r="CW888" s="18"/>
      <c r="CX888" s="18"/>
      <c r="CY888" s="18"/>
      <c r="CZ888" s="18"/>
      <c r="DA888" s="18"/>
      <c r="DB888" s="18"/>
      <c r="DC888" s="18"/>
      <c r="DD888" s="18"/>
      <c r="DE888" s="18"/>
      <c r="DF888" s="18"/>
      <c r="DG888" s="18"/>
      <c r="DH888" s="18"/>
      <c r="DI888" s="18"/>
      <c r="DJ888" s="18"/>
      <c r="DK888" s="18"/>
      <c r="DL888" s="18"/>
      <c r="DM888" s="18"/>
      <c r="DN888" s="18"/>
      <c r="DO888" s="18"/>
      <c r="DP888" s="18"/>
      <c r="DQ888" s="18"/>
      <c r="DR888" s="18"/>
      <c r="DS888" s="18"/>
      <c r="DT888" s="18"/>
      <c r="DU888" s="18"/>
      <c r="DV888" s="18"/>
      <c r="DW888" s="18"/>
      <c r="DX888" s="18"/>
      <c r="DY888" s="18"/>
      <c r="DZ888" s="18"/>
      <c r="EA888" s="18"/>
      <c r="EB888" s="18"/>
      <c r="EC888" s="18"/>
      <c r="ED888" s="18"/>
      <c r="EE888" s="18"/>
      <c r="EF888" s="18"/>
      <c r="EG888" s="18"/>
      <c r="EH888" s="18"/>
      <c r="EI888" s="18"/>
      <c r="EJ888" s="18"/>
      <c r="EK888" s="18"/>
      <c r="EL888" s="18"/>
      <c r="EM888" s="18"/>
      <c r="EN888" s="18"/>
      <c r="EO888" s="18"/>
      <c r="EP888" s="18"/>
      <c r="EQ888" s="18"/>
      <c r="ER888" s="18"/>
      <c r="ES888" s="18"/>
      <c r="ET888" s="18"/>
      <c r="EU888" s="18"/>
      <c r="EV888" s="18"/>
      <c r="EW888" s="18"/>
      <c r="EX888" s="18"/>
    </row>
    <row r="889">
      <c r="A889" s="101"/>
      <c r="B889" s="105"/>
      <c r="C889" s="105"/>
      <c r="D889" s="106"/>
      <c r="E889" s="110"/>
      <c r="F889" s="92"/>
      <c r="G889" s="18"/>
      <c r="H889" s="101" t="str">
        <f>IFERROR(__xludf.DUMMYFUNCTION("""COMPUTED_VALUE"""),"")</f>
        <v/>
      </c>
      <c r="I889" s="67" t="str">
        <f>IFERROR(__xludf.DUMMYFUNCTION("""COMPUTED_VALUE"""),"")</f>
        <v/>
      </c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  <c r="CP889" s="18"/>
      <c r="CQ889" s="18"/>
      <c r="CR889" s="18"/>
      <c r="CS889" s="18"/>
      <c r="CT889" s="18"/>
      <c r="CU889" s="18"/>
      <c r="CV889" s="18"/>
      <c r="CW889" s="18"/>
      <c r="CX889" s="18"/>
      <c r="CY889" s="18"/>
      <c r="CZ889" s="18"/>
      <c r="DA889" s="18"/>
      <c r="DB889" s="18"/>
      <c r="DC889" s="18"/>
      <c r="DD889" s="18"/>
      <c r="DE889" s="18"/>
      <c r="DF889" s="18"/>
      <c r="DG889" s="18"/>
      <c r="DH889" s="18"/>
      <c r="DI889" s="18"/>
      <c r="DJ889" s="18"/>
      <c r="DK889" s="18"/>
      <c r="DL889" s="18"/>
      <c r="DM889" s="18"/>
      <c r="DN889" s="18"/>
      <c r="DO889" s="18"/>
      <c r="DP889" s="18"/>
      <c r="DQ889" s="18"/>
      <c r="DR889" s="18"/>
      <c r="DS889" s="18"/>
      <c r="DT889" s="18"/>
      <c r="DU889" s="18"/>
      <c r="DV889" s="18"/>
      <c r="DW889" s="18"/>
      <c r="DX889" s="18"/>
      <c r="DY889" s="18"/>
      <c r="DZ889" s="18"/>
      <c r="EA889" s="18"/>
      <c r="EB889" s="18"/>
      <c r="EC889" s="18"/>
      <c r="ED889" s="18"/>
      <c r="EE889" s="18"/>
      <c r="EF889" s="18"/>
      <c r="EG889" s="18"/>
      <c r="EH889" s="18"/>
      <c r="EI889" s="18"/>
      <c r="EJ889" s="18"/>
      <c r="EK889" s="18"/>
      <c r="EL889" s="18"/>
      <c r="EM889" s="18"/>
      <c r="EN889" s="18"/>
      <c r="EO889" s="18"/>
      <c r="EP889" s="18"/>
      <c r="EQ889" s="18"/>
      <c r="ER889" s="18"/>
      <c r="ES889" s="18"/>
      <c r="ET889" s="18"/>
      <c r="EU889" s="18"/>
      <c r="EV889" s="18"/>
      <c r="EW889" s="18"/>
      <c r="EX889" s="18"/>
    </row>
    <row r="890">
      <c r="A890" s="101"/>
      <c r="B890" s="105"/>
      <c r="C890" s="105"/>
      <c r="D890" s="106"/>
      <c r="E890" s="110"/>
      <c r="F890" s="92"/>
      <c r="G890" s="18"/>
      <c r="H890" s="101" t="str">
        <f>IFERROR(__xludf.DUMMYFUNCTION("""COMPUTED_VALUE"""),"")</f>
        <v/>
      </c>
      <c r="I890" s="67" t="str">
        <f>IFERROR(__xludf.DUMMYFUNCTION("""COMPUTED_VALUE"""),"")</f>
        <v/>
      </c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  <c r="CP890" s="18"/>
      <c r="CQ890" s="18"/>
      <c r="CR890" s="18"/>
      <c r="CS890" s="18"/>
      <c r="CT890" s="18"/>
      <c r="CU890" s="18"/>
      <c r="CV890" s="18"/>
      <c r="CW890" s="18"/>
      <c r="CX890" s="18"/>
      <c r="CY890" s="18"/>
      <c r="CZ890" s="18"/>
      <c r="DA890" s="18"/>
      <c r="DB890" s="18"/>
      <c r="DC890" s="18"/>
      <c r="DD890" s="18"/>
      <c r="DE890" s="18"/>
      <c r="DF890" s="18"/>
      <c r="DG890" s="18"/>
      <c r="DH890" s="18"/>
      <c r="DI890" s="18"/>
      <c r="DJ890" s="18"/>
      <c r="DK890" s="18"/>
      <c r="DL890" s="18"/>
      <c r="DM890" s="18"/>
      <c r="DN890" s="18"/>
      <c r="DO890" s="18"/>
      <c r="DP890" s="18"/>
      <c r="DQ890" s="18"/>
      <c r="DR890" s="18"/>
      <c r="DS890" s="18"/>
      <c r="DT890" s="18"/>
      <c r="DU890" s="18"/>
      <c r="DV890" s="18"/>
      <c r="DW890" s="18"/>
      <c r="DX890" s="18"/>
      <c r="DY890" s="18"/>
      <c r="DZ890" s="18"/>
      <c r="EA890" s="18"/>
      <c r="EB890" s="18"/>
      <c r="EC890" s="18"/>
      <c r="ED890" s="18"/>
      <c r="EE890" s="18"/>
      <c r="EF890" s="18"/>
      <c r="EG890" s="18"/>
      <c r="EH890" s="18"/>
      <c r="EI890" s="18"/>
      <c r="EJ890" s="18"/>
      <c r="EK890" s="18"/>
      <c r="EL890" s="18"/>
      <c r="EM890" s="18"/>
      <c r="EN890" s="18"/>
      <c r="EO890" s="18"/>
      <c r="EP890" s="18"/>
      <c r="EQ890" s="18"/>
      <c r="ER890" s="18"/>
      <c r="ES890" s="18"/>
      <c r="ET890" s="18"/>
      <c r="EU890" s="18"/>
      <c r="EV890" s="18"/>
      <c r="EW890" s="18"/>
      <c r="EX890" s="18"/>
    </row>
    <row r="891">
      <c r="A891" s="101"/>
      <c r="B891" s="105"/>
      <c r="C891" s="105"/>
      <c r="D891" s="106"/>
      <c r="E891" s="110"/>
      <c r="F891" s="92"/>
      <c r="G891" s="18"/>
      <c r="H891" s="101" t="str">
        <f>IFERROR(__xludf.DUMMYFUNCTION("""COMPUTED_VALUE"""),"")</f>
        <v/>
      </c>
      <c r="I891" s="67" t="str">
        <f>IFERROR(__xludf.DUMMYFUNCTION("""COMPUTED_VALUE"""),"")</f>
        <v/>
      </c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  <c r="CP891" s="18"/>
      <c r="CQ891" s="18"/>
      <c r="CR891" s="18"/>
      <c r="CS891" s="18"/>
      <c r="CT891" s="18"/>
      <c r="CU891" s="18"/>
      <c r="CV891" s="18"/>
      <c r="CW891" s="18"/>
      <c r="CX891" s="18"/>
      <c r="CY891" s="18"/>
      <c r="CZ891" s="18"/>
      <c r="DA891" s="18"/>
      <c r="DB891" s="18"/>
      <c r="DC891" s="18"/>
      <c r="DD891" s="18"/>
      <c r="DE891" s="18"/>
      <c r="DF891" s="18"/>
      <c r="DG891" s="18"/>
      <c r="DH891" s="18"/>
      <c r="DI891" s="18"/>
      <c r="DJ891" s="18"/>
      <c r="DK891" s="18"/>
      <c r="DL891" s="18"/>
      <c r="DM891" s="18"/>
      <c r="DN891" s="18"/>
      <c r="DO891" s="18"/>
      <c r="DP891" s="18"/>
      <c r="DQ891" s="18"/>
      <c r="DR891" s="18"/>
      <c r="DS891" s="18"/>
      <c r="DT891" s="18"/>
      <c r="DU891" s="18"/>
      <c r="DV891" s="18"/>
      <c r="DW891" s="18"/>
      <c r="DX891" s="18"/>
      <c r="DY891" s="18"/>
      <c r="DZ891" s="18"/>
      <c r="EA891" s="18"/>
      <c r="EB891" s="18"/>
      <c r="EC891" s="18"/>
      <c r="ED891" s="18"/>
      <c r="EE891" s="18"/>
      <c r="EF891" s="18"/>
      <c r="EG891" s="18"/>
      <c r="EH891" s="18"/>
      <c r="EI891" s="18"/>
      <c r="EJ891" s="18"/>
      <c r="EK891" s="18"/>
      <c r="EL891" s="18"/>
      <c r="EM891" s="18"/>
      <c r="EN891" s="18"/>
      <c r="EO891" s="18"/>
      <c r="EP891" s="18"/>
      <c r="EQ891" s="18"/>
      <c r="ER891" s="18"/>
      <c r="ES891" s="18"/>
      <c r="ET891" s="18"/>
      <c r="EU891" s="18"/>
      <c r="EV891" s="18"/>
      <c r="EW891" s="18"/>
      <c r="EX891" s="18"/>
    </row>
    <row r="892">
      <c r="A892" s="101"/>
      <c r="B892" s="105"/>
      <c r="C892" s="105"/>
      <c r="D892" s="106"/>
      <c r="E892" s="110"/>
      <c r="F892" s="92"/>
      <c r="G892" s="18"/>
      <c r="H892" s="101" t="str">
        <f>IFERROR(__xludf.DUMMYFUNCTION("""COMPUTED_VALUE"""),"")</f>
        <v/>
      </c>
      <c r="I892" s="67" t="str">
        <f>IFERROR(__xludf.DUMMYFUNCTION("""COMPUTED_VALUE"""),"")</f>
        <v/>
      </c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  <c r="CP892" s="18"/>
      <c r="CQ892" s="18"/>
      <c r="CR892" s="18"/>
      <c r="CS892" s="18"/>
      <c r="CT892" s="18"/>
      <c r="CU892" s="18"/>
      <c r="CV892" s="18"/>
      <c r="CW892" s="18"/>
      <c r="CX892" s="18"/>
      <c r="CY892" s="18"/>
      <c r="CZ892" s="18"/>
      <c r="DA892" s="18"/>
      <c r="DB892" s="18"/>
      <c r="DC892" s="18"/>
      <c r="DD892" s="18"/>
      <c r="DE892" s="18"/>
      <c r="DF892" s="18"/>
      <c r="DG892" s="18"/>
      <c r="DH892" s="18"/>
      <c r="DI892" s="18"/>
      <c r="DJ892" s="18"/>
      <c r="DK892" s="18"/>
      <c r="DL892" s="18"/>
      <c r="DM892" s="18"/>
      <c r="DN892" s="18"/>
      <c r="DO892" s="18"/>
      <c r="DP892" s="18"/>
      <c r="DQ892" s="18"/>
      <c r="DR892" s="18"/>
      <c r="DS892" s="18"/>
      <c r="DT892" s="18"/>
      <c r="DU892" s="18"/>
      <c r="DV892" s="18"/>
      <c r="DW892" s="18"/>
      <c r="DX892" s="18"/>
      <c r="DY892" s="18"/>
      <c r="DZ892" s="18"/>
      <c r="EA892" s="18"/>
      <c r="EB892" s="18"/>
      <c r="EC892" s="18"/>
      <c r="ED892" s="18"/>
      <c r="EE892" s="18"/>
      <c r="EF892" s="18"/>
      <c r="EG892" s="18"/>
      <c r="EH892" s="18"/>
      <c r="EI892" s="18"/>
      <c r="EJ892" s="18"/>
      <c r="EK892" s="18"/>
      <c r="EL892" s="18"/>
      <c r="EM892" s="18"/>
      <c r="EN892" s="18"/>
      <c r="EO892" s="18"/>
      <c r="EP892" s="18"/>
      <c r="EQ892" s="18"/>
      <c r="ER892" s="18"/>
      <c r="ES892" s="18"/>
      <c r="ET892" s="18"/>
      <c r="EU892" s="18"/>
      <c r="EV892" s="18"/>
      <c r="EW892" s="18"/>
      <c r="EX892" s="18"/>
    </row>
    <row r="893">
      <c r="A893" s="101"/>
      <c r="B893" s="105"/>
      <c r="C893" s="105"/>
      <c r="D893" s="106"/>
      <c r="E893" s="110"/>
      <c r="F893" s="92"/>
      <c r="G893" s="18"/>
      <c r="H893" s="101" t="str">
        <f>IFERROR(__xludf.DUMMYFUNCTION("""COMPUTED_VALUE"""),"")</f>
        <v/>
      </c>
      <c r="I893" s="67" t="str">
        <f>IFERROR(__xludf.DUMMYFUNCTION("""COMPUTED_VALUE"""),"")</f>
        <v/>
      </c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  <c r="CP893" s="18"/>
      <c r="CQ893" s="18"/>
      <c r="CR893" s="18"/>
      <c r="CS893" s="18"/>
      <c r="CT893" s="18"/>
      <c r="CU893" s="18"/>
      <c r="CV893" s="18"/>
      <c r="CW893" s="18"/>
      <c r="CX893" s="18"/>
      <c r="CY893" s="18"/>
      <c r="CZ893" s="18"/>
      <c r="DA893" s="18"/>
      <c r="DB893" s="18"/>
      <c r="DC893" s="18"/>
      <c r="DD893" s="18"/>
      <c r="DE893" s="18"/>
      <c r="DF893" s="18"/>
      <c r="DG893" s="18"/>
      <c r="DH893" s="18"/>
      <c r="DI893" s="18"/>
      <c r="DJ893" s="18"/>
      <c r="DK893" s="18"/>
      <c r="DL893" s="18"/>
      <c r="DM893" s="18"/>
      <c r="DN893" s="18"/>
      <c r="DO893" s="18"/>
      <c r="DP893" s="18"/>
      <c r="DQ893" s="18"/>
      <c r="DR893" s="18"/>
      <c r="DS893" s="18"/>
      <c r="DT893" s="18"/>
      <c r="DU893" s="18"/>
      <c r="DV893" s="18"/>
      <c r="DW893" s="18"/>
      <c r="DX893" s="18"/>
      <c r="DY893" s="18"/>
      <c r="DZ893" s="18"/>
      <c r="EA893" s="18"/>
      <c r="EB893" s="18"/>
      <c r="EC893" s="18"/>
      <c r="ED893" s="18"/>
      <c r="EE893" s="18"/>
      <c r="EF893" s="18"/>
      <c r="EG893" s="18"/>
      <c r="EH893" s="18"/>
      <c r="EI893" s="18"/>
      <c r="EJ893" s="18"/>
      <c r="EK893" s="18"/>
      <c r="EL893" s="18"/>
      <c r="EM893" s="18"/>
      <c r="EN893" s="18"/>
      <c r="EO893" s="18"/>
      <c r="EP893" s="18"/>
      <c r="EQ893" s="18"/>
      <c r="ER893" s="18"/>
      <c r="ES893" s="18"/>
      <c r="ET893" s="18"/>
      <c r="EU893" s="18"/>
      <c r="EV893" s="18"/>
      <c r="EW893" s="18"/>
      <c r="EX893" s="18"/>
    </row>
    <row r="894">
      <c r="A894" s="101"/>
      <c r="B894" s="105"/>
      <c r="C894" s="105"/>
      <c r="D894" s="106"/>
      <c r="E894" s="110"/>
      <c r="F894" s="92"/>
      <c r="G894" s="18"/>
      <c r="H894" s="101" t="str">
        <f>IFERROR(__xludf.DUMMYFUNCTION("""COMPUTED_VALUE"""),"")</f>
        <v/>
      </c>
      <c r="I894" s="67" t="str">
        <f>IFERROR(__xludf.DUMMYFUNCTION("""COMPUTED_VALUE"""),"")</f>
        <v/>
      </c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  <c r="CP894" s="18"/>
      <c r="CQ894" s="18"/>
      <c r="CR894" s="18"/>
      <c r="CS894" s="18"/>
      <c r="CT894" s="18"/>
      <c r="CU894" s="18"/>
      <c r="CV894" s="18"/>
      <c r="CW894" s="18"/>
      <c r="CX894" s="18"/>
      <c r="CY894" s="18"/>
      <c r="CZ894" s="18"/>
      <c r="DA894" s="18"/>
      <c r="DB894" s="18"/>
      <c r="DC894" s="18"/>
      <c r="DD894" s="18"/>
      <c r="DE894" s="18"/>
      <c r="DF894" s="18"/>
      <c r="DG894" s="18"/>
      <c r="DH894" s="18"/>
      <c r="DI894" s="18"/>
      <c r="DJ894" s="18"/>
      <c r="DK894" s="18"/>
      <c r="DL894" s="18"/>
      <c r="DM894" s="18"/>
      <c r="DN894" s="18"/>
      <c r="DO894" s="18"/>
      <c r="DP894" s="18"/>
      <c r="DQ894" s="18"/>
      <c r="DR894" s="18"/>
      <c r="DS894" s="18"/>
      <c r="DT894" s="18"/>
      <c r="DU894" s="18"/>
      <c r="DV894" s="18"/>
      <c r="DW894" s="18"/>
      <c r="DX894" s="18"/>
      <c r="DY894" s="18"/>
      <c r="DZ894" s="18"/>
      <c r="EA894" s="18"/>
      <c r="EB894" s="18"/>
      <c r="EC894" s="18"/>
      <c r="ED894" s="18"/>
      <c r="EE894" s="18"/>
      <c r="EF894" s="18"/>
      <c r="EG894" s="18"/>
      <c r="EH894" s="18"/>
      <c r="EI894" s="18"/>
      <c r="EJ894" s="18"/>
      <c r="EK894" s="18"/>
      <c r="EL894" s="18"/>
      <c r="EM894" s="18"/>
      <c r="EN894" s="18"/>
      <c r="EO894" s="18"/>
      <c r="EP894" s="18"/>
      <c r="EQ894" s="18"/>
      <c r="ER894" s="18"/>
      <c r="ES894" s="18"/>
      <c r="ET894" s="18"/>
      <c r="EU894" s="18"/>
      <c r="EV894" s="18"/>
      <c r="EW894" s="18"/>
      <c r="EX894" s="18"/>
    </row>
    <row r="895">
      <c r="A895" s="101"/>
      <c r="B895" s="105"/>
      <c r="C895" s="105"/>
      <c r="D895" s="106"/>
      <c r="E895" s="110"/>
      <c r="F895" s="92"/>
      <c r="G895" s="18"/>
      <c r="H895" s="101" t="str">
        <f>IFERROR(__xludf.DUMMYFUNCTION("""COMPUTED_VALUE"""),"")</f>
        <v/>
      </c>
      <c r="I895" s="67" t="str">
        <f>IFERROR(__xludf.DUMMYFUNCTION("""COMPUTED_VALUE"""),"")</f>
        <v/>
      </c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  <c r="CP895" s="18"/>
      <c r="CQ895" s="18"/>
      <c r="CR895" s="18"/>
      <c r="CS895" s="18"/>
      <c r="CT895" s="18"/>
      <c r="CU895" s="18"/>
      <c r="CV895" s="18"/>
      <c r="CW895" s="18"/>
      <c r="CX895" s="18"/>
      <c r="CY895" s="18"/>
      <c r="CZ895" s="18"/>
      <c r="DA895" s="18"/>
      <c r="DB895" s="18"/>
      <c r="DC895" s="18"/>
      <c r="DD895" s="18"/>
      <c r="DE895" s="18"/>
      <c r="DF895" s="18"/>
      <c r="DG895" s="18"/>
      <c r="DH895" s="18"/>
      <c r="DI895" s="18"/>
      <c r="DJ895" s="18"/>
      <c r="DK895" s="18"/>
      <c r="DL895" s="18"/>
      <c r="DM895" s="18"/>
      <c r="DN895" s="18"/>
      <c r="DO895" s="18"/>
      <c r="DP895" s="18"/>
      <c r="DQ895" s="18"/>
      <c r="DR895" s="18"/>
      <c r="DS895" s="18"/>
      <c r="DT895" s="18"/>
      <c r="DU895" s="18"/>
      <c r="DV895" s="18"/>
      <c r="DW895" s="18"/>
      <c r="DX895" s="18"/>
      <c r="DY895" s="18"/>
      <c r="DZ895" s="18"/>
      <c r="EA895" s="18"/>
      <c r="EB895" s="18"/>
      <c r="EC895" s="18"/>
      <c r="ED895" s="18"/>
      <c r="EE895" s="18"/>
      <c r="EF895" s="18"/>
      <c r="EG895" s="18"/>
      <c r="EH895" s="18"/>
      <c r="EI895" s="18"/>
      <c r="EJ895" s="18"/>
      <c r="EK895" s="18"/>
      <c r="EL895" s="18"/>
      <c r="EM895" s="18"/>
      <c r="EN895" s="18"/>
      <c r="EO895" s="18"/>
      <c r="EP895" s="18"/>
      <c r="EQ895" s="18"/>
      <c r="ER895" s="18"/>
      <c r="ES895" s="18"/>
      <c r="ET895" s="18"/>
      <c r="EU895" s="18"/>
      <c r="EV895" s="18"/>
      <c r="EW895" s="18"/>
      <c r="EX895" s="18"/>
    </row>
    <row r="896">
      <c r="A896" s="101"/>
      <c r="B896" s="105"/>
      <c r="C896" s="105"/>
      <c r="D896" s="106"/>
      <c r="E896" s="110"/>
      <c r="F896" s="92"/>
      <c r="G896" s="18"/>
      <c r="H896" s="101" t="str">
        <f>IFERROR(__xludf.DUMMYFUNCTION("""COMPUTED_VALUE"""),"")</f>
        <v/>
      </c>
      <c r="I896" s="67" t="str">
        <f>IFERROR(__xludf.DUMMYFUNCTION("""COMPUTED_VALUE"""),"")</f>
        <v/>
      </c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  <c r="CP896" s="18"/>
      <c r="CQ896" s="18"/>
      <c r="CR896" s="18"/>
      <c r="CS896" s="18"/>
      <c r="CT896" s="18"/>
      <c r="CU896" s="18"/>
      <c r="CV896" s="18"/>
      <c r="CW896" s="18"/>
      <c r="CX896" s="18"/>
      <c r="CY896" s="18"/>
      <c r="CZ896" s="18"/>
      <c r="DA896" s="18"/>
      <c r="DB896" s="18"/>
      <c r="DC896" s="18"/>
      <c r="DD896" s="18"/>
      <c r="DE896" s="18"/>
      <c r="DF896" s="18"/>
      <c r="DG896" s="18"/>
      <c r="DH896" s="18"/>
      <c r="DI896" s="18"/>
      <c r="DJ896" s="18"/>
      <c r="DK896" s="18"/>
      <c r="DL896" s="18"/>
      <c r="DM896" s="18"/>
      <c r="DN896" s="18"/>
      <c r="DO896" s="18"/>
      <c r="DP896" s="18"/>
      <c r="DQ896" s="18"/>
      <c r="DR896" s="18"/>
      <c r="DS896" s="18"/>
      <c r="DT896" s="18"/>
      <c r="DU896" s="18"/>
      <c r="DV896" s="18"/>
      <c r="DW896" s="18"/>
      <c r="DX896" s="18"/>
      <c r="DY896" s="18"/>
      <c r="DZ896" s="18"/>
      <c r="EA896" s="18"/>
      <c r="EB896" s="18"/>
      <c r="EC896" s="18"/>
      <c r="ED896" s="18"/>
      <c r="EE896" s="18"/>
      <c r="EF896" s="18"/>
      <c r="EG896" s="18"/>
      <c r="EH896" s="18"/>
      <c r="EI896" s="18"/>
      <c r="EJ896" s="18"/>
      <c r="EK896" s="18"/>
      <c r="EL896" s="18"/>
      <c r="EM896" s="18"/>
      <c r="EN896" s="18"/>
      <c r="EO896" s="18"/>
      <c r="EP896" s="18"/>
      <c r="EQ896" s="18"/>
      <c r="ER896" s="18"/>
      <c r="ES896" s="18"/>
      <c r="ET896" s="18"/>
      <c r="EU896" s="18"/>
      <c r="EV896" s="18"/>
      <c r="EW896" s="18"/>
      <c r="EX896" s="18"/>
    </row>
    <row r="897">
      <c r="A897" s="101"/>
      <c r="B897" s="105"/>
      <c r="C897" s="105"/>
      <c r="D897" s="106"/>
      <c r="E897" s="110"/>
      <c r="F897" s="92"/>
      <c r="G897" s="18"/>
      <c r="H897" s="101" t="str">
        <f>IFERROR(__xludf.DUMMYFUNCTION("""COMPUTED_VALUE"""),"")</f>
        <v/>
      </c>
      <c r="I897" s="67" t="str">
        <f>IFERROR(__xludf.DUMMYFUNCTION("""COMPUTED_VALUE"""),"")</f>
        <v/>
      </c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  <c r="CP897" s="18"/>
      <c r="CQ897" s="18"/>
      <c r="CR897" s="18"/>
      <c r="CS897" s="18"/>
      <c r="CT897" s="18"/>
      <c r="CU897" s="18"/>
      <c r="CV897" s="18"/>
      <c r="CW897" s="18"/>
      <c r="CX897" s="18"/>
      <c r="CY897" s="18"/>
      <c r="CZ897" s="18"/>
      <c r="DA897" s="18"/>
      <c r="DB897" s="18"/>
      <c r="DC897" s="18"/>
      <c r="DD897" s="18"/>
      <c r="DE897" s="18"/>
      <c r="DF897" s="18"/>
      <c r="DG897" s="18"/>
      <c r="DH897" s="18"/>
      <c r="DI897" s="18"/>
      <c r="DJ897" s="18"/>
      <c r="DK897" s="18"/>
      <c r="DL897" s="18"/>
      <c r="DM897" s="18"/>
      <c r="DN897" s="18"/>
      <c r="DO897" s="18"/>
      <c r="DP897" s="18"/>
      <c r="DQ897" s="18"/>
      <c r="DR897" s="18"/>
      <c r="DS897" s="18"/>
      <c r="DT897" s="18"/>
      <c r="DU897" s="18"/>
      <c r="DV897" s="18"/>
      <c r="DW897" s="18"/>
      <c r="DX897" s="18"/>
      <c r="DY897" s="18"/>
      <c r="DZ897" s="18"/>
      <c r="EA897" s="18"/>
      <c r="EB897" s="18"/>
      <c r="EC897" s="18"/>
      <c r="ED897" s="18"/>
      <c r="EE897" s="18"/>
      <c r="EF897" s="18"/>
      <c r="EG897" s="18"/>
      <c r="EH897" s="18"/>
      <c r="EI897" s="18"/>
      <c r="EJ897" s="18"/>
      <c r="EK897" s="18"/>
      <c r="EL897" s="18"/>
      <c r="EM897" s="18"/>
      <c r="EN897" s="18"/>
      <c r="EO897" s="18"/>
      <c r="EP897" s="18"/>
      <c r="EQ897" s="18"/>
      <c r="ER897" s="18"/>
      <c r="ES897" s="18"/>
      <c r="ET897" s="18"/>
      <c r="EU897" s="18"/>
      <c r="EV897" s="18"/>
      <c r="EW897" s="18"/>
      <c r="EX897" s="18"/>
    </row>
    <row r="898">
      <c r="A898" s="101"/>
      <c r="B898" s="105"/>
      <c r="C898" s="105"/>
      <c r="D898" s="106"/>
      <c r="E898" s="110"/>
      <c r="F898" s="92"/>
      <c r="G898" s="18"/>
      <c r="H898" s="101" t="str">
        <f>IFERROR(__xludf.DUMMYFUNCTION("""COMPUTED_VALUE"""),"")</f>
        <v/>
      </c>
      <c r="I898" s="67" t="str">
        <f>IFERROR(__xludf.DUMMYFUNCTION("""COMPUTED_VALUE"""),"")</f>
        <v/>
      </c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  <c r="CP898" s="18"/>
      <c r="CQ898" s="18"/>
      <c r="CR898" s="18"/>
      <c r="CS898" s="18"/>
      <c r="CT898" s="18"/>
      <c r="CU898" s="18"/>
      <c r="CV898" s="18"/>
      <c r="CW898" s="18"/>
      <c r="CX898" s="18"/>
      <c r="CY898" s="18"/>
      <c r="CZ898" s="18"/>
      <c r="DA898" s="18"/>
      <c r="DB898" s="18"/>
      <c r="DC898" s="18"/>
      <c r="DD898" s="18"/>
      <c r="DE898" s="18"/>
      <c r="DF898" s="18"/>
      <c r="DG898" s="18"/>
      <c r="DH898" s="18"/>
      <c r="DI898" s="18"/>
      <c r="DJ898" s="18"/>
      <c r="DK898" s="18"/>
      <c r="DL898" s="18"/>
      <c r="DM898" s="18"/>
      <c r="DN898" s="18"/>
      <c r="DO898" s="18"/>
      <c r="DP898" s="18"/>
      <c r="DQ898" s="18"/>
      <c r="DR898" s="18"/>
      <c r="DS898" s="18"/>
      <c r="DT898" s="18"/>
      <c r="DU898" s="18"/>
      <c r="DV898" s="18"/>
      <c r="DW898" s="18"/>
      <c r="DX898" s="18"/>
      <c r="DY898" s="18"/>
      <c r="DZ898" s="18"/>
      <c r="EA898" s="18"/>
      <c r="EB898" s="18"/>
      <c r="EC898" s="18"/>
      <c r="ED898" s="18"/>
      <c r="EE898" s="18"/>
      <c r="EF898" s="18"/>
      <c r="EG898" s="18"/>
      <c r="EH898" s="18"/>
      <c r="EI898" s="18"/>
      <c r="EJ898" s="18"/>
      <c r="EK898" s="18"/>
      <c r="EL898" s="18"/>
      <c r="EM898" s="18"/>
      <c r="EN898" s="18"/>
      <c r="EO898" s="18"/>
      <c r="EP898" s="18"/>
      <c r="EQ898" s="18"/>
      <c r="ER898" s="18"/>
      <c r="ES898" s="18"/>
      <c r="ET898" s="18"/>
      <c r="EU898" s="18"/>
      <c r="EV898" s="18"/>
      <c r="EW898" s="18"/>
      <c r="EX898" s="18"/>
    </row>
    <row r="899">
      <c r="A899" s="101"/>
      <c r="B899" s="105"/>
      <c r="C899" s="105"/>
      <c r="D899" s="106"/>
      <c r="E899" s="110"/>
      <c r="F899" s="92"/>
      <c r="G899" s="18"/>
      <c r="H899" s="101" t="str">
        <f>IFERROR(__xludf.DUMMYFUNCTION("""COMPUTED_VALUE"""),"")</f>
        <v/>
      </c>
      <c r="I899" s="67" t="str">
        <f>IFERROR(__xludf.DUMMYFUNCTION("""COMPUTED_VALUE"""),"")</f>
        <v/>
      </c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  <c r="CP899" s="18"/>
      <c r="CQ899" s="18"/>
      <c r="CR899" s="18"/>
      <c r="CS899" s="18"/>
      <c r="CT899" s="18"/>
      <c r="CU899" s="18"/>
      <c r="CV899" s="18"/>
      <c r="CW899" s="18"/>
      <c r="CX899" s="18"/>
      <c r="CY899" s="18"/>
      <c r="CZ899" s="18"/>
      <c r="DA899" s="18"/>
      <c r="DB899" s="18"/>
      <c r="DC899" s="18"/>
      <c r="DD899" s="18"/>
      <c r="DE899" s="18"/>
      <c r="DF899" s="18"/>
      <c r="DG899" s="18"/>
      <c r="DH899" s="18"/>
      <c r="DI899" s="18"/>
      <c r="DJ899" s="18"/>
      <c r="DK899" s="18"/>
      <c r="DL899" s="18"/>
      <c r="DM899" s="18"/>
      <c r="DN899" s="18"/>
      <c r="DO899" s="18"/>
      <c r="DP899" s="18"/>
      <c r="DQ899" s="18"/>
      <c r="DR899" s="18"/>
      <c r="DS899" s="18"/>
      <c r="DT899" s="18"/>
      <c r="DU899" s="18"/>
      <c r="DV899" s="18"/>
      <c r="DW899" s="18"/>
      <c r="DX899" s="18"/>
      <c r="DY899" s="18"/>
      <c r="DZ899" s="18"/>
      <c r="EA899" s="18"/>
      <c r="EB899" s="18"/>
      <c r="EC899" s="18"/>
      <c r="ED899" s="18"/>
      <c r="EE899" s="18"/>
      <c r="EF899" s="18"/>
      <c r="EG899" s="18"/>
      <c r="EH899" s="18"/>
      <c r="EI899" s="18"/>
      <c r="EJ899" s="18"/>
      <c r="EK899" s="18"/>
      <c r="EL899" s="18"/>
      <c r="EM899" s="18"/>
      <c r="EN899" s="18"/>
      <c r="EO899" s="18"/>
      <c r="EP899" s="18"/>
      <c r="EQ899" s="18"/>
      <c r="ER899" s="18"/>
      <c r="ES899" s="18"/>
      <c r="ET899" s="18"/>
      <c r="EU899" s="18"/>
      <c r="EV899" s="18"/>
      <c r="EW899" s="18"/>
      <c r="EX899" s="18"/>
    </row>
    <row r="900">
      <c r="A900" s="101"/>
      <c r="B900" s="105"/>
      <c r="C900" s="105"/>
      <c r="D900" s="106"/>
      <c r="E900" s="110"/>
      <c r="F900" s="92"/>
      <c r="G900" s="18"/>
      <c r="H900" s="101" t="str">
        <f>IFERROR(__xludf.DUMMYFUNCTION("""COMPUTED_VALUE"""),"")</f>
        <v/>
      </c>
      <c r="I900" s="67" t="str">
        <f>IFERROR(__xludf.DUMMYFUNCTION("""COMPUTED_VALUE"""),"")</f>
        <v/>
      </c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  <c r="CP900" s="18"/>
      <c r="CQ900" s="18"/>
      <c r="CR900" s="18"/>
      <c r="CS900" s="18"/>
      <c r="CT900" s="18"/>
      <c r="CU900" s="18"/>
      <c r="CV900" s="18"/>
      <c r="CW900" s="18"/>
      <c r="CX900" s="18"/>
      <c r="CY900" s="18"/>
      <c r="CZ900" s="18"/>
      <c r="DA900" s="18"/>
      <c r="DB900" s="18"/>
      <c r="DC900" s="18"/>
      <c r="DD900" s="18"/>
      <c r="DE900" s="18"/>
      <c r="DF900" s="18"/>
      <c r="DG900" s="18"/>
      <c r="DH900" s="18"/>
      <c r="DI900" s="18"/>
      <c r="DJ900" s="18"/>
      <c r="DK900" s="18"/>
      <c r="DL900" s="18"/>
      <c r="DM900" s="18"/>
      <c r="DN900" s="18"/>
      <c r="DO900" s="18"/>
      <c r="DP900" s="18"/>
      <c r="DQ900" s="18"/>
      <c r="DR900" s="18"/>
      <c r="DS900" s="18"/>
      <c r="DT900" s="18"/>
      <c r="DU900" s="18"/>
      <c r="DV900" s="18"/>
      <c r="DW900" s="18"/>
      <c r="DX900" s="18"/>
      <c r="DY900" s="18"/>
      <c r="DZ900" s="18"/>
      <c r="EA900" s="18"/>
      <c r="EB900" s="18"/>
      <c r="EC900" s="18"/>
      <c r="ED900" s="18"/>
      <c r="EE900" s="18"/>
      <c r="EF900" s="18"/>
      <c r="EG900" s="18"/>
      <c r="EH900" s="18"/>
      <c r="EI900" s="18"/>
      <c r="EJ900" s="18"/>
      <c r="EK900" s="18"/>
      <c r="EL900" s="18"/>
      <c r="EM900" s="18"/>
      <c r="EN900" s="18"/>
      <c r="EO900" s="18"/>
      <c r="EP900" s="18"/>
      <c r="EQ900" s="18"/>
      <c r="ER900" s="18"/>
      <c r="ES900" s="18"/>
      <c r="ET900" s="18"/>
      <c r="EU900" s="18"/>
      <c r="EV900" s="18"/>
      <c r="EW900" s="18"/>
      <c r="EX900" s="18"/>
    </row>
    <row r="901">
      <c r="A901" s="101"/>
      <c r="B901" s="105"/>
      <c r="C901" s="105"/>
      <c r="D901" s="106"/>
      <c r="E901" s="110"/>
      <c r="F901" s="92"/>
      <c r="G901" s="18"/>
      <c r="H901" s="101" t="str">
        <f>IFERROR(__xludf.DUMMYFUNCTION("""COMPUTED_VALUE"""),"")</f>
        <v/>
      </c>
      <c r="I901" s="67" t="str">
        <f>IFERROR(__xludf.DUMMYFUNCTION("""COMPUTED_VALUE"""),"")</f>
        <v/>
      </c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  <c r="CP901" s="18"/>
      <c r="CQ901" s="18"/>
      <c r="CR901" s="18"/>
      <c r="CS901" s="18"/>
      <c r="CT901" s="18"/>
      <c r="CU901" s="18"/>
      <c r="CV901" s="18"/>
      <c r="CW901" s="18"/>
      <c r="CX901" s="18"/>
      <c r="CY901" s="18"/>
      <c r="CZ901" s="18"/>
      <c r="DA901" s="18"/>
      <c r="DB901" s="18"/>
      <c r="DC901" s="18"/>
      <c r="DD901" s="18"/>
      <c r="DE901" s="18"/>
      <c r="DF901" s="18"/>
      <c r="DG901" s="18"/>
      <c r="DH901" s="18"/>
      <c r="DI901" s="18"/>
      <c r="DJ901" s="18"/>
      <c r="DK901" s="18"/>
      <c r="DL901" s="18"/>
      <c r="DM901" s="18"/>
      <c r="DN901" s="18"/>
      <c r="DO901" s="18"/>
      <c r="DP901" s="18"/>
      <c r="DQ901" s="18"/>
      <c r="DR901" s="18"/>
      <c r="DS901" s="18"/>
      <c r="DT901" s="18"/>
      <c r="DU901" s="18"/>
      <c r="DV901" s="18"/>
      <c r="DW901" s="18"/>
      <c r="DX901" s="18"/>
      <c r="DY901" s="18"/>
      <c r="DZ901" s="18"/>
      <c r="EA901" s="18"/>
      <c r="EB901" s="18"/>
      <c r="EC901" s="18"/>
      <c r="ED901" s="18"/>
      <c r="EE901" s="18"/>
      <c r="EF901" s="18"/>
      <c r="EG901" s="18"/>
      <c r="EH901" s="18"/>
      <c r="EI901" s="18"/>
      <c r="EJ901" s="18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EU901" s="18"/>
      <c r="EV901" s="18"/>
      <c r="EW901" s="18"/>
      <c r="EX901" s="18"/>
    </row>
    <row r="902">
      <c r="A902" s="101"/>
      <c r="B902" s="105"/>
      <c r="C902" s="105"/>
      <c r="D902" s="106"/>
      <c r="E902" s="110"/>
      <c r="F902" s="92"/>
      <c r="G902" s="18"/>
      <c r="H902" s="101" t="str">
        <f>IFERROR(__xludf.DUMMYFUNCTION("""COMPUTED_VALUE"""),"")</f>
        <v/>
      </c>
      <c r="I902" s="67" t="str">
        <f>IFERROR(__xludf.DUMMYFUNCTION("""COMPUTED_VALUE"""),"")</f>
        <v/>
      </c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  <c r="CP902" s="18"/>
      <c r="CQ902" s="18"/>
      <c r="CR902" s="18"/>
      <c r="CS902" s="18"/>
      <c r="CT902" s="18"/>
      <c r="CU902" s="18"/>
      <c r="CV902" s="18"/>
      <c r="CW902" s="18"/>
      <c r="CX902" s="18"/>
      <c r="CY902" s="18"/>
      <c r="CZ902" s="18"/>
      <c r="DA902" s="18"/>
      <c r="DB902" s="18"/>
      <c r="DC902" s="18"/>
      <c r="DD902" s="18"/>
      <c r="DE902" s="18"/>
      <c r="DF902" s="18"/>
      <c r="DG902" s="18"/>
      <c r="DH902" s="18"/>
      <c r="DI902" s="18"/>
      <c r="DJ902" s="18"/>
      <c r="DK902" s="18"/>
      <c r="DL902" s="18"/>
      <c r="DM902" s="18"/>
      <c r="DN902" s="18"/>
      <c r="DO902" s="18"/>
      <c r="DP902" s="18"/>
      <c r="DQ902" s="18"/>
      <c r="DR902" s="18"/>
      <c r="DS902" s="18"/>
      <c r="DT902" s="18"/>
      <c r="DU902" s="18"/>
      <c r="DV902" s="18"/>
      <c r="DW902" s="18"/>
      <c r="DX902" s="18"/>
      <c r="DY902" s="18"/>
      <c r="DZ902" s="18"/>
      <c r="EA902" s="18"/>
      <c r="EB902" s="18"/>
      <c r="EC902" s="18"/>
      <c r="ED902" s="18"/>
      <c r="EE902" s="18"/>
      <c r="EF902" s="18"/>
      <c r="EG902" s="18"/>
      <c r="EH902" s="18"/>
      <c r="EI902" s="18"/>
      <c r="EJ902" s="18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EU902" s="18"/>
      <c r="EV902" s="18"/>
      <c r="EW902" s="18"/>
      <c r="EX902" s="18"/>
    </row>
    <row r="903">
      <c r="A903" s="101"/>
      <c r="B903" s="105"/>
      <c r="C903" s="105"/>
      <c r="D903" s="106"/>
      <c r="E903" s="110"/>
      <c r="F903" s="92"/>
      <c r="G903" s="18"/>
      <c r="H903" s="101" t="str">
        <f>IFERROR(__xludf.DUMMYFUNCTION("""COMPUTED_VALUE"""),"")</f>
        <v/>
      </c>
      <c r="I903" s="67" t="str">
        <f>IFERROR(__xludf.DUMMYFUNCTION("""COMPUTED_VALUE"""),"")</f>
        <v/>
      </c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  <c r="CP903" s="18"/>
      <c r="CQ903" s="18"/>
      <c r="CR903" s="18"/>
      <c r="CS903" s="18"/>
      <c r="CT903" s="18"/>
      <c r="CU903" s="18"/>
      <c r="CV903" s="18"/>
      <c r="CW903" s="18"/>
      <c r="CX903" s="18"/>
      <c r="CY903" s="18"/>
      <c r="CZ903" s="18"/>
      <c r="DA903" s="18"/>
      <c r="DB903" s="18"/>
      <c r="DC903" s="18"/>
      <c r="DD903" s="18"/>
      <c r="DE903" s="18"/>
      <c r="DF903" s="18"/>
      <c r="DG903" s="18"/>
      <c r="DH903" s="18"/>
      <c r="DI903" s="18"/>
      <c r="DJ903" s="18"/>
      <c r="DK903" s="18"/>
      <c r="DL903" s="18"/>
      <c r="DM903" s="18"/>
      <c r="DN903" s="18"/>
      <c r="DO903" s="18"/>
      <c r="DP903" s="18"/>
      <c r="DQ903" s="18"/>
      <c r="DR903" s="18"/>
      <c r="DS903" s="18"/>
      <c r="DT903" s="18"/>
      <c r="DU903" s="18"/>
      <c r="DV903" s="18"/>
      <c r="DW903" s="18"/>
      <c r="DX903" s="18"/>
      <c r="DY903" s="18"/>
      <c r="DZ903" s="18"/>
      <c r="EA903" s="18"/>
      <c r="EB903" s="18"/>
      <c r="EC903" s="18"/>
      <c r="ED903" s="18"/>
      <c r="EE903" s="18"/>
      <c r="EF903" s="18"/>
      <c r="EG903" s="18"/>
      <c r="EH903" s="18"/>
      <c r="EI903" s="18"/>
      <c r="EJ903" s="18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EU903" s="18"/>
      <c r="EV903" s="18"/>
      <c r="EW903" s="18"/>
      <c r="EX903" s="18"/>
    </row>
    <row r="904">
      <c r="A904" s="101"/>
      <c r="B904" s="105"/>
      <c r="C904" s="105"/>
      <c r="D904" s="106"/>
      <c r="E904" s="110"/>
      <c r="F904" s="92"/>
      <c r="G904" s="18"/>
      <c r="H904" s="101" t="str">
        <f>IFERROR(__xludf.DUMMYFUNCTION("""COMPUTED_VALUE"""),"")</f>
        <v/>
      </c>
      <c r="I904" s="67" t="str">
        <f>IFERROR(__xludf.DUMMYFUNCTION("""COMPUTED_VALUE"""),"")</f>
        <v/>
      </c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  <c r="CP904" s="18"/>
      <c r="CQ904" s="18"/>
      <c r="CR904" s="18"/>
      <c r="CS904" s="18"/>
      <c r="CT904" s="18"/>
      <c r="CU904" s="18"/>
      <c r="CV904" s="18"/>
      <c r="CW904" s="18"/>
      <c r="CX904" s="18"/>
      <c r="CY904" s="18"/>
      <c r="CZ904" s="18"/>
      <c r="DA904" s="18"/>
      <c r="DB904" s="18"/>
      <c r="DC904" s="18"/>
      <c r="DD904" s="18"/>
      <c r="DE904" s="18"/>
      <c r="DF904" s="18"/>
      <c r="DG904" s="18"/>
      <c r="DH904" s="18"/>
      <c r="DI904" s="18"/>
      <c r="DJ904" s="18"/>
      <c r="DK904" s="18"/>
      <c r="DL904" s="18"/>
      <c r="DM904" s="18"/>
      <c r="DN904" s="18"/>
      <c r="DO904" s="18"/>
      <c r="DP904" s="18"/>
      <c r="DQ904" s="18"/>
      <c r="DR904" s="18"/>
      <c r="DS904" s="18"/>
      <c r="DT904" s="18"/>
      <c r="DU904" s="18"/>
      <c r="DV904" s="18"/>
      <c r="DW904" s="18"/>
      <c r="DX904" s="18"/>
      <c r="DY904" s="18"/>
      <c r="DZ904" s="18"/>
      <c r="EA904" s="18"/>
      <c r="EB904" s="18"/>
      <c r="EC904" s="18"/>
      <c r="ED904" s="18"/>
      <c r="EE904" s="18"/>
      <c r="EF904" s="18"/>
      <c r="EG904" s="18"/>
      <c r="EH904" s="18"/>
      <c r="EI904" s="18"/>
      <c r="EJ904" s="18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EU904" s="18"/>
      <c r="EV904" s="18"/>
      <c r="EW904" s="18"/>
      <c r="EX904" s="18"/>
    </row>
    <row r="905">
      <c r="A905" s="101"/>
      <c r="B905" s="105"/>
      <c r="C905" s="105"/>
      <c r="D905" s="106"/>
      <c r="E905" s="110"/>
      <c r="F905" s="92"/>
      <c r="G905" s="18"/>
      <c r="H905" s="101" t="str">
        <f>IFERROR(__xludf.DUMMYFUNCTION("""COMPUTED_VALUE"""),"")</f>
        <v/>
      </c>
      <c r="I905" s="67" t="str">
        <f>IFERROR(__xludf.DUMMYFUNCTION("""COMPUTED_VALUE"""),"")</f>
        <v/>
      </c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  <c r="CP905" s="18"/>
      <c r="CQ905" s="18"/>
      <c r="CR905" s="18"/>
      <c r="CS905" s="18"/>
      <c r="CT905" s="18"/>
      <c r="CU905" s="18"/>
      <c r="CV905" s="18"/>
      <c r="CW905" s="18"/>
      <c r="CX905" s="18"/>
      <c r="CY905" s="18"/>
      <c r="CZ905" s="18"/>
      <c r="DA905" s="18"/>
      <c r="DB905" s="18"/>
      <c r="DC905" s="18"/>
      <c r="DD905" s="18"/>
      <c r="DE905" s="18"/>
      <c r="DF905" s="18"/>
      <c r="DG905" s="18"/>
      <c r="DH905" s="18"/>
      <c r="DI905" s="18"/>
      <c r="DJ905" s="18"/>
      <c r="DK905" s="18"/>
      <c r="DL905" s="18"/>
      <c r="DM905" s="18"/>
      <c r="DN905" s="18"/>
      <c r="DO905" s="18"/>
      <c r="DP905" s="18"/>
      <c r="DQ905" s="18"/>
      <c r="DR905" s="18"/>
      <c r="DS905" s="18"/>
      <c r="DT905" s="18"/>
      <c r="DU905" s="18"/>
      <c r="DV905" s="18"/>
      <c r="DW905" s="18"/>
      <c r="DX905" s="18"/>
      <c r="DY905" s="18"/>
      <c r="DZ905" s="18"/>
      <c r="EA905" s="18"/>
      <c r="EB905" s="18"/>
      <c r="EC905" s="18"/>
      <c r="ED905" s="18"/>
      <c r="EE905" s="18"/>
      <c r="EF905" s="18"/>
      <c r="EG905" s="18"/>
      <c r="EH905" s="18"/>
      <c r="EI905" s="18"/>
      <c r="EJ905" s="18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EU905" s="18"/>
      <c r="EV905" s="18"/>
      <c r="EW905" s="18"/>
      <c r="EX905" s="18"/>
    </row>
    <row r="906">
      <c r="A906" s="101"/>
      <c r="B906" s="105"/>
      <c r="C906" s="105"/>
      <c r="D906" s="106"/>
      <c r="E906" s="110"/>
      <c r="F906" s="92"/>
      <c r="G906" s="18"/>
      <c r="H906" s="101" t="str">
        <f>IFERROR(__xludf.DUMMYFUNCTION("""COMPUTED_VALUE"""),"")</f>
        <v/>
      </c>
      <c r="I906" s="67" t="str">
        <f>IFERROR(__xludf.DUMMYFUNCTION("""COMPUTED_VALUE"""),"")</f>
        <v/>
      </c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  <c r="CP906" s="18"/>
      <c r="CQ906" s="18"/>
      <c r="CR906" s="18"/>
      <c r="CS906" s="18"/>
      <c r="CT906" s="18"/>
      <c r="CU906" s="18"/>
      <c r="CV906" s="18"/>
      <c r="CW906" s="18"/>
      <c r="CX906" s="18"/>
      <c r="CY906" s="18"/>
      <c r="CZ906" s="18"/>
      <c r="DA906" s="18"/>
      <c r="DB906" s="18"/>
      <c r="DC906" s="18"/>
      <c r="DD906" s="18"/>
      <c r="DE906" s="18"/>
      <c r="DF906" s="18"/>
      <c r="DG906" s="18"/>
      <c r="DH906" s="18"/>
      <c r="DI906" s="18"/>
      <c r="DJ906" s="18"/>
      <c r="DK906" s="18"/>
      <c r="DL906" s="18"/>
      <c r="DM906" s="18"/>
      <c r="DN906" s="18"/>
      <c r="DO906" s="18"/>
      <c r="DP906" s="18"/>
      <c r="DQ906" s="18"/>
      <c r="DR906" s="18"/>
      <c r="DS906" s="18"/>
      <c r="DT906" s="18"/>
      <c r="DU906" s="18"/>
      <c r="DV906" s="18"/>
      <c r="DW906" s="18"/>
      <c r="DX906" s="18"/>
      <c r="DY906" s="18"/>
      <c r="DZ906" s="18"/>
      <c r="EA906" s="18"/>
      <c r="EB906" s="18"/>
      <c r="EC906" s="18"/>
      <c r="ED906" s="18"/>
      <c r="EE906" s="18"/>
      <c r="EF906" s="18"/>
      <c r="EG906" s="18"/>
      <c r="EH906" s="18"/>
      <c r="EI906" s="18"/>
      <c r="EJ906" s="18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EU906" s="18"/>
      <c r="EV906" s="18"/>
      <c r="EW906" s="18"/>
      <c r="EX906" s="18"/>
    </row>
    <row r="907">
      <c r="A907" s="101"/>
      <c r="B907" s="105"/>
      <c r="C907" s="105"/>
      <c r="D907" s="106"/>
      <c r="E907" s="110"/>
      <c r="F907" s="92"/>
      <c r="G907" s="18"/>
      <c r="H907" s="101" t="str">
        <f>IFERROR(__xludf.DUMMYFUNCTION("""COMPUTED_VALUE"""),"")</f>
        <v/>
      </c>
      <c r="I907" s="67" t="str">
        <f>IFERROR(__xludf.DUMMYFUNCTION("""COMPUTED_VALUE"""),"")</f>
        <v/>
      </c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  <c r="DW907" s="18"/>
      <c r="DX907" s="18"/>
      <c r="DY907" s="18"/>
      <c r="DZ907" s="18"/>
      <c r="EA907" s="18"/>
      <c r="EB907" s="18"/>
      <c r="EC907" s="18"/>
      <c r="ED907" s="18"/>
      <c r="EE907" s="18"/>
      <c r="EF907" s="18"/>
      <c r="EG907" s="18"/>
      <c r="EH907" s="18"/>
      <c r="EI907" s="18"/>
      <c r="EJ907" s="18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EU907" s="18"/>
      <c r="EV907" s="18"/>
      <c r="EW907" s="18"/>
      <c r="EX907" s="18"/>
    </row>
    <row r="908">
      <c r="A908" s="101"/>
      <c r="B908" s="105"/>
      <c r="C908" s="105"/>
      <c r="D908" s="106"/>
      <c r="E908" s="110"/>
      <c r="F908" s="92"/>
      <c r="G908" s="18"/>
      <c r="H908" s="101" t="str">
        <f>IFERROR(__xludf.DUMMYFUNCTION("""COMPUTED_VALUE"""),"")</f>
        <v/>
      </c>
      <c r="I908" s="67" t="str">
        <f>IFERROR(__xludf.DUMMYFUNCTION("""COMPUTED_VALUE"""),"")</f>
        <v/>
      </c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  <c r="DW908" s="18"/>
      <c r="DX908" s="18"/>
      <c r="DY908" s="18"/>
      <c r="DZ908" s="18"/>
      <c r="EA908" s="18"/>
      <c r="EB908" s="18"/>
      <c r="EC908" s="18"/>
      <c r="ED908" s="18"/>
      <c r="EE908" s="18"/>
      <c r="EF908" s="18"/>
      <c r="EG908" s="18"/>
      <c r="EH908" s="18"/>
      <c r="EI908" s="18"/>
      <c r="EJ908" s="1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EU908" s="18"/>
      <c r="EV908" s="18"/>
      <c r="EW908" s="18"/>
      <c r="EX908" s="18"/>
    </row>
    <row r="909">
      <c r="A909" s="101"/>
      <c r="B909" s="105"/>
      <c r="C909" s="105"/>
      <c r="D909" s="106"/>
      <c r="E909" s="110"/>
      <c r="F909" s="92"/>
      <c r="G909" s="18"/>
      <c r="H909" s="101" t="str">
        <f>IFERROR(__xludf.DUMMYFUNCTION("""COMPUTED_VALUE"""),"")</f>
        <v/>
      </c>
      <c r="I909" s="67" t="str">
        <f>IFERROR(__xludf.DUMMYFUNCTION("""COMPUTED_VALUE"""),"")</f>
        <v/>
      </c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  <c r="DW909" s="18"/>
      <c r="DX909" s="18"/>
      <c r="DY909" s="18"/>
      <c r="DZ909" s="18"/>
      <c r="EA909" s="18"/>
      <c r="EB909" s="18"/>
      <c r="EC909" s="18"/>
      <c r="ED909" s="18"/>
      <c r="EE909" s="18"/>
      <c r="EF909" s="18"/>
      <c r="EG909" s="18"/>
      <c r="EH909" s="18"/>
      <c r="EI909" s="18"/>
      <c r="EJ909" s="18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EU909" s="18"/>
      <c r="EV909" s="18"/>
      <c r="EW909" s="18"/>
      <c r="EX909" s="18"/>
    </row>
    <row r="910">
      <c r="A910" s="101"/>
      <c r="B910" s="105"/>
      <c r="C910" s="105"/>
      <c r="D910" s="106"/>
      <c r="E910" s="110"/>
      <c r="F910" s="92"/>
      <c r="G910" s="18"/>
      <c r="H910" s="101" t="str">
        <f>IFERROR(__xludf.DUMMYFUNCTION("""COMPUTED_VALUE"""),"")</f>
        <v/>
      </c>
      <c r="I910" s="67" t="str">
        <f>IFERROR(__xludf.DUMMYFUNCTION("""COMPUTED_VALUE"""),"")</f>
        <v/>
      </c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  <c r="DW910" s="18"/>
      <c r="DX910" s="18"/>
      <c r="DY910" s="18"/>
      <c r="DZ910" s="18"/>
      <c r="EA910" s="18"/>
      <c r="EB910" s="18"/>
      <c r="EC910" s="18"/>
      <c r="ED910" s="18"/>
      <c r="EE910" s="18"/>
      <c r="EF910" s="18"/>
      <c r="EG910" s="18"/>
      <c r="EH910" s="18"/>
      <c r="EI910" s="18"/>
      <c r="EJ910" s="18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EU910" s="18"/>
      <c r="EV910" s="18"/>
      <c r="EW910" s="18"/>
      <c r="EX910" s="18"/>
    </row>
    <row r="911">
      <c r="A911" s="101"/>
      <c r="B911" s="105"/>
      <c r="C911" s="105"/>
      <c r="D911" s="106"/>
      <c r="E911" s="110"/>
      <c r="F911" s="92"/>
      <c r="G911" s="18"/>
      <c r="H911" s="101" t="str">
        <f>IFERROR(__xludf.DUMMYFUNCTION("""COMPUTED_VALUE"""),"")</f>
        <v/>
      </c>
      <c r="I911" s="67" t="str">
        <f>IFERROR(__xludf.DUMMYFUNCTION("""COMPUTED_VALUE"""),"")</f>
        <v/>
      </c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8"/>
      <c r="DV911" s="18"/>
      <c r="DW911" s="18"/>
      <c r="DX911" s="18"/>
      <c r="DY911" s="18"/>
      <c r="DZ911" s="18"/>
      <c r="EA911" s="18"/>
      <c r="EB911" s="18"/>
      <c r="EC911" s="18"/>
      <c r="ED911" s="18"/>
      <c r="EE911" s="18"/>
      <c r="EF911" s="18"/>
      <c r="EG911" s="18"/>
      <c r="EH911" s="18"/>
      <c r="EI911" s="18"/>
      <c r="EJ911" s="18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EU911" s="18"/>
      <c r="EV911" s="18"/>
      <c r="EW911" s="18"/>
      <c r="EX911" s="18"/>
    </row>
    <row r="912">
      <c r="A912" s="101"/>
      <c r="B912" s="105"/>
      <c r="C912" s="105"/>
      <c r="D912" s="106"/>
      <c r="E912" s="110"/>
      <c r="F912" s="92"/>
      <c r="G912" s="18"/>
      <c r="H912" s="101" t="str">
        <f>IFERROR(__xludf.DUMMYFUNCTION("""COMPUTED_VALUE"""),"")</f>
        <v/>
      </c>
      <c r="I912" s="67" t="str">
        <f>IFERROR(__xludf.DUMMYFUNCTION("""COMPUTED_VALUE"""),"")</f>
        <v/>
      </c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8"/>
      <c r="DU912" s="18"/>
      <c r="DV912" s="18"/>
      <c r="DW912" s="18"/>
      <c r="DX912" s="18"/>
      <c r="DY912" s="18"/>
      <c r="DZ912" s="18"/>
      <c r="EA912" s="18"/>
      <c r="EB912" s="18"/>
      <c r="EC912" s="18"/>
      <c r="ED912" s="18"/>
      <c r="EE912" s="18"/>
      <c r="EF912" s="18"/>
      <c r="EG912" s="18"/>
      <c r="EH912" s="18"/>
      <c r="EI912" s="18"/>
      <c r="EJ912" s="18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EU912" s="18"/>
      <c r="EV912" s="18"/>
      <c r="EW912" s="18"/>
      <c r="EX912" s="18"/>
    </row>
    <row r="913">
      <c r="A913" s="101"/>
      <c r="B913" s="105"/>
      <c r="C913" s="105"/>
      <c r="D913" s="106"/>
      <c r="E913" s="110"/>
      <c r="F913" s="92"/>
      <c r="G913" s="18"/>
      <c r="H913" s="101" t="str">
        <f>IFERROR(__xludf.DUMMYFUNCTION("""COMPUTED_VALUE"""),"")</f>
        <v/>
      </c>
      <c r="I913" s="67" t="str">
        <f>IFERROR(__xludf.DUMMYFUNCTION("""COMPUTED_VALUE"""),"")</f>
        <v/>
      </c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  <c r="DS913" s="18"/>
      <c r="DT913" s="18"/>
      <c r="DU913" s="18"/>
      <c r="DV913" s="18"/>
      <c r="DW913" s="18"/>
      <c r="DX913" s="18"/>
      <c r="DY913" s="18"/>
      <c r="DZ913" s="18"/>
      <c r="EA913" s="18"/>
      <c r="EB913" s="18"/>
      <c r="EC913" s="18"/>
      <c r="ED913" s="18"/>
      <c r="EE913" s="18"/>
      <c r="EF913" s="18"/>
      <c r="EG913" s="18"/>
      <c r="EH913" s="18"/>
      <c r="EI913" s="18"/>
      <c r="EJ913" s="18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EU913" s="18"/>
      <c r="EV913" s="18"/>
      <c r="EW913" s="18"/>
      <c r="EX913" s="18"/>
    </row>
    <row r="914">
      <c r="A914" s="101"/>
      <c r="B914" s="105"/>
      <c r="C914" s="105"/>
      <c r="D914" s="106"/>
      <c r="E914" s="110"/>
      <c r="F914" s="92"/>
      <c r="G914" s="18"/>
      <c r="H914" s="101" t="str">
        <f>IFERROR(__xludf.DUMMYFUNCTION("""COMPUTED_VALUE"""),"")</f>
        <v/>
      </c>
      <c r="I914" s="67" t="str">
        <f>IFERROR(__xludf.DUMMYFUNCTION("""COMPUTED_VALUE"""),"")</f>
        <v/>
      </c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8"/>
      <c r="DS914" s="18"/>
      <c r="DT914" s="18"/>
      <c r="DU914" s="18"/>
      <c r="DV914" s="18"/>
      <c r="DW914" s="18"/>
      <c r="DX914" s="18"/>
      <c r="DY914" s="18"/>
      <c r="DZ914" s="18"/>
      <c r="EA914" s="18"/>
      <c r="EB914" s="18"/>
      <c r="EC914" s="18"/>
      <c r="ED914" s="18"/>
      <c r="EE914" s="18"/>
      <c r="EF914" s="18"/>
      <c r="EG914" s="18"/>
      <c r="EH914" s="18"/>
      <c r="EI914" s="18"/>
      <c r="EJ914" s="18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EU914" s="18"/>
      <c r="EV914" s="18"/>
      <c r="EW914" s="18"/>
      <c r="EX914" s="18"/>
    </row>
    <row r="915">
      <c r="A915" s="101"/>
      <c r="B915" s="105"/>
      <c r="C915" s="105"/>
      <c r="D915" s="106"/>
      <c r="E915" s="110"/>
      <c r="F915" s="92"/>
      <c r="G915" s="18"/>
      <c r="H915" s="101" t="str">
        <f>IFERROR(__xludf.DUMMYFUNCTION("""COMPUTED_VALUE"""),"")</f>
        <v/>
      </c>
      <c r="I915" s="67" t="str">
        <f>IFERROR(__xludf.DUMMYFUNCTION("""COMPUTED_VALUE"""),"")</f>
        <v/>
      </c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8"/>
      <c r="DR915" s="18"/>
      <c r="DS915" s="18"/>
      <c r="DT915" s="18"/>
      <c r="DU915" s="18"/>
      <c r="DV915" s="18"/>
      <c r="DW915" s="18"/>
      <c r="DX915" s="18"/>
      <c r="DY915" s="18"/>
      <c r="DZ915" s="18"/>
      <c r="EA915" s="18"/>
      <c r="EB915" s="18"/>
      <c r="EC915" s="18"/>
      <c r="ED915" s="18"/>
      <c r="EE915" s="18"/>
      <c r="EF915" s="18"/>
      <c r="EG915" s="18"/>
      <c r="EH915" s="18"/>
      <c r="EI915" s="18"/>
      <c r="EJ915" s="18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EU915" s="18"/>
      <c r="EV915" s="18"/>
      <c r="EW915" s="18"/>
      <c r="EX915" s="18"/>
    </row>
    <row r="916">
      <c r="A916" s="101"/>
      <c r="B916" s="105"/>
      <c r="C916" s="105"/>
      <c r="D916" s="106"/>
      <c r="E916" s="110"/>
      <c r="F916" s="92"/>
      <c r="G916" s="18"/>
      <c r="H916" s="101" t="str">
        <f>IFERROR(__xludf.DUMMYFUNCTION("""COMPUTED_VALUE"""),"")</f>
        <v/>
      </c>
      <c r="I916" s="67" t="str">
        <f>IFERROR(__xludf.DUMMYFUNCTION("""COMPUTED_VALUE"""),"")</f>
        <v/>
      </c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8"/>
      <c r="DP916" s="18"/>
      <c r="DQ916" s="18"/>
      <c r="DR916" s="18"/>
      <c r="DS916" s="18"/>
      <c r="DT916" s="18"/>
      <c r="DU916" s="18"/>
      <c r="DV916" s="18"/>
      <c r="DW916" s="18"/>
      <c r="DX916" s="18"/>
      <c r="DY916" s="18"/>
      <c r="DZ916" s="18"/>
      <c r="EA916" s="18"/>
      <c r="EB916" s="18"/>
      <c r="EC916" s="18"/>
      <c r="ED916" s="18"/>
      <c r="EE916" s="18"/>
      <c r="EF916" s="18"/>
      <c r="EG916" s="18"/>
      <c r="EH916" s="18"/>
      <c r="EI916" s="18"/>
      <c r="EJ916" s="18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EU916" s="18"/>
      <c r="EV916" s="18"/>
      <c r="EW916" s="18"/>
      <c r="EX916" s="18"/>
    </row>
    <row r="917">
      <c r="A917" s="101"/>
      <c r="B917" s="105"/>
      <c r="C917" s="105"/>
      <c r="D917" s="106"/>
      <c r="E917" s="110"/>
      <c r="F917" s="92"/>
      <c r="G917" s="18"/>
      <c r="H917" s="101" t="str">
        <f>IFERROR(__xludf.DUMMYFUNCTION("""COMPUTED_VALUE"""),"")</f>
        <v/>
      </c>
      <c r="I917" s="67" t="str">
        <f>IFERROR(__xludf.DUMMYFUNCTION("""COMPUTED_VALUE"""),"")</f>
        <v/>
      </c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8"/>
      <c r="DO917" s="18"/>
      <c r="DP917" s="18"/>
      <c r="DQ917" s="18"/>
      <c r="DR917" s="18"/>
      <c r="DS917" s="18"/>
      <c r="DT917" s="18"/>
      <c r="DU917" s="18"/>
      <c r="DV917" s="18"/>
      <c r="DW917" s="18"/>
      <c r="DX917" s="18"/>
      <c r="DY917" s="18"/>
      <c r="DZ917" s="18"/>
      <c r="EA917" s="18"/>
      <c r="EB917" s="18"/>
      <c r="EC917" s="18"/>
      <c r="ED917" s="18"/>
      <c r="EE917" s="18"/>
      <c r="EF917" s="18"/>
      <c r="EG917" s="18"/>
      <c r="EH917" s="18"/>
      <c r="EI917" s="18"/>
      <c r="EJ917" s="18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EU917" s="18"/>
      <c r="EV917" s="18"/>
      <c r="EW917" s="18"/>
      <c r="EX917" s="18"/>
    </row>
    <row r="918">
      <c r="A918" s="101"/>
      <c r="B918" s="105"/>
      <c r="C918" s="105"/>
      <c r="D918" s="106"/>
      <c r="E918" s="110"/>
      <c r="F918" s="92"/>
      <c r="G918" s="18"/>
      <c r="H918" s="101" t="str">
        <f>IFERROR(__xludf.DUMMYFUNCTION("""COMPUTED_VALUE"""),"")</f>
        <v/>
      </c>
      <c r="I918" s="67" t="str">
        <f>IFERROR(__xludf.DUMMYFUNCTION("""COMPUTED_VALUE"""),"")</f>
        <v/>
      </c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8"/>
      <c r="DN918" s="18"/>
      <c r="DO918" s="18"/>
      <c r="DP918" s="18"/>
      <c r="DQ918" s="18"/>
      <c r="DR918" s="18"/>
      <c r="DS918" s="18"/>
      <c r="DT918" s="18"/>
      <c r="DU918" s="18"/>
      <c r="DV918" s="18"/>
      <c r="DW918" s="18"/>
      <c r="DX918" s="18"/>
      <c r="DY918" s="18"/>
      <c r="DZ918" s="18"/>
      <c r="EA918" s="18"/>
      <c r="EB918" s="18"/>
      <c r="EC918" s="18"/>
      <c r="ED918" s="18"/>
      <c r="EE918" s="18"/>
      <c r="EF918" s="18"/>
      <c r="EG918" s="18"/>
      <c r="EH918" s="18"/>
      <c r="EI918" s="18"/>
      <c r="EJ918" s="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EU918" s="18"/>
      <c r="EV918" s="18"/>
      <c r="EW918" s="18"/>
      <c r="EX918" s="18"/>
    </row>
    <row r="919">
      <c r="A919" s="101"/>
      <c r="B919" s="105"/>
      <c r="C919" s="105"/>
      <c r="D919" s="106"/>
      <c r="E919" s="110"/>
      <c r="F919" s="92"/>
      <c r="G919" s="18"/>
      <c r="H919" s="101" t="str">
        <f>IFERROR(__xludf.DUMMYFUNCTION("""COMPUTED_VALUE"""),"")</f>
        <v/>
      </c>
      <c r="I919" s="67" t="str">
        <f>IFERROR(__xludf.DUMMYFUNCTION("""COMPUTED_VALUE"""),"")</f>
        <v/>
      </c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8"/>
      <c r="DM919" s="18"/>
      <c r="DN919" s="18"/>
      <c r="DO919" s="18"/>
      <c r="DP919" s="18"/>
      <c r="DQ919" s="18"/>
      <c r="DR919" s="18"/>
      <c r="DS919" s="18"/>
      <c r="DT919" s="18"/>
      <c r="DU919" s="18"/>
      <c r="DV919" s="18"/>
      <c r="DW919" s="18"/>
      <c r="DX919" s="18"/>
      <c r="DY919" s="18"/>
      <c r="DZ919" s="18"/>
      <c r="EA919" s="18"/>
      <c r="EB919" s="18"/>
      <c r="EC919" s="18"/>
      <c r="ED919" s="18"/>
      <c r="EE919" s="18"/>
      <c r="EF919" s="18"/>
      <c r="EG919" s="18"/>
      <c r="EH919" s="18"/>
      <c r="EI919" s="18"/>
      <c r="EJ919" s="18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EU919" s="18"/>
      <c r="EV919" s="18"/>
      <c r="EW919" s="18"/>
      <c r="EX919" s="18"/>
    </row>
    <row r="920">
      <c r="A920" s="101"/>
      <c r="B920" s="105"/>
      <c r="C920" s="105"/>
      <c r="D920" s="106"/>
      <c r="E920" s="110"/>
      <c r="F920" s="92"/>
      <c r="G920" s="18"/>
      <c r="H920" s="101" t="str">
        <f>IFERROR(__xludf.DUMMYFUNCTION("""COMPUTED_VALUE"""),"")</f>
        <v/>
      </c>
      <c r="I920" s="67" t="str">
        <f>IFERROR(__xludf.DUMMYFUNCTION("""COMPUTED_VALUE"""),"")</f>
        <v/>
      </c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8"/>
      <c r="DK920" s="18"/>
      <c r="DL920" s="18"/>
      <c r="DM920" s="18"/>
      <c r="DN920" s="18"/>
      <c r="DO920" s="18"/>
      <c r="DP920" s="18"/>
      <c r="DQ920" s="18"/>
      <c r="DR920" s="18"/>
      <c r="DS920" s="18"/>
      <c r="DT920" s="18"/>
      <c r="DU920" s="18"/>
      <c r="DV920" s="18"/>
      <c r="DW920" s="18"/>
      <c r="DX920" s="18"/>
      <c r="DY920" s="18"/>
      <c r="DZ920" s="18"/>
      <c r="EA920" s="18"/>
      <c r="EB920" s="18"/>
      <c r="EC920" s="18"/>
      <c r="ED920" s="18"/>
      <c r="EE920" s="18"/>
      <c r="EF920" s="18"/>
      <c r="EG920" s="18"/>
      <c r="EH920" s="18"/>
      <c r="EI920" s="18"/>
      <c r="EJ920" s="18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EU920" s="18"/>
      <c r="EV920" s="18"/>
      <c r="EW920" s="18"/>
      <c r="EX920" s="18"/>
    </row>
    <row r="921">
      <c r="A921" s="101"/>
      <c r="B921" s="105"/>
      <c r="C921" s="105"/>
      <c r="D921" s="106"/>
      <c r="E921" s="110"/>
      <c r="F921" s="92"/>
      <c r="G921" s="18"/>
      <c r="H921" s="101" t="str">
        <f>IFERROR(__xludf.DUMMYFUNCTION("""COMPUTED_VALUE"""),"")</f>
        <v/>
      </c>
      <c r="I921" s="67" t="str">
        <f>IFERROR(__xludf.DUMMYFUNCTION("""COMPUTED_VALUE"""),"")</f>
        <v/>
      </c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8"/>
      <c r="DJ921" s="18"/>
      <c r="DK921" s="18"/>
      <c r="DL921" s="18"/>
      <c r="DM921" s="18"/>
      <c r="DN921" s="18"/>
      <c r="DO921" s="18"/>
      <c r="DP921" s="18"/>
      <c r="DQ921" s="18"/>
      <c r="DR921" s="18"/>
      <c r="DS921" s="18"/>
      <c r="DT921" s="18"/>
      <c r="DU921" s="18"/>
      <c r="DV921" s="18"/>
      <c r="DW921" s="18"/>
      <c r="DX921" s="18"/>
      <c r="DY921" s="18"/>
      <c r="DZ921" s="18"/>
      <c r="EA921" s="18"/>
      <c r="EB921" s="18"/>
      <c r="EC921" s="18"/>
      <c r="ED921" s="18"/>
      <c r="EE921" s="18"/>
      <c r="EF921" s="18"/>
      <c r="EG921" s="18"/>
      <c r="EH921" s="18"/>
      <c r="EI921" s="18"/>
      <c r="EJ921" s="18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EU921" s="18"/>
      <c r="EV921" s="18"/>
      <c r="EW921" s="18"/>
      <c r="EX921" s="18"/>
    </row>
    <row r="922">
      <c r="A922" s="101"/>
      <c r="B922" s="105"/>
      <c r="C922" s="105"/>
      <c r="D922" s="106"/>
      <c r="E922" s="110"/>
      <c r="F922" s="92"/>
      <c r="G922" s="18"/>
      <c r="H922" s="101" t="str">
        <f>IFERROR(__xludf.DUMMYFUNCTION("""COMPUTED_VALUE"""),"")</f>
        <v/>
      </c>
      <c r="I922" s="67" t="str">
        <f>IFERROR(__xludf.DUMMYFUNCTION("""COMPUTED_VALUE"""),"")</f>
        <v/>
      </c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8"/>
      <c r="DI922" s="18"/>
      <c r="DJ922" s="18"/>
      <c r="DK922" s="18"/>
      <c r="DL922" s="18"/>
      <c r="DM922" s="18"/>
      <c r="DN922" s="18"/>
      <c r="DO922" s="18"/>
      <c r="DP922" s="18"/>
      <c r="DQ922" s="18"/>
      <c r="DR922" s="18"/>
      <c r="DS922" s="18"/>
      <c r="DT922" s="18"/>
      <c r="DU922" s="18"/>
      <c r="DV922" s="18"/>
      <c r="DW922" s="18"/>
      <c r="DX922" s="18"/>
      <c r="DY922" s="18"/>
      <c r="DZ922" s="18"/>
      <c r="EA922" s="18"/>
      <c r="EB922" s="18"/>
      <c r="EC922" s="18"/>
      <c r="ED922" s="18"/>
      <c r="EE922" s="18"/>
      <c r="EF922" s="18"/>
      <c r="EG922" s="18"/>
      <c r="EH922" s="18"/>
      <c r="EI922" s="18"/>
      <c r="EJ922" s="18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EU922" s="18"/>
      <c r="EV922" s="18"/>
      <c r="EW922" s="18"/>
      <c r="EX922" s="18"/>
    </row>
    <row r="923">
      <c r="A923" s="101"/>
      <c r="B923" s="105"/>
      <c r="C923" s="105"/>
      <c r="D923" s="106"/>
      <c r="E923" s="110"/>
      <c r="F923" s="92"/>
      <c r="G923" s="18"/>
      <c r="H923" s="101" t="str">
        <f>IFERROR(__xludf.DUMMYFUNCTION("""COMPUTED_VALUE"""),"")</f>
        <v/>
      </c>
      <c r="I923" s="67" t="str">
        <f>IFERROR(__xludf.DUMMYFUNCTION("""COMPUTED_VALUE"""),"")</f>
        <v/>
      </c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8"/>
      <c r="DH923" s="18"/>
      <c r="DI923" s="18"/>
      <c r="DJ923" s="18"/>
      <c r="DK923" s="18"/>
      <c r="DL923" s="18"/>
      <c r="DM923" s="18"/>
      <c r="DN923" s="18"/>
      <c r="DO923" s="18"/>
      <c r="DP923" s="18"/>
      <c r="DQ923" s="18"/>
      <c r="DR923" s="18"/>
      <c r="DS923" s="18"/>
      <c r="DT923" s="18"/>
      <c r="DU923" s="18"/>
      <c r="DV923" s="18"/>
      <c r="DW923" s="18"/>
      <c r="DX923" s="18"/>
      <c r="DY923" s="18"/>
      <c r="DZ923" s="18"/>
      <c r="EA923" s="18"/>
      <c r="EB923" s="18"/>
      <c r="EC923" s="18"/>
      <c r="ED923" s="18"/>
      <c r="EE923" s="18"/>
      <c r="EF923" s="18"/>
      <c r="EG923" s="18"/>
      <c r="EH923" s="18"/>
      <c r="EI923" s="18"/>
      <c r="EJ923" s="18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EU923" s="18"/>
      <c r="EV923" s="18"/>
      <c r="EW923" s="18"/>
      <c r="EX923" s="18"/>
    </row>
    <row r="924">
      <c r="A924" s="101"/>
      <c r="B924" s="105"/>
      <c r="C924" s="105"/>
      <c r="D924" s="106"/>
      <c r="E924" s="110"/>
      <c r="F924" s="92"/>
      <c r="G924" s="18"/>
      <c r="H924" s="101" t="str">
        <f>IFERROR(__xludf.DUMMYFUNCTION("""COMPUTED_VALUE"""),"")</f>
        <v/>
      </c>
      <c r="I924" s="67" t="str">
        <f>IFERROR(__xludf.DUMMYFUNCTION("""COMPUTED_VALUE"""),"")</f>
        <v/>
      </c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8"/>
      <c r="DG924" s="18"/>
      <c r="DH924" s="18"/>
      <c r="DI924" s="18"/>
      <c r="DJ924" s="18"/>
      <c r="DK924" s="18"/>
      <c r="DL924" s="18"/>
      <c r="DM924" s="18"/>
      <c r="DN924" s="18"/>
      <c r="DO924" s="18"/>
      <c r="DP924" s="18"/>
      <c r="DQ924" s="18"/>
      <c r="DR924" s="18"/>
      <c r="DS924" s="18"/>
      <c r="DT924" s="18"/>
      <c r="DU924" s="18"/>
      <c r="DV924" s="18"/>
      <c r="DW924" s="18"/>
      <c r="DX924" s="18"/>
      <c r="DY924" s="18"/>
      <c r="DZ924" s="18"/>
      <c r="EA924" s="18"/>
      <c r="EB924" s="18"/>
      <c r="EC924" s="18"/>
      <c r="ED924" s="18"/>
      <c r="EE924" s="18"/>
      <c r="EF924" s="18"/>
      <c r="EG924" s="18"/>
      <c r="EH924" s="18"/>
      <c r="EI924" s="18"/>
      <c r="EJ924" s="18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EU924" s="18"/>
      <c r="EV924" s="18"/>
      <c r="EW924" s="18"/>
      <c r="EX924" s="18"/>
    </row>
    <row r="925">
      <c r="A925" s="101"/>
      <c r="B925" s="105"/>
      <c r="C925" s="105"/>
      <c r="D925" s="106"/>
      <c r="E925" s="110"/>
      <c r="F925" s="92"/>
      <c r="G925" s="18"/>
      <c r="H925" s="101" t="str">
        <f>IFERROR(__xludf.DUMMYFUNCTION("""COMPUTED_VALUE"""),"")</f>
        <v/>
      </c>
      <c r="I925" s="67" t="str">
        <f>IFERROR(__xludf.DUMMYFUNCTION("""COMPUTED_VALUE"""),"")</f>
        <v/>
      </c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8"/>
      <c r="DF925" s="18"/>
      <c r="DG925" s="18"/>
      <c r="DH925" s="18"/>
      <c r="DI925" s="18"/>
      <c r="DJ925" s="18"/>
      <c r="DK925" s="18"/>
      <c r="DL925" s="18"/>
      <c r="DM925" s="18"/>
      <c r="DN925" s="18"/>
      <c r="DO925" s="18"/>
      <c r="DP925" s="18"/>
      <c r="DQ925" s="18"/>
      <c r="DR925" s="18"/>
      <c r="DS925" s="18"/>
      <c r="DT925" s="18"/>
      <c r="DU925" s="18"/>
      <c r="DV925" s="18"/>
      <c r="DW925" s="18"/>
      <c r="DX925" s="18"/>
      <c r="DY925" s="18"/>
      <c r="DZ925" s="18"/>
      <c r="EA925" s="18"/>
      <c r="EB925" s="18"/>
      <c r="EC925" s="18"/>
      <c r="ED925" s="18"/>
      <c r="EE925" s="18"/>
      <c r="EF925" s="18"/>
      <c r="EG925" s="18"/>
      <c r="EH925" s="18"/>
      <c r="EI925" s="18"/>
      <c r="EJ925" s="18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EU925" s="18"/>
      <c r="EV925" s="18"/>
      <c r="EW925" s="18"/>
      <c r="EX925" s="18"/>
    </row>
    <row r="926">
      <c r="A926" s="101"/>
      <c r="B926" s="105"/>
      <c r="C926" s="105"/>
      <c r="D926" s="106"/>
      <c r="E926" s="110"/>
      <c r="F926" s="92"/>
      <c r="G926" s="18"/>
      <c r="H926" s="101" t="str">
        <f>IFERROR(__xludf.DUMMYFUNCTION("""COMPUTED_VALUE"""),"")</f>
        <v/>
      </c>
      <c r="I926" s="67" t="str">
        <f>IFERROR(__xludf.DUMMYFUNCTION("""COMPUTED_VALUE"""),"")</f>
        <v/>
      </c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8"/>
      <c r="DE926" s="18"/>
      <c r="DF926" s="18"/>
      <c r="DG926" s="18"/>
      <c r="DH926" s="18"/>
      <c r="DI926" s="18"/>
      <c r="DJ926" s="18"/>
      <c r="DK926" s="18"/>
      <c r="DL926" s="18"/>
      <c r="DM926" s="18"/>
      <c r="DN926" s="18"/>
      <c r="DO926" s="18"/>
      <c r="DP926" s="18"/>
      <c r="DQ926" s="18"/>
      <c r="DR926" s="18"/>
      <c r="DS926" s="18"/>
      <c r="DT926" s="18"/>
      <c r="DU926" s="18"/>
      <c r="DV926" s="18"/>
      <c r="DW926" s="18"/>
      <c r="DX926" s="18"/>
      <c r="DY926" s="18"/>
      <c r="DZ926" s="18"/>
      <c r="EA926" s="18"/>
      <c r="EB926" s="18"/>
      <c r="EC926" s="18"/>
      <c r="ED926" s="18"/>
      <c r="EE926" s="18"/>
      <c r="EF926" s="18"/>
      <c r="EG926" s="18"/>
      <c r="EH926" s="18"/>
      <c r="EI926" s="18"/>
      <c r="EJ926" s="18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EU926" s="18"/>
      <c r="EV926" s="18"/>
      <c r="EW926" s="18"/>
      <c r="EX926" s="18"/>
    </row>
    <row r="927">
      <c r="A927" s="101"/>
      <c r="B927" s="105"/>
      <c r="C927" s="105"/>
      <c r="D927" s="106"/>
      <c r="E927" s="110"/>
      <c r="F927" s="92"/>
      <c r="G927" s="18"/>
      <c r="H927" s="101" t="str">
        <f>IFERROR(__xludf.DUMMYFUNCTION("""COMPUTED_VALUE"""),"")</f>
        <v/>
      </c>
      <c r="I927" s="67" t="str">
        <f>IFERROR(__xludf.DUMMYFUNCTION("""COMPUTED_VALUE"""),"")</f>
        <v/>
      </c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8"/>
      <c r="DD927" s="18"/>
      <c r="DE927" s="18"/>
      <c r="DF927" s="18"/>
      <c r="DG927" s="18"/>
      <c r="DH927" s="18"/>
      <c r="DI927" s="18"/>
      <c r="DJ927" s="18"/>
      <c r="DK927" s="18"/>
      <c r="DL927" s="18"/>
      <c r="DM927" s="18"/>
      <c r="DN927" s="18"/>
      <c r="DO927" s="18"/>
      <c r="DP927" s="18"/>
      <c r="DQ927" s="18"/>
      <c r="DR927" s="18"/>
      <c r="DS927" s="18"/>
      <c r="DT927" s="18"/>
      <c r="DU927" s="18"/>
      <c r="DV927" s="18"/>
      <c r="DW927" s="18"/>
      <c r="DX927" s="18"/>
      <c r="DY927" s="18"/>
      <c r="DZ927" s="18"/>
      <c r="EA927" s="18"/>
      <c r="EB927" s="18"/>
      <c r="EC927" s="18"/>
      <c r="ED927" s="18"/>
      <c r="EE927" s="18"/>
      <c r="EF927" s="18"/>
      <c r="EG927" s="18"/>
      <c r="EH927" s="18"/>
      <c r="EI927" s="18"/>
      <c r="EJ927" s="18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EU927" s="18"/>
      <c r="EV927" s="18"/>
      <c r="EW927" s="18"/>
      <c r="EX927" s="18"/>
    </row>
    <row r="928">
      <c r="A928" s="101"/>
      <c r="B928" s="105"/>
      <c r="C928" s="105"/>
      <c r="D928" s="106"/>
      <c r="E928" s="110"/>
      <c r="F928" s="92"/>
      <c r="G928" s="18"/>
      <c r="H928" s="101" t="str">
        <f>IFERROR(__xludf.DUMMYFUNCTION("""COMPUTED_VALUE"""),"")</f>
        <v/>
      </c>
      <c r="I928" s="67" t="str">
        <f>IFERROR(__xludf.DUMMYFUNCTION("""COMPUTED_VALUE"""),"")</f>
        <v/>
      </c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8"/>
      <c r="DC928" s="18"/>
      <c r="DD928" s="18"/>
      <c r="DE928" s="18"/>
      <c r="DF928" s="18"/>
      <c r="DG928" s="18"/>
      <c r="DH928" s="18"/>
      <c r="DI928" s="18"/>
      <c r="DJ928" s="18"/>
      <c r="DK928" s="18"/>
      <c r="DL928" s="18"/>
      <c r="DM928" s="18"/>
      <c r="DN928" s="18"/>
      <c r="DO928" s="18"/>
      <c r="DP928" s="18"/>
      <c r="DQ928" s="18"/>
      <c r="DR928" s="18"/>
      <c r="DS928" s="18"/>
      <c r="DT928" s="18"/>
      <c r="DU928" s="18"/>
      <c r="DV928" s="18"/>
      <c r="DW928" s="18"/>
      <c r="DX928" s="18"/>
      <c r="DY928" s="18"/>
      <c r="DZ928" s="18"/>
      <c r="EA928" s="18"/>
      <c r="EB928" s="18"/>
      <c r="EC928" s="18"/>
      <c r="ED928" s="18"/>
      <c r="EE928" s="18"/>
      <c r="EF928" s="18"/>
      <c r="EG928" s="18"/>
      <c r="EH928" s="18"/>
      <c r="EI928" s="18"/>
      <c r="EJ928" s="1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EU928" s="18"/>
      <c r="EV928" s="18"/>
      <c r="EW928" s="18"/>
      <c r="EX928" s="18"/>
    </row>
    <row r="929">
      <c r="A929" s="101"/>
      <c r="B929" s="105"/>
      <c r="C929" s="105"/>
      <c r="D929" s="106"/>
      <c r="E929" s="110"/>
      <c r="F929" s="92"/>
      <c r="G929" s="18"/>
      <c r="H929" s="101" t="str">
        <f>IFERROR(__xludf.DUMMYFUNCTION("""COMPUTED_VALUE"""),"")</f>
        <v/>
      </c>
      <c r="I929" s="67" t="str">
        <f>IFERROR(__xludf.DUMMYFUNCTION("""COMPUTED_VALUE"""),"")</f>
        <v/>
      </c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  <c r="DA929" s="18"/>
      <c r="DB929" s="18"/>
      <c r="DC929" s="18"/>
      <c r="DD929" s="18"/>
      <c r="DE929" s="18"/>
      <c r="DF929" s="18"/>
      <c r="DG929" s="18"/>
      <c r="DH929" s="18"/>
      <c r="DI929" s="18"/>
      <c r="DJ929" s="18"/>
      <c r="DK929" s="18"/>
      <c r="DL929" s="18"/>
      <c r="DM929" s="18"/>
      <c r="DN929" s="18"/>
      <c r="DO929" s="18"/>
      <c r="DP929" s="18"/>
      <c r="DQ929" s="18"/>
      <c r="DR929" s="18"/>
      <c r="DS929" s="18"/>
      <c r="DT929" s="18"/>
      <c r="DU929" s="18"/>
      <c r="DV929" s="18"/>
      <c r="DW929" s="18"/>
      <c r="DX929" s="18"/>
      <c r="DY929" s="18"/>
      <c r="DZ929" s="18"/>
      <c r="EA929" s="18"/>
      <c r="EB929" s="18"/>
      <c r="EC929" s="18"/>
      <c r="ED929" s="18"/>
      <c r="EE929" s="18"/>
      <c r="EF929" s="18"/>
      <c r="EG929" s="18"/>
      <c r="EH929" s="18"/>
      <c r="EI929" s="18"/>
      <c r="EJ929" s="18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EU929" s="18"/>
      <c r="EV929" s="18"/>
      <c r="EW929" s="18"/>
      <c r="EX929" s="18"/>
    </row>
    <row r="930">
      <c r="A930" s="101"/>
      <c r="B930" s="105"/>
      <c r="C930" s="105"/>
      <c r="D930" s="106"/>
      <c r="E930" s="110"/>
      <c r="F930" s="92"/>
      <c r="G930" s="18"/>
      <c r="H930" s="101" t="str">
        <f>IFERROR(__xludf.DUMMYFUNCTION("""COMPUTED_VALUE"""),"")</f>
        <v/>
      </c>
      <c r="I930" s="67" t="str">
        <f>IFERROR(__xludf.DUMMYFUNCTION("""COMPUTED_VALUE"""),"")</f>
        <v/>
      </c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8"/>
      <c r="DA930" s="18"/>
      <c r="DB930" s="18"/>
      <c r="DC930" s="18"/>
      <c r="DD930" s="18"/>
      <c r="DE930" s="18"/>
      <c r="DF930" s="18"/>
      <c r="DG930" s="18"/>
      <c r="DH930" s="18"/>
      <c r="DI930" s="18"/>
      <c r="DJ930" s="18"/>
      <c r="DK930" s="18"/>
      <c r="DL930" s="18"/>
      <c r="DM930" s="18"/>
      <c r="DN930" s="18"/>
      <c r="DO930" s="18"/>
      <c r="DP930" s="18"/>
      <c r="DQ930" s="18"/>
      <c r="DR930" s="18"/>
      <c r="DS930" s="18"/>
      <c r="DT930" s="18"/>
      <c r="DU930" s="18"/>
      <c r="DV930" s="18"/>
      <c r="DW930" s="18"/>
      <c r="DX930" s="18"/>
      <c r="DY930" s="18"/>
      <c r="DZ930" s="18"/>
      <c r="EA930" s="18"/>
      <c r="EB930" s="18"/>
      <c r="EC930" s="18"/>
      <c r="ED930" s="18"/>
      <c r="EE930" s="18"/>
      <c r="EF930" s="18"/>
      <c r="EG930" s="18"/>
      <c r="EH930" s="18"/>
      <c r="EI930" s="18"/>
      <c r="EJ930" s="18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EU930" s="18"/>
      <c r="EV930" s="18"/>
      <c r="EW930" s="18"/>
      <c r="EX930" s="18"/>
    </row>
    <row r="931">
      <c r="A931" s="101"/>
      <c r="B931" s="105"/>
      <c r="C931" s="105"/>
      <c r="D931" s="106"/>
      <c r="E931" s="110"/>
      <c r="F931" s="92"/>
      <c r="G931" s="18"/>
      <c r="H931" s="101" t="str">
        <f>IFERROR(__xludf.DUMMYFUNCTION("""COMPUTED_VALUE"""),"")</f>
        <v/>
      </c>
      <c r="I931" s="67" t="str">
        <f>IFERROR(__xludf.DUMMYFUNCTION("""COMPUTED_VALUE"""),"")</f>
        <v/>
      </c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8"/>
      <c r="CZ931" s="18"/>
      <c r="DA931" s="18"/>
      <c r="DB931" s="18"/>
      <c r="DC931" s="18"/>
      <c r="DD931" s="18"/>
      <c r="DE931" s="18"/>
      <c r="DF931" s="18"/>
      <c r="DG931" s="18"/>
      <c r="DH931" s="18"/>
      <c r="DI931" s="18"/>
      <c r="DJ931" s="18"/>
      <c r="DK931" s="18"/>
      <c r="DL931" s="18"/>
      <c r="DM931" s="18"/>
      <c r="DN931" s="18"/>
      <c r="DO931" s="18"/>
      <c r="DP931" s="18"/>
      <c r="DQ931" s="18"/>
      <c r="DR931" s="18"/>
      <c r="DS931" s="18"/>
      <c r="DT931" s="18"/>
      <c r="DU931" s="18"/>
      <c r="DV931" s="18"/>
      <c r="DW931" s="18"/>
      <c r="DX931" s="18"/>
      <c r="DY931" s="18"/>
      <c r="DZ931" s="18"/>
      <c r="EA931" s="18"/>
      <c r="EB931" s="18"/>
      <c r="EC931" s="18"/>
      <c r="ED931" s="18"/>
      <c r="EE931" s="18"/>
      <c r="EF931" s="18"/>
      <c r="EG931" s="18"/>
      <c r="EH931" s="18"/>
      <c r="EI931" s="18"/>
      <c r="EJ931" s="18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EU931" s="18"/>
      <c r="EV931" s="18"/>
      <c r="EW931" s="18"/>
      <c r="EX931" s="18"/>
    </row>
    <row r="932">
      <c r="A932" s="101"/>
      <c r="B932" s="105"/>
      <c r="C932" s="105"/>
      <c r="D932" s="106"/>
      <c r="E932" s="110"/>
      <c r="F932" s="92"/>
      <c r="G932" s="18"/>
      <c r="H932" s="101" t="str">
        <f>IFERROR(__xludf.DUMMYFUNCTION("""COMPUTED_VALUE"""),"")</f>
        <v/>
      </c>
      <c r="I932" s="67" t="str">
        <f>IFERROR(__xludf.DUMMYFUNCTION("""COMPUTED_VALUE"""),"")</f>
        <v/>
      </c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8"/>
      <c r="CY932" s="18"/>
      <c r="CZ932" s="18"/>
      <c r="DA932" s="18"/>
      <c r="DB932" s="18"/>
      <c r="DC932" s="18"/>
      <c r="DD932" s="18"/>
      <c r="DE932" s="18"/>
      <c r="DF932" s="18"/>
      <c r="DG932" s="18"/>
      <c r="DH932" s="18"/>
      <c r="DI932" s="18"/>
      <c r="DJ932" s="18"/>
      <c r="DK932" s="18"/>
      <c r="DL932" s="18"/>
      <c r="DM932" s="18"/>
      <c r="DN932" s="18"/>
      <c r="DO932" s="18"/>
      <c r="DP932" s="18"/>
      <c r="DQ932" s="18"/>
      <c r="DR932" s="18"/>
      <c r="DS932" s="18"/>
      <c r="DT932" s="18"/>
      <c r="DU932" s="18"/>
      <c r="DV932" s="18"/>
      <c r="DW932" s="18"/>
      <c r="DX932" s="18"/>
      <c r="DY932" s="18"/>
      <c r="DZ932" s="18"/>
      <c r="EA932" s="18"/>
      <c r="EB932" s="18"/>
      <c r="EC932" s="18"/>
      <c r="ED932" s="18"/>
      <c r="EE932" s="18"/>
      <c r="EF932" s="18"/>
      <c r="EG932" s="18"/>
      <c r="EH932" s="18"/>
      <c r="EI932" s="18"/>
      <c r="EJ932" s="18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EU932" s="18"/>
      <c r="EV932" s="18"/>
      <c r="EW932" s="18"/>
      <c r="EX932" s="18"/>
    </row>
    <row r="933">
      <c r="A933" s="101"/>
      <c r="B933" s="105"/>
      <c r="C933" s="105"/>
      <c r="D933" s="106"/>
      <c r="E933" s="110"/>
      <c r="F933" s="92"/>
      <c r="G933" s="18"/>
      <c r="H933" s="101" t="str">
        <f>IFERROR(__xludf.DUMMYFUNCTION("""COMPUTED_VALUE"""),"")</f>
        <v/>
      </c>
      <c r="I933" s="67" t="str">
        <f>IFERROR(__xludf.DUMMYFUNCTION("""COMPUTED_VALUE"""),"")</f>
        <v/>
      </c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8"/>
      <c r="CW933" s="18"/>
      <c r="CX933" s="18"/>
      <c r="CY933" s="18"/>
      <c r="CZ933" s="18"/>
      <c r="DA933" s="18"/>
      <c r="DB933" s="18"/>
      <c r="DC933" s="18"/>
      <c r="DD933" s="18"/>
      <c r="DE933" s="18"/>
      <c r="DF933" s="18"/>
      <c r="DG933" s="18"/>
      <c r="DH933" s="18"/>
      <c r="DI933" s="18"/>
      <c r="DJ933" s="18"/>
      <c r="DK933" s="18"/>
      <c r="DL933" s="18"/>
      <c r="DM933" s="18"/>
      <c r="DN933" s="18"/>
      <c r="DO933" s="18"/>
      <c r="DP933" s="18"/>
      <c r="DQ933" s="18"/>
      <c r="DR933" s="18"/>
      <c r="DS933" s="18"/>
      <c r="DT933" s="18"/>
      <c r="DU933" s="18"/>
      <c r="DV933" s="18"/>
      <c r="DW933" s="18"/>
      <c r="DX933" s="18"/>
      <c r="DY933" s="18"/>
      <c r="DZ933" s="18"/>
      <c r="EA933" s="18"/>
      <c r="EB933" s="18"/>
      <c r="EC933" s="18"/>
      <c r="ED933" s="18"/>
      <c r="EE933" s="18"/>
      <c r="EF933" s="18"/>
      <c r="EG933" s="18"/>
      <c r="EH933" s="18"/>
      <c r="EI933" s="18"/>
      <c r="EJ933" s="18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EU933" s="18"/>
      <c r="EV933" s="18"/>
      <c r="EW933" s="18"/>
      <c r="EX933" s="18"/>
    </row>
    <row r="934">
      <c r="A934" s="101"/>
      <c r="B934" s="105"/>
      <c r="C934" s="105"/>
      <c r="D934" s="106"/>
      <c r="E934" s="110"/>
      <c r="F934" s="92"/>
      <c r="G934" s="18"/>
      <c r="H934" s="101"/>
      <c r="I934" s="67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8"/>
      <c r="CV934" s="18"/>
      <c r="CW934" s="18"/>
      <c r="CX934" s="18"/>
      <c r="CY934" s="18"/>
      <c r="CZ934" s="18"/>
      <c r="DA934" s="18"/>
      <c r="DB934" s="18"/>
      <c r="DC934" s="18"/>
      <c r="DD934" s="18"/>
      <c r="DE934" s="18"/>
      <c r="DF934" s="18"/>
      <c r="DG934" s="18"/>
      <c r="DH934" s="18"/>
      <c r="DI934" s="18"/>
      <c r="DJ934" s="18"/>
      <c r="DK934" s="18"/>
      <c r="DL934" s="18"/>
      <c r="DM934" s="18"/>
      <c r="DN934" s="18"/>
      <c r="DO934" s="18"/>
      <c r="DP934" s="18"/>
      <c r="DQ934" s="18"/>
      <c r="DR934" s="18"/>
      <c r="DS934" s="18"/>
      <c r="DT934" s="18"/>
      <c r="DU934" s="18"/>
      <c r="DV934" s="18"/>
      <c r="DW934" s="18"/>
      <c r="DX934" s="18"/>
      <c r="DY934" s="18"/>
      <c r="DZ934" s="18"/>
      <c r="EA934" s="18"/>
      <c r="EB934" s="18"/>
      <c r="EC934" s="18"/>
      <c r="ED934" s="18"/>
      <c r="EE934" s="18"/>
      <c r="EF934" s="18"/>
      <c r="EG934" s="18"/>
      <c r="EH934" s="18"/>
      <c r="EI934" s="18"/>
      <c r="EJ934" s="18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EU934" s="18"/>
      <c r="EV934" s="18"/>
      <c r="EW934" s="18"/>
      <c r="EX934" s="18"/>
    </row>
    <row r="935">
      <c r="A935" s="101"/>
      <c r="B935" s="105"/>
      <c r="C935" s="105"/>
      <c r="D935" s="106"/>
      <c r="E935" s="110"/>
      <c r="F935" s="92"/>
      <c r="G935" s="18"/>
      <c r="H935" s="101"/>
      <c r="I935" s="67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8"/>
      <c r="CU935" s="18"/>
      <c r="CV935" s="18"/>
      <c r="CW935" s="18"/>
      <c r="CX935" s="18"/>
      <c r="CY935" s="18"/>
      <c r="CZ935" s="18"/>
      <c r="DA935" s="18"/>
      <c r="DB935" s="18"/>
      <c r="DC935" s="18"/>
      <c r="DD935" s="18"/>
      <c r="DE935" s="18"/>
      <c r="DF935" s="18"/>
      <c r="DG935" s="18"/>
      <c r="DH935" s="18"/>
      <c r="DI935" s="18"/>
      <c r="DJ935" s="18"/>
      <c r="DK935" s="18"/>
      <c r="DL935" s="18"/>
      <c r="DM935" s="18"/>
      <c r="DN935" s="18"/>
      <c r="DO935" s="18"/>
      <c r="DP935" s="18"/>
      <c r="DQ935" s="18"/>
      <c r="DR935" s="18"/>
      <c r="DS935" s="18"/>
      <c r="DT935" s="18"/>
      <c r="DU935" s="18"/>
      <c r="DV935" s="18"/>
      <c r="DW935" s="18"/>
      <c r="DX935" s="18"/>
      <c r="DY935" s="18"/>
      <c r="DZ935" s="18"/>
      <c r="EA935" s="18"/>
      <c r="EB935" s="18"/>
      <c r="EC935" s="18"/>
      <c r="ED935" s="18"/>
      <c r="EE935" s="18"/>
      <c r="EF935" s="18"/>
      <c r="EG935" s="18"/>
      <c r="EH935" s="18"/>
      <c r="EI935" s="18"/>
      <c r="EJ935" s="18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EU935" s="18"/>
      <c r="EV935" s="18"/>
      <c r="EW935" s="18"/>
      <c r="EX935" s="18"/>
    </row>
    <row r="936">
      <c r="A936" s="101"/>
      <c r="B936" s="105"/>
      <c r="C936" s="105"/>
      <c r="D936" s="106"/>
      <c r="E936" s="110"/>
      <c r="F936" s="92"/>
      <c r="G936" s="18"/>
      <c r="H936" s="101"/>
      <c r="I936" s="67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8"/>
      <c r="CT936" s="18"/>
      <c r="CU936" s="18"/>
      <c r="CV936" s="18"/>
      <c r="CW936" s="18"/>
      <c r="CX936" s="18"/>
      <c r="CY936" s="18"/>
      <c r="CZ936" s="18"/>
      <c r="DA936" s="18"/>
      <c r="DB936" s="18"/>
      <c r="DC936" s="18"/>
      <c r="DD936" s="18"/>
      <c r="DE936" s="18"/>
      <c r="DF936" s="18"/>
      <c r="DG936" s="18"/>
      <c r="DH936" s="18"/>
      <c r="DI936" s="18"/>
      <c r="DJ936" s="18"/>
      <c r="DK936" s="18"/>
      <c r="DL936" s="18"/>
      <c r="DM936" s="18"/>
      <c r="DN936" s="18"/>
      <c r="DO936" s="18"/>
      <c r="DP936" s="18"/>
      <c r="DQ936" s="18"/>
      <c r="DR936" s="18"/>
      <c r="DS936" s="18"/>
      <c r="DT936" s="18"/>
      <c r="DU936" s="18"/>
      <c r="DV936" s="18"/>
      <c r="DW936" s="18"/>
      <c r="DX936" s="18"/>
      <c r="DY936" s="18"/>
      <c r="DZ936" s="18"/>
      <c r="EA936" s="18"/>
      <c r="EB936" s="18"/>
      <c r="EC936" s="18"/>
      <c r="ED936" s="18"/>
      <c r="EE936" s="18"/>
      <c r="EF936" s="18"/>
      <c r="EG936" s="18"/>
      <c r="EH936" s="18"/>
      <c r="EI936" s="18"/>
      <c r="EJ936" s="18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EU936" s="18"/>
      <c r="EV936" s="18"/>
      <c r="EW936" s="18"/>
      <c r="EX936" s="18"/>
    </row>
    <row r="937">
      <c r="A937" s="101"/>
      <c r="B937" s="105"/>
      <c r="C937" s="105"/>
      <c r="D937" s="106"/>
      <c r="E937" s="110"/>
      <c r="F937" s="92"/>
      <c r="G937" s="18"/>
      <c r="H937" s="101"/>
      <c r="I937" s="67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8"/>
      <c r="CR937" s="18"/>
      <c r="CS937" s="18"/>
      <c r="CT937" s="18"/>
      <c r="CU937" s="18"/>
      <c r="CV937" s="18"/>
      <c r="CW937" s="18"/>
      <c r="CX937" s="18"/>
      <c r="CY937" s="18"/>
      <c r="CZ937" s="18"/>
      <c r="DA937" s="18"/>
      <c r="DB937" s="18"/>
      <c r="DC937" s="18"/>
      <c r="DD937" s="18"/>
      <c r="DE937" s="18"/>
      <c r="DF937" s="18"/>
      <c r="DG937" s="18"/>
      <c r="DH937" s="18"/>
      <c r="DI937" s="18"/>
      <c r="DJ937" s="18"/>
      <c r="DK937" s="18"/>
      <c r="DL937" s="18"/>
      <c r="DM937" s="18"/>
      <c r="DN937" s="18"/>
      <c r="DO937" s="18"/>
      <c r="DP937" s="18"/>
      <c r="DQ937" s="18"/>
      <c r="DR937" s="18"/>
      <c r="DS937" s="18"/>
      <c r="DT937" s="18"/>
      <c r="DU937" s="18"/>
      <c r="DV937" s="18"/>
      <c r="DW937" s="18"/>
      <c r="DX937" s="18"/>
      <c r="DY937" s="18"/>
      <c r="DZ937" s="18"/>
      <c r="EA937" s="18"/>
      <c r="EB937" s="18"/>
      <c r="EC937" s="18"/>
      <c r="ED937" s="18"/>
      <c r="EE937" s="18"/>
      <c r="EF937" s="18"/>
      <c r="EG937" s="18"/>
      <c r="EH937" s="18"/>
      <c r="EI937" s="18"/>
      <c r="EJ937" s="18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EU937" s="18"/>
      <c r="EV937" s="18"/>
      <c r="EW937" s="18"/>
      <c r="EX937" s="18"/>
    </row>
    <row r="938">
      <c r="A938" s="101"/>
      <c r="B938" s="105"/>
      <c r="C938" s="105"/>
      <c r="D938" s="106"/>
      <c r="E938" s="110"/>
      <c r="F938" s="92"/>
      <c r="G938" s="18"/>
      <c r="H938" s="101"/>
      <c r="I938" s="67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8"/>
      <c r="CQ938" s="18"/>
      <c r="CR938" s="18"/>
      <c r="CS938" s="18"/>
      <c r="CT938" s="18"/>
      <c r="CU938" s="18"/>
      <c r="CV938" s="18"/>
      <c r="CW938" s="18"/>
      <c r="CX938" s="18"/>
      <c r="CY938" s="18"/>
      <c r="CZ938" s="18"/>
      <c r="DA938" s="18"/>
      <c r="DB938" s="18"/>
      <c r="DC938" s="18"/>
      <c r="DD938" s="18"/>
      <c r="DE938" s="18"/>
      <c r="DF938" s="18"/>
      <c r="DG938" s="18"/>
      <c r="DH938" s="18"/>
      <c r="DI938" s="18"/>
      <c r="DJ938" s="18"/>
      <c r="DK938" s="18"/>
      <c r="DL938" s="18"/>
      <c r="DM938" s="18"/>
      <c r="DN938" s="18"/>
      <c r="DO938" s="18"/>
      <c r="DP938" s="18"/>
      <c r="DQ938" s="18"/>
      <c r="DR938" s="18"/>
      <c r="DS938" s="18"/>
      <c r="DT938" s="18"/>
      <c r="DU938" s="18"/>
      <c r="DV938" s="18"/>
      <c r="DW938" s="18"/>
      <c r="DX938" s="18"/>
      <c r="DY938" s="18"/>
      <c r="DZ938" s="18"/>
      <c r="EA938" s="18"/>
      <c r="EB938" s="18"/>
      <c r="EC938" s="18"/>
      <c r="ED938" s="18"/>
      <c r="EE938" s="18"/>
      <c r="EF938" s="18"/>
      <c r="EG938" s="18"/>
      <c r="EH938" s="18"/>
      <c r="EI938" s="18"/>
      <c r="EJ938" s="1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EU938" s="18"/>
      <c r="EV938" s="18"/>
      <c r="EW938" s="18"/>
      <c r="EX938" s="18"/>
    </row>
    <row r="939">
      <c r="A939" s="101"/>
      <c r="B939" s="105"/>
      <c r="C939" s="105"/>
      <c r="D939" s="106"/>
      <c r="E939" s="110"/>
      <c r="F939" s="92"/>
      <c r="G939" s="18"/>
      <c r="H939" s="101"/>
      <c r="I939" s="67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  <c r="CP939" s="18"/>
      <c r="CQ939" s="18"/>
      <c r="CR939" s="18"/>
      <c r="CS939" s="18"/>
      <c r="CT939" s="18"/>
      <c r="CU939" s="18"/>
      <c r="CV939" s="18"/>
      <c r="CW939" s="18"/>
      <c r="CX939" s="18"/>
      <c r="CY939" s="18"/>
      <c r="CZ939" s="18"/>
      <c r="DA939" s="18"/>
      <c r="DB939" s="18"/>
      <c r="DC939" s="18"/>
      <c r="DD939" s="18"/>
      <c r="DE939" s="18"/>
      <c r="DF939" s="18"/>
      <c r="DG939" s="18"/>
      <c r="DH939" s="18"/>
      <c r="DI939" s="18"/>
      <c r="DJ939" s="18"/>
      <c r="DK939" s="18"/>
      <c r="DL939" s="18"/>
      <c r="DM939" s="18"/>
      <c r="DN939" s="18"/>
      <c r="DO939" s="18"/>
      <c r="DP939" s="18"/>
      <c r="DQ939" s="18"/>
      <c r="DR939" s="18"/>
      <c r="DS939" s="18"/>
      <c r="DT939" s="18"/>
      <c r="DU939" s="18"/>
      <c r="DV939" s="18"/>
      <c r="DW939" s="18"/>
      <c r="DX939" s="18"/>
      <c r="DY939" s="18"/>
      <c r="DZ939" s="18"/>
      <c r="EA939" s="18"/>
      <c r="EB939" s="18"/>
      <c r="EC939" s="18"/>
      <c r="ED939" s="18"/>
      <c r="EE939" s="18"/>
      <c r="EF939" s="18"/>
      <c r="EG939" s="18"/>
      <c r="EH939" s="18"/>
      <c r="EI939" s="18"/>
      <c r="EJ939" s="18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EU939" s="18"/>
      <c r="EV939" s="18"/>
      <c r="EW939" s="18"/>
      <c r="EX939" s="18"/>
    </row>
    <row r="940">
      <c r="A940" s="101"/>
      <c r="B940" s="105"/>
      <c r="C940" s="105"/>
      <c r="D940" s="106"/>
      <c r="E940" s="110"/>
      <c r="F940" s="92"/>
      <c r="G940" s="18"/>
      <c r="H940" s="101"/>
      <c r="I940" s="67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  <c r="CP940" s="18"/>
      <c r="CQ940" s="18"/>
      <c r="CR940" s="18"/>
      <c r="CS940" s="18"/>
      <c r="CT940" s="18"/>
      <c r="CU940" s="18"/>
      <c r="CV940" s="18"/>
      <c r="CW940" s="18"/>
      <c r="CX940" s="18"/>
      <c r="CY940" s="18"/>
      <c r="CZ940" s="18"/>
      <c r="DA940" s="18"/>
      <c r="DB940" s="18"/>
      <c r="DC940" s="18"/>
      <c r="DD940" s="18"/>
      <c r="DE940" s="18"/>
      <c r="DF940" s="18"/>
      <c r="DG940" s="18"/>
      <c r="DH940" s="18"/>
      <c r="DI940" s="18"/>
      <c r="DJ940" s="18"/>
      <c r="DK940" s="18"/>
      <c r="DL940" s="18"/>
      <c r="DM940" s="18"/>
      <c r="DN940" s="18"/>
      <c r="DO940" s="18"/>
      <c r="DP940" s="18"/>
      <c r="DQ940" s="18"/>
      <c r="DR940" s="18"/>
      <c r="DS940" s="18"/>
      <c r="DT940" s="18"/>
      <c r="DU940" s="18"/>
      <c r="DV940" s="18"/>
      <c r="DW940" s="18"/>
      <c r="DX940" s="18"/>
      <c r="DY940" s="18"/>
      <c r="DZ940" s="18"/>
      <c r="EA940" s="18"/>
      <c r="EB940" s="18"/>
      <c r="EC940" s="18"/>
      <c r="ED940" s="18"/>
      <c r="EE940" s="18"/>
      <c r="EF940" s="18"/>
      <c r="EG940" s="18"/>
      <c r="EH940" s="18"/>
      <c r="EI940" s="18"/>
      <c r="EJ940" s="18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EU940" s="18"/>
      <c r="EV940" s="18"/>
      <c r="EW940" s="18"/>
      <c r="EX940" s="18"/>
    </row>
    <row r="941">
      <c r="A941" s="101"/>
      <c r="B941" s="105"/>
      <c r="C941" s="105"/>
      <c r="D941" s="106"/>
      <c r="E941" s="110"/>
      <c r="F941" s="92"/>
      <c r="G941" s="18"/>
      <c r="H941" s="101"/>
      <c r="I941" s="67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  <c r="CP941" s="18"/>
      <c r="CQ941" s="18"/>
      <c r="CR941" s="18"/>
      <c r="CS941" s="18"/>
      <c r="CT941" s="18"/>
      <c r="CU941" s="18"/>
      <c r="CV941" s="18"/>
      <c r="CW941" s="18"/>
      <c r="CX941" s="18"/>
      <c r="CY941" s="18"/>
      <c r="CZ941" s="18"/>
      <c r="DA941" s="18"/>
      <c r="DB941" s="18"/>
      <c r="DC941" s="18"/>
      <c r="DD941" s="18"/>
      <c r="DE941" s="18"/>
      <c r="DF941" s="18"/>
      <c r="DG941" s="18"/>
      <c r="DH941" s="18"/>
      <c r="DI941" s="18"/>
      <c r="DJ941" s="18"/>
      <c r="DK941" s="18"/>
      <c r="DL941" s="18"/>
      <c r="DM941" s="18"/>
      <c r="DN941" s="18"/>
      <c r="DO941" s="18"/>
      <c r="DP941" s="18"/>
      <c r="DQ941" s="18"/>
      <c r="DR941" s="18"/>
      <c r="DS941" s="18"/>
      <c r="DT941" s="18"/>
      <c r="DU941" s="18"/>
      <c r="DV941" s="18"/>
      <c r="DW941" s="18"/>
      <c r="DX941" s="18"/>
      <c r="DY941" s="18"/>
      <c r="DZ941" s="18"/>
      <c r="EA941" s="18"/>
      <c r="EB941" s="18"/>
      <c r="EC941" s="18"/>
      <c r="ED941" s="18"/>
      <c r="EE941" s="18"/>
      <c r="EF941" s="18"/>
      <c r="EG941" s="18"/>
      <c r="EH941" s="18"/>
      <c r="EI941" s="18"/>
      <c r="EJ941" s="18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EU941" s="18"/>
      <c r="EV941" s="18"/>
      <c r="EW941" s="18"/>
      <c r="EX941" s="18"/>
    </row>
    <row r="942">
      <c r="A942" s="101"/>
      <c r="B942" s="105"/>
      <c r="C942" s="105"/>
      <c r="D942" s="106"/>
      <c r="E942" s="110"/>
      <c r="F942" s="92"/>
      <c r="G942" s="18"/>
      <c r="H942" s="101"/>
      <c r="I942" s="67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  <c r="CP942" s="18"/>
      <c r="CQ942" s="18"/>
      <c r="CR942" s="18"/>
      <c r="CS942" s="18"/>
      <c r="CT942" s="18"/>
      <c r="CU942" s="18"/>
      <c r="CV942" s="18"/>
      <c r="CW942" s="18"/>
      <c r="CX942" s="18"/>
      <c r="CY942" s="18"/>
      <c r="CZ942" s="18"/>
      <c r="DA942" s="18"/>
      <c r="DB942" s="18"/>
      <c r="DC942" s="18"/>
      <c r="DD942" s="18"/>
      <c r="DE942" s="18"/>
      <c r="DF942" s="18"/>
      <c r="DG942" s="18"/>
      <c r="DH942" s="18"/>
      <c r="DI942" s="18"/>
      <c r="DJ942" s="18"/>
      <c r="DK942" s="18"/>
      <c r="DL942" s="18"/>
      <c r="DM942" s="18"/>
      <c r="DN942" s="18"/>
      <c r="DO942" s="18"/>
      <c r="DP942" s="18"/>
      <c r="DQ942" s="18"/>
      <c r="DR942" s="18"/>
      <c r="DS942" s="18"/>
      <c r="DT942" s="18"/>
      <c r="DU942" s="18"/>
      <c r="DV942" s="18"/>
      <c r="DW942" s="18"/>
      <c r="DX942" s="18"/>
      <c r="DY942" s="18"/>
      <c r="DZ942" s="18"/>
      <c r="EA942" s="18"/>
      <c r="EB942" s="18"/>
      <c r="EC942" s="18"/>
      <c r="ED942" s="18"/>
      <c r="EE942" s="18"/>
      <c r="EF942" s="18"/>
      <c r="EG942" s="18"/>
      <c r="EH942" s="18"/>
      <c r="EI942" s="18"/>
      <c r="EJ942" s="18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EU942" s="18"/>
      <c r="EV942" s="18"/>
      <c r="EW942" s="18"/>
      <c r="EX942" s="18"/>
    </row>
    <row r="943">
      <c r="A943" s="101"/>
      <c r="B943" s="105"/>
      <c r="C943" s="105"/>
      <c r="D943" s="106"/>
      <c r="E943" s="110"/>
      <c r="F943" s="92"/>
      <c r="G943" s="18"/>
      <c r="H943" s="101"/>
      <c r="I943" s="67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  <c r="CP943" s="18"/>
      <c r="CQ943" s="18"/>
      <c r="CR943" s="18"/>
      <c r="CS943" s="18"/>
      <c r="CT943" s="18"/>
      <c r="CU943" s="18"/>
      <c r="CV943" s="18"/>
      <c r="CW943" s="18"/>
      <c r="CX943" s="18"/>
      <c r="CY943" s="18"/>
      <c r="CZ943" s="18"/>
      <c r="DA943" s="18"/>
      <c r="DB943" s="18"/>
      <c r="DC943" s="18"/>
      <c r="DD943" s="18"/>
      <c r="DE943" s="18"/>
      <c r="DF943" s="18"/>
      <c r="DG943" s="18"/>
      <c r="DH943" s="18"/>
      <c r="DI943" s="18"/>
      <c r="DJ943" s="18"/>
      <c r="DK943" s="18"/>
      <c r="DL943" s="18"/>
      <c r="DM943" s="18"/>
      <c r="DN943" s="18"/>
      <c r="DO943" s="18"/>
      <c r="DP943" s="18"/>
      <c r="DQ943" s="18"/>
      <c r="DR943" s="18"/>
      <c r="DS943" s="18"/>
      <c r="DT943" s="18"/>
      <c r="DU943" s="18"/>
      <c r="DV943" s="18"/>
      <c r="DW943" s="18"/>
      <c r="DX943" s="18"/>
      <c r="DY943" s="18"/>
      <c r="DZ943" s="18"/>
      <c r="EA943" s="18"/>
      <c r="EB943" s="18"/>
      <c r="EC943" s="18"/>
      <c r="ED943" s="18"/>
      <c r="EE943" s="18"/>
      <c r="EF943" s="18"/>
      <c r="EG943" s="18"/>
      <c r="EH943" s="18"/>
      <c r="EI943" s="18"/>
      <c r="EJ943" s="18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EU943" s="18"/>
      <c r="EV943" s="18"/>
      <c r="EW943" s="18"/>
      <c r="EX943" s="18"/>
    </row>
    <row r="944">
      <c r="A944" s="101"/>
      <c r="B944" s="105"/>
      <c r="C944" s="105"/>
      <c r="D944" s="106"/>
      <c r="E944" s="110"/>
      <c r="F944" s="92"/>
      <c r="G944" s="18"/>
      <c r="H944" s="101"/>
      <c r="I944" s="67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  <c r="CP944" s="18"/>
      <c r="CQ944" s="18"/>
      <c r="CR944" s="18"/>
      <c r="CS944" s="18"/>
      <c r="CT944" s="18"/>
      <c r="CU944" s="18"/>
      <c r="CV944" s="18"/>
      <c r="CW944" s="18"/>
      <c r="CX944" s="18"/>
      <c r="CY944" s="18"/>
      <c r="CZ944" s="18"/>
      <c r="DA944" s="18"/>
      <c r="DB944" s="18"/>
      <c r="DC944" s="18"/>
      <c r="DD944" s="18"/>
      <c r="DE944" s="18"/>
      <c r="DF944" s="18"/>
      <c r="DG944" s="18"/>
      <c r="DH944" s="18"/>
      <c r="DI944" s="18"/>
      <c r="DJ944" s="18"/>
      <c r="DK944" s="18"/>
      <c r="DL944" s="18"/>
      <c r="DM944" s="18"/>
      <c r="DN944" s="18"/>
      <c r="DO944" s="18"/>
      <c r="DP944" s="18"/>
      <c r="DQ944" s="18"/>
      <c r="DR944" s="18"/>
      <c r="DS944" s="18"/>
      <c r="DT944" s="18"/>
      <c r="DU944" s="18"/>
      <c r="DV944" s="18"/>
      <c r="DW944" s="18"/>
      <c r="DX944" s="18"/>
      <c r="DY944" s="18"/>
      <c r="DZ944" s="18"/>
      <c r="EA944" s="18"/>
      <c r="EB944" s="18"/>
      <c r="EC944" s="18"/>
      <c r="ED944" s="18"/>
      <c r="EE944" s="18"/>
      <c r="EF944" s="18"/>
      <c r="EG944" s="18"/>
      <c r="EH944" s="18"/>
      <c r="EI944" s="18"/>
      <c r="EJ944" s="18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EU944" s="18"/>
      <c r="EV944" s="18"/>
      <c r="EW944" s="18"/>
      <c r="EX944" s="18"/>
    </row>
    <row r="945">
      <c r="A945" s="101"/>
      <c r="B945" s="105"/>
      <c r="C945" s="105"/>
      <c r="D945" s="106"/>
      <c r="E945" s="110"/>
      <c r="F945" s="92"/>
      <c r="G945" s="18"/>
      <c r="H945" s="101"/>
      <c r="I945" s="67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  <c r="CP945" s="18"/>
      <c r="CQ945" s="18"/>
      <c r="CR945" s="18"/>
      <c r="CS945" s="18"/>
      <c r="CT945" s="18"/>
      <c r="CU945" s="18"/>
      <c r="CV945" s="18"/>
      <c r="CW945" s="18"/>
      <c r="CX945" s="18"/>
      <c r="CY945" s="18"/>
      <c r="CZ945" s="18"/>
      <c r="DA945" s="18"/>
      <c r="DB945" s="18"/>
      <c r="DC945" s="18"/>
      <c r="DD945" s="18"/>
      <c r="DE945" s="18"/>
      <c r="DF945" s="18"/>
      <c r="DG945" s="18"/>
      <c r="DH945" s="18"/>
      <c r="DI945" s="18"/>
      <c r="DJ945" s="18"/>
      <c r="DK945" s="18"/>
      <c r="DL945" s="18"/>
      <c r="DM945" s="18"/>
      <c r="DN945" s="18"/>
      <c r="DO945" s="18"/>
      <c r="DP945" s="18"/>
      <c r="DQ945" s="18"/>
      <c r="DR945" s="18"/>
      <c r="DS945" s="18"/>
      <c r="DT945" s="18"/>
      <c r="DU945" s="18"/>
      <c r="DV945" s="18"/>
      <c r="DW945" s="18"/>
      <c r="DX945" s="18"/>
      <c r="DY945" s="18"/>
      <c r="DZ945" s="18"/>
      <c r="EA945" s="18"/>
      <c r="EB945" s="18"/>
      <c r="EC945" s="18"/>
      <c r="ED945" s="18"/>
      <c r="EE945" s="18"/>
      <c r="EF945" s="18"/>
      <c r="EG945" s="18"/>
      <c r="EH945" s="18"/>
      <c r="EI945" s="18"/>
      <c r="EJ945" s="18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EU945" s="18"/>
      <c r="EV945" s="18"/>
      <c r="EW945" s="18"/>
      <c r="EX945" s="18"/>
    </row>
    <row r="946">
      <c r="A946" s="101"/>
      <c r="B946" s="105"/>
      <c r="C946" s="105"/>
      <c r="D946" s="106"/>
      <c r="E946" s="110"/>
      <c r="F946" s="92"/>
      <c r="G946" s="18"/>
      <c r="H946" s="101"/>
      <c r="I946" s="67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  <c r="CP946" s="18"/>
      <c r="CQ946" s="18"/>
      <c r="CR946" s="18"/>
      <c r="CS946" s="18"/>
      <c r="CT946" s="18"/>
      <c r="CU946" s="18"/>
      <c r="CV946" s="18"/>
      <c r="CW946" s="18"/>
      <c r="CX946" s="18"/>
      <c r="CY946" s="18"/>
      <c r="CZ946" s="18"/>
      <c r="DA946" s="18"/>
      <c r="DB946" s="18"/>
      <c r="DC946" s="18"/>
      <c r="DD946" s="18"/>
      <c r="DE946" s="18"/>
      <c r="DF946" s="18"/>
      <c r="DG946" s="18"/>
      <c r="DH946" s="18"/>
      <c r="DI946" s="18"/>
      <c r="DJ946" s="18"/>
      <c r="DK946" s="18"/>
      <c r="DL946" s="18"/>
      <c r="DM946" s="18"/>
      <c r="DN946" s="18"/>
      <c r="DO946" s="18"/>
      <c r="DP946" s="18"/>
      <c r="DQ946" s="18"/>
      <c r="DR946" s="18"/>
      <c r="DS946" s="18"/>
      <c r="DT946" s="18"/>
      <c r="DU946" s="18"/>
      <c r="DV946" s="18"/>
      <c r="DW946" s="18"/>
      <c r="DX946" s="18"/>
      <c r="DY946" s="18"/>
      <c r="DZ946" s="18"/>
      <c r="EA946" s="18"/>
      <c r="EB946" s="18"/>
      <c r="EC946" s="18"/>
      <c r="ED946" s="18"/>
      <c r="EE946" s="18"/>
      <c r="EF946" s="18"/>
      <c r="EG946" s="18"/>
      <c r="EH946" s="18"/>
      <c r="EI946" s="18"/>
      <c r="EJ946" s="18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EU946" s="18"/>
      <c r="EV946" s="18"/>
      <c r="EW946" s="18"/>
      <c r="EX946" s="18"/>
    </row>
    <row r="947">
      <c r="A947" s="101"/>
      <c r="B947" s="105"/>
      <c r="C947" s="105"/>
      <c r="D947" s="106"/>
      <c r="E947" s="110"/>
      <c r="F947" s="92"/>
      <c r="G947" s="18"/>
      <c r="H947" s="101"/>
      <c r="I947" s="67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  <c r="CP947" s="18"/>
      <c r="CQ947" s="18"/>
      <c r="CR947" s="18"/>
      <c r="CS947" s="18"/>
      <c r="CT947" s="18"/>
      <c r="CU947" s="18"/>
      <c r="CV947" s="18"/>
      <c r="CW947" s="18"/>
      <c r="CX947" s="18"/>
      <c r="CY947" s="18"/>
      <c r="CZ947" s="18"/>
      <c r="DA947" s="18"/>
      <c r="DB947" s="18"/>
      <c r="DC947" s="18"/>
      <c r="DD947" s="18"/>
      <c r="DE947" s="18"/>
      <c r="DF947" s="18"/>
      <c r="DG947" s="18"/>
      <c r="DH947" s="18"/>
      <c r="DI947" s="18"/>
      <c r="DJ947" s="18"/>
      <c r="DK947" s="18"/>
      <c r="DL947" s="18"/>
      <c r="DM947" s="18"/>
      <c r="DN947" s="18"/>
      <c r="DO947" s="18"/>
      <c r="DP947" s="18"/>
      <c r="DQ947" s="18"/>
      <c r="DR947" s="18"/>
      <c r="DS947" s="18"/>
      <c r="DT947" s="18"/>
      <c r="DU947" s="18"/>
      <c r="DV947" s="18"/>
      <c r="DW947" s="18"/>
      <c r="DX947" s="18"/>
      <c r="DY947" s="18"/>
      <c r="DZ947" s="18"/>
      <c r="EA947" s="18"/>
      <c r="EB947" s="18"/>
      <c r="EC947" s="18"/>
      <c r="ED947" s="18"/>
      <c r="EE947" s="18"/>
      <c r="EF947" s="18"/>
      <c r="EG947" s="18"/>
      <c r="EH947" s="18"/>
      <c r="EI947" s="18"/>
      <c r="EJ947" s="18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EU947" s="18"/>
      <c r="EV947" s="18"/>
      <c r="EW947" s="18"/>
      <c r="EX947" s="18"/>
    </row>
    <row r="948">
      <c r="A948" s="101"/>
      <c r="B948" s="105"/>
      <c r="C948" s="105"/>
      <c r="D948" s="106"/>
      <c r="E948" s="110"/>
      <c r="F948" s="92"/>
      <c r="G948" s="18"/>
      <c r="H948" s="101"/>
      <c r="I948" s="67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  <c r="CP948" s="18"/>
      <c r="CQ948" s="18"/>
      <c r="CR948" s="18"/>
      <c r="CS948" s="18"/>
      <c r="CT948" s="18"/>
      <c r="CU948" s="18"/>
      <c r="CV948" s="18"/>
      <c r="CW948" s="18"/>
      <c r="CX948" s="18"/>
      <c r="CY948" s="18"/>
      <c r="CZ948" s="18"/>
      <c r="DA948" s="18"/>
      <c r="DB948" s="18"/>
      <c r="DC948" s="18"/>
      <c r="DD948" s="18"/>
      <c r="DE948" s="18"/>
      <c r="DF948" s="18"/>
      <c r="DG948" s="18"/>
      <c r="DH948" s="18"/>
      <c r="DI948" s="18"/>
      <c r="DJ948" s="18"/>
      <c r="DK948" s="18"/>
      <c r="DL948" s="18"/>
      <c r="DM948" s="18"/>
      <c r="DN948" s="18"/>
      <c r="DO948" s="18"/>
      <c r="DP948" s="18"/>
      <c r="DQ948" s="18"/>
      <c r="DR948" s="18"/>
      <c r="DS948" s="18"/>
      <c r="DT948" s="18"/>
      <c r="DU948" s="18"/>
      <c r="DV948" s="18"/>
      <c r="DW948" s="18"/>
      <c r="DX948" s="18"/>
      <c r="DY948" s="18"/>
      <c r="DZ948" s="18"/>
      <c r="EA948" s="18"/>
      <c r="EB948" s="18"/>
      <c r="EC948" s="18"/>
      <c r="ED948" s="18"/>
      <c r="EE948" s="18"/>
      <c r="EF948" s="18"/>
      <c r="EG948" s="18"/>
      <c r="EH948" s="18"/>
      <c r="EI948" s="18"/>
      <c r="EJ948" s="1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EU948" s="18"/>
      <c r="EV948" s="18"/>
      <c r="EW948" s="18"/>
      <c r="EX948" s="18"/>
    </row>
    <row r="949">
      <c r="A949" s="101"/>
      <c r="B949" s="105"/>
      <c r="C949" s="105"/>
      <c r="D949" s="106"/>
      <c r="E949" s="110"/>
      <c r="F949" s="92"/>
      <c r="G949" s="18"/>
      <c r="H949" s="101"/>
      <c r="I949" s="67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  <c r="CP949" s="18"/>
      <c r="CQ949" s="18"/>
      <c r="CR949" s="18"/>
      <c r="CS949" s="18"/>
      <c r="CT949" s="18"/>
      <c r="CU949" s="18"/>
      <c r="CV949" s="18"/>
      <c r="CW949" s="18"/>
      <c r="CX949" s="18"/>
      <c r="CY949" s="18"/>
      <c r="CZ949" s="18"/>
      <c r="DA949" s="18"/>
      <c r="DB949" s="18"/>
      <c r="DC949" s="18"/>
      <c r="DD949" s="18"/>
      <c r="DE949" s="18"/>
      <c r="DF949" s="18"/>
      <c r="DG949" s="18"/>
      <c r="DH949" s="18"/>
      <c r="DI949" s="18"/>
      <c r="DJ949" s="18"/>
      <c r="DK949" s="18"/>
      <c r="DL949" s="18"/>
      <c r="DM949" s="18"/>
      <c r="DN949" s="18"/>
      <c r="DO949" s="18"/>
      <c r="DP949" s="18"/>
      <c r="DQ949" s="18"/>
      <c r="DR949" s="18"/>
      <c r="DS949" s="18"/>
      <c r="DT949" s="18"/>
      <c r="DU949" s="18"/>
      <c r="DV949" s="18"/>
      <c r="DW949" s="18"/>
      <c r="DX949" s="18"/>
      <c r="DY949" s="18"/>
      <c r="DZ949" s="18"/>
      <c r="EA949" s="18"/>
      <c r="EB949" s="18"/>
      <c r="EC949" s="18"/>
      <c r="ED949" s="18"/>
      <c r="EE949" s="18"/>
      <c r="EF949" s="18"/>
      <c r="EG949" s="18"/>
      <c r="EH949" s="18"/>
      <c r="EI949" s="18"/>
      <c r="EJ949" s="18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EU949" s="18"/>
      <c r="EV949" s="18"/>
      <c r="EW949" s="18"/>
      <c r="EX949" s="18"/>
    </row>
    <row r="950">
      <c r="A950" s="101"/>
      <c r="B950" s="105"/>
      <c r="C950" s="105"/>
      <c r="D950" s="106"/>
      <c r="E950" s="110"/>
      <c r="F950" s="92"/>
      <c r="G950" s="18"/>
      <c r="H950" s="101"/>
      <c r="I950" s="67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  <c r="CP950" s="18"/>
      <c r="CQ950" s="18"/>
      <c r="CR950" s="18"/>
      <c r="CS950" s="18"/>
      <c r="CT950" s="18"/>
      <c r="CU950" s="18"/>
      <c r="CV950" s="18"/>
      <c r="CW950" s="18"/>
      <c r="CX950" s="18"/>
      <c r="CY950" s="18"/>
      <c r="CZ950" s="18"/>
      <c r="DA950" s="18"/>
      <c r="DB950" s="18"/>
      <c r="DC950" s="18"/>
      <c r="DD950" s="18"/>
      <c r="DE950" s="18"/>
      <c r="DF950" s="18"/>
      <c r="DG950" s="18"/>
      <c r="DH950" s="18"/>
      <c r="DI950" s="18"/>
      <c r="DJ950" s="18"/>
      <c r="DK950" s="18"/>
      <c r="DL950" s="18"/>
      <c r="DM950" s="18"/>
      <c r="DN950" s="18"/>
      <c r="DO950" s="18"/>
      <c r="DP950" s="18"/>
      <c r="DQ950" s="18"/>
      <c r="DR950" s="18"/>
      <c r="DS950" s="18"/>
      <c r="DT950" s="18"/>
      <c r="DU950" s="18"/>
      <c r="DV950" s="18"/>
      <c r="DW950" s="18"/>
      <c r="DX950" s="18"/>
      <c r="DY950" s="18"/>
      <c r="DZ950" s="18"/>
      <c r="EA950" s="18"/>
      <c r="EB950" s="18"/>
      <c r="EC950" s="18"/>
      <c r="ED950" s="18"/>
      <c r="EE950" s="18"/>
      <c r="EF950" s="18"/>
      <c r="EG950" s="18"/>
      <c r="EH950" s="18"/>
      <c r="EI950" s="18"/>
      <c r="EJ950" s="18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EU950" s="18"/>
      <c r="EV950" s="18"/>
      <c r="EW950" s="18"/>
      <c r="EX950" s="18"/>
    </row>
    <row r="951">
      <c r="A951" s="101"/>
      <c r="B951" s="105"/>
      <c r="C951" s="105"/>
      <c r="D951" s="106"/>
      <c r="E951" s="110"/>
      <c r="F951" s="92"/>
      <c r="G951" s="18"/>
      <c r="H951" s="101"/>
      <c r="I951" s="67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  <c r="CP951" s="18"/>
      <c r="CQ951" s="18"/>
      <c r="CR951" s="18"/>
      <c r="CS951" s="18"/>
      <c r="CT951" s="18"/>
      <c r="CU951" s="18"/>
      <c r="CV951" s="18"/>
      <c r="CW951" s="18"/>
      <c r="CX951" s="18"/>
      <c r="CY951" s="18"/>
      <c r="CZ951" s="18"/>
      <c r="DA951" s="18"/>
      <c r="DB951" s="18"/>
      <c r="DC951" s="18"/>
      <c r="DD951" s="18"/>
      <c r="DE951" s="18"/>
      <c r="DF951" s="18"/>
      <c r="DG951" s="18"/>
      <c r="DH951" s="18"/>
      <c r="DI951" s="18"/>
      <c r="DJ951" s="18"/>
      <c r="DK951" s="18"/>
      <c r="DL951" s="18"/>
      <c r="DM951" s="18"/>
      <c r="DN951" s="18"/>
      <c r="DO951" s="18"/>
      <c r="DP951" s="18"/>
      <c r="DQ951" s="18"/>
      <c r="DR951" s="18"/>
      <c r="DS951" s="18"/>
      <c r="DT951" s="18"/>
      <c r="DU951" s="18"/>
      <c r="DV951" s="18"/>
      <c r="DW951" s="18"/>
      <c r="DX951" s="18"/>
      <c r="DY951" s="18"/>
      <c r="DZ951" s="18"/>
      <c r="EA951" s="18"/>
      <c r="EB951" s="18"/>
      <c r="EC951" s="18"/>
      <c r="ED951" s="18"/>
      <c r="EE951" s="18"/>
      <c r="EF951" s="18"/>
      <c r="EG951" s="18"/>
      <c r="EH951" s="18"/>
      <c r="EI951" s="18"/>
      <c r="EJ951" s="18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EU951" s="18"/>
      <c r="EV951" s="18"/>
      <c r="EW951" s="18"/>
      <c r="EX951" s="18"/>
    </row>
    <row r="952">
      <c r="A952" s="101"/>
      <c r="B952" s="105"/>
      <c r="C952" s="105"/>
      <c r="D952" s="106"/>
      <c r="E952" s="110"/>
      <c r="F952" s="92"/>
      <c r="G952" s="18"/>
      <c r="H952" s="101"/>
      <c r="I952" s="67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  <c r="CP952" s="18"/>
      <c r="CQ952" s="18"/>
      <c r="CR952" s="18"/>
      <c r="CS952" s="18"/>
      <c r="CT952" s="18"/>
      <c r="CU952" s="18"/>
      <c r="CV952" s="18"/>
      <c r="CW952" s="18"/>
      <c r="CX952" s="18"/>
      <c r="CY952" s="18"/>
      <c r="CZ952" s="18"/>
      <c r="DA952" s="18"/>
      <c r="DB952" s="18"/>
      <c r="DC952" s="18"/>
      <c r="DD952" s="18"/>
      <c r="DE952" s="18"/>
      <c r="DF952" s="18"/>
      <c r="DG952" s="18"/>
      <c r="DH952" s="18"/>
      <c r="DI952" s="18"/>
      <c r="DJ952" s="18"/>
      <c r="DK952" s="18"/>
      <c r="DL952" s="18"/>
      <c r="DM952" s="18"/>
      <c r="DN952" s="18"/>
      <c r="DO952" s="18"/>
      <c r="DP952" s="18"/>
      <c r="DQ952" s="18"/>
      <c r="DR952" s="18"/>
      <c r="DS952" s="18"/>
      <c r="DT952" s="18"/>
      <c r="DU952" s="18"/>
      <c r="DV952" s="18"/>
      <c r="DW952" s="18"/>
      <c r="DX952" s="18"/>
      <c r="DY952" s="18"/>
      <c r="DZ952" s="18"/>
      <c r="EA952" s="18"/>
      <c r="EB952" s="18"/>
      <c r="EC952" s="18"/>
      <c r="ED952" s="18"/>
      <c r="EE952" s="18"/>
      <c r="EF952" s="18"/>
      <c r="EG952" s="18"/>
      <c r="EH952" s="18"/>
      <c r="EI952" s="18"/>
      <c r="EJ952" s="18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EU952" s="18"/>
      <c r="EV952" s="18"/>
      <c r="EW952" s="18"/>
      <c r="EX952" s="18"/>
    </row>
    <row r="953">
      <c r="A953" s="101"/>
      <c r="B953" s="105"/>
      <c r="C953" s="105"/>
      <c r="D953" s="106"/>
      <c r="E953" s="110"/>
      <c r="F953" s="92"/>
      <c r="G953" s="18"/>
      <c r="H953" s="101"/>
      <c r="I953" s="67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  <c r="CP953" s="18"/>
      <c r="CQ953" s="18"/>
      <c r="CR953" s="18"/>
      <c r="CS953" s="18"/>
      <c r="CT953" s="18"/>
      <c r="CU953" s="18"/>
      <c r="CV953" s="18"/>
      <c r="CW953" s="18"/>
      <c r="CX953" s="18"/>
      <c r="CY953" s="18"/>
      <c r="CZ953" s="18"/>
      <c r="DA953" s="18"/>
      <c r="DB953" s="18"/>
      <c r="DC953" s="18"/>
      <c r="DD953" s="18"/>
      <c r="DE953" s="18"/>
      <c r="DF953" s="18"/>
      <c r="DG953" s="18"/>
      <c r="DH953" s="18"/>
      <c r="DI953" s="18"/>
      <c r="DJ953" s="18"/>
      <c r="DK953" s="18"/>
      <c r="DL953" s="18"/>
      <c r="DM953" s="18"/>
      <c r="DN953" s="18"/>
      <c r="DO953" s="18"/>
      <c r="DP953" s="18"/>
      <c r="DQ953" s="18"/>
      <c r="DR953" s="18"/>
      <c r="DS953" s="18"/>
      <c r="DT953" s="18"/>
      <c r="DU953" s="18"/>
      <c r="DV953" s="18"/>
      <c r="DW953" s="18"/>
      <c r="DX953" s="18"/>
      <c r="DY953" s="18"/>
      <c r="DZ953" s="18"/>
      <c r="EA953" s="18"/>
      <c r="EB953" s="18"/>
      <c r="EC953" s="18"/>
      <c r="ED953" s="18"/>
      <c r="EE953" s="18"/>
      <c r="EF953" s="18"/>
      <c r="EG953" s="18"/>
      <c r="EH953" s="18"/>
      <c r="EI953" s="18"/>
      <c r="EJ953" s="18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EU953" s="18"/>
      <c r="EV953" s="18"/>
      <c r="EW953" s="18"/>
      <c r="EX953" s="18"/>
    </row>
    <row r="954">
      <c r="A954" s="101"/>
      <c r="B954" s="105"/>
      <c r="C954" s="105"/>
      <c r="D954" s="106"/>
      <c r="E954" s="110"/>
      <c r="F954" s="92"/>
      <c r="G954" s="18"/>
      <c r="H954" s="101"/>
      <c r="I954" s="67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  <c r="CP954" s="18"/>
      <c r="CQ954" s="18"/>
      <c r="CR954" s="18"/>
      <c r="CS954" s="18"/>
      <c r="CT954" s="18"/>
      <c r="CU954" s="18"/>
      <c r="CV954" s="18"/>
      <c r="CW954" s="18"/>
      <c r="CX954" s="18"/>
      <c r="CY954" s="18"/>
      <c r="CZ954" s="18"/>
      <c r="DA954" s="18"/>
      <c r="DB954" s="18"/>
      <c r="DC954" s="18"/>
      <c r="DD954" s="18"/>
      <c r="DE954" s="18"/>
      <c r="DF954" s="18"/>
      <c r="DG954" s="18"/>
      <c r="DH954" s="18"/>
      <c r="DI954" s="18"/>
      <c r="DJ954" s="18"/>
      <c r="DK954" s="18"/>
      <c r="DL954" s="18"/>
      <c r="DM954" s="18"/>
      <c r="DN954" s="18"/>
      <c r="DO954" s="18"/>
      <c r="DP954" s="18"/>
      <c r="DQ954" s="18"/>
      <c r="DR954" s="18"/>
      <c r="DS954" s="18"/>
      <c r="DT954" s="18"/>
      <c r="DU954" s="18"/>
      <c r="DV954" s="18"/>
      <c r="DW954" s="18"/>
      <c r="DX954" s="18"/>
      <c r="DY954" s="18"/>
      <c r="DZ954" s="18"/>
      <c r="EA954" s="18"/>
      <c r="EB954" s="18"/>
      <c r="EC954" s="18"/>
      <c r="ED954" s="18"/>
      <c r="EE954" s="18"/>
      <c r="EF954" s="18"/>
      <c r="EG954" s="18"/>
      <c r="EH954" s="18"/>
      <c r="EI954" s="18"/>
      <c r="EJ954" s="18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EU954" s="18"/>
      <c r="EV954" s="18"/>
      <c r="EW954" s="18"/>
      <c r="EX954" s="18"/>
    </row>
    <row r="955">
      <c r="A955" s="101"/>
      <c r="B955" s="105"/>
      <c r="C955" s="105"/>
      <c r="D955" s="106"/>
      <c r="E955" s="110"/>
      <c r="F955" s="92"/>
      <c r="G955" s="18"/>
      <c r="H955" s="101"/>
      <c r="I955" s="67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  <c r="CP955" s="18"/>
      <c r="CQ955" s="18"/>
      <c r="CR955" s="18"/>
      <c r="CS955" s="18"/>
      <c r="CT955" s="18"/>
      <c r="CU955" s="18"/>
      <c r="CV955" s="18"/>
      <c r="CW955" s="18"/>
      <c r="CX955" s="18"/>
      <c r="CY955" s="18"/>
      <c r="CZ955" s="18"/>
      <c r="DA955" s="18"/>
      <c r="DB955" s="18"/>
      <c r="DC955" s="18"/>
      <c r="DD955" s="18"/>
      <c r="DE955" s="18"/>
      <c r="DF955" s="18"/>
      <c r="DG955" s="18"/>
      <c r="DH955" s="18"/>
      <c r="DI955" s="18"/>
      <c r="DJ955" s="18"/>
      <c r="DK955" s="18"/>
      <c r="DL955" s="18"/>
      <c r="DM955" s="18"/>
      <c r="DN955" s="18"/>
      <c r="DO955" s="18"/>
      <c r="DP955" s="18"/>
      <c r="DQ955" s="18"/>
      <c r="DR955" s="18"/>
      <c r="DS955" s="18"/>
      <c r="DT955" s="18"/>
      <c r="DU955" s="18"/>
      <c r="DV955" s="18"/>
      <c r="DW955" s="18"/>
      <c r="DX955" s="18"/>
      <c r="DY955" s="18"/>
      <c r="DZ955" s="18"/>
      <c r="EA955" s="18"/>
      <c r="EB955" s="18"/>
      <c r="EC955" s="18"/>
      <c r="ED955" s="18"/>
      <c r="EE955" s="18"/>
      <c r="EF955" s="18"/>
      <c r="EG955" s="18"/>
      <c r="EH955" s="18"/>
      <c r="EI955" s="18"/>
      <c r="EJ955" s="18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EU955" s="18"/>
      <c r="EV955" s="18"/>
      <c r="EW955" s="18"/>
      <c r="EX955" s="18"/>
    </row>
    <row r="956">
      <c r="A956" s="101"/>
      <c r="B956" s="105"/>
      <c r="C956" s="105"/>
      <c r="D956" s="106"/>
      <c r="E956" s="110"/>
      <c r="F956" s="92"/>
      <c r="G956" s="18"/>
      <c r="H956" s="101"/>
      <c r="I956" s="67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  <c r="CP956" s="18"/>
      <c r="CQ956" s="18"/>
      <c r="CR956" s="18"/>
      <c r="CS956" s="18"/>
      <c r="CT956" s="18"/>
      <c r="CU956" s="18"/>
      <c r="CV956" s="18"/>
      <c r="CW956" s="18"/>
      <c r="CX956" s="18"/>
      <c r="CY956" s="18"/>
      <c r="CZ956" s="18"/>
      <c r="DA956" s="18"/>
      <c r="DB956" s="18"/>
      <c r="DC956" s="18"/>
      <c r="DD956" s="18"/>
      <c r="DE956" s="18"/>
      <c r="DF956" s="18"/>
      <c r="DG956" s="18"/>
      <c r="DH956" s="18"/>
      <c r="DI956" s="18"/>
      <c r="DJ956" s="18"/>
      <c r="DK956" s="18"/>
      <c r="DL956" s="18"/>
      <c r="DM956" s="18"/>
      <c r="DN956" s="18"/>
      <c r="DO956" s="18"/>
      <c r="DP956" s="18"/>
      <c r="DQ956" s="18"/>
      <c r="DR956" s="18"/>
      <c r="DS956" s="18"/>
      <c r="DT956" s="18"/>
      <c r="DU956" s="18"/>
      <c r="DV956" s="18"/>
      <c r="DW956" s="18"/>
      <c r="DX956" s="18"/>
      <c r="DY956" s="18"/>
      <c r="DZ956" s="18"/>
      <c r="EA956" s="18"/>
      <c r="EB956" s="18"/>
      <c r="EC956" s="18"/>
      <c r="ED956" s="18"/>
      <c r="EE956" s="18"/>
      <c r="EF956" s="18"/>
      <c r="EG956" s="18"/>
      <c r="EH956" s="18"/>
      <c r="EI956" s="18"/>
      <c r="EJ956" s="18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EU956" s="18"/>
      <c r="EV956" s="18"/>
      <c r="EW956" s="18"/>
      <c r="EX956" s="18"/>
    </row>
    <row r="957">
      <c r="A957" s="101"/>
      <c r="B957" s="105"/>
      <c r="C957" s="105"/>
      <c r="D957" s="106"/>
      <c r="E957" s="110"/>
      <c r="F957" s="92"/>
      <c r="G957" s="18"/>
      <c r="H957" s="101"/>
      <c r="I957" s="67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  <c r="CP957" s="18"/>
      <c r="CQ957" s="18"/>
      <c r="CR957" s="18"/>
      <c r="CS957" s="18"/>
      <c r="CT957" s="18"/>
      <c r="CU957" s="18"/>
      <c r="CV957" s="18"/>
      <c r="CW957" s="18"/>
      <c r="CX957" s="18"/>
      <c r="CY957" s="18"/>
      <c r="CZ957" s="18"/>
      <c r="DA957" s="18"/>
      <c r="DB957" s="18"/>
      <c r="DC957" s="18"/>
      <c r="DD957" s="18"/>
      <c r="DE957" s="18"/>
      <c r="DF957" s="18"/>
      <c r="DG957" s="18"/>
      <c r="DH957" s="18"/>
      <c r="DI957" s="18"/>
      <c r="DJ957" s="18"/>
      <c r="DK957" s="18"/>
      <c r="DL957" s="18"/>
      <c r="DM957" s="18"/>
      <c r="DN957" s="18"/>
      <c r="DO957" s="18"/>
      <c r="DP957" s="18"/>
      <c r="DQ957" s="18"/>
      <c r="DR957" s="18"/>
      <c r="DS957" s="18"/>
      <c r="DT957" s="18"/>
      <c r="DU957" s="18"/>
      <c r="DV957" s="18"/>
      <c r="DW957" s="18"/>
      <c r="DX957" s="18"/>
      <c r="DY957" s="18"/>
      <c r="DZ957" s="18"/>
      <c r="EA957" s="18"/>
      <c r="EB957" s="18"/>
      <c r="EC957" s="18"/>
      <c r="ED957" s="18"/>
      <c r="EE957" s="18"/>
      <c r="EF957" s="18"/>
      <c r="EG957" s="18"/>
      <c r="EH957" s="18"/>
      <c r="EI957" s="18"/>
      <c r="EJ957" s="18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EU957" s="18"/>
      <c r="EV957" s="18"/>
      <c r="EW957" s="18"/>
      <c r="EX957" s="18"/>
    </row>
    <row r="958">
      <c r="A958" s="101"/>
      <c r="B958" s="105"/>
      <c r="C958" s="105"/>
      <c r="D958" s="106"/>
      <c r="E958" s="110"/>
      <c r="F958" s="92"/>
      <c r="G958" s="18"/>
      <c r="H958" s="101"/>
      <c r="I958" s="67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  <c r="CP958" s="18"/>
      <c r="CQ958" s="18"/>
      <c r="CR958" s="18"/>
      <c r="CS958" s="18"/>
      <c r="CT958" s="18"/>
      <c r="CU958" s="18"/>
      <c r="CV958" s="18"/>
      <c r="CW958" s="18"/>
      <c r="CX958" s="18"/>
      <c r="CY958" s="18"/>
      <c r="CZ958" s="18"/>
      <c r="DA958" s="18"/>
      <c r="DB958" s="18"/>
      <c r="DC958" s="18"/>
      <c r="DD958" s="18"/>
      <c r="DE958" s="18"/>
      <c r="DF958" s="18"/>
      <c r="DG958" s="18"/>
      <c r="DH958" s="18"/>
      <c r="DI958" s="18"/>
      <c r="DJ958" s="18"/>
      <c r="DK958" s="18"/>
      <c r="DL958" s="18"/>
      <c r="DM958" s="18"/>
      <c r="DN958" s="18"/>
      <c r="DO958" s="18"/>
      <c r="DP958" s="18"/>
      <c r="DQ958" s="18"/>
      <c r="DR958" s="18"/>
      <c r="DS958" s="18"/>
      <c r="DT958" s="18"/>
      <c r="DU958" s="18"/>
      <c r="DV958" s="18"/>
      <c r="DW958" s="18"/>
      <c r="DX958" s="18"/>
      <c r="DY958" s="18"/>
      <c r="DZ958" s="18"/>
      <c r="EA958" s="18"/>
      <c r="EB958" s="18"/>
      <c r="EC958" s="18"/>
      <c r="ED958" s="18"/>
      <c r="EE958" s="18"/>
      <c r="EF958" s="18"/>
      <c r="EG958" s="18"/>
      <c r="EH958" s="18"/>
      <c r="EI958" s="18"/>
      <c r="EJ958" s="1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EU958" s="18"/>
      <c r="EV958" s="18"/>
      <c r="EW958" s="18"/>
      <c r="EX958" s="18"/>
    </row>
    <row r="959">
      <c r="A959" s="101"/>
      <c r="B959" s="105"/>
      <c r="C959" s="105"/>
      <c r="D959" s="106"/>
      <c r="E959" s="110"/>
      <c r="F959" s="92"/>
      <c r="G959" s="18"/>
      <c r="H959" s="101"/>
      <c r="I959" s="67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/>
      <c r="DG959" s="18"/>
      <c r="DH959" s="18"/>
      <c r="DI959" s="18"/>
      <c r="DJ959" s="18"/>
      <c r="DK959" s="18"/>
      <c r="DL959" s="18"/>
      <c r="DM959" s="18"/>
      <c r="DN959" s="18"/>
      <c r="DO959" s="18"/>
      <c r="DP959" s="18"/>
      <c r="DQ959" s="18"/>
      <c r="DR959" s="18"/>
      <c r="DS959" s="18"/>
      <c r="DT959" s="18"/>
      <c r="DU959" s="18"/>
      <c r="DV959" s="18"/>
      <c r="DW959" s="18"/>
      <c r="DX959" s="18"/>
      <c r="DY959" s="18"/>
      <c r="DZ959" s="18"/>
      <c r="EA959" s="18"/>
      <c r="EB959" s="18"/>
      <c r="EC959" s="18"/>
      <c r="ED959" s="18"/>
      <c r="EE959" s="18"/>
      <c r="EF959" s="18"/>
      <c r="EG959" s="18"/>
      <c r="EH959" s="18"/>
      <c r="EI959" s="18"/>
      <c r="EJ959" s="18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EU959" s="18"/>
      <c r="EV959" s="18"/>
      <c r="EW959" s="18"/>
      <c r="EX959" s="18"/>
    </row>
    <row r="960">
      <c r="A960" s="101"/>
      <c r="B960" s="105"/>
      <c r="C960" s="105"/>
      <c r="D960" s="106"/>
      <c r="E960" s="110"/>
      <c r="F960" s="92"/>
      <c r="G960" s="18"/>
      <c r="H960" s="101"/>
      <c r="I960" s="67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/>
      <c r="DG960" s="18"/>
      <c r="DH960" s="18"/>
      <c r="DI960" s="18"/>
      <c r="DJ960" s="18"/>
      <c r="DK960" s="18"/>
      <c r="DL960" s="18"/>
      <c r="DM960" s="18"/>
      <c r="DN960" s="18"/>
      <c r="DO960" s="18"/>
      <c r="DP960" s="18"/>
      <c r="DQ960" s="18"/>
      <c r="DR960" s="18"/>
      <c r="DS960" s="18"/>
      <c r="DT960" s="18"/>
      <c r="DU960" s="18"/>
      <c r="DV960" s="18"/>
      <c r="DW960" s="18"/>
      <c r="DX960" s="18"/>
      <c r="DY960" s="18"/>
      <c r="DZ960" s="18"/>
      <c r="EA960" s="18"/>
      <c r="EB960" s="18"/>
      <c r="EC960" s="18"/>
      <c r="ED960" s="18"/>
      <c r="EE960" s="18"/>
      <c r="EF960" s="18"/>
      <c r="EG960" s="18"/>
      <c r="EH960" s="18"/>
      <c r="EI960" s="18"/>
      <c r="EJ960" s="18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EU960" s="18"/>
      <c r="EV960" s="18"/>
      <c r="EW960" s="18"/>
      <c r="EX960" s="18"/>
    </row>
    <row r="961">
      <c r="A961" s="101"/>
      <c r="B961" s="105"/>
      <c r="C961" s="105"/>
      <c r="D961" s="106"/>
      <c r="E961" s="110"/>
      <c r="F961" s="92"/>
      <c r="G961" s="18"/>
      <c r="H961" s="101"/>
      <c r="I961" s="67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/>
      <c r="DG961" s="18"/>
      <c r="DH961" s="18"/>
      <c r="DI961" s="18"/>
      <c r="DJ961" s="18"/>
      <c r="DK961" s="18"/>
      <c r="DL961" s="18"/>
      <c r="DM961" s="18"/>
      <c r="DN961" s="18"/>
      <c r="DO961" s="18"/>
      <c r="DP961" s="18"/>
      <c r="DQ961" s="18"/>
      <c r="DR961" s="18"/>
      <c r="DS961" s="18"/>
      <c r="DT961" s="18"/>
      <c r="DU961" s="18"/>
      <c r="DV961" s="18"/>
      <c r="DW961" s="18"/>
      <c r="DX961" s="18"/>
      <c r="DY961" s="18"/>
      <c r="DZ961" s="18"/>
      <c r="EA961" s="18"/>
      <c r="EB961" s="18"/>
      <c r="EC961" s="18"/>
      <c r="ED961" s="18"/>
      <c r="EE961" s="18"/>
      <c r="EF961" s="18"/>
      <c r="EG961" s="18"/>
      <c r="EH961" s="18"/>
      <c r="EI961" s="18"/>
      <c r="EJ961" s="18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EU961" s="18"/>
      <c r="EV961" s="18"/>
      <c r="EW961" s="18"/>
      <c r="EX961" s="18"/>
    </row>
    <row r="962">
      <c r="A962" s="101"/>
      <c r="B962" s="105"/>
      <c r="C962" s="105"/>
      <c r="D962" s="106"/>
      <c r="E962" s="110"/>
      <c r="F962" s="92"/>
      <c r="G962" s="18"/>
      <c r="H962" s="101"/>
      <c r="I962" s="67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/>
      <c r="DG962" s="18"/>
      <c r="DH962" s="18"/>
      <c r="DI962" s="18"/>
      <c r="DJ962" s="18"/>
      <c r="DK962" s="18"/>
      <c r="DL962" s="18"/>
      <c r="DM962" s="18"/>
      <c r="DN962" s="18"/>
      <c r="DO962" s="18"/>
      <c r="DP962" s="18"/>
      <c r="DQ962" s="18"/>
      <c r="DR962" s="18"/>
      <c r="DS962" s="18"/>
      <c r="DT962" s="18"/>
      <c r="DU962" s="18"/>
      <c r="DV962" s="18"/>
      <c r="DW962" s="18"/>
      <c r="DX962" s="18"/>
      <c r="DY962" s="18"/>
      <c r="DZ962" s="18"/>
      <c r="EA962" s="18"/>
      <c r="EB962" s="18"/>
      <c r="EC962" s="18"/>
      <c r="ED962" s="18"/>
      <c r="EE962" s="18"/>
      <c r="EF962" s="18"/>
      <c r="EG962" s="18"/>
      <c r="EH962" s="18"/>
      <c r="EI962" s="18"/>
      <c r="EJ962" s="18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EU962" s="18"/>
      <c r="EV962" s="18"/>
      <c r="EW962" s="18"/>
      <c r="EX962" s="18"/>
    </row>
    <row r="963">
      <c r="A963" s="101"/>
      <c r="B963" s="105"/>
      <c r="C963" s="105"/>
      <c r="D963" s="106"/>
      <c r="E963" s="110"/>
      <c r="F963" s="92"/>
      <c r="G963" s="18"/>
      <c r="H963" s="101"/>
      <c r="I963" s="67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/>
      <c r="DG963" s="18"/>
      <c r="DH963" s="18"/>
      <c r="DI963" s="18"/>
      <c r="DJ963" s="18"/>
      <c r="DK963" s="18"/>
      <c r="DL963" s="18"/>
      <c r="DM963" s="18"/>
      <c r="DN963" s="18"/>
      <c r="DO963" s="18"/>
      <c r="DP963" s="18"/>
      <c r="DQ963" s="18"/>
      <c r="DR963" s="18"/>
      <c r="DS963" s="18"/>
      <c r="DT963" s="18"/>
      <c r="DU963" s="18"/>
      <c r="DV963" s="18"/>
      <c r="DW963" s="18"/>
      <c r="DX963" s="18"/>
      <c r="DY963" s="18"/>
      <c r="DZ963" s="18"/>
      <c r="EA963" s="18"/>
      <c r="EB963" s="18"/>
      <c r="EC963" s="18"/>
      <c r="ED963" s="18"/>
      <c r="EE963" s="18"/>
      <c r="EF963" s="18"/>
      <c r="EG963" s="18"/>
      <c r="EH963" s="18"/>
      <c r="EI963" s="18"/>
      <c r="EJ963" s="18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EU963" s="18"/>
      <c r="EV963" s="18"/>
      <c r="EW963" s="18"/>
      <c r="EX963" s="18"/>
    </row>
    <row r="964">
      <c r="A964" s="101"/>
      <c r="B964" s="105"/>
      <c r="C964" s="105"/>
      <c r="D964" s="106"/>
      <c r="E964" s="110"/>
      <c r="F964" s="92"/>
      <c r="G964" s="18"/>
      <c r="H964" s="101"/>
      <c r="I964" s="67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/>
      <c r="DG964" s="18"/>
      <c r="DH964" s="18"/>
      <c r="DI964" s="18"/>
      <c r="DJ964" s="18"/>
      <c r="DK964" s="18"/>
      <c r="DL964" s="18"/>
      <c r="DM964" s="18"/>
      <c r="DN964" s="18"/>
      <c r="DO964" s="18"/>
      <c r="DP964" s="18"/>
      <c r="DQ964" s="18"/>
      <c r="DR964" s="18"/>
      <c r="DS964" s="18"/>
      <c r="DT964" s="18"/>
      <c r="DU964" s="18"/>
      <c r="DV964" s="18"/>
      <c r="DW964" s="18"/>
      <c r="DX964" s="18"/>
      <c r="DY964" s="18"/>
      <c r="DZ964" s="18"/>
      <c r="EA964" s="18"/>
      <c r="EB964" s="18"/>
      <c r="EC964" s="18"/>
      <c r="ED964" s="18"/>
      <c r="EE964" s="18"/>
      <c r="EF964" s="18"/>
      <c r="EG964" s="18"/>
      <c r="EH964" s="18"/>
      <c r="EI964" s="18"/>
      <c r="EJ964" s="18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EU964" s="18"/>
      <c r="EV964" s="18"/>
      <c r="EW964" s="18"/>
      <c r="EX964" s="18"/>
    </row>
    <row r="965">
      <c r="A965" s="101"/>
      <c r="B965" s="105"/>
      <c r="C965" s="105"/>
      <c r="D965" s="106"/>
      <c r="E965" s="110"/>
      <c r="F965" s="92"/>
      <c r="G965" s="18"/>
      <c r="H965" s="101"/>
      <c r="I965" s="67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/>
      <c r="DG965" s="18"/>
      <c r="DH965" s="18"/>
      <c r="DI965" s="18"/>
      <c r="DJ965" s="18"/>
      <c r="DK965" s="18"/>
      <c r="DL965" s="18"/>
      <c r="DM965" s="18"/>
      <c r="DN965" s="18"/>
      <c r="DO965" s="18"/>
      <c r="DP965" s="18"/>
      <c r="DQ965" s="18"/>
      <c r="DR965" s="18"/>
      <c r="DS965" s="18"/>
      <c r="DT965" s="18"/>
      <c r="DU965" s="18"/>
      <c r="DV965" s="18"/>
      <c r="DW965" s="18"/>
      <c r="DX965" s="18"/>
      <c r="DY965" s="18"/>
      <c r="DZ965" s="18"/>
      <c r="EA965" s="18"/>
      <c r="EB965" s="18"/>
      <c r="EC965" s="18"/>
      <c r="ED965" s="18"/>
      <c r="EE965" s="18"/>
      <c r="EF965" s="18"/>
      <c r="EG965" s="18"/>
      <c r="EH965" s="18"/>
      <c r="EI965" s="18"/>
      <c r="EJ965" s="18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EU965" s="18"/>
      <c r="EV965" s="18"/>
      <c r="EW965" s="18"/>
      <c r="EX965" s="18"/>
    </row>
    <row r="966">
      <c r="A966" s="101"/>
      <c r="B966" s="105"/>
      <c r="C966" s="105"/>
      <c r="D966" s="106"/>
      <c r="E966" s="110"/>
      <c r="F966" s="92"/>
      <c r="G966" s="18"/>
      <c r="H966" s="101"/>
      <c r="I966" s="67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/>
      <c r="DG966" s="18"/>
      <c r="DH966" s="18"/>
      <c r="DI966" s="18"/>
      <c r="DJ966" s="18"/>
      <c r="DK966" s="18"/>
      <c r="DL966" s="18"/>
      <c r="DM966" s="18"/>
      <c r="DN966" s="18"/>
      <c r="DO966" s="18"/>
      <c r="DP966" s="18"/>
      <c r="DQ966" s="18"/>
      <c r="DR966" s="18"/>
      <c r="DS966" s="18"/>
      <c r="DT966" s="18"/>
      <c r="DU966" s="18"/>
      <c r="DV966" s="18"/>
      <c r="DW966" s="18"/>
      <c r="DX966" s="18"/>
      <c r="DY966" s="18"/>
      <c r="DZ966" s="18"/>
      <c r="EA966" s="18"/>
      <c r="EB966" s="18"/>
      <c r="EC966" s="18"/>
      <c r="ED966" s="18"/>
      <c r="EE966" s="18"/>
      <c r="EF966" s="18"/>
      <c r="EG966" s="18"/>
      <c r="EH966" s="18"/>
      <c r="EI966" s="18"/>
      <c r="EJ966" s="18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EU966" s="18"/>
      <c r="EV966" s="18"/>
      <c r="EW966" s="18"/>
      <c r="EX966" s="18"/>
    </row>
    <row r="967">
      <c r="A967" s="101"/>
      <c r="B967" s="105"/>
      <c r="C967" s="105"/>
      <c r="D967" s="106"/>
      <c r="E967" s="110"/>
      <c r="F967" s="92"/>
      <c r="G967" s="18"/>
      <c r="H967" s="101"/>
      <c r="I967" s="67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/>
      <c r="DG967" s="18"/>
      <c r="DH967" s="18"/>
      <c r="DI967" s="18"/>
      <c r="DJ967" s="18"/>
      <c r="DK967" s="18"/>
      <c r="DL967" s="18"/>
      <c r="DM967" s="18"/>
      <c r="DN967" s="18"/>
      <c r="DO967" s="18"/>
      <c r="DP967" s="18"/>
      <c r="DQ967" s="18"/>
      <c r="DR967" s="18"/>
      <c r="DS967" s="18"/>
      <c r="DT967" s="18"/>
      <c r="DU967" s="18"/>
      <c r="DV967" s="18"/>
      <c r="DW967" s="18"/>
      <c r="DX967" s="18"/>
      <c r="DY967" s="18"/>
      <c r="DZ967" s="18"/>
      <c r="EA967" s="18"/>
      <c r="EB967" s="18"/>
      <c r="EC967" s="18"/>
      <c r="ED967" s="18"/>
      <c r="EE967" s="18"/>
      <c r="EF967" s="18"/>
      <c r="EG967" s="18"/>
      <c r="EH967" s="18"/>
      <c r="EI967" s="18"/>
      <c r="EJ967" s="18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EU967" s="18"/>
      <c r="EV967" s="18"/>
      <c r="EW967" s="18"/>
      <c r="EX967" s="18"/>
    </row>
    <row r="968">
      <c r="A968" s="101"/>
      <c r="B968" s="105"/>
      <c r="C968" s="105"/>
      <c r="D968" s="106"/>
      <c r="E968" s="110"/>
      <c r="F968" s="92"/>
      <c r="G968" s="18"/>
      <c r="H968" s="101"/>
      <c r="I968" s="67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/>
      <c r="DN968" s="18"/>
      <c r="DO968" s="18"/>
      <c r="DP968" s="18"/>
      <c r="DQ968" s="18"/>
      <c r="DR968" s="18"/>
      <c r="DS968" s="18"/>
      <c r="DT968" s="18"/>
      <c r="DU968" s="18"/>
      <c r="DV968" s="18"/>
      <c r="DW968" s="18"/>
      <c r="DX968" s="18"/>
      <c r="DY968" s="18"/>
      <c r="DZ968" s="18"/>
      <c r="EA968" s="18"/>
      <c r="EB968" s="18"/>
      <c r="EC968" s="18"/>
      <c r="ED968" s="18"/>
      <c r="EE968" s="18"/>
      <c r="EF968" s="18"/>
      <c r="EG968" s="18"/>
      <c r="EH968" s="18"/>
      <c r="EI968" s="18"/>
      <c r="EJ968" s="1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EU968" s="18"/>
      <c r="EV968" s="18"/>
      <c r="EW968" s="18"/>
      <c r="EX968" s="18"/>
    </row>
    <row r="969">
      <c r="A969" s="101"/>
      <c r="B969" s="105"/>
      <c r="C969" s="105"/>
      <c r="D969" s="106"/>
      <c r="E969" s="110"/>
      <c r="F969" s="92"/>
      <c r="G969" s="18"/>
      <c r="H969" s="101"/>
      <c r="I969" s="67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/>
      <c r="DN969" s="18"/>
      <c r="DO969" s="18"/>
      <c r="DP969" s="18"/>
      <c r="DQ969" s="18"/>
      <c r="DR969" s="18"/>
      <c r="DS969" s="18"/>
      <c r="DT969" s="18"/>
      <c r="DU969" s="18"/>
      <c r="DV969" s="18"/>
      <c r="DW969" s="18"/>
      <c r="DX969" s="18"/>
      <c r="DY969" s="18"/>
      <c r="DZ969" s="18"/>
      <c r="EA969" s="18"/>
      <c r="EB969" s="18"/>
      <c r="EC969" s="18"/>
      <c r="ED969" s="18"/>
      <c r="EE969" s="18"/>
      <c r="EF969" s="18"/>
      <c r="EG969" s="18"/>
      <c r="EH969" s="18"/>
      <c r="EI969" s="18"/>
      <c r="EJ969" s="18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EU969" s="18"/>
      <c r="EV969" s="18"/>
      <c r="EW969" s="18"/>
      <c r="EX969" s="18"/>
    </row>
    <row r="970">
      <c r="A970" s="101"/>
      <c r="B970" s="105"/>
      <c r="C970" s="105"/>
      <c r="D970" s="106"/>
      <c r="E970" s="110"/>
      <c r="F970" s="92"/>
      <c r="G970" s="18"/>
      <c r="H970" s="101"/>
      <c r="I970" s="67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/>
      <c r="DN970" s="18"/>
      <c r="DO970" s="18"/>
      <c r="DP970" s="18"/>
      <c r="DQ970" s="18"/>
      <c r="DR970" s="18"/>
      <c r="DS970" s="18"/>
      <c r="DT970" s="18"/>
      <c r="DU970" s="18"/>
      <c r="DV970" s="18"/>
      <c r="DW970" s="18"/>
      <c r="DX970" s="18"/>
      <c r="DY970" s="18"/>
      <c r="DZ970" s="18"/>
      <c r="EA970" s="18"/>
      <c r="EB970" s="18"/>
      <c r="EC970" s="18"/>
      <c r="ED970" s="18"/>
      <c r="EE970" s="18"/>
      <c r="EF970" s="18"/>
      <c r="EG970" s="18"/>
      <c r="EH970" s="18"/>
      <c r="EI970" s="18"/>
      <c r="EJ970" s="18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EU970" s="18"/>
      <c r="EV970" s="18"/>
      <c r="EW970" s="18"/>
      <c r="EX970" s="18"/>
    </row>
    <row r="971">
      <c r="A971" s="101"/>
      <c r="B971" s="105"/>
      <c r="C971" s="105"/>
      <c r="D971" s="106"/>
      <c r="E971" s="110"/>
      <c r="F971" s="92"/>
      <c r="G971" s="18"/>
      <c r="H971" s="101"/>
      <c r="I971" s="67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/>
      <c r="DN971" s="18"/>
      <c r="DO971" s="18"/>
      <c r="DP971" s="18"/>
      <c r="DQ971" s="18"/>
      <c r="DR971" s="18"/>
      <c r="DS971" s="18"/>
      <c r="DT971" s="18"/>
      <c r="DU971" s="18"/>
      <c r="DV971" s="18"/>
      <c r="DW971" s="18"/>
      <c r="DX971" s="18"/>
      <c r="DY971" s="18"/>
      <c r="DZ971" s="18"/>
      <c r="EA971" s="18"/>
      <c r="EB971" s="18"/>
      <c r="EC971" s="18"/>
      <c r="ED971" s="18"/>
      <c r="EE971" s="18"/>
      <c r="EF971" s="18"/>
      <c r="EG971" s="18"/>
      <c r="EH971" s="18"/>
      <c r="EI971" s="18"/>
      <c r="EJ971" s="18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EU971" s="18"/>
      <c r="EV971" s="18"/>
      <c r="EW971" s="18"/>
      <c r="EX971" s="18"/>
    </row>
    <row r="972">
      <c r="A972" s="101"/>
      <c r="B972" s="105"/>
      <c r="C972" s="105"/>
      <c r="D972" s="106"/>
      <c r="E972" s="110"/>
      <c r="F972" s="92"/>
      <c r="G972" s="18"/>
      <c r="H972" s="101"/>
      <c r="I972" s="67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/>
      <c r="DN972" s="18"/>
      <c r="DO972" s="18"/>
      <c r="DP972" s="18"/>
      <c r="DQ972" s="18"/>
      <c r="DR972" s="18"/>
      <c r="DS972" s="18"/>
      <c r="DT972" s="18"/>
      <c r="DU972" s="18"/>
      <c r="DV972" s="18"/>
      <c r="DW972" s="18"/>
      <c r="DX972" s="18"/>
      <c r="DY972" s="18"/>
      <c r="DZ972" s="18"/>
      <c r="EA972" s="18"/>
      <c r="EB972" s="18"/>
      <c r="EC972" s="18"/>
      <c r="ED972" s="18"/>
      <c r="EE972" s="18"/>
      <c r="EF972" s="18"/>
      <c r="EG972" s="18"/>
      <c r="EH972" s="18"/>
      <c r="EI972" s="18"/>
      <c r="EJ972" s="18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EU972" s="18"/>
      <c r="EV972" s="18"/>
      <c r="EW972" s="18"/>
      <c r="EX972" s="18"/>
    </row>
    <row r="973">
      <c r="A973" s="101"/>
      <c r="B973" s="105"/>
      <c r="C973" s="105"/>
      <c r="D973" s="106"/>
      <c r="E973" s="110"/>
      <c r="F973" s="92"/>
      <c r="G973" s="18"/>
      <c r="H973" s="101"/>
      <c r="I973" s="67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/>
      <c r="DN973" s="18"/>
      <c r="DO973" s="18"/>
      <c r="DP973" s="18"/>
      <c r="DQ973" s="18"/>
      <c r="DR973" s="18"/>
      <c r="DS973" s="18"/>
      <c r="DT973" s="18"/>
      <c r="DU973" s="18"/>
      <c r="DV973" s="18"/>
      <c r="DW973" s="18"/>
      <c r="DX973" s="18"/>
      <c r="DY973" s="18"/>
      <c r="DZ973" s="18"/>
      <c r="EA973" s="18"/>
      <c r="EB973" s="18"/>
      <c r="EC973" s="18"/>
      <c r="ED973" s="18"/>
      <c r="EE973" s="18"/>
      <c r="EF973" s="18"/>
      <c r="EG973" s="18"/>
      <c r="EH973" s="18"/>
      <c r="EI973" s="18"/>
      <c r="EJ973" s="18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EU973" s="18"/>
      <c r="EV973" s="18"/>
      <c r="EW973" s="18"/>
      <c r="EX973" s="18"/>
    </row>
    <row r="974">
      <c r="A974" s="101"/>
      <c r="B974" s="105"/>
      <c r="C974" s="105"/>
      <c r="D974" s="106"/>
      <c r="E974" s="110"/>
      <c r="F974" s="92"/>
      <c r="G974" s="18"/>
      <c r="H974" s="101"/>
      <c r="I974" s="67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/>
      <c r="DN974" s="18"/>
      <c r="DO974" s="18"/>
      <c r="DP974" s="18"/>
      <c r="DQ974" s="18"/>
      <c r="DR974" s="18"/>
      <c r="DS974" s="18"/>
      <c r="DT974" s="18"/>
      <c r="DU974" s="18"/>
      <c r="DV974" s="18"/>
      <c r="DW974" s="18"/>
      <c r="DX974" s="18"/>
      <c r="DY974" s="18"/>
      <c r="DZ974" s="18"/>
      <c r="EA974" s="18"/>
      <c r="EB974" s="18"/>
      <c r="EC974" s="18"/>
      <c r="ED974" s="18"/>
      <c r="EE974" s="18"/>
      <c r="EF974" s="18"/>
      <c r="EG974" s="18"/>
      <c r="EH974" s="18"/>
      <c r="EI974" s="18"/>
      <c r="EJ974" s="18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EU974" s="18"/>
      <c r="EV974" s="18"/>
      <c r="EW974" s="18"/>
      <c r="EX974" s="18"/>
    </row>
    <row r="975">
      <c r="A975" s="101"/>
      <c r="B975" s="105"/>
      <c r="C975" s="105"/>
      <c r="D975" s="106"/>
      <c r="E975" s="110"/>
      <c r="F975" s="92"/>
      <c r="G975" s="18"/>
      <c r="H975" s="101"/>
      <c r="I975" s="67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/>
      <c r="DN975" s="18"/>
      <c r="DO975" s="18"/>
      <c r="DP975" s="18"/>
      <c r="DQ975" s="18"/>
      <c r="DR975" s="18"/>
      <c r="DS975" s="18"/>
      <c r="DT975" s="18"/>
      <c r="DU975" s="18"/>
      <c r="DV975" s="18"/>
      <c r="DW975" s="18"/>
      <c r="DX975" s="18"/>
      <c r="DY975" s="18"/>
      <c r="DZ975" s="18"/>
      <c r="EA975" s="18"/>
      <c r="EB975" s="18"/>
      <c r="EC975" s="18"/>
      <c r="ED975" s="18"/>
      <c r="EE975" s="18"/>
      <c r="EF975" s="18"/>
      <c r="EG975" s="18"/>
      <c r="EH975" s="18"/>
      <c r="EI975" s="18"/>
      <c r="EJ975" s="18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EU975" s="18"/>
      <c r="EV975" s="18"/>
      <c r="EW975" s="18"/>
      <c r="EX975" s="18"/>
    </row>
    <row r="976">
      <c r="A976" s="101"/>
      <c r="B976" s="105"/>
      <c r="C976" s="105"/>
      <c r="D976" s="106"/>
      <c r="E976" s="110"/>
      <c r="F976" s="92"/>
      <c r="G976" s="18"/>
      <c r="H976" s="101"/>
      <c r="I976" s="67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/>
      <c r="DN976" s="18"/>
      <c r="DO976" s="18"/>
      <c r="DP976" s="18"/>
      <c r="DQ976" s="18"/>
      <c r="DR976" s="18"/>
      <c r="DS976" s="18"/>
      <c r="DT976" s="18"/>
      <c r="DU976" s="18"/>
      <c r="DV976" s="18"/>
      <c r="DW976" s="18"/>
      <c r="DX976" s="18"/>
      <c r="DY976" s="18"/>
      <c r="DZ976" s="18"/>
      <c r="EA976" s="18"/>
      <c r="EB976" s="18"/>
      <c r="EC976" s="18"/>
      <c r="ED976" s="18"/>
      <c r="EE976" s="18"/>
      <c r="EF976" s="18"/>
      <c r="EG976" s="18"/>
      <c r="EH976" s="18"/>
      <c r="EI976" s="18"/>
      <c r="EJ976" s="18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EU976" s="18"/>
      <c r="EV976" s="18"/>
      <c r="EW976" s="18"/>
      <c r="EX976" s="18"/>
    </row>
    <row r="977">
      <c r="A977" s="101"/>
      <c r="B977" s="105"/>
      <c r="C977" s="105"/>
      <c r="D977" s="106"/>
      <c r="E977" s="110"/>
      <c r="F977" s="92"/>
      <c r="G977" s="18"/>
      <c r="H977" s="101"/>
      <c r="I977" s="67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/>
      <c r="DG977" s="18"/>
      <c r="DH977" s="18"/>
      <c r="DI977" s="18"/>
      <c r="DJ977" s="18"/>
      <c r="DK977" s="18"/>
      <c r="DL977" s="18"/>
      <c r="DM977" s="18"/>
      <c r="DN977" s="18"/>
      <c r="DO977" s="18"/>
      <c r="DP977" s="18"/>
      <c r="DQ977" s="18"/>
      <c r="DR977" s="18"/>
      <c r="DS977" s="18"/>
      <c r="DT977" s="18"/>
      <c r="DU977" s="18"/>
      <c r="DV977" s="18"/>
      <c r="DW977" s="18"/>
      <c r="DX977" s="18"/>
      <c r="DY977" s="18"/>
      <c r="DZ977" s="18"/>
      <c r="EA977" s="18"/>
      <c r="EB977" s="18"/>
      <c r="EC977" s="18"/>
      <c r="ED977" s="18"/>
      <c r="EE977" s="18"/>
      <c r="EF977" s="18"/>
      <c r="EG977" s="18"/>
      <c r="EH977" s="18"/>
      <c r="EI977" s="18"/>
      <c r="EJ977" s="18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EU977" s="18"/>
      <c r="EV977" s="18"/>
      <c r="EW977" s="18"/>
      <c r="EX977" s="18"/>
    </row>
    <row r="978">
      <c r="A978" s="101"/>
      <c r="B978" s="105"/>
      <c r="C978" s="105"/>
      <c r="D978" s="106"/>
      <c r="E978" s="110"/>
      <c r="F978" s="92"/>
      <c r="G978" s="18"/>
      <c r="H978" s="101"/>
      <c r="I978" s="67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/>
      <c r="DG978" s="18"/>
      <c r="DH978" s="18"/>
      <c r="DI978" s="18"/>
      <c r="DJ978" s="18"/>
      <c r="DK978" s="18"/>
      <c r="DL978" s="18"/>
      <c r="DM978" s="18"/>
      <c r="DN978" s="18"/>
      <c r="DO978" s="18"/>
      <c r="DP978" s="18"/>
      <c r="DQ978" s="18"/>
      <c r="DR978" s="18"/>
      <c r="DS978" s="18"/>
      <c r="DT978" s="18"/>
      <c r="DU978" s="18"/>
      <c r="DV978" s="18"/>
      <c r="DW978" s="18"/>
      <c r="DX978" s="18"/>
      <c r="DY978" s="18"/>
      <c r="DZ978" s="18"/>
      <c r="EA978" s="18"/>
      <c r="EB978" s="18"/>
      <c r="EC978" s="18"/>
      <c r="ED978" s="18"/>
      <c r="EE978" s="18"/>
      <c r="EF978" s="18"/>
      <c r="EG978" s="18"/>
      <c r="EH978" s="18"/>
      <c r="EI978" s="18"/>
      <c r="EJ978" s="1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EU978" s="18"/>
      <c r="EV978" s="18"/>
      <c r="EW978" s="18"/>
      <c r="EX978" s="18"/>
    </row>
    <row r="979">
      <c r="A979" s="101"/>
      <c r="B979" s="105"/>
      <c r="C979" s="105"/>
      <c r="D979" s="106"/>
      <c r="E979" s="110"/>
      <c r="F979" s="92"/>
      <c r="G979" s="18"/>
      <c r="H979" s="101"/>
      <c r="I979" s="67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/>
      <c r="DG979" s="18"/>
      <c r="DH979" s="18"/>
      <c r="DI979" s="18"/>
      <c r="DJ979" s="18"/>
      <c r="DK979" s="18"/>
      <c r="DL979" s="18"/>
      <c r="DM979" s="18"/>
      <c r="DN979" s="18"/>
      <c r="DO979" s="18"/>
      <c r="DP979" s="18"/>
      <c r="DQ979" s="18"/>
      <c r="DR979" s="18"/>
      <c r="DS979" s="18"/>
      <c r="DT979" s="18"/>
      <c r="DU979" s="18"/>
      <c r="DV979" s="18"/>
      <c r="DW979" s="18"/>
      <c r="DX979" s="18"/>
      <c r="DY979" s="18"/>
      <c r="DZ979" s="18"/>
      <c r="EA979" s="18"/>
      <c r="EB979" s="18"/>
      <c r="EC979" s="18"/>
      <c r="ED979" s="18"/>
      <c r="EE979" s="18"/>
      <c r="EF979" s="18"/>
      <c r="EG979" s="18"/>
      <c r="EH979" s="18"/>
      <c r="EI979" s="18"/>
      <c r="EJ979" s="18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EU979" s="18"/>
      <c r="EV979" s="18"/>
      <c r="EW979" s="18"/>
      <c r="EX979" s="18"/>
    </row>
    <row r="980">
      <c r="A980" s="101"/>
      <c r="B980" s="105"/>
      <c r="C980" s="105"/>
      <c r="D980" s="106"/>
      <c r="E980" s="110"/>
      <c r="F980" s="92"/>
      <c r="G980" s="18"/>
      <c r="H980" s="101"/>
      <c r="I980" s="67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/>
      <c r="DG980" s="18"/>
      <c r="DH980" s="18"/>
      <c r="DI980" s="18"/>
      <c r="DJ980" s="18"/>
      <c r="DK980" s="18"/>
      <c r="DL980" s="18"/>
      <c r="DM980" s="18"/>
      <c r="DN980" s="18"/>
      <c r="DO980" s="18"/>
      <c r="DP980" s="18"/>
      <c r="DQ980" s="18"/>
      <c r="DR980" s="18"/>
      <c r="DS980" s="18"/>
      <c r="DT980" s="18"/>
      <c r="DU980" s="18"/>
      <c r="DV980" s="18"/>
      <c r="DW980" s="18"/>
      <c r="DX980" s="18"/>
      <c r="DY980" s="18"/>
      <c r="DZ980" s="18"/>
      <c r="EA980" s="18"/>
      <c r="EB980" s="18"/>
      <c r="EC980" s="18"/>
      <c r="ED980" s="18"/>
      <c r="EE980" s="18"/>
      <c r="EF980" s="18"/>
      <c r="EG980" s="18"/>
      <c r="EH980" s="18"/>
      <c r="EI980" s="18"/>
      <c r="EJ980" s="18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EU980" s="18"/>
      <c r="EV980" s="18"/>
      <c r="EW980" s="18"/>
      <c r="EX980" s="18"/>
    </row>
    <row r="981">
      <c r="A981" s="101"/>
      <c r="B981" s="105"/>
      <c r="C981" s="105"/>
      <c r="D981" s="106"/>
      <c r="E981" s="110"/>
      <c r="F981" s="92"/>
      <c r="G981" s="18"/>
      <c r="H981" s="101"/>
      <c r="I981" s="67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/>
      <c r="DG981" s="18"/>
      <c r="DH981" s="18"/>
      <c r="DI981" s="18"/>
      <c r="DJ981" s="18"/>
      <c r="DK981" s="18"/>
      <c r="DL981" s="18"/>
      <c r="DM981" s="18"/>
      <c r="DN981" s="18"/>
      <c r="DO981" s="18"/>
      <c r="DP981" s="18"/>
      <c r="DQ981" s="18"/>
      <c r="DR981" s="18"/>
      <c r="DS981" s="18"/>
      <c r="DT981" s="18"/>
      <c r="DU981" s="18"/>
      <c r="DV981" s="18"/>
      <c r="DW981" s="18"/>
      <c r="DX981" s="18"/>
      <c r="DY981" s="18"/>
      <c r="DZ981" s="18"/>
      <c r="EA981" s="18"/>
      <c r="EB981" s="18"/>
      <c r="EC981" s="18"/>
      <c r="ED981" s="18"/>
      <c r="EE981" s="18"/>
      <c r="EF981" s="18"/>
      <c r="EG981" s="18"/>
      <c r="EH981" s="18"/>
      <c r="EI981" s="18"/>
      <c r="EJ981" s="18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EU981" s="18"/>
      <c r="EV981" s="18"/>
      <c r="EW981" s="18"/>
      <c r="EX981" s="18"/>
    </row>
    <row r="982">
      <c r="A982" s="101"/>
      <c r="B982" s="105"/>
      <c r="C982" s="105"/>
      <c r="D982" s="106"/>
      <c r="E982" s="110"/>
      <c r="F982" s="92"/>
      <c r="G982" s="18"/>
      <c r="H982" s="101"/>
      <c r="I982" s="67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/>
      <c r="DG982" s="18"/>
      <c r="DH982" s="18"/>
      <c r="DI982" s="18"/>
      <c r="DJ982" s="18"/>
      <c r="DK982" s="18"/>
      <c r="DL982" s="18"/>
      <c r="DM982" s="18"/>
      <c r="DN982" s="18"/>
      <c r="DO982" s="18"/>
      <c r="DP982" s="18"/>
      <c r="DQ982" s="18"/>
      <c r="DR982" s="18"/>
      <c r="DS982" s="18"/>
      <c r="DT982" s="18"/>
      <c r="DU982" s="18"/>
      <c r="DV982" s="18"/>
      <c r="DW982" s="18"/>
      <c r="DX982" s="18"/>
      <c r="DY982" s="18"/>
      <c r="DZ982" s="18"/>
      <c r="EA982" s="18"/>
      <c r="EB982" s="18"/>
      <c r="EC982" s="18"/>
      <c r="ED982" s="18"/>
      <c r="EE982" s="18"/>
      <c r="EF982" s="18"/>
      <c r="EG982" s="18"/>
      <c r="EH982" s="18"/>
      <c r="EI982" s="18"/>
      <c r="EJ982" s="18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EU982" s="18"/>
      <c r="EV982" s="18"/>
      <c r="EW982" s="18"/>
      <c r="EX982" s="18"/>
    </row>
    <row r="983">
      <c r="A983" s="101"/>
      <c r="B983" s="105"/>
      <c r="C983" s="105"/>
      <c r="D983" s="106"/>
      <c r="E983" s="110"/>
      <c r="F983" s="92"/>
      <c r="G983" s="18"/>
      <c r="H983" s="101"/>
      <c r="I983" s="67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/>
      <c r="DG983" s="18"/>
      <c r="DH983" s="18"/>
      <c r="DI983" s="18"/>
      <c r="DJ983" s="18"/>
      <c r="DK983" s="18"/>
      <c r="DL983" s="18"/>
      <c r="DM983" s="18"/>
      <c r="DN983" s="18"/>
      <c r="DO983" s="18"/>
      <c r="DP983" s="18"/>
      <c r="DQ983" s="18"/>
      <c r="DR983" s="18"/>
      <c r="DS983" s="18"/>
      <c r="DT983" s="18"/>
      <c r="DU983" s="18"/>
      <c r="DV983" s="18"/>
      <c r="DW983" s="18"/>
      <c r="DX983" s="18"/>
      <c r="DY983" s="18"/>
      <c r="DZ983" s="18"/>
      <c r="EA983" s="18"/>
      <c r="EB983" s="18"/>
      <c r="EC983" s="18"/>
      <c r="ED983" s="18"/>
      <c r="EE983" s="18"/>
      <c r="EF983" s="18"/>
      <c r="EG983" s="18"/>
      <c r="EH983" s="18"/>
      <c r="EI983" s="18"/>
      <c r="EJ983" s="18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EU983" s="18"/>
      <c r="EV983" s="18"/>
      <c r="EW983" s="18"/>
      <c r="EX983" s="18"/>
    </row>
    <row r="984">
      <c r="A984" s="101"/>
      <c r="B984" s="105"/>
      <c r="C984" s="105"/>
      <c r="D984" s="106"/>
      <c r="E984" s="110"/>
      <c r="F984" s="92"/>
      <c r="G984" s="18"/>
      <c r="H984" s="101"/>
      <c r="I984" s="67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/>
      <c r="DG984" s="18"/>
      <c r="DH984" s="18"/>
      <c r="DI984" s="18"/>
      <c r="DJ984" s="18"/>
      <c r="DK984" s="18"/>
      <c r="DL984" s="18"/>
      <c r="DM984" s="18"/>
      <c r="DN984" s="18"/>
      <c r="DO984" s="18"/>
      <c r="DP984" s="18"/>
      <c r="DQ984" s="18"/>
      <c r="DR984" s="18"/>
      <c r="DS984" s="18"/>
      <c r="DT984" s="18"/>
      <c r="DU984" s="18"/>
      <c r="DV984" s="18"/>
      <c r="DW984" s="18"/>
      <c r="DX984" s="18"/>
      <c r="DY984" s="18"/>
      <c r="DZ984" s="18"/>
      <c r="EA984" s="18"/>
      <c r="EB984" s="18"/>
      <c r="EC984" s="18"/>
      <c r="ED984" s="18"/>
      <c r="EE984" s="18"/>
      <c r="EF984" s="18"/>
      <c r="EG984" s="18"/>
      <c r="EH984" s="18"/>
      <c r="EI984" s="18"/>
      <c r="EJ984" s="18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EU984" s="18"/>
      <c r="EV984" s="18"/>
      <c r="EW984" s="18"/>
      <c r="EX984" s="18"/>
    </row>
    <row r="985">
      <c r="A985" s="101"/>
      <c r="B985" s="105"/>
      <c r="C985" s="105"/>
      <c r="D985" s="106"/>
      <c r="E985" s="110"/>
      <c r="F985" s="92"/>
      <c r="G985" s="18"/>
      <c r="H985" s="101"/>
      <c r="I985" s="67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/>
      <c r="DG985" s="18"/>
      <c r="DH985" s="18"/>
      <c r="DI985" s="18"/>
      <c r="DJ985" s="18"/>
      <c r="DK985" s="18"/>
      <c r="DL985" s="18"/>
      <c r="DM985" s="18"/>
      <c r="DN985" s="18"/>
      <c r="DO985" s="18"/>
      <c r="DP985" s="18"/>
      <c r="DQ985" s="18"/>
      <c r="DR985" s="18"/>
      <c r="DS985" s="18"/>
      <c r="DT985" s="18"/>
      <c r="DU985" s="18"/>
      <c r="DV985" s="18"/>
      <c r="DW985" s="18"/>
      <c r="DX985" s="18"/>
      <c r="DY985" s="18"/>
      <c r="DZ985" s="18"/>
      <c r="EA985" s="18"/>
      <c r="EB985" s="18"/>
      <c r="EC985" s="18"/>
      <c r="ED985" s="18"/>
      <c r="EE985" s="18"/>
      <c r="EF985" s="18"/>
      <c r="EG985" s="18"/>
      <c r="EH985" s="18"/>
      <c r="EI985" s="18"/>
      <c r="EJ985" s="18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EU985" s="18"/>
      <c r="EV985" s="18"/>
      <c r="EW985" s="18"/>
      <c r="EX985" s="18"/>
    </row>
    <row r="986">
      <c r="A986" s="101"/>
      <c r="B986" s="105"/>
      <c r="C986" s="105"/>
      <c r="D986" s="106"/>
      <c r="E986" s="110"/>
      <c r="F986" s="92"/>
      <c r="G986" s="18"/>
      <c r="H986" s="101"/>
      <c r="I986" s="67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  <c r="BP986" s="18"/>
      <c r="BQ986" s="18"/>
      <c r="BR986" s="18"/>
      <c r="BS986" s="18"/>
      <c r="BT986" s="18"/>
      <c r="BU986" s="18"/>
      <c r="BV986" s="18"/>
      <c r="BW986" s="18"/>
      <c r="BX986" s="18"/>
      <c r="BY986" s="18"/>
      <c r="BZ986" s="18"/>
      <c r="CA986" s="18"/>
      <c r="CB986" s="18"/>
      <c r="CC986" s="18"/>
      <c r="CD986" s="18"/>
      <c r="CE986" s="18"/>
      <c r="CF986" s="18"/>
      <c r="CG986" s="18"/>
      <c r="CH986" s="18"/>
      <c r="CI986" s="18"/>
      <c r="CJ986" s="18"/>
      <c r="CK986" s="18"/>
      <c r="CL986" s="18"/>
      <c r="CM986" s="18"/>
      <c r="CN986" s="18"/>
      <c r="CO986" s="18"/>
      <c r="CP986" s="18"/>
      <c r="CQ986" s="18"/>
      <c r="CR986" s="18"/>
      <c r="CS986" s="18"/>
      <c r="CT986" s="18"/>
      <c r="CU986" s="18"/>
      <c r="CV986" s="18"/>
      <c r="CW986" s="18"/>
      <c r="CX986" s="18"/>
      <c r="CY986" s="18"/>
      <c r="CZ986" s="18"/>
      <c r="DA986" s="18"/>
      <c r="DB986" s="18"/>
      <c r="DC986" s="18"/>
      <c r="DD986" s="18"/>
      <c r="DE986" s="18"/>
      <c r="DF986" s="18"/>
      <c r="DG986" s="18"/>
      <c r="DH986" s="18"/>
      <c r="DI986" s="18"/>
      <c r="DJ986" s="18"/>
      <c r="DK986" s="18"/>
      <c r="DL986" s="18"/>
      <c r="DM986" s="18"/>
      <c r="DN986" s="18"/>
      <c r="DO986" s="18"/>
      <c r="DP986" s="18"/>
      <c r="DQ986" s="18"/>
      <c r="DR986" s="18"/>
      <c r="DS986" s="18"/>
      <c r="DT986" s="18"/>
      <c r="DU986" s="18"/>
      <c r="DV986" s="18"/>
      <c r="DW986" s="18"/>
      <c r="DX986" s="18"/>
      <c r="DY986" s="18"/>
      <c r="DZ986" s="18"/>
      <c r="EA986" s="18"/>
      <c r="EB986" s="18"/>
      <c r="EC986" s="18"/>
      <c r="ED986" s="18"/>
      <c r="EE986" s="18"/>
      <c r="EF986" s="18"/>
      <c r="EG986" s="18"/>
      <c r="EH986" s="18"/>
      <c r="EI986" s="18"/>
      <c r="EJ986" s="18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EU986" s="18"/>
      <c r="EV986" s="18"/>
      <c r="EW986" s="18"/>
      <c r="EX986" s="18"/>
    </row>
    <row r="987">
      <c r="A987" s="101"/>
      <c r="B987" s="105"/>
      <c r="C987" s="105"/>
      <c r="D987" s="106"/>
      <c r="E987" s="110"/>
      <c r="F987" s="92"/>
      <c r="G987" s="18"/>
      <c r="H987" s="101"/>
      <c r="I987" s="67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  <c r="BP987" s="18"/>
      <c r="BQ987" s="18"/>
      <c r="BR987" s="18"/>
      <c r="BS987" s="18"/>
      <c r="BT987" s="18"/>
      <c r="BU987" s="18"/>
      <c r="BV987" s="18"/>
      <c r="BW987" s="18"/>
      <c r="BX987" s="18"/>
      <c r="BY987" s="18"/>
      <c r="BZ987" s="18"/>
      <c r="CA987" s="18"/>
      <c r="CB987" s="18"/>
      <c r="CC987" s="18"/>
      <c r="CD987" s="18"/>
      <c r="CE987" s="18"/>
      <c r="CF987" s="18"/>
      <c r="CG987" s="18"/>
      <c r="CH987" s="18"/>
      <c r="CI987" s="18"/>
      <c r="CJ987" s="18"/>
      <c r="CK987" s="18"/>
      <c r="CL987" s="18"/>
      <c r="CM987" s="18"/>
      <c r="CN987" s="18"/>
      <c r="CO987" s="18"/>
      <c r="CP987" s="18"/>
      <c r="CQ987" s="18"/>
      <c r="CR987" s="18"/>
      <c r="CS987" s="18"/>
      <c r="CT987" s="18"/>
      <c r="CU987" s="18"/>
      <c r="CV987" s="18"/>
      <c r="CW987" s="18"/>
      <c r="CX987" s="18"/>
      <c r="CY987" s="18"/>
      <c r="CZ987" s="18"/>
      <c r="DA987" s="18"/>
      <c r="DB987" s="18"/>
      <c r="DC987" s="18"/>
      <c r="DD987" s="18"/>
      <c r="DE987" s="18"/>
      <c r="DF987" s="18"/>
      <c r="DG987" s="18"/>
      <c r="DH987" s="18"/>
      <c r="DI987" s="18"/>
      <c r="DJ987" s="18"/>
      <c r="DK987" s="18"/>
      <c r="DL987" s="18"/>
      <c r="DM987" s="18"/>
      <c r="DN987" s="18"/>
      <c r="DO987" s="18"/>
      <c r="DP987" s="18"/>
      <c r="DQ987" s="18"/>
      <c r="DR987" s="18"/>
      <c r="DS987" s="18"/>
      <c r="DT987" s="18"/>
      <c r="DU987" s="18"/>
      <c r="DV987" s="18"/>
      <c r="DW987" s="18"/>
      <c r="DX987" s="18"/>
      <c r="DY987" s="18"/>
      <c r="DZ987" s="18"/>
      <c r="EA987" s="18"/>
      <c r="EB987" s="18"/>
      <c r="EC987" s="18"/>
      <c r="ED987" s="18"/>
      <c r="EE987" s="18"/>
      <c r="EF987" s="18"/>
      <c r="EG987" s="18"/>
      <c r="EH987" s="18"/>
      <c r="EI987" s="18"/>
      <c r="EJ987" s="18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EU987" s="18"/>
      <c r="EV987" s="18"/>
      <c r="EW987" s="18"/>
      <c r="EX987" s="18"/>
    </row>
    <row r="988">
      <c r="A988" s="101"/>
      <c r="B988" s="105"/>
      <c r="C988" s="105"/>
      <c r="D988" s="106"/>
      <c r="E988" s="110"/>
      <c r="F988" s="92"/>
      <c r="G988" s="18"/>
      <c r="H988" s="101"/>
      <c r="I988" s="67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  <c r="BP988" s="18"/>
      <c r="BQ988" s="18"/>
      <c r="BR988" s="18"/>
      <c r="BS988" s="18"/>
      <c r="BT988" s="18"/>
      <c r="BU988" s="18"/>
      <c r="BV988" s="18"/>
      <c r="BW988" s="18"/>
      <c r="BX988" s="18"/>
      <c r="BY988" s="18"/>
      <c r="BZ988" s="18"/>
      <c r="CA988" s="18"/>
      <c r="CB988" s="18"/>
      <c r="CC988" s="18"/>
      <c r="CD988" s="18"/>
      <c r="CE988" s="18"/>
      <c r="CF988" s="18"/>
      <c r="CG988" s="18"/>
      <c r="CH988" s="18"/>
      <c r="CI988" s="18"/>
      <c r="CJ988" s="18"/>
      <c r="CK988" s="18"/>
      <c r="CL988" s="18"/>
      <c r="CM988" s="18"/>
      <c r="CN988" s="18"/>
      <c r="CO988" s="18"/>
      <c r="CP988" s="18"/>
      <c r="CQ988" s="18"/>
      <c r="CR988" s="18"/>
      <c r="CS988" s="18"/>
      <c r="CT988" s="18"/>
      <c r="CU988" s="18"/>
      <c r="CV988" s="18"/>
      <c r="CW988" s="18"/>
      <c r="CX988" s="18"/>
      <c r="CY988" s="18"/>
      <c r="CZ988" s="18"/>
      <c r="DA988" s="18"/>
      <c r="DB988" s="18"/>
      <c r="DC988" s="18"/>
      <c r="DD988" s="18"/>
      <c r="DE988" s="18"/>
      <c r="DF988" s="18"/>
      <c r="DG988" s="18"/>
      <c r="DH988" s="18"/>
      <c r="DI988" s="18"/>
      <c r="DJ988" s="18"/>
      <c r="DK988" s="18"/>
      <c r="DL988" s="18"/>
      <c r="DM988" s="18"/>
      <c r="DN988" s="18"/>
      <c r="DO988" s="18"/>
      <c r="DP988" s="18"/>
      <c r="DQ988" s="18"/>
      <c r="DR988" s="18"/>
      <c r="DS988" s="18"/>
      <c r="DT988" s="18"/>
      <c r="DU988" s="18"/>
      <c r="DV988" s="18"/>
      <c r="DW988" s="18"/>
      <c r="DX988" s="18"/>
      <c r="DY988" s="18"/>
      <c r="DZ988" s="18"/>
      <c r="EA988" s="18"/>
      <c r="EB988" s="18"/>
      <c r="EC988" s="18"/>
      <c r="ED988" s="18"/>
      <c r="EE988" s="18"/>
      <c r="EF988" s="18"/>
      <c r="EG988" s="18"/>
      <c r="EH988" s="18"/>
      <c r="EI988" s="18"/>
      <c r="EJ988" s="1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EU988" s="18"/>
      <c r="EV988" s="18"/>
      <c r="EW988" s="18"/>
      <c r="EX988" s="18"/>
    </row>
    <row r="989">
      <c r="A989" s="101"/>
      <c r="B989" s="105"/>
      <c r="C989" s="105"/>
      <c r="D989" s="106"/>
      <c r="E989" s="110"/>
      <c r="F989" s="92"/>
      <c r="G989" s="18"/>
      <c r="H989" s="101"/>
      <c r="I989" s="67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  <c r="BP989" s="18"/>
      <c r="BQ989" s="18"/>
      <c r="BR989" s="18"/>
      <c r="BS989" s="18"/>
      <c r="BT989" s="18"/>
      <c r="BU989" s="18"/>
      <c r="BV989" s="18"/>
      <c r="BW989" s="18"/>
      <c r="BX989" s="18"/>
      <c r="BY989" s="18"/>
      <c r="BZ989" s="18"/>
      <c r="CA989" s="18"/>
      <c r="CB989" s="18"/>
      <c r="CC989" s="18"/>
      <c r="CD989" s="18"/>
      <c r="CE989" s="18"/>
      <c r="CF989" s="18"/>
      <c r="CG989" s="18"/>
      <c r="CH989" s="18"/>
      <c r="CI989" s="18"/>
      <c r="CJ989" s="18"/>
      <c r="CK989" s="18"/>
      <c r="CL989" s="18"/>
      <c r="CM989" s="18"/>
      <c r="CN989" s="18"/>
      <c r="CO989" s="18"/>
      <c r="CP989" s="18"/>
      <c r="CQ989" s="18"/>
      <c r="CR989" s="18"/>
      <c r="CS989" s="18"/>
      <c r="CT989" s="18"/>
      <c r="CU989" s="18"/>
      <c r="CV989" s="18"/>
      <c r="CW989" s="18"/>
      <c r="CX989" s="18"/>
      <c r="CY989" s="18"/>
      <c r="CZ989" s="18"/>
      <c r="DA989" s="18"/>
      <c r="DB989" s="18"/>
      <c r="DC989" s="18"/>
      <c r="DD989" s="18"/>
      <c r="DE989" s="18"/>
      <c r="DF989" s="18"/>
      <c r="DG989" s="18"/>
      <c r="DH989" s="18"/>
      <c r="DI989" s="18"/>
      <c r="DJ989" s="18"/>
      <c r="DK989" s="18"/>
      <c r="DL989" s="18"/>
      <c r="DM989" s="18"/>
      <c r="DN989" s="18"/>
      <c r="DO989" s="18"/>
      <c r="DP989" s="18"/>
      <c r="DQ989" s="18"/>
      <c r="DR989" s="18"/>
      <c r="DS989" s="18"/>
      <c r="DT989" s="18"/>
      <c r="DU989" s="18"/>
      <c r="DV989" s="18"/>
      <c r="DW989" s="18"/>
      <c r="DX989" s="18"/>
      <c r="DY989" s="18"/>
      <c r="DZ989" s="18"/>
      <c r="EA989" s="18"/>
      <c r="EB989" s="18"/>
      <c r="EC989" s="18"/>
      <c r="ED989" s="18"/>
      <c r="EE989" s="18"/>
      <c r="EF989" s="18"/>
      <c r="EG989" s="18"/>
      <c r="EH989" s="18"/>
      <c r="EI989" s="18"/>
      <c r="EJ989" s="18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EU989" s="18"/>
      <c r="EV989" s="18"/>
      <c r="EW989" s="18"/>
      <c r="EX989" s="18"/>
    </row>
    <row r="990">
      <c r="A990" s="101"/>
      <c r="B990" s="105"/>
      <c r="C990" s="105"/>
      <c r="D990" s="106"/>
      <c r="E990" s="110"/>
      <c r="F990" s="92"/>
      <c r="G990" s="18"/>
      <c r="H990" s="101"/>
      <c r="I990" s="67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  <c r="BP990" s="18"/>
      <c r="BQ990" s="18"/>
      <c r="BR990" s="18"/>
      <c r="BS990" s="18"/>
      <c r="BT990" s="18"/>
      <c r="BU990" s="18"/>
      <c r="BV990" s="18"/>
      <c r="BW990" s="18"/>
      <c r="BX990" s="18"/>
      <c r="BY990" s="18"/>
      <c r="BZ990" s="18"/>
      <c r="CA990" s="18"/>
      <c r="CB990" s="18"/>
      <c r="CC990" s="18"/>
      <c r="CD990" s="18"/>
      <c r="CE990" s="18"/>
      <c r="CF990" s="18"/>
      <c r="CG990" s="18"/>
      <c r="CH990" s="18"/>
      <c r="CI990" s="18"/>
      <c r="CJ990" s="18"/>
      <c r="CK990" s="18"/>
      <c r="CL990" s="18"/>
      <c r="CM990" s="18"/>
      <c r="CN990" s="18"/>
      <c r="CO990" s="18"/>
      <c r="CP990" s="18"/>
      <c r="CQ990" s="18"/>
      <c r="CR990" s="18"/>
      <c r="CS990" s="18"/>
      <c r="CT990" s="18"/>
      <c r="CU990" s="18"/>
      <c r="CV990" s="18"/>
      <c r="CW990" s="18"/>
      <c r="CX990" s="18"/>
      <c r="CY990" s="18"/>
      <c r="CZ990" s="18"/>
      <c r="DA990" s="18"/>
      <c r="DB990" s="18"/>
      <c r="DC990" s="18"/>
      <c r="DD990" s="18"/>
      <c r="DE990" s="18"/>
      <c r="DF990" s="18"/>
      <c r="DG990" s="18"/>
      <c r="DH990" s="18"/>
      <c r="DI990" s="18"/>
      <c r="DJ990" s="18"/>
      <c r="DK990" s="18"/>
      <c r="DL990" s="18"/>
      <c r="DM990" s="18"/>
      <c r="DN990" s="18"/>
      <c r="DO990" s="18"/>
      <c r="DP990" s="18"/>
      <c r="DQ990" s="18"/>
      <c r="DR990" s="18"/>
      <c r="DS990" s="18"/>
      <c r="DT990" s="18"/>
      <c r="DU990" s="18"/>
      <c r="DV990" s="18"/>
      <c r="DW990" s="18"/>
      <c r="DX990" s="18"/>
      <c r="DY990" s="18"/>
      <c r="DZ990" s="18"/>
      <c r="EA990" s="18"/>
      <c r="EB990" s="18"/>
      <c r="EC990" s="18"/>
      <c r="ED990" s="18"/>
      <c r="EE990" s="18"/>
      <c r="EF990" s="18"/>
      <c r="EG990" s="18"/>
      <c r="EH990" s="18"/>
      <c r="EI990" s="18"/>
      <c r="EJ990" s="18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EU990" s="18"/>
      <c r="EV990" s="18"/>
      <c r="EW990" s="18"/>
      <c r="EX990" s="18"/>
    </row>
    <row r="991">
      <c r="A991" s="101"/>
      <c r="B991" s="105"/>
      <c r="C991" s="105"/>
      <c r="D991" s="106"/>
      <c r="E991" s="110"/>
      <c r="F991" s="92"/>
      <c r="G991" s="18"/>
      <c r="H991" s="101"/>
      <c r="I991" s="67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  <c r="BP991" s="18"/>
      <c r="BQ991" s="18"/>
      <c r="BR991" s="18"/>
      <c r="BS991" s="18"/>
      <c r="BT991" s="18"/>
      <c r="BU991" s="18"/>
      <c r="BV991" s="18"/>
      <c r="BW991" s="18"/>
      <c r="BX991" s="18"/>
      <c r="BY991" s="18"/>
      <c r="BZ991" s="18"/>
      <c r="CA991" s="18"/>
      <c r="CB991" s="18"/>
      <c r="CC991" s="18"/>
      <c r="CD991" s="18"/>
      <c r="CE991" s="18"/>
      <c r="CF991" s="18"/>
      <c r="CG991" s="18"/>
      <c r="CH991" s="18"/>
      <c r="CI991" s="18"/>
      <c r="CJ991" s="18"/>
      <c r="CK991" s="18"/>
      <c r="CL991" s="18"/>
      <c r="CM991" s="18"/>
      <c r="CN991" s="18"/>
      <c r="CO991" s="18"/>
      <c r="CP991" s="18"/>
      <c r="CQ991" s="18"/>
      <c r="CR991" s="18"/>
      <c r="CS991" s="18"/>
      <c r="CT991" s="18"/>
      <c r="CU991" s="18"/>
      <c r="CV991" s="18"/>
      <c r="CW991" s="18"/>
      <c r="CX991" s="18"/>
      <c r="CY991" s="18"/>
      <c r="CZ991" s="18"/>
      <c r="DA991" s="18"/>
      <c r="DB991" s="18"/>
      <c r="DC991" s="18"/>
      <c r="DD991" s="18"/>
      <c r="DE991" s="18"/>
      <c r="DF991" s="18"/>
      <c r="DG991" s="18"/>
      <c r="DH991" s="18"/>
      <c r="DI991" s="18"/>
      <c r="DJ991" s="18"/>
      <c r="DK991" s="18"/>
      <c r="DL991" s="18"/>
      <c r="DM991" s="18"/>
      <c r="DN991" s="18"/>
      <c r="DO991" s="18"/>
      <c r="DP991" s="18"/>
      <c r="DQ991" s="18"/>
      <c r="DR991" s="18"/>
      <c r="DS991" s="18"/>
      <c r="DT991" s="18"/>
      <c r="DU991" s="18"/>
      <c r="DV991" s="18"/>
      <c r="DW991" s="18"/>
      <c r="DX991" s="18"/>
      <c r="DY991" s="18"/>
      <c r="DZ991" s="18"/>
      <c r="EA991" s="18"/>
      <c r="EB991" s="18"/>
      <c r="EC991" s="18"/>
      <c r="ED991" s="18"/>
      <c r="EE991" s="18"/>
      <c r="EF991" s="18"/>
      <c r="EG991" s="18"/>
      <c r="EH991" s="18"/>
      <c r="EI991" s="18"/>
      <c r="EJ991" s="18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EU991" s="18"/>
      <c r="EV991" s="18"/>
      <c r="EW991" s="18"/>
      <c r="EX991" s="18"/>
    </row>
    <row r="992">
      <c r="A992" s="101"/>
      <c r="B992" s="105"/>
      <c r="C992" s="105"/>
      <c r="D992" s="106"/>
      <c r="E992" s="110"/>
      <c r="F992" s="92"/>
      <c r="G992" s="18"/>
      <c r="H992" s="101"/>
      <c r="I992" s="67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  <c r="BP992" s="18"/>
      <c r="BQ992" s="18"/>
      <c r="BR992" s="18"/>
      <c r="BS992" s="18"/>
      <c r="BT992" s="18"/>
      <c r="BU992" s="18"/>
      <c r="BV992" s="18"/>
      <c r="BW992" s="18"/>
      <c r="BX992" s="18"/>
      <c r="BY992" s="18"/>
      <c r="BZ992" s="18"/>
      <c r="CA992" s="18"/>
      <c r="CB992" s="18"/>
      <c r="CC992" s="18"/>
      <c r="CD992" s="18"/>
      <c r="CE992" s="18"/>
      <c r="CF992" s="18"/>
      <c r="CG992" s="18"/>
      <c r="CH992" s="18"/>
      <c r="CI992" s="18"/>
      <c r="CJ992" s="18"/>
      <c r="CK992" s="18"/>
      <c r="CL992" s="18"/>
      <c r="CM992" s="18"/>
      <c r="CN992" s="18"/>
      <c r="CO992" s="18"/>
      <c r="CP992" s="18"/>
      <c r="CQ992" s="18"/>
      <c r="CR992" s="18"/>
      <c r="CS992" s="18"/>
      <c r="CT992" s="18"/>
      <c r="CU992" s="18"/>
      <c r="CV992" s="18"/>
      <c r="CW992" s="18"/>
      <c r="CX992" s="18"/>
      <c r="CY992" s="18"/>
      <c r="CZ992" s="18"/>
      <c r="DA992" s="18"/>
      <c r="DB992" s="18"/>
      <c r="DC992" s="18"/>
      <c r="DD992" s="18"/>
      <c r="DE992" s="18"/>
      <c r="DF992" s="18"/>
      <c r="DG992" s="18"/>
      <c r="DH992" s="18"/>
      <c r="DI992" s="18"/>
      <c r="DJ992" s="18"/>
      <c r="DK992" s="18"/>
      <c r="DL992" s="18"/>
      <c r="DM992" s="18"/>
      <c r="DN992" s="18"/>
      <c r="DO992" s="18"/>
      <c r="DP992" s="18"/>
      <c r="DQ992" s="18"/>
      <c r="DR992" s="18"/>
      <c r="DS992" s="18"/>
      <c r="DT992" s="18"/>
      <c r="DU992" s="18"/>
      <c r="DV992" s="18"/>
      <c r="DW992" s="18"/>
      <c r="DX992" s="18"/>
      <c r="DY992" s="18"/>
      <c r="DZ992" s="18"/>
      <c r="EA992" s="18"/>
      <c r="EB992" s="18"/>
      <c r="EC992" s="18"/>
      <c r="ED992" s="18"/>
      <c r="EE992" s="18"/>
      <c r="EF992" s="18"/>
      <c r="EG992" s="18"/>
      <c r="EH992" s="18"/>
      <c r="EI992" s="18"/>
      <c r="EJ992" s="18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EU992" s="18"/>
      <c r="EV992" s="18"/>
      <c r="EW992" s="18"/>
      <c r="EX992" s="18"/>
    </row>
    <row r="993">
      <c r="A993" s="101"/>
      <c r="B993" s="105"/>
      <c r="C993" s="105"/>
      <c r="D993" s="106"/>
      <c r="E993" s="110"/>
      <c r="F993" s="92"/>
      <c r="G993" s="18"/>
      <c r="H993" s="101"/>
      <c r="I993" s="67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  <c r="BP993" s="18"/>
      <c r="BQ993" s="18"/>
      <c r="BR993" s="18"/>
      <c r="BS993" s="18"/>
      <c r="BT993" s="18"/>
      <c r="BU993" s="18"/>
      <c r="BV993" s="18"/>
      <c r="BW993" s="18"/>
      <c r="BX993" s="18"/>
      <c r="BY993" s="18"/>
      <c r="BZ993" s="18"/>
      <c r="CA993" s="18"/>
      <c r="CB993" s="18"/>
      <c r="CC993" s="18"/>
      <c r="CD993" s="18"/>
      <c r="CE993" s="18"/>
      <c r="CF993" s="18"/>
      <c r="CG993" s="18"/>
      <c r="CH993" s="18"/>
      <c r="CI993" s="18"/>
      <c r="CJ993" s="18"/>
      <c r="CK993" s="18"/>
      <c r="CL993" s="18"/>
      <c r="CM993" s="18"/>
      <c r="CN993" s="18"/>
      <c r="CO993" s="18"/>
      <c r="CP993" s="18"/>
      <c r="CQ993" s="18"/>
      <c r="CR993" s="18"/>
      <c r="CS993" s="18"/>
      <c r="CT993" s="18"/>
      <c r="CU993" s="18"/>
      <c r="CV993" s="18"/>
      <c r="CW993" s="18"/>
      <c r="CX993" s="18"/>
      <c r="CY993" s="18"/>
      <c r="CZ993" s="18"/>
      <c r="DA993" s="18"/>
      <c r="DB993" s="18"/>
      <c r="DC993" s="18"/>
      <c r="DD993" s="18"/>
      <c r="DE993" s="18"/>
      <c r="DF993" s="18"/>
      <c r="DG993" s="18"/>
      <c r="DH993" s="18"/>
      <c r="DI993" s="18"/>
      <c r="DJ993" s="18"/>
      <c r="DK993" s="18"/>
      <c r="DL993" s="18"/>
      <c r="DM993" s="18"/>
      <c r="DN993" s="18"/>
      <c r="DO993" s="18"/>
      <c r="DP993" s="18"/>
      <c r="DQ993" s="18"/>
      <c r="DR993" s="18"/>
      <c r="DS993" s="18"/>
      <c r="DT993" s="18"/>
      <c r="DU993" s="18"/>
      <c r="DV993" s="18"/>
      <c r="DW993" s="18"/>
      <c r="DX993" s="18"/>
      <c r="DY993" s="18"/>
      <c r="DZ993" s="18"/>
      <c r="EA993" s="18"/>
      <c r="EB993" s="18"/>
      <c r="EC993" s="18"/>
      <c r="ED993" s="18"/>
      <c r="EE993" s="18"/>
      <c r="EF993" s="18"/>
      <c r="EG993" s="18"/>
      <c r="EH993" s="18"/>
      <c r="EI993" s="18"/>
      <c r="EJ993" s="18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EU993" s="18"/>
      <c r="EV993" s="18"/>
      <c r="EW993" s="18"/>
      <c r="EX993" s="18"/>
    </row>
    <row r="994">
      <c r="A994" s="101"/>
      <c r="B994" s="105"/>
      <c r="C994" s="105"/>
      <c r="D994" s="106"/>
      <c r="E994" s="110"/>
      <c r="F994" s="92"/>
      <c r="G994" s="18"/>
      <c r="H994" s="101"/>
      <c r="I994" s="67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  <c r="BP994" s="18"/>
      <c r="BQ994" s="18"/>
      <c r="BR994" s="18"/>
      <c r="BS994" s="18"/>
      <c r="BT994" s="18"/>
      <c r="BU994" s="18"/>
      <c r="BV994" s="18"/>
      <c r="BW994" s="18"/>
      <c r="BX994" s="18"/>
      <c r="BY994" s="18"/>
      <c r="BZ994" s="18"/>
      <c r="CA994" s="18"/>
      <c r="CB994" s="18"/>
      <c r="CC994" s="18"/>
      <c r="CD994" s="18"/>
      <c r="CE994" s="18"/>
      <c r="CF994" s="18"/>
      <c r="CG994" s="18"/>
      <c r="CH994" s="18"/>
      <c r="CI994" s="18"/>
      <c r="CJ994" s="18"/>
      <c r="CK994" s="18"/>
      <c r="CL994" s="18"/>
      <c r="CM994" s="18"/>
      <c r="CN994" s="18"/>
      <c r="CO994" s="18"/>
      <c r="CP994" s="18"/>
      <c r="CQ994" s="18"/>
      <c r="CR994" s="18"/>
      <c r="CS994" s="18"/>
      <c r="CT994" s="18"/>
      <c r="CU994" s="18"/>
      <c r="CV994" s="18"/>
      <c r="CW994" s="18"/>
      <c r="CX994" s="18"/>
      <c r="CY994" s="18"/>
      <c r="CZ994" s="18"/>
      <c r="DA994" s="18"/>
      <c r="DB994" s="18"/>
      <c r="DC994" s="18"/>
      <c r="DD994" s="18"/>
      <c r="DE994" s="18"/>
      <c r="DF994" s="18"/>
      <c r="DG994" s="18"/>
      <c r="DH994" s="18"/>
      <c r="DI994" s="18"/>
      <c r="DJ994" s="18"/>
      <c r="DK994" s="18"/>
      <c r="DL994" s="18"/>
      <c r="DM994" s="18"/>
      <c r="DN994" s="18"/>
      <c r="DO994" s="18"/>
      <c r="DP994" s="18"/>
      <c r="DQ994" s="18"/>
      <c r="DR994" s="18"/>
      <c r="DS994" s="18"/>
      <c r="DT994" s="18"/>
      <c r="DU994" s="18"/>
      <c r="DV994" s="18"/>
      <c r="DW994" s="18"/>
      <c r="DX994" s="18"/>
      <c r="DY994" s="18"/>
      <c r="DZ994" s="18"/>
      <c r="EA994" s="18"/>
      <c r="EB994" s="18"/>
      <c r="EC994" s="18"/>
      <c r="ED994" s="18"/>
      <c r="EE994" s="18"/>
      <c r="EF994" s="18"/>
      <c r="EG994" s="18"/>
      <c r="EH994" s="18"/>
      <c r="EI994" s="18"/>
      <c r="EJ994" s="18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EU994" s="18"/>
      <c r="EV994" s="18"/>
      <c r="EW994" s="18"/>
      <c r="EX994" s="18"/>
    </row>
    <row r="995">
      <c r="A995" s="101"/>
      <c r="B995" s="105"/>
      <c r="C995" s="105"/>
      <c r="D995" s="106"/>
      <c r="E995" s="110"/>
      <c r="F995" s="92"/>
      <c r="G995" s="18"/>
      <c r="H995" s="101"/>
      <c r="I995" s="67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  <c r="BP995" s="18"/>
      <c r="BQ995" s="18"/>
      <c r="BR995" s="18"/>
      <c r="BS995" s="18"/>
      <c r="BT995" s="18"/>
      <c r="BU995" s="18"/>
      <c r="BV995" s="18"/>
      <c r="BW995" s="18"/>
      <c r="BX995" s="18"/>
      <c r="BY995" s="18"/>
      <c r="BZ995" s="18"/>
      <c r="CA995" s="18"/>
      <c r="CB995" s="18"/>
      <c r="CC995" s="18"/>
      <c r="CD995" s="18"/>
      <c r="CE995" s="18"/>
      <c r="CF995" s="18"/>
      <c r="CG995" s="18"/>
      <c r="CH995" s="18"/>
      <c r="CI995" s="18"/>
      <c r="CJ995" s="18"/>
      <c r="CK995" s="18"/>
      <c r="CL995" s="18"/>
      <c r="CM995" s="18"/>
      <c r="CN995" s="18"/>
      <c r="CO995" s="18"/>
      <c r="CP995" s="18"/>
      <c r="CQ995" s="18"/>
      <c r="CR995" s="18"/>
      <c r="CS995" s="18"/>
      <c r="CT995" s="18"/>
      <c r="CU995" s="18"/>
      <c r="CV995" s="18"/>
      <c r="CW995" s="18"/>
      <c r="CX995" s="18"/>
      <c r="CY995" s="18"/>
      <c r="CZ995" s="18"/>
      <c r="DA995" s="18"/>
      <c r="DB995" s="18"/>
      <c r="DC995" s="18"/>
      <c r="DD995" s="18"/>
      <c r="DE995" s="18"/>
      <c r="DF995" s="18"/>
      <c r="DG995" s="18"/>
      <c r="DH995" s="18"/>
      <c r="DI995" s="18"/>
      <c r="DJ995" s="18"/>
      <c r="DK995" s="18"/>
      <c r="DL995" s="18"/>
      <c r="DM995" s="18"/>
      <c r="DN995" s="18"/>
      <c r="DO995" s="18"/>
      <c r="DP995" s="18"/>
      <c r="DQ995" s="18"/>
      <c r="DR995" s="18"/>
      <c r="DS995" s="18"/>
      <c r="DT995" s="18"/>
      <c r="DU995" s="18"/>
      <c r="DV995" s="18"/>
      <c r="DW995" s="18"/>
      <c r="DX995" s="18"/>
      <c r="DY995" s="18"/>
      <c r="DZ995" s="18"/>
      <c r="EA995" s="18"/>
      <c r="EB995" s="18"/>
      <c r="EC995" s="18"/>
      <c r="ED995" s="18"/>
      <c r="EE995" s="18"/>
      <c r="EF995" s="18"/>
      <c r="EG995" s="18"/>
      <c r="EH995" s="18"/>
      <c r="EI995" s="18"/>
      <c r="EJ995" s="18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EU995" s="18"/>
      <c r="EV995" s="18"/>
      <c r="EW995" s="18"/>
      <c r="EX995" s="18"/>
    </row>
    <row r="996">
      <c r="A996" s="101"/>
      <c r="B996" s="105"/>
      <c r="C996" s="105"/>
      <c r="D996" s="106"/>
      <c r="E996" s="110"/>
      <c r="F996" s="92"/>
      <c r="G996" s="18"/>
      <c r="H996" s="101"/>
      <c r="I996" s="67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  <c r="BP996" s="18"/>
      <c r="BQ996" s="18"/>
      <c r="BR996" s="18"/>
      <c r="BS996" s="18"/>
      <c r="BT996" s="18"/>
      <c r="BU996" s="18"/>
      <c r="BV996" s="18"/>
      <c r="BW996" s="18"/>
      <c r="BX996" s="18"/>
      <c r="BY996" s="18"/>
      <c r="BZ996" s="18"/>
      <c r="CA996" s="18"/>
      <c r="CB996" s="18"/>
      <c r="CC996" s="18"/>
      <c r="CD996" s="18"/>
      <c r="CE996" s="18"/>
      <c r="CF996" s="18"/>
      <c r="CG996" s="18"/>
      <c r="CH996" s="18"/>
      <c r="CI996" s="18"/>
      <c r="CJ996" s="18"/>
      <c r="CK996" s="18"/>
      <c r="CL996" s="18"/>
      <c r="CM996" s="18"/>
      <c r="CN996" s="18"/>
      <c r="CO996" s="18"/>
      <c r="CP996" s="18"/>
      <c r="CQ996" s="18"/>
      <c r="CR996" s="18"/>
      <c r="CS996" s="18"/>
      <c r="CT996" s="18"/>
      <c r="CU996" s="18"/>
      <c r="CV996" s="18"/>
      <c r="CW996" s="18"/>
      <c r="CX996" s="18"/>
      <c r="CY996" s="18"/>
      <c r="CZ996" s="18"/>
      <c r="DA996" s="18"/>
      <c r="DB996" s="18"/>
      <c r="DC996" s="18"/>
      <c r="DD996" s="18"/>
      <c r="DE996" s="18"/>
      <c r="DF996" s="18"/>
      <c r="DG996" s="18"/>
      <c r="DH996" s="18"/>
      <c r="DI996" s="18"/>
      <c r="DJ996" s="18"/>
      <c r="DK996" s="18"/>
      <c r="DL996" s="18"/>
      <c r="DM996" s="18"/>
      <c r="DN996" s="18"/>
      <c r="DO996" s="18"/>
      <c r="DP996" s="18"/>
      <c r="DQ996" s="18"/>
      <c r="DR996" s="18"/>
      <c r="DS996" s="18"/>
      <c r="DT996" s="18"/>
      <c r="DU996" s="18"/>
      <c r="DV996" s="18"/>
      <c r="DW996" s="18"/>
      <c r="DX996" s="18"/>
      <c r="DY996" s="18"/>
      <c r="DZ996" s="18"/>
      <c r="EA996" s="18"/>
      <c r="EB996" s="18"/>
      <c r="EC996" s="18"/>
      <c r="ED996" s="18"/>
      <c r="EE996" s="18"/>
      <c r="EF996" s="18"/>
      <c r="EG996" s="18"/>
      <c r="EH996" s="18"/>
      <c r="EI996" s="18"/>
      <c r="EJ996" s="18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EU996" s="18"/>
      <c r="EV996" s="18"/>
      <c r="EW996" s="18"/>
      <c r="EX996" s="18"/>
    </row>
    <row r="997">
      <c r="A997" s="101"/>
      <c r="B997" s="105"/>
      <c r="C997" s="105"/>
      <c r="D997" s="106"/>
      <c r="E997" s="110"/>
      <c r="F997" s="92"/>
      <c r="G997" s="18"/>
      <c r="H997" s="101"/>
      <c r="I997" s="67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  <c r="BP997" s="18"/>
      <c r="BQ997" s="18"/>
      <c r="BR997" s="18"/>
      <c r="BS997" s="18"/>
      <c r="BT997" s="18"/>
      <c r="BU997" s="18"/>
      <c r="BV997" s="18"/>
      <c r="BW997" s="18"/>
      <c r="BX997" s="18"/>
      <c r="BY997" s="18"/>
      <c r="BZ997" s="18"/>
      <c r="CA997" s="18"/>
      <c r="CB997" s="18"/>
      <c r="CC997" s="18"/>
      <c r="CD997" s="18"/>
      <c r="CE997" s="18"/>
      <c r="CF997" s="18"/>
      <c r="CG997" s="18"/>
      <c r="CH997" s="18"/>
      <c r="CI997" s="18"/>
      <c r="CJ997" s="18"/>
      <c r="CK997" s="18"/>
      <c r="CL997" s="18"/>
      <c r="CM997" s="18"/>
      <c r="CN997" s="18"/>
      <c r="CO997" s="18"/>
      <c r="CP997" s="18"/>
      <c r="CQ997" s="18"/>
      <c r="CR997" s="18"/>
      <c r="CS997" s="18"/>
      <c r="CT997" s="18"/>
      <c r="CU997" s="18"/>
      <c r="CV997" s="18"/>
      <c r="CW997" s="18"/>
      <c r="CX997" s="18"/>
      <c r="CY997" s="18"/>
      <c r="CZ997" s="18"/>
      <c r="DA997" s="18"/>
      <c r="DB997" s="18"/>
      <c r="DC997" s="18"/>
      <c r="DD997" s="18"/>
      <c r="DE997" s="18"/>
      <c r="DF997" s="18"/>
      <c r="DG997" s="18"/>
      <c r="DH997" s="18"/>
      <c r="DI997" s="18"/>
      <c r="DJ997" s="18"/>
      <c r="DK997" s="18"/>
      <c r="DL997" s="18"/>
      <c r="DM997" s="18"/>
      <c r="DN997" s="18"/>
      <c r="DO997" s="18"/>
      <c r="DP997" s="18"/>
      <c r="DQ997" s="18"/>
      <c r="DR997" s="18"/>
      <c r="DS997" s="18"/>
      <c r="DT997" s="18"/>
      <c r="DU997" s="18"/>
      <c r="DV997" s="18"/>
      <c r="DW997" s="18"/>
      <c r="DX997" s="18"/>
      <c r="DY997" s="18"/>
      <c r="DZ997" s="18"/>
      <c r="EA997" s="18"/>
      <c r="EB997" s="18"/>
      <c r="EC997" s="18"/>
      <c r="ED997" s="18"/>
      <c r="EE997" s="18"/>
      <c r="EF997" s="18"/>
      <c r="EG997" s="18"/>
      <c r="EH997" s="18"/>
      <c r="EI997" s="18"/>
      <c r="EJ997" s="18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EU997" s="18"/>
      <c r="EV997" s="18"/>
      <c r="EW997" s="18"/>
      <c r="EX997" s="18"/>
    </row>
    <row r="998">
      <c r="A998" s="101"/>
      <c r="B998" s="105"/>
      <c r="C998" s="105"/>
      <c r="D998" s="106"/>
      <c r="E998" s="110"/>
      <c r="F998" s="92"/>
      <c r="G998" s="18"/>
      <c r="H998" s="101"/>
      <c r="I998" s="67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  <c r="BP998" s="18"/>
      <c r="BQ998" s="18"/>
      <c r="BR998" s="18"/>
      <c r="BS998" s="18"/>
      <c r="BT998" s="18"/>
      <c r="BU998" s="18"/>
      <c r="BV998" s="18"/>
      <c r="BW998" s="18"/>
      <c r="BX998" s="18"/>
      <c r="BY998" s="18"/>
      <c r="BZ998" s="18"/>
      <c r="CA998" s="18"/>
      <c r="CB998" s="18"/>
      <c r="CC998" s="18"/>
      <c r="CD998" s="18"/>
      <c r="CE998" s="18"/>
      <c r="CF998" s="18"/>
      <c r="CG998" s="18"/>
      <c r="CH998" s="18"/>
      <c r="CI998" s="18"/>
      <c r="CJ998" s="18"/>
      <c r="CK998" s="18"/>
      <c r="CL998" s="18"/>
      <c r="CM998" s="18"/>
      <c r="CN998" s="18"/>
      <c r="CO998" s="18"/>
      <c r="CP998" s="18"/>
      <c r="CQ998" s="18"/>
      <c r="CR998" s="18"/>
      <c r="CS998" s="18"/>
      <c r="CT998" s="18"/>
      <c r="CU998" s="18"/>
      <c r="CV998" s="18"/>
      <c r="CW998" s="18"/>
      <c r="CX998" s="18"/>
      <c r="CY998" s="18"/>
      <c r="CZ998" s="18"/>
      <c r="DA998" s="18"/>
      <c r="DB998" s="18"/>
      <c r="DC998" s="18"/>
      <c r="DD998" s="18"/>
      <c r="DE998" s="18"/>
      <c r="DF998" s="18"/>
      <c r="DG998" s="18"/>
      <c r="DH998" s="18"/>
      <c r="DI998" s="18"/>
      <c r="DJ998" s="18"/>
      <c r="DK998" s="18"/>
      <c r="DL998" s="18"/>
      <c r="DM998" s="18"/>
      <c r="DN998" s="18"/>
      <c r="DO998" s="18"/>
      <c r="DP998" s="18"/>
      <c r="DQ998" s="18"/>
      <c r="DR998" s="18"/>
      <c r="DS998" s="18"/>
      <c r="DT998" s="18"/>
      <c r="DU998" s="18"/>
      <c r="DV998" s="18"/>
      <c r="DW998" s="18"/>
      <c r="DX998" s="18"/>
      <c r="DY998" s="18"/>
      <c r="DZ998" s="18"/>
      <c r="EA998" s="18"/>
      <c r="EB998" s="18"/>
      <c r="EC998" s="18"/>
      <c r="ED998" s="18"/>
      <c r="EE998" s="18"/>
      <c r="EF998" s="18"/>
      <c r="EG998" s="18"/>
      <c r="EH998" s="18"/>
      <c r="EI998" s="18"/>
      <c r="EJ998" s="1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EU998" s="18"/>
      <c r="EV998" s="18"/>
      <c r="EW998" s="18"/>
      <c r="EX998" s="18"/>
    </row>
    <row r="999">
      <c r="A999" s="101"/>
      <c r="B999" s="105"/>
      <c r="C999" s="105"/>
      <c r="D999" s="106"/>
      <c r="E999" s="110"/>
      <c r="F999" s="92"/>
      <c r="G999" s="18"/>
      <c r="H999" s="101"/>
      <c r="I999" s="67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  <c r="BP999" s="18"/>
      <c r="BQ999" s="18"/>
      <c r="BR999" s="18"/>
      <c r="BS999" s="18"/>
      <c r="BT999" s="18"/>
      <c r="BU999" s="18"/>
      <c r="BV999" s="18"/>
      <c r="BW999" s="18"/>
      <c r="BX999" s="18"/>
      <c r="BY999" s="18"/>
      <c r="BZ999" s="18"/>
      <c r="CA999" s="18"/>
      <c r="CB999" s="18"/>
      <c r="CC999" s="18"/>
      <c r="CD999" s="18"/>
      <c r="CE999" s="18"/>
      <c r="CF999" s="18"/>
      <c r="CG999" s="18"/>
      <c r="CH999" s="18"/>
      <c r="CI999" s="18"/>
      <c r="CJ999" s="18"/>
      <c r="CK999" s="18"/>
      <c r="CL999" s="18"/>
      <c r="CM999" s="18"/>
      <c r="CN999" s="18"/>
      <c r="CO999" s="18"/>
      <c r="CP999" s="18"/>
      <c r="CQ999" s="18"/>
      <c r="CR999" s="18"/>
      <c r="CS999" s="18"/>
      <c r="CT999" s="18"/>
      <c r="CU999" s="18"/>
      <c r="CV999" s="18"/>
      <c r="CW999" s="18"/>
      <c r="CX999" s="18"/>
      <c r="CY999" s="18"/>
      <c r="CZ999" s="18"/>
      <c r="DA999" s="18"/>
      <c r="DB999" s="18"/>
      <c r="DC999" s="18"/>
      <c r="DD999" s="18"/>
      <c r="DE999" s="18"/>
      <c r="DF999" s="18"/>
      <c r="DG999" s="18"/>
      <c r="DH999" s="18"/>
      <c r="DI999" s="18"/>
      <c r="DJ999" s="18"/>
      <c r="DK999" s="18"/>
      <c r="DL999" s="18"/>
      <c r="DM999" s="18"/>
      <c r="DN999" s="18"/>
      <c r="DO999" s="18"/>
      <c r="DP999" s="18"/>
      <c r="DQ999" s="18"/>
      <c r="DR999" s="18"/>
      <c r="DS999" s="18"/>
      <c r="DT999" s="18"/>
      <c r="DU999" s="18"/>
      <c r="DV999" s="18"/>
      <c r="DW999" s="18"/>
      <c r="DX999" s="18"/>
      <c r="DY999" s="18"/>
      <c r="DZ999" s="18"/>
      <c r="EA999" s="18"/>
      <c r="EB999" s="18"/>
      <c r="EC999" s="18"/>
      <c r="ED999" s="18"/>
      <c r="EE999" s="18"/>
      <c r="EF999" s="18"/>
      <c r="EG999" s="18"/>
      <c r="EH999" s="18"/>
      <c r="EI999" s="18"/>
      <c r="EJ999" s="18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EU999" s="18"/>
      <c r="EV999" s="18"/>
      <c r="EW999" s="18"/>
      <c r="EX999" s="18"/>
    </row>
    <row r="1000">
      <c r="A1000" s="109"/>
      <c r="B1000" s="115"/>
      <c r="C1000" s="115"/>
      <c r="D1000" s="116"/>
      <c r="E1000" s="117"/>
      <c r="F1000" s="92"/>
      <c r="G1000" s="18"/>
      <c r="H1000" s="109"/>
      <c r="I1000" s="70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  <c r="BP1000" s="18"/>
      <c r="BQ1000" s="18"/>
      <c r="BR1000" s="18"/>
      <c r="BS1000" s="18"/>
      <c r="BT1000" s="18"/>
      <c r="BU1000" s="18"/>
      <c r="BV1000" s="18"/>
      <c r="BW1000" s="18"/>
      <c r="BX1000" s="18"/>
      <c r="BY1000" s="18"/>
      <c r="BZ1000" s="18"/>
      <c r="CA1000" s="18"/>
      <c r="CB1000" s="18"/>
      <c r="CC1000" s="18"/>
      <c r="CD1000" s="18"/>
      <c r="CE1000" s="18"/>
      <c r="CF1000" s="18"/>
      <c r="CG1000" s="18"/>
      <c r="CH1000" s="18"/>
      <c r="CI1000" s="18"/>
      <c r="CJ1000" s="18"/>
      <c r="CK1000" s="18"/>
      <c r="CL1000" s="18"/>
      <c r="CM1000" s="18"/>
      <c r="CN1000" s="18"/>
      <c r="CO1000" s="18"/>
      <c r="CP1000" s="18"/>
      <c r="CQ1000" s="18"/>
      <c r="CR1000" s="18"/>
      <c r="CS1000" s="18"/>
      <c r="CT1000" s="18"/>
      <c r="CU1000" s="18"/>
      <c r="CV1000" s="18"/>
      <c r="CW1000" s="18"/>
      <c r="CX1000" s="18"/>
      <c r="CY1000" s="18"/>
      <c r="CZ1000" s="18"/>
      <c r="DA1000" s="18"/>
      <c r="DB1000" s="18"/>
      <c r="DC1000" s="18"/>
      <c r="DD1000" s="18"/>
      <c r="DE1000" s="18"/>
      <c r="DF1000" s="18"/>
      <c r="DG1000" s="18"/>
      <c r="DH1000" s="18"/>
      <c r="DI1000" s="18"/>
      <c r="DJ1000" s="18"/>
      <c r="DK1000" s="18"/>
      <c r="DL1000" s="18"/>
      <c r="DM1000" s="18"/>
      <c r="DN1000" s="18"/>
      <c r="DO1000" s="18"/>
      <c r="DP1000" s="18"/>
      <c r="DQ1000" s="18"/>
      <c r="DR1000" s="18"/>
      <c r="DS1000" s="18"/>
      <c r="DT1000" s="18"/>
      <c r="DU1000" s="18"/>
      <c r="DV1000" s="18"/>
      <c r="DW1000" s="18"/>
      <c r="DX1000" s="18"/>
      <c r="DY1000" s="18"/>
      <c r="DZ1000" s="18"/>
      <c r="EA1000" s="18"/>
      <c r="EB1000" s="18"/>
      <c r="EC1000" s="18"/>
      <c r="ED1000" s="18"/>
      <c r="EE1000" s="18"/>
      <c r="EF1000" s="18"/>
      <c r="EG1000" s="18"/>
      <c r="EH1000" s="18"/>
      <c r="EI1000" s="18"/>
      <c r="EJ1000" s="18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EU1000" s="18"/>
      <c r="EV1000" s="18"/>
      <c r="EW1000" s="18"/>
      <c r="EX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2.0"/>
    <col customWidth="1" min="3" max="26" width="22.43"/>
  </cols>
  <sheetData>
    <row r="1">
      <c r="A1" s="97" t="str">
        <f t="array" ref="A1:A78">transpose(Famillesid!15:15)</f>
        <v>Familles :</v>
      </c>
      <c r="B1" s="63" t="str">
        <f t="array" ref="B1:B78">TRANSPOSE(Famillesid!22:22)</f>
        <v>Place :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00" t="s">
        <v>23</v>
      </c>
      <c r="B2" s="65">
        <v>1.0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01" t="s">
        <v>24</v>
      </c>
      <c r="B3" s="67">
        <v>6.0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01" t="s">
        <v>25</v>
      </c>
      <c r="B4" s="67">
        <v>11.0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01" t="s">
        <v>26</v>
      </c>
      <c r="B5" s="67">
        <v>16.0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01" t="s">
        <v>27</v>
      </c>
      <c r="B6" s="67">
        <v>21.0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01" t="s">
        <v>28</v>
      </c>
      <c r="B7" s="67">
        <v>26.0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01" t="s">
        <v>29</v>
      </c>
      <c r="B8" s="67">
        <v>31.0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01" t="s">
        <v>30</v>
      </c>
      <c r="B9" s="67">
        <v>36.0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01" t="s">
        <v>31</v>
      </c>
      <c r="B10" s="67">
        <v>41.0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01" t="s">
        <v>32</v>
      </c>
      <c r="B11" s="67">
        <v>46.0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01" t="s">
        <v>33</v>
      </c>
      <c r="B12" s="67">
        <v>51.0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01" t="s">
        <v>34</v>
      </c>
      <c r="B13" s="67">
        <v>56.0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01" t="s">
        <v>35</v>
      </c>
      <c r="B14" s="67">
        <v>61.0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01" t="s">
        <v>36</v>
      </c>
      <c r="B15" s="67">
        <v>66.0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01" t="s">
        <v>37</v>
      </c>
      <c r="B16" s="67">
        <v>71.0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01" t="s">
        <v>38</v>
      </c>
      <c r="B17" s="67">
        <v>76.0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01" t="s">
        <v>39</v>
      </c>
      <c r="B18" s="67">
        <v>81.0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01" t="s">
        <v>40</v>
      </c>
      <c r="B19" s="67">
        <v>86.0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01" t="s">
        <v>41</v>
      </c>
      <c r="B20" s="67">
        <v>91.0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01" t="s">
        <v>42</v>
      </c>
      <c r="B21" s="67">
        <v>96.0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01" t="s">
        <v>43</v>
      </c>
      <c r="B22" s="67">
        <v>101.0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01" t="s">
        <v>44</v>
      </c>
      <c r="B23" s="67">
        <v>106.0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01" t="s">
        <v>45</v>
      </c>
      <c r="B24" s="67">
        <v>111.0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01" t="s">
        <v>46</v>
      </c>
      <c r="B25" s="67">
        <v>116.0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01" t="s">
        <v>47</v>
      </c>
      <c r="B26" s="67">
        <v>121.0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01" t="s">
        <v>48</v>
      </c>
      <c r="B27" s="67">
        <v>126.0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01" t="s">
        <v>49</v>
      </c>
      <c r="B28" s="67">
        <v>131.0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01" t="s">
        <v>50</v>
      </c>
      <c r="B29" s="67">
        <v>136.0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01" t="s">
        <v>51</v>
      </c>
      <c r="B30" s="67">
        <v>141.0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01" t="s">
        <v>52</v>
      </c>
      <c r="B31" s="67">
        <v>146.0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01" t="s">
        <v>53</v>
      </c>
      <c r="B32" s="67">
        <v>151.0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01" t="s">
        <v>54</v>
      </c>
      <c r="B33" s="67">
        <v>156.0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01" t="s">
        <v>55</v>
      </c>
      <c r="B34" s="67">
        <v>161.0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01" t="s">
        <v>56</v>
      </c>
      <c r="B35" s="67">
        <v>166.0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01" t="s">
        <v>57</v>
      </c>
      <c r="B36" s="67">
        <v>171.0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01" t="s">
        <v>58</v>
      </c>
      <c r="B37" s="67">
        <v>176.0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01" t="s">
        <v>59</v>
      </c>
      <c r="B38" s="67">
        <v>181.0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01" t="s">
        <v>60</v>
      </c>
      <c r="B39" s="67">
        <v>186.0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01" t="s">
        <v>61</v>
      </c>
      <c r="B40" s="67">
        <v>191.0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01" t="s">
        <v>62</v>
      </c>
      <c r="B41" s="67">
        <v>196.0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01" t="s">
        <v>63</v>
      </c>
      <c r="B42" s="67">
        <v>201.0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01" t="s">
        <v>64</v>
      </c>
      <c r="B43" s="67">
        <v>206.0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01" t="s">
        <v>65</v>
      </c>
      <c r="B44" s="67">
        <v>211.0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01" t="s">
        <v>66</v>
      </c>
      <c r="B45" s="67">
        <v>216.0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01" t="s">
        <v>67</v>
      </c>
      <c r="B46" s="67">
        <v>221.0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01" t="s">
        <v>68</v>
      </c>
      <c r="B47" s="67">
        <v>226.0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01" t="s">
        <v>69</v>
      </c>
      <c r="B48" s="67">
        <v>231.0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01" t="s">
        <v>70</v>
      </c>
      <c r="B49" s="67">
        <v>236.0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01" t="s">
        <v>71</v>
      </c>
      <c r="B50" s="67">
        <v>241.0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01" t="s">
        <v>72</v>
      </c>
      <c r="B51" s="67">
        <v>246.0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01" t="s">
        <v>73</v>
      </c>
      <c r="B52" s="67">
        <v>251.0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01" t="s">
        <v>74</v>
      </c>
      <c r="B53" s="67">
        <v>256.0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01" t="s">
        <v>75</v>
      </c>
      <c r="B54" s="67">
        <v>261.0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01" t="s">
        <v>76</v>
      </c>
      <c r="B55" s="67">
        <v>266.0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01" t="s">
        <v>77</v>
      </c>
      <c r="B56" s="67">
        <v>271.0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01" t="s">
        <v>78</v>
      </c>
      <c r="B57" s="67">
        <v>276.0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01" t="s">
        <v>79</v>
      </c>
      <c r="B58" s="67">
        <v>281.0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01" t="s">
        <v>80</v>
      </c>
      <c r="B59" s="67">
        <v>286.0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01" t="s">
        <v>81</v>
      </c>
      <c r="B60" s="67">
        <v>291.0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01" t="s">
        <v>82</v>
      </c>
      <c r="B61" s="67">
        <v>296.0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01"/>
      <c r="B62" s="6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01"/>
      <c r="B63" s="6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01"/>
      <c r="B64" s="6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01"/>
      <c r="B65" s="6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01"/>
      <c r="B66" s="6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01"/>
      <c r="B67" s="6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01"/>
      <c r="B68" s="6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01"/>
      <c r="B69" s="6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01"/>
      <c r="B70" s="6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01"/>
      <c r="B71" s="6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01"/>
      <c r="B72" s="6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01"/>
      <c r="B73" s="6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01"/>
      <c r="B74" s="6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01"/>
      <c r="B75" s="6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01"/>
      <c r="B76" s="6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01"/>
      <c r="B77" s="6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01"/>
      <c r="B78" s="6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01"/>
      <c r="B79" s="6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01"/>
      <c r="B80" s="6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01"/>
      <c r="B81" s="6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01"/>
      <c r="B82" s="6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01"/>
      <c r="B83" s="6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01"/>
      <c r="B84" s="6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01"/>
      <c r="B85" s="6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01"/>
      <c r="B86" s="6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01"/>
      <c r="B87" s="6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01"/>
      <c r="B88" s="6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01"/>
      <c r="B89" s="6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01"/>
      <c r="B90" s="6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01"/>
      <c r="B91" s="6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01"/>
      <c r="B92" s="6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01"/>
      <c r="B93" s="6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01"/>
      <c r="B94" s="6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01"/>
      <c r="B95" s="6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01"/>
      <c r="B96" s="6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01"/>
      <c r="B97" s="6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01"/>
      <c r="B98" s="6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01"/>
      <c r="B99" s="6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01"/>
      <c r="B100" s="6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01"/>
      <c r="B101" s="6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01"/>
      <c r="B102" s="6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01"/>
      <c r="B103" s="6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01"/>
      <c r="B104" s="6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01"/>
      <c r="B105" s="6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01"/>
      <c r="B106" s="6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01"/>
      <c r="B107" s="6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01"/>
      <c r="B108" s="6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01"/>
      <c r="B109" s="6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01"/>
      <c r="B110" s="6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01"/>
      <c r="B111" s="6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01"/>
      <c r="B112" s="6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01"/>
      <c r="B113" s="6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01"/>
      <c r="B114" s="6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01"/>
      <c r="B115" s="6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01"/>
      <c r="B116" s="6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01"/>
      <c r="B117" s="6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01"/>
      <c r="B118" s="6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01"/>
      <c r="B119" s="6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01"/>
      <c r="B120" s="6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01"/>
      <c r="B121" s="6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01"/>
      <c r="B122" s="6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01"/>
      <c r="B123" s="6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01"/>
      <c r="B124" s="6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01"/>
      <c r="B125" s="6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01"/>
      <c r="B126" s="6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01"/>
      <c r="B127" s="6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01"/>
      <c r="B128" s="6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01"/>
      <c r="B129" s="6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01"/>
      <c r="B130" s="6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01"/>
      <c r="B131" s="6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01"/>
      <c r="B132" s="6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01"/>
      <c r="B133" s="6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01"/>
      <c r="B134" s="6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01"/>
      <c r="B135" s="6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01"/>
      <c r="B136" s="6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01"/>
      <c r="B137" s="6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01"/>
      <c r="B138" s="6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01"/>
      <c r="B139" s="6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01"/>
      <c r="B140" s="6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01"/>
      <c r="B141" s="6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01"/>
      <c r="B142" s="6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01"/>
      <c r="B143" s="6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01"/>
      <c r="B144" s="6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01"/>
      <c r="B145" s="6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01"/>
      <c r="B146" s="6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01"/>
      <c r="B147" s="6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01"/>
      <c r="B148" s="6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01"/>
      <c r="B149" s="6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01"/>
      <c r="B150" s="6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01"/>
      <c r="B151" s="6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01"/>
      <c r="B152" s="6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01"/>
      <c r="B153" s="6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01"/>
      <c r="B154" s="6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01"/>
      <c r="B155" s="6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01"/>
      <c r="B156" s="6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01"/>
      <c r="B157" s="6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01"/>
      <c r="B158" s="6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01"/>
      <c r="B159" s="6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01"/>
      <c r="B160" s="6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01"/>
      <c r="B161" s="6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01"/>
      <c r="B162" s="6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01"/>
      <c r="B163" s="6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01"/>
      <c r="B164" s="6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01"/>
      <c r="B165" s="6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01"/>
      <c r="B166" s="6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01"/>
      <c r="B167" s="6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01"/>
      <c r="B168" s="6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01"/>
      <c r="B169" s="6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01"/>
      <c r="B170" s="6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01"/>
      <c r="B171" s="6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01"/>
      <c r="B172" s="6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01"/>
      <c r="B173" s="6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01"/>
      <c r="B174" s="6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01"/>
      <c r="B175" s="6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01"/>
      <c r="B176" s="6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01"/>
      <c r="B177" s="6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01"/>
      <c r="B178" s="6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01"/>
      <c r="B179" s="6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01"/>
      <c r="B180" s="6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01"/>
      <c r="B181" s="6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01"/>
      <c r="B182" s="6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01"/>
      <c r="B183" s="6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01"/>
      <c r="B184" s="6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01"/>
      <c r="B185" s="6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01"/>
      <c r="B186" s="6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01"/>
      <c r="B187" s="6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01"/>
      <c r="B188" s="6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01"/>
      <c r="B189" s="6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01"/>
      <c r="B190" s="6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01"/>
      <c r="B191" s="6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01"/>
      <c r="B192" s="6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01"/>
      <c r="B193" s="67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01"/>
      <c r="B194" s="6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01"/>
      <c r="B195" s="6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01"/>
      <c r="B196" s="6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01"/>
      <c r="B197" s="6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01"/>
      <c r="B198" s="6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01"/>
      <c r="B199" s="6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01"/>
      <c r="B200" s="6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01"/>
      <c r="B201" s="6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01"/>
      <c r="B202" s="6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01"/>
      <c r="B203" s="6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01"/>
      <c r="B204" s="6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01"/>
      <c r="B205" s="6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01"/>
      <c r="B206" s="6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01"/>
      <c r="B207" s="6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01"/>
      <c r="B208" s="6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01"/>
      <c r="B209" s="6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01"/>
      <c r="B210" s="6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01"/>
      <c r="B211" s="6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01"/>
      <c r="B212" s="6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01"/>
      <c r="B213" s="6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01"/>
      <c r="B214" s="6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01"/>
      <c r="B215" s="6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01"/>
      <c r="B216" s="6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01"/>
      <c r="B217" s="6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01"/>
      <c r="B218" s="6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01"/>
      <c r="B219" s="6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01"/>
      <c r="B220" s="6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01"/>
      <c r="B221" s="6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01"/>
      <c r="B222" s="6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01"/>
      <c r="B223" s="6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01"/>
      <c r="B224" s="6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01"/>
      <c r="B225" s="6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01"/>
      <c r="B226" s="6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01"/>
      <c r="B227" s="6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01"/>
      <c r="B228" s="6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01"/>
      <c r="B229" s="6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01"/>
      <c r="B230" s="6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01"/>
      <c r="B231" s="6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01"/>
      <c r="B232" s="6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01"/>
      <c r="B233" s="6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01"/>
      <c r="B234" s="6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01"/>
      <c r="B235" s="6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01"/>
      <c r="B236" s="6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01"/>
      <c r="B237" s="6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01"/>
      <c r="B238" s="6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01"/>
      <c r="B239" s="6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01"/>
      <c r="B240" s="6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01"/>
      <c r="B241" s="6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01"/>
      <c r="B242" s="6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01"/>
      <c r="B243" s="6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01"/>
      <c r="B244" s="6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01"/>
      <c r="B245" s="6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01"/>
      <c r="B246" s="6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01"/>
      <c r="B247" s="6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01"/>
      <c r="B248" s="6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01"/>
      <c r="B249" s="6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01"/>
      <c r="B250" s="6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01"/>
      <c r="B251" s="67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01"/>
      <c r="B252" s="67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01"/>
      <c r="B253" s="67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01"/>
      <c r="B254" s="6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01"/>
      <c r="B255" s="6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01"/>
      <c r="B256" s="6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01"/>
      <c r="B257" s="67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01"/>
      <c r="B258" s="67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01"/>
      <c r="B259" s="6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01"/>
      <c r="B260" s="6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01"/>
      <c r="B261" s="6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01"/>
      <c r="B262" s="6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01"/>
      <c r="B263" s="6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01"/>
      <c r="B264" s="6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01"/>
      <c r="B265" s="6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01"/>
      <c r="B266" s="6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01"/>
      <c r="B267" s="6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01"/>
      <c r="B268" s="6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01"/>
      <c r="B269" s="6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01"/>
      <c r="B270" s="6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01"/>
      <c r="B271" s="67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01"/>
      <c r="B272" s="67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01"/>
      <c r="B273" s="6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01"/>
      <c r="B274" s="67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01"/>
      <c r="B275" s="6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01"/>
      <c r="B276" s="67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01"/>
      <c r="B277" s="67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01"/>
      <c r="B278" s="67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01"/>
      <c r="B279" s="6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01"/>
      <c r="B280" s="6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01"/>
      <c r="B281" s="6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01"/>
      <c r="B282" s="6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01"/>
      <c r="B283" s="6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01"/>
      <c r="B284" s="6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01"/>
      <c r="B285" s="6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01"/>
      <c r="B286" s="6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01"/>
      <c r="B287" s="6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01"/>
      <c r="B288" s="6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01"/>
      <c r="B289" s="6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01"/>
      <c r="B290" s="6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01"/>
      <c r="B291" s="6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01"/>
      <c r="B292" s="6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01"/>
      <c r="B293" s="6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01"/>
      <c r="B294" s="6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01"/>
      <c r="B295" s="6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01"/>
      <c r="B296" s="6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01"/>
      <c r="B297" s="6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01"/>
      <c r="B298" s="6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01"/>
      <c r="B299" s="6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01"/>
      <c r="B300" s="6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01"/>
      <c r="B301" s="6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01"/>
      <c r="B302" s="6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01"/>
      <c r="B303" s="6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01"/>
      <c r="B304" s="6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01"/>
      <c r="B305" s="6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01"/>
      <c r="B306" s="6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01"/>
      <c r="B307" s="6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01"/>
      <c r="B308" s="6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01"/>
      <c r="B309" s="6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01"/>
      <c r="B310" s="6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01"/>
      <c r="B311" s="6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01"/>
      <c r="B312" s="6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01"/>
      <c r="B313" s="6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01"/>
      <c r="B314" s="6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01"/>
      <c r="B315" s="6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01"/>
      <c r="B316" s="6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01"/>
      <c r="B317" s="6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01"/>
      <c r="B318" s="6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01"/>
      <c r="B319" s="6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01"/>
      <c r="B320" s="6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01"/>
      <c r="B321" s="6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01"/>
      <c r="B322" s="6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01"/>
      <c r="B323" s="6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01"/>
      <c r="B324" s="6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01"/>
      <c r="B325" s="6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01"/>
      <c r="B326" s="6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01"/>
      <c r="B327" s="6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01"/>
      <c r="B328" s="6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01"/>
      <c r="B329" s="6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01"/>
      <c r="B330" s="6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01"/>
      <c r="B331" s="6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01"/>
      <c r="B332" s="6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01"/>
      <c r="B333" s="6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01"/>
      <c r="B334" s="6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01"/>
      <c r="B335" s="6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01"/>
      <c r="B336" s="6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01"/>
      <c r="B337" s="6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01"/>
      <c r="B338" s="6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01"/>
      <c r="B339" s="6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01"/>
      <c r="B340" s="6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01"/>
      <c r="B341" s="6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01"/>
      <c r="B342" s="6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01"/>
      <c r="B343" s="6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01"/>
      <c r="B344" s="6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01"/>
      <c r="B345" s="6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01"/>
      <c r="B346" s="6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01"/>
      <c r="B347" s="6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01"/>
      <c r="B348" s="6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01"/>
      <c r="B349" s="6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01"/>
      <c r="B350" s="6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01"/>
      <c r="B351" s="6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01"/>
      <c r="B352" s="6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01"/>
      <c r="B353" s="6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01"/>
      <c r="B354" s="6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01"/>
      <c r="B355" s="6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01"/>
      <c r="B356" s="6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01"/>
      <c r="B357" s="6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01"/>
      <c r="B358" s="6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01"/>
      <c r="B359" s="6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01"/>
      <c r="B360" s="6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01"/>
      <c r="B361" s="6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01"/>
      <c r="B362" s="6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01"/>
      <c r="B363" s="6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01"/>
      <c r="B364" s="6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01"/>
      <c r="B365" s="6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01"/>
      <c r="B366" s="6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01"/>
      <c r="B367" s="6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01"/>
      <c r="B368" s="6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01"/>
      <c r="B369" s="6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01"/>
      <c r="B370" s="6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01"/>
      <c r="B371" s="6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01"/>
      <c r="B372" s="6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01"/>
      <c r="B373" s="6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01"/>
      <c r="B374" s="6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01"/>
      <c r="B375" s="6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01"/>
      <c r="B376" s="6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01"/>
      <c r="B377" s="6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01"/>
      <c r="B378" s="6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01"/>
      <c r="B379" s="6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01"/>
      <c r="B380" s="6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01"/>
      <c r="B381" s="6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01"/>
      <c r="B382" s="6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01"/>
      <c r="B383" s="6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01"/>
      <c r="B384" s="6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01"/>
      <c r="B385" s="6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01"/>
      <c r="B386" s="6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01"/>
      <c r="B387" s="6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01"/>
      <c r="B388" s="6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01"/>
      <c r="B389" s="6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01"/>
      <c r="B390" s="6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01"/>
      <c r="B391" s="6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01"/>
      <c r="B392" s="6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01"/>
      <c r="B393" s="6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01"/>
      <c r="B394" s="6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01"/>
      <c r="B395" s="6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01"/>
      <c r="B396" s="6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01"/>
      <c r="B397" s="6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01"/>
      <c r="B398" s="6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01"/>
      <c r="B399" s="6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01"/>
      <c r="B400" s="6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01"/>
      <c r="B401" s="6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01"/>
      <c r="B402" s="6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01"/>
      <c r="B403" s="6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01"/>
      <c r="B404" s="6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01"/>
      <c r="B405" s="6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01"/>
      <c r="B406" s="6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01"/>
      <c r="B407" s="6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01"/>
      <c r="B408" s="6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01"/>
      <c r="B409" s="6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01"/>
      <c r="B410" s="6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01"/>
      <c r="B411" s="6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01"/>
      <c r="B412" s="6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01"/>
      <c r="B413" s="6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01"/>
      <c r="B414" s="6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01"/>
      <c r="B415" s="6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01"/>
      <c r="B416" s="6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01"/>
      <c r="B417" s="6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01"/>
      <c r="B418" s="6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01"/>
      <c r="B419" s="6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01"/>
      <c r="B420" s="6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01"/>
      <c r="B421" s="6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01"/>
      <c r="B422" s="6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01"/>
      <c r="B423" s="6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01"/>
      <c r="B424" s="6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01"/>
      <c r="B425" s="6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01"/>
      <c r="B426" s="6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01"/>
      <c r="B427" s="6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01"/>
      <c r="B428" s="6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01"/>
      <c r="B429" s="6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01"/>
      <c r="B430" s="6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01"/>
      <c r="B431" s="6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01"/>
      <c r="B432" s="6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01"/>
      <c r="B433" s="6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01"/>
      <c r="B434" s="6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01"/>
      <c r="B435" s="6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01"/>
      <c r="B436" s="6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01"/>
      <c r="B437" s="6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01"/>
      <c r="B438" s="6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01"/>
      <c r="B439" s="6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01"/>
      <c r="B440" s="6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01"/>
      <c r="B441" s="6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01"/>
      <c r="B442" s="6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01"/>
      <c r="B443" s="6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01"/>
      <c r="B444" s="6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01"/>
      <c r="B445" s="6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01"/>
      <c r="B446" s="6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01"/>
      <c r="B447" s="6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01"/>
      <c r="B448" s="6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01"/>
      <c r="B449" s="6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01"/>
      <c r="B450" s="6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01"/>
      <c r="B451" s="6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01"/>
      <c r="B452" s="6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01"/>
      <c r="B453" s="6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01"/>
      <c r="B454" s="6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01"/>
      <c r="B455" s="6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01"/>
      <c r="B456" s="6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01"/>
      <c r="B457" s="6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01"/>
      <c r="B458" s="6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01"/>
      <c r="B459" s="6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01"/>
      <c r="B460" s="6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01"/>
      <c r="B461" s="6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01"/>
      <c r="B462" s="6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01"/>
      <c r="B463" s="6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01"/>
      <c r="B464" s="6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01"/>
      <c r="B465" s="6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01"/>
      <c r="B466" s="6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01"/>
      <c r="B467" s="6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01"/>
      <c r="B468" s="6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01"/>
      <c r="B469" s="6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01"/>
      <c r="B470" s="6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01"/>
      <c r="B471" s="6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01"/>
      <c r="B472" s="6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01"/>
      <c r="B473" s="6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01"/>
      <c r="B474" s="6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01"/>
      <c r="B475" s="6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01"/>
      <c r="B476" s="6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01"/>
      <c r="B477" s="6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01"/>
      <c r="B478" s="6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01"/>
      <c r="B479" s="6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01"/>
      <c r="B480" s="6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01"/>
      <c r="B481" s="6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01"/>
      <c r="B482" s="6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01"/>
      <c r="B483" s="6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01"/>
      <c r="B484" s="6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01"/>
      <c r="B485" s="6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01"/>
      <c r="B486" s="6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01"/>
      <c r="B487" s="6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01"/>
      <c r="B488" s="6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01"/>
      <c r="B489" s="6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01"/>
      <c r="B490" s="6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01"/>
      <c r="B491" s="6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01"/>
      <c r="B492" s="6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01"/>
      <c r="B493" s="6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01"/>
      <c r="B494" s="6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01"/>
      <c r="B495" s="6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01"/>
      <c r="B496" s="6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01"/>
      <c r="B497" s="6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01"/>
      <c r="B498" s="6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01"/>
      <c r="B499" s="6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01"/>
      <c r="B500" s="6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01"/>
      <c r="B501" s="6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01"/>
      <c r="B502" s="6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01"/>
      <c r="B503" s="6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01"/>
      <c r="B504" s="6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01"/>
      <c r="B505" s="6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01"/>
      <c r="B506" s="6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01"/>
      <c r="B507" s="6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01"/>
      <c r="B508" s="6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01"/>
      <c r="B509" s="6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01"/>
      <c r="B510" s="6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01"/>
      <c r="B511" s="6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01"/>
      <c r="B512" s="6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01"/>
      <c r="B513" s="6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01"/>
      <c r="B514" s="6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01"/>
      <c r="B515" s="6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01"/>
      <c r="B516" s="6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01"/>
      <c r="B517" s="6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01"/>
      <c r="B518" s="6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01"/>
      <c r="B519" s="6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01"/>
      <c r="B520" s="6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01"/>
      <c r="B521" s="6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01"/>
      <c r="B522" s="6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01"/>
      <c r="B523" s="6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01"/>
      <c r="B524" s="6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01"/>
      <c r="B525" s="6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01"/>
      <c r="B526" s="6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01"/>
      <c r="B527" s="6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01"/>
      <c r="B528" s="6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01"/>
      <c r="B529" s="6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01"/>
      <c r="B530" s="6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01"/>
      <c r="B531" s="6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01"/>
      <c r="B532" s="6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01"/>
      <c r="B533" s="6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01"/>
      <c r="B534" s="6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01"/>
      <c r="B535" s="6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01"/>
      <c r="B536" s="6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01"/>
      <c r="B537" s="6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01"/>
      <c r="B538" s="6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01"/>
      <c r="B539" s="6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01"/>
      <c r="B540" s="6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01"/>
      <c r="B541" s="6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01"/>
      <c r="B542" s="6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01"/>
      <c r="B543" s="6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01"/>
      <c r="B544" s="6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01"/>
      <c r="B545" s="6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01"/>
      <c r="B546" s="6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01"/>
      <c r="B547" s="6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01"/>
      <c r="B548" s="6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01"/>
      <c r="B549" s="6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01"/>
      <c r="B550" s="6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01"/>
      <c r="B551" s="6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01"/>
      <c r="B552" s="6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01"/>
      <c r="B553" s="6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01"/>
      <c r="B554" s="6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01"/>
      <c r="B555" s="6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01"/>
      <c r="B556" s="6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01"/>
      <c r="B557" s="6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01"/>
      <c r="B558" s="6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01"/>
      <c r="B559" s="6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01"/>
      <c r="B560" s="6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01"/>
      <c r="B561" s="6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01"/>
      <c r="B562" s="6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01"/>
      <c r="B563" s="6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01"/>
      <c r="B564" s="6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01"/>
      <c r="B565" s="6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01"/>
      <c r="B566" s="6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01"/>
      <c r="B567" s="6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01"/>
      <c r="B568" s="6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01"/>
      <c r="B569" s="6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01"/>
      <c r="B570" s="6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01"/>
      <c r="B571" s="6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01"/>
      <c r="B572" s="6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01"/>
      <c r="B573" s="6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01"/>
      <c r="B574" s="6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01"/>
      <c r="B575" s="6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01"/>
      <c r="B576" s="6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01"/>
      <c r="B577" s="6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01"/>
      <c r="B578" s="6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01"/>
      <c r="B579" s="6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01"/>
      <c r="B580" s="6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01"/>
      <c r="B581" s="6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01"/>
      <c r="B582" s="6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01"/>
      <c r="B583" s="6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01"/>
      <c r="B584" s="6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01"/>
      <c r="B585" s="6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01"/>
      <c r="B586" s="6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01"/>
      <c r="B587" s="6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01"/>
      <c r="B588" s="6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01"/>
      <c r="B589" s="6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01"/>
      <c r="B590" s="6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01"/>
      <c r="B591" s="6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01"/>
      <c r="B592" s="6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01"/>
      <c r="B593" s="6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01"/>
      <c r="B594" s="6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01"/>
      <c r="B595" s="6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01"/>
      <c r="B596" s="6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01"/>
      <c r="B597" s="6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01"/>
      <c r="B598" s="6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01"/>
      <c r="B599" s="6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01"/>
      <c r="B600" s="6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01"/>
      <c r="B601" s="6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01"/>
      <c r="B602" s="6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01"/>
      <c r="B603" s="6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01"/>
      <c r="B604" s="6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01"/>
      <c r="B605" s="6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01"/>
      <c r="B606" s="6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01"/>
      <c r="B607" s="6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01"/>
      <c r="B608" s="6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01"/>
      <c r="B609" s="6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01"/>
      <c r="B610" s="6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01"/>
      <c r="B611" s="6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01"/>
      <c r="B612" s="6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01"/>
      <c r="B613" s="6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01"/>
      <c r="B614" s="6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01"/>
      <c r="B615" s="6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01"/>
      <c r="B616" s="6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01"/>
      <c r="B617" s="6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01"/>
      <c r="B618" s="6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01"/>
      <c r="B619" s="6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01"/>
      <c r="B620" s="6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01"/>
      <c r="B621" s="6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01"/>
      <c r="B622" s="6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01"/>
      <c r="B623" s="6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01"/>
      <c r="B624" s="6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01"/>
      <c r="B625" s="6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01"/>
      <c r="B626" s="6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01"/>
      <c r="B627" s="6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01"/>
      <c r="B628" s="6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01"/>
      <c r="B629" s="6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01"/>
      <c r="B630" s="6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01"/>
      <c r="B631" s="6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01"/>
      <c r="B632" s="6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01"/>
      <c r="B633" s="6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01"/>
      <c r="B634" s="6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01"/>
      <c r="B635" s="6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01"/>
      <c r="B636" s="6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01"/>
      <c r="B637" s="6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01"/>
      <c r="B638" s="6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01"/>
      <c r="B639" s="6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01"/>
      <c r="B640" s="6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01"/>
      <c r="B641" s="6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01"/>
      <c r="B642" s="6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01"/>
      <c r="B643" s="6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01"/>
      <c r="B644" s="6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01"/>
      <c r="B645" s="6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01"/>
      <c r="B646" s="6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01"/>
      <c r="B647" s="6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01"/>
      <c r="B648" s="6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01"/>
      <c r="B649" s="6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01"/>
      <c r="B650" s="6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01"/>
      <c r="B651" s="6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01"/>
      <c r="B652" s="6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01"/>
      <c r="B653" s="6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01"/>
      <c r="B654" s="6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01"/>
      <c r="B655" s="6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01"/>
      <c r="B656" s="6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01"/>
      <c r="B657" s="6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01"/>
      <c r="B658" s="6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01"/>
      <c r="B659" s="6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01"/>
      <c r="B660" s="6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01"/>
      <c r="B661" s="6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01"/>
      <c r="B662" s="6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01"/>
      <c r="B663" s="6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01"/>
      <c r="B664" s="6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01"/>
      <c r="B665" s="6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01"/>
      <c r="B666" s="6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01"/>
      <c r="B667" s="6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01"/>
      <c r="B668" s="6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01"/>
      <c r="B669" s="6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01"/>
      <c r="B670" s="6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01"/>
      <c r="B671" s="6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01"/>
      <c r="B672" s="6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01"/>
      <c r="B673" s="6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01"/>
      <c r="B674" s="6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01"/>
      <c r="B675" s="6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01"/>
      <c r="B676" s="6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01"/>
      <c r="B677" s="6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01"/>
      <c r="B678" s="6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01"/>
      <c r="B679" s="6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01"/>
      <c r="B680" s="6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01"/>
      <c r="B681" s="6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01"/>
      <c r="B682" s="6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01"/>
      <c r="B683" s="6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01"/>
      <c r="B684" s="6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01"/>
      <c r="B685" s="6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01"/>
      <c r="B686" s="6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01"/>
      <c r="B687" s="6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01"/>
      <c r="B688" s="6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01"/>
      <c r="B689" s="6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01"/>
      <c r="B690" s="6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01"/>
      <c r="B691" s="6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01"/>
      <c r="B692" s="6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01"/>
      <c r="B693" s="6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01"/>
      <c r="B694" s="6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01"/>
      <c r="B695" s="6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01"/>
      <c r="B696" s="6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01"/>
      <c r="B697" s="6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01"/>
      <c r="B698" s="6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01"/>
      <c r="B699" s="6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01"/>
      <c r="B700" s="6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01"/>
      <c r="B701" s="6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01"/>
      <c r="B702" s="6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01"/>
      <c r="B703" s="6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01"/>
      <c r="B704" s="6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01"/>
      <c r="B705" s="6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01"/>
      <c r="B706" s="6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01"/>
      <c r="B707" s="6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01"/>
      <c r="B708" s="6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01"/>
      <c r="B709" s="6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01"/>
      <c r="B710" s="6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01"/>
      <c r="B711" s="6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01"/>
      <c r="B712" s="6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01"/>
      <c r="B713" s="6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01"/>
      <c r="B714" s="6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01"/>
      <c r="B715" s="6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01"/>
      <c r="B716" s="6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01"/>
      <c r="B717" s="6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01"/>
      <c r="B718" s="6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01"/>
      <c r="B719" s="6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01"/>
      <c r="B720" s="6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01"/>
      <c r="B721" s="6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01"/>
      <c r="B722" s="6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01"/>
      <c r="B723" s="6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01"/>
      <c r="B724" s="6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01"/>
      <c r="B725" s="6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01"/>
      <c r="B726" s="6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01"/>
      <c r="B727" s="6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01"/>
      <c r="B728" s="6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01"/>
      <c r="B729" s="6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01"/>
      <c r="B730" s="6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01"/>
      <c r="B731" s="6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01"/>
      <c r="B732" s="6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01"/>
      <c r="B733" s="6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01"/>
      <c r="B734" s="6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01"/>
      <c r="B735" s="6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01"/>
      <c r="B736" s="6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01"/>
      <c r="B737" s="6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01"/>
      <c r="B738" s="6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01"/>
      <c r="B739" s="6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01"/>
      <c r="B740" s="6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01"/>
      <c r="B741" s="6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01"/>
      <c r="B742" s="6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01"/>
      <c r="B743" s="6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01"/>
      <c r="B744" s="6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01"/>
      <c r="B745" s="6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01"/>
      <c r="B746" s="6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01"/>
      <c r="B747" s="6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01"/>
      <c r="B748" s="6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01"/>
      <c r="B749" s="6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01"/>
      <c r="B750" s="6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01"/>
      <c r="B751" s="6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01"/>
      <c r="B752" s="6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01"/>
      <c r="B753" s="6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01"/>
      <c r="B754" s="6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01"/>
      <c r="B755" s="6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01"/>
      <c r="B756" s="6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01"/>
      <c r="B757" s="6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01"/>
      <c r="B758" s="6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01"/>
      <c r="B759" s="6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01"/>
      <c r="B760" s="6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01"/>
      <c r="B761" s="6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01"/>
      <c r="B762" s="6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01"/>
      <c r="B763" s="6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01"/>
      <c r="B764" s="6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01"/>
      <c r="B765" s="6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01"/>
      <c r="B766" s="6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01"/>
      <c r="B767" s="6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01"/>
      <c r="B768" s="6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01"/>
      <c r="B769" s="6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01"/>
      <c r="B770" s="6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01"/>
      <c r="B771" s="6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01"/>
      <c r="B772" s="6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01"/>
      <c r="B773" s="6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01"/>
      <c r="B774" s="6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01"/>
      <c r="B775" s="6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01"/>
      <c r="B776" s="6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01"/>
      <c r="B777" s="6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01"/>
      <c r="B778" s="6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01"/>
      <c r="B779" s="6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01"/>
      <c r="B780" s="6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01"/>
      <c r="B781" s="6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01"/>
      <c r="B782" s="6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01"/>
      <c r="B783" s="6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01"/>
      <c r="B784" s="6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01"/>
      <c r="B785" s="6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01"/>
      <c r="B786" s="6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01"/>
      <c r="B787" s="6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01"/>
      <c r="B788" s="6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01"/>
      <c r="B789" s="6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01"/>
      <c r="B790" s="6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01"/>
      <c r="B791" s="6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01"/>
      <c r="B792" s="6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01"/>
      <c r="B793" s="6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01"/>
      <c r="B794" s="6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01"/>
      <c r="B795" s="6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01"/>
      <c r="B796" s="6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01"/>
      <c r="B797" s="6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01"/>
      <c r="B798" s="6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01"/>
      <c r="B799" s="6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01"/>
      <c r="B800" s="6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01"/>
      <c r="B801" s="6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01"/>
      <c r="B802" s="6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01"/>
      <c r="B803" s="6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01"/>
      <c r="B804" s="6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01"/>
      <c r="B805" s="6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01"/>
      <c r="B806" s="6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01"/>
      <c r="B807" s="6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01"/>
      <c r="B808" s="6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01"/>
      <c r="B809" s="6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01"/>
      <c r="B810" s="6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01"/>
      <c r="B811" s="6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01"/>
      <c r="B812" s="6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01"/>
      <c r="B813" s="6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01"/>
      <c r="B814" s="6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01"/>
      <c r="B815" s="6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01"/>
      <c r="B816" s="6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01"/>
      <c r="B817" s="6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01"/>
      <c r="B818" s="6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01"/>
      <c r="B819" s="6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01"/>
      <c r="B820" s="6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01"/>
      <c r="B821" s="6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01"/>
      <c r="B822" s="6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01"/>
      <c r="B823" s="6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01"/>
      <c r="B824" s="6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01"/>
      <c r="B825" s="6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01"/>
      <c r="B826" s="6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01"/>
      <c r="B827" s="6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01"/>
      <c r="B828" s="6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01"/>
      <c r="B829" s="6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01"/>
      <c r="B830" s="6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01"/>
      <c r="B831" s="6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01"/>
      <c r="B832" s="6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01"/>
      <c r="B833" s="6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01"/>
      <c r="B834" s="6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01"/>
      <c r="B835" s="6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01"/>
      <c r="B836" s="6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01"/>
      <c r="B837" s="6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01"/>
      <c r="B838" s="6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01"/>
      <c r="B839" s="6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01"/>
      <c r="B840" s="6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01"/>
      <c r="B841" s="6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01"/>
      <c r="B842" s="6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01"/>
      <c r="B843" s="6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01"/>
      <c r="B844" s="6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01"/>
      <c r="B845" s="6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01"/>
      <c r="B846" s="6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01"/>
      <c r="B847" s="6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01"/>
      <c r="B848" s="6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01"/>
      <c r="B849" s="6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01"/>
      <c r="B850" s="6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01"/>
      <c r="B851" s="6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01"/>
      <c r="B852" s="6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01"/>
      <c r="B853" s="6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01"/>
      <c r="B854" s="6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01"/>
      <c r="B855" s="6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01"/>
      <c r="B856" s="6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01"/>
      <c r="B857" s="6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01"/>
      <c r="B858" s="6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01"/>
      <c r="B859" s="6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01"/>
      <c r="B860" s="6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01"/>
      <c r="B861" s="6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01"/>
      <c r="B862" s="6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01"/>
      <c r="B863" s="6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01"/>
      <c r="B864" s="6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01"/>
      <c r="B865" s="6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01"/>
      <c r="B866" s="6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01"/>
      <c r="B867" s="6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01"/>
      <c r="B868" s="6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01"/>
      <c r="B869" s="6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01"/>
      <c r="B870" s="6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01"/>
      <c r="B871" s="6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01"/>
      <c r="B872" s="6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01"/>
      <c r="B873" s="6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01"/>
      <c r="B874" s="6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01"/>
      <c r="B875" s="6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01"/>
      <c r="B876" s="6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01"/>
      <c r="B877" s="6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01"/>
      <c r="B878" s="6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01"/>
      <c r="B879" s="6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01"/>
      <c r="B880" s="6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01"/>
      <c r="B881" s="6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01"/>
      <c r="B882" s="6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01"/>
      <c r="B883" s="6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01"/>
      <c r="B884" s="6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01"/>
      <c r="B885" s="6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01"/>
      <c r="B886" s="6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01"/>
      <c r="B887" s="6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01"/>
      <c r="B888" s="6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01"/>
      <c r="B889" s="6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01"/>
      <c r="B890" s="6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01"/>
      <c r="B891" s="6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01"/>
      <c r="B892" s="6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01"/>
      <c r="B893" s="6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01"/>
      <c r="B894" s="6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01"/>
      <c r="B895" s="6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01"/>
      <c r="B896" s="6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01"/>
      <c r="B897" s="6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01"/>
      <c r="B898" s="6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01"/>
      <c r="B899" s="6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01"/>
      <c r="B900" s="6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01"/>
      <c r="B901" s="6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01"/>
      <c r="B902" s="6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01"/>
      <c r="B903" s="6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01"/>
      <c r="B904" s="6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01"/>
      <c r="B905" s="6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01"/>
      <c r="B906" s="6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01"/>
      <c r="B907" s="6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01"/>
      <c r="B908" s="6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01"/>
      <c r="B909" s="6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01"/>
      <c r="B910" s="6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01"/>
      <c r="B911" s="6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01"/>
      <c r="B912" s="6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01"/>
      <c r="B913" s="6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01"/>
      <c r="B914" s="6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01"/>
      <c r="B915" s="6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01"/>
      <c r="B916" s="6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01"/>
      <c r="B917" s="6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01"/>
      <c r="B918" s="6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01"/>
      <c r="B919" s="6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01"/>
      <c r="B920" s="6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01"/>
      <c r="B921" s="6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01"/>
      <c r="B922" s="6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01"/>
      <c r="B923" s="6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01"/>
      <c r="B924" s="6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01"/>
      <c r="B925" s="6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01"/>
      <c r="B926" s="6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01"/>
      <c r="B927" s="6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01"/>
      <c r="B928" s="6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01"/>
      <c r="B929" s="6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01"/>
      <c r="B930" s="6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01"/>
      <c r="B931" s="6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01"/>
      <c r="B932" s="6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01"/>
      <c r="B933" s="6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01"/>
      <c r="B934" s="6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01"/>
      <c r="B935" s="6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01"/>
      <c r="B936" s="6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01"/>
      <c r="B937" s="6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01"/>
      <c r="B938" s="6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01"/>
      <c r="B939" s="6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01"/>
      <c r="B940" s="6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01"/>
      <c r="B941" s="6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01"/>
      <c r="B942" s="6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01"/>
      <c r="B943" s="6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01"/>
      <c r="B944" s="6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01"/>
      <c r="B945" s="6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01"/>
      <c r="B946" s="6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01"/>
      <c r="B947" s="6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01"/>
      <c r="B948" s="6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01"/>
      <c r="B949" s="6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01"/>
      <c r="B950" s="6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01"/>
      <c r="B951" s="6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01"/>
      <c r="B952" s="6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01"/>
      <c r="B953" s="6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01"/>
      <c r="B954" s="6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01"/>
      <c r="B955" s="6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01"/>
      <c r="B956" s="6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01"/>
      <c r="B957" s="6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01"/>
      <c r="B958" s="6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01"/>
      <c r="B959" s="6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01"/>
      <c r="B960" s="6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01"/>
      <c r="B961" s="6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01"/>
      <c r="B962" s="6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01"/>
      <c r="B963" s="6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01"/>
      <c r="B964" s="6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01"/>
      <c r="B965" s="6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01"/>
      <c r="B966" s="6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01"/>
      <c r="B967" s="6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01"/>
      <c r="B968" s="6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01"/>
      <c r="B969" s="6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01"/>
      <c r="B970" s="6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01"/>
      <c r="B971" s="6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01"/>
      <c r="B972" s="6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01"/>
      <c r="B973" s="6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01"/>
      <c r="B974" s="6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01"/>
      <c r="B975" s="67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01"/>
      <c r="B976" s="67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01"/>
      <c r="B977" s="67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01"/>
      <c r="B978" s="67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01"/>
      <c r="B979" s="67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01"/>
      <c r="B980" s="67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01"/>
      <c r="B981" s="67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01"/>
      <c r="B982" s="67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01"/>
      <c r="B983" s="67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01"/>
      <c r="B984" s="67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01"/>
      <c r="B985" s="6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01"/>
      <c r="B986" s="67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01"/>
      <c r="B987" s="67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01"/>
      <c r="B988" s="67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01"/>
      <c r="B989" s="67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01"/>
      <c r="B990" s="67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01"/>
      <c r="B991" s="67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01"/>
      <c r="B992" s="67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01"/>
      <c r="B993" s="67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01"/>
      <c r="B994" s="67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01"/>
      <c r="B995" s="67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01"/>
      <c r="B996" s="67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01"/>
      <c r="B997" s="67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01"/>
      <c r="B998" s="67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01"/>
      <c r="B999" s="67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09"/>
      <c r="B1000" s="70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3" max="3" width="29.57"/>
    <col customWidth="1" min="5" max="5" width="16.14"/>
    <col customWidth="1" min="25" max="25" width="29.29"/>
  </cols>
  <sheetData>
    <row r="1">
      <c r="A1" s="1" t="str">
        <f>IFERROR(__xludf.DUMMYFUNCTION("Filter( 'Réponses au formulaire 1'!B:B , 'Réponses au formulaire 1'!M:M=B1)"),"Marie BOUTROUX")</f>
        <v>Marie BOUTROUX</v>
      </c>
      <c r="B1" s="1">
        <v>10.0</v>
      </c>
      <c r="C1" t="str">
        <f>IFERROR(__xludf.DUMMYFUNCTION("UNIQUE('Réponses au formulaire 1'!B:B)"),"Prénom NOM ")</f>
        <v>Prénom NOM </v>
      </c>
      <c r="D1">
        <f>IFERROR(__xludf.DUMMYFUNCTION("COUNTA(FILTER('Réponses au formulaire 1'!B:B,'Réponses au formulaire 1'!B:B=C1))"),1.0)</f>
        <v>1</v>
      </c>
      <c r="E1" s="1" t="str">
        <f>IFERROR(__xludf.DUMMYFUNCTION("FILTER(C:C,D:D&gt;1)"),"#N/A")</f>
        <v>#N/A</v>
      </c>
      <c r="F1" t="str">
        <f>IFERROR(__xludf.DUMMYFUNCTION("FILTER('Réponses au formulaire 1'!$1:$431,'Réponses au formulaire 1'!B:B=E1)"),"#N/A")</f>
        <v>#N/A</v>
      </c>
      <c r="H1" t="str">
        <f>IFERROR(__xludf.DUMMYFUNCTION("filter( 'Réponses au formulaire 1'!B:B,'Réponses au formulaire 1'!R:R=""oui"")"),"Marie COUPÉ")</f>
        <v>Marie COUPÉ</v>
      </c>
    </row>
    <row r="2">
      <c r="A2" t="str">
        <f>IFERROR(__xludf.DUMMYFUNCTION("""COMPUTED_VALUE"""),"Jean ROMAN")</f>
        <v>Jean ROMAN</v>
      </c>
      <c r="C2" t="str">
        <f>IFERROR(__xludf.DUMMYFUNCTION("""COMPUTED_VALUE"""),"")</f>
        <v/>
      </c>
      <c r="D2">
        <f>IFERROR(__xludf.DUMMYFUNCTION("COUNTA(FILTER('Réponses au formulaire 1'!B:B,'Réponses au formulaire 1'!B:B=C2))"),0.0)</f>
        <v>0</v>
      </c>
      <c r="H2" t="str">
        <f>IFERROR(__xludf.DUMMYFUNCTION("""COMPUTED_VALUE"""),"TOMAZ AMORIM")</f>
        <v>TOMAZ AMORIM</v>
      </c>
    </row>
    <row r="3">
      <c r="A3" t="str">
        <f>IFERROR(__xludf.DUMMYFUNCTION("""COMPUTED_VALUE"""),"Julie Ugolini")</f>
        <v>Julie Ugolini</v>
      </c>
      <c r="C3" t="str">
        <f>IFERROR(__xludf.DUMMYFUNCTION("""COMPUTED_VALUE"""),"Michel Qu")</f>
        <v>Michel Qu</v>
      </c>
      <c r="D3">
        <f>IFERROR(__xludf.DUMMYFUNCTION("COUNTA(FILTER('Réponses au formulaire 1'!B:B,'Réponses au formulaire 1'!B:B=C3))"),1.0)</f>
        <v>1</v>
      </c>
      <c r="F3" s="52" t="str">
        <f>IFERROR(__xludf.DUMMYFUNCTION("FILTER('Réponses au formulaire 1'!$1:$431,'Réponses au formulaire 1'!B:B=E2)"),"#REF!")</f>
        <v>#REF!</v>
      </c>
      <c r="H3" t="str">
        <f>IFERROR(__xludf.DUMMYFUNCTION("""COMPUTED_VALUE"""),"Raúl VILLAFUERTE")</f>
        <v>Raúl VILLAFUERTE</v>
      </c>
    </row>
    <row r="4">
      <c r="A4" t="str">
        <f>IFERROR(__xludf.DUMMYFUNCTION("""COMPUTED_VALUE"""),"Julien Bomberault")</f>
        <v>Julien Bomberault</v>
      </c>
      <c r="C4" t="str">
        <f>IFERROR(__xludf.DUMMYFUNCTION("""COMPUTED_VALUE"""),"Marie BOUTROUX")</f>
        <v>Marie BOUTROUX</v>
      </c>
      <c r="D4">
        <f>IFERROR(__xludf.DUMMYFUNCTION("COUNTA(FILTER('Réponses au formulaire 1'!B:B,'Réponses au formulaire 1'!B:B=C4))"),1.0)</f>
        <v>1</v>
      </c>
    </row>
    <row r="5">
      <c r="A5" t="str">
        <f>IFERROR(__xludf.DUMMYFUNCTION("""COMPUTED_VALUE"""),"Mathieu KERMAREC")</f>
        <v>Mathieu KERMAREC</v>
      </c>
      <c r="C5" t="str">
        <f>IFERROR(__xludf.DUMMYFUNCTION("""COMPUTED_VALUE"""),"Kheira POUVREAU")</f>
        <v>Kheira POUVREAU</v>
      </c>
      <c r="D5">
        <f>IFERROR(__xludf.DUMMYFUNCTION("COUNTA(FILTER('Réponses au formulaire 1'!B:B,'Réponses au formulaire 1'!B:B=C5))"),1.0)</f>
        <v>1</v>
      </c>
      <c r="F5" s="52" t="str">
        <f>IFERROR(__xludf.DUMMYFUNCTION("FILTER('Réponses au formulaire 1'!$1:$431,'Réponses au formulaire 1'!B:B=E3)"),"#REF!")</f>
        <v>#REF!</v>
      </c>
    </row>
    <row r="6">
      <c r="A6" t="str">
        <f>IFERROR(__xludf.DUMMYFUNCTION("""COMPUTED_VALUE"""),"Thomas LE JAN")</f>
        <v>Thomas LE JAN</v>
      </c>
      <c r="C6" t="str">
        <f>IFERROR(__xludf.DUMMYFUNCTION("""COMPUTED_VALUE"""),"Jean ROMAN")</f>
        <v>Jean ROMAN</v>
      </c>
      <c r="D6">
        <f>IFERROR(__xludf.DUMMYFUNCTION("COUNTA(FILTER('Réponses au formulaire 1'!B:B,'Réponses au formulaire 1'!B:B=C6))"),1.0)</f>
        <v>1</v>
      </c>
    </row>
    <row r="7">
      <c r="A7" t="str">
        <f>IFERROR(__xludf.DUMMYFUNCTION("""COMPUTED_VALUE"""),"Paul LENOIR")</f>
        <v>Paul LENOIR</v>
      </c>
      <c r="C7" t="str">
        <f>IFERROR(__xludf.DUMMYFUNCTION("""COMPUTED_VALUE"""),"Alexis Birée")</f>
        <v>Alexis Birée</v>
      </c>
      <c r="D7">
        <f>IFERROR(__xludf.DUMMYFUNCTION("COUNTA(FILTER('Réponses au formulaire 1'!B:B,'Réponses au formulaire 1'!B:B=C7))"),1.0)</f>
        <v>1</v>
      </c>
      <c r="F7" s="52" t="str">
        <f>IFERROR(__xludf.DUMMYFUNCTION("FILTER('Réponses au formulaire 1'!$1:$431,'Réponses au formulaire 1'!B:B=E4)"),"#REF!")</f>
        <v>#REF!</v>
      </c>
    </row>
    <row r="8">
      <c r="A8" t="str">
        <f>IFERROR(__xludf.DUMMYFUNCTION("""COMPUTED_VALUE"""),"Alexandre MERVILLE")</f>
        <v>Alexandre MERVILLE</v>
      </c>
      <c r="C8" t="str">
        <f>IFERROR(__xludf.DUMMYFUNCTION("""COMPUTED_VALUE"""),"Jeanne SUDOUR")</f>
        <v>Jeanne SUDOUR</v>
      </c>
      <c r="D8">
        <f>IFERROR(__xludf.DUMMYFUNCTION("COUNTA(FILTER('Réponses au formulaire 1'!B:B,'Réponses au formulaire 1'!B:B=C8))"),1.0)</f>
        <v>1</v>
      </c>
    </row>
    <row r="9">
      <c r="A9" t="str">
        <f>IFERROR(__xludf.DUMMYFUNCTION("""COMPUTED_VALUE"""),"Gabriel Lucas")</f>
        <v>Gabriel Lucas</v>
      </c>
      <c r="C9" t="str">
        <f>IFERROR(__xludf.DUMMYFUNCTION("""COMPUTED_VALUE"""),"Laura DRAUX")</f>
        <v>Laura DRAUX</v>
      </c>
      <c r="D9">
        <f>IFERROR(__xludf.DUMMYFUNCTION("COUNTA(FILTER('Réponses au formulaire 1'!B:B,'Réponses au formulaire 1'!B:B=C9))"),1.0)</f>
        <v>1</v>
      </c>
    </row>
    <row r="10">
      <c r="A10" t="str">
        <f>IFERROR(__xludf.DUMMYFUNCTION("""COMPUTED_VALUE"""),"Agathe MADAULE")</f>
        <v>Agathe MADAULE</v>
      </c>
      <c r="C10" t="str">
        <f>IFERROR(__xludf.DUMMYFUNCTION("""COMPUTED_VALUE"""),"Célia CHABRANT")</f>
        <v>Célia CHABRANT</v>
      </c>
      <c r="D10">
        <f>IFERROR(__xludf.DUMMYFUNCTION("COUNTA(FILTER('Réponses au formulaire 1'!B:B,'Réponses au formulaire 1'!B:B=C10))"),1.0)</f>
        <v>1</v>
      </c>
    </row>
    <row r="11">
      <c r="A11" t="str">
        <f>IFERROR(__xludf.DUMMYFUNCTION("""COMPUTED_VALUE"""),"Mathilde Querné")</f>
        <v>Mathilde Querné</v>
      </c>
      <c r="C11" t="str">
        <f>IFERROR(__xludf.DUMMYFUNCTION("""COMPUTED_VALUE"""),"Pablo CARDONA ALVAREZ")</f>
        <v>Pablo CARDONA ALVAREZ</v>
      </c>
      <c r="D11">
        <f>IFERROR(__xludf.DUMMYFUNCTION("COUNTA(FILTER('Réponses au formulaire 1'!B:B,'Réponses au formulaire 1'!B:B=C11))"),1.0)</f>
        <v>1</v>
      </c>
    </row>
    <row r="12">
      <c r="A12" t="str">
        <f>IFERROR(__xludf.DUMMYFUNCTION("""COMPUTED_VALUE"""),"Cédric DUSSERRE")</f>
        <v>Cédric DUSSERRE</v>
      </c>
      <c r="C12" t="str">
        <f>IFERROR(__xludf.DUMMYFUNCTION("""COMPUTED_VALUE"""),"Enzo MORI")</f>
        <v>Enzo MORI</v>
      </c>
      <c r="D12">
        <f>IFERROR(__xludf.DUMMYFUNCTION("COUNTA(FILTER('Réponses au formulaire 1'!B:B,'Réponses au formulaire 1'!B:B=C12))"),1.0)</f>
        <v>1</v>
      </c>
    </row>
    <row r="13">
      <c r="A13" t="str">
        <f>IFERROR(__xludf.DUMMYFUNCTION("""COMPUTED_VALUE"""),"Julien Douxami")</f>
        <v>Julien Douxami</v>
      </c>
      <c r="C13" t="str">
        <f>IFERROR(__xludf.DUMMYFUNCTION("""COMPUTED_VALUE"""),"Apolline Gorry")</f>
        <v>Apolline Gorry</v>
      </c>
      <c r="D13">
        <f>IFERROR(__xludf.DUMMYFUNCTION("COUNTA(FILTER('Réponses au formulaire 1'!B:B,'Réponses au formulaire 1'!B:B=C13))"),1.0)</f>
        <v>1</v>
      </c>
    </row>
    <row r="14">
      <c r="A14" t="str">
        <f>IFERROR(__xludf.DUMMYFUNCTION("""COMPUTED_VALUE"""),"Paul CHAUVIN")</f>
        <v>Paul CHAUVIN</v>
      </c>
      <c r="C14" t="str">
        <f>IFERROR(__xludf.DUMMYFUNCTION("""COMPUTED_VALUE"""),"Victor VINCENT DE LESTRADE")</f>
        <v>Victor VINCENT DE LESTRADE</v>
      </c>
      <c r="D14">
        <f>IFERROR(__xludf.DUMMYFUNCTION("COUNTA(FILTER('Réponses au formulaire 1'!B:B,'Réponses au formulaire 1'!B:B=C14))"),1.0)</f>
        <v>1</v>
      </c>
    </row>
    <row r="15">
      <c r="A15" t="str">
        <f>IFERROR(__xludf.DUMMYFUNCTION("""COMPUTED_VALUE"""),"Paul MARTEL")</f>
        <v>Paul MARTEL</v>
      </c>
      <c r="C15" t="str">
        <f>IFERROR(__xludf.DUMMYFUNCTION("""COMPUTED_VALUE"""),"Mathis BARTHERE")</f>
        <v>Mathis BARTHERE</v>
      </c>
      <c r="D15">
        <f>IFERROR(__xludf.DUMMYFUNCTION("COUNTA(FILTER('Réponses au formulaire 1'!B:B,'Réponses au formulaire 1'!B:B=C15))"),1.0)</f>
        <v>1</v>
      </c>
      <c r="K15" s="1" t="s">
        <v>1164</v>
      </c>
      <c r="L15" t="str">
        <f>IFERROR(__xludf.DUMMYFUNCTION("filter('Réponse propre'!C:T,'Réponse propre'!B:B=K15)"),"L'homme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</row>
    <row r="16">
      <c r="A16" t="str">
        <f>IFERROR(__xludf.DUMMYFUNCTION("""COMPUTED_VALUE"""),"Pierre-Louis lombard")</f>
        <v>Pierre-Louis lombard</v>
      </c>
      <c r="C16" t="str">
        <f>IFERROR(__xludf.DUMMYFUNCTION("""COMPUTED_VALUE"""),"Andrew FONDJO")</f>
        <v>Andrew FONDJO</v>
      </c>
      <c r="D16">
        <f>IFERROR(__xludf.DUMMYFUNCTION("COUNTA(FILTER('Réponses au formulaire 1'!B:B,'Réponses au formulaire 1'!B:B=C16))"),1.0)</f>
        <v>1</v>
      </c>
      <c r="K16" s="1" t="s">
        <v>278</v>
      </c>
      <c r="L16" t="str">
        <f>IFERROR(__xludf.DUMMYFUNCTION("filter('Réponse propre'!C:T,'Réponse propre'!B:B=K16)"),"L'homme le plus influent de France, leader charismatique récemment élu malgré son opposition passée avec certains membres du gouvernement, et Macron à ses côtés")</f>
        <v>L'homme le plus influent de France, leader charismatique récemment élu malgré son opposition passée avec certains membres du gouvernement, et Macron à ses côtés</v>
      </c>
    </row>
    <row r="17">
      <c r="A17" t="str">
        <f>IFERROR(__xludf.DUMMYFUNCTION("""COMPUTED_VALUE"""),"Lucas Chaubier")</f>
        <v>Lucas Chaubier</v>
      </c>
      <c r="C17" t="str">
        <f>IFERROR(__xludf.DUMMYFUNCTION("""COMPUTED_VALUE"""),"Laura BOIS")</f>
        <v>Laura BOIS</v>
      </c>
      <c r="D17">
        <f>IFERROR(__xludf.DUMMYFUNCTION("COUNTA(FILTER('Réponses au formulaire 1'!B:B,'Réponses au formulaire 1'!B:B=C17))"),1.0)</f>
        <v>1</v>
      </c>
    </row>
    <row r="18">
      <c r="A18" t="str">
        <f>IFERROR(__xludf.DUMMYFUNCTION("""COMPUTED_VALUE"""),"Matthieu RETIERE")</f>
        <v>Matthieu RETIERE</v>
      </c>
      <c r="C18" t="str">
        <f>IFERROR(__xludf.DUMMYFUNCTION("""COMPUTED_VALUE"""),"Guillaume SALUDEN")</f>
        <v>Guillaume SALUDEN</v>
      </c>
      <c r="D18">
        <f>IFERROR(__xludf.DUMMYFUNCTION("COUNTA(FILTER('Réponses au formulaire 1'!B:B,'Réponses au formulaire 1'!B:B=C18))"),1.0)</f>
        <v>1</v>
      </c>
    </row>
    <row r="19">
      <c r="A19" t="str">
        <f>IFERROR(__xludf.DUMMYFUNCTION("""COMPUTED_VALUE"""),"Jules SINTES")</f>
        <v>Jules SINTES</v>
      </c>
      <c r="C19" t="str">
        <f>IFERROR(__xludf.DUMMYFUNCTION("""COMPUTED_VALUE"""),"Dimitri DEGONHIER")</f>
        <v>Dimitri DEGONHIER</v>
      </c>
      <c r="D19">
        <f>IFERROR(__xludf.DUMMYFUNCTION("COUNTA(FILTER('Réponses au formulaire 1'!B:B,'Réponses au formulaire 1'!B:B=C19))"),1.0)</f>
        <v>1</v>
      </c>
    </row>
    <row r="20">
      <c r="A20" t="str">
        <f>IFERROR(__xludf.DUMMYFUNCTION("""COMPUTED_VALUE"""),"Thomas SAEZ")</f>
        <v>Thomas SAEZ</v>
      </c>
      <c r="C20" t="str">
        <f>IFERROR(__xludf.DUMMYFUNCTION("""COMPUTED_VALUE"""),"André D'ELBREIL")</f>
        <v>André D'ELBREIL</v>
      </c>
      <c r="D20">
        <f>IFERROR(__xludf.DUMMYFUNCTION("COUNTA(FILTER('Réponses au formulaire 1'!B:B,'Réponses au formulaire 1'!B:B=C20))"),1.0)</f>
        <v>1</v>
      </c>
    </row>
    <row r="21">
      <c r="A21" t="str">
        <f>IFERROR(__xludf.DUMMYFUNCTION("""COMPUTED_VALUE"""),"Aurèle DALIBOT")</f>
        <v>Aurèle DALIBOT</v>
      </c>
      <c r="C21" t="str">
        <f>IFERROR(__xludf.DUMMYFUNCTION("""COMPUTED_VALUE"""),"Louis Duhem")</f>
        <v>Louis Duhem</v>
      </c>
      <c r="D21">
        <f>IFERROR(__xludf.DUMMYFUNCTION("COUNTA(FILTER('Réponses au formulaire 1'!B:B,'Réponses au formulaire 1'!B:B=C21))"),1.0)</f>
        <v>1</v>
      </c>
    </row>
    <row r="22">
      <c r="A22" t="str">
        <f>IFERROR(__xludf.DUMMYFUNCTION("""COMPUTED_VALUE"""),"Nathan Gérard")</f>
        <v>Nathan Gérard</v>
      </c>
      <c r="C22" t="str">
        <f>IFERROR(__xludf.DUMMYFUNCTION("""COMPUTED_VALUE"""),"Maximin TOURAILLE")</f>
        <v>Maximin TOURAILLE</v>
      </c>
      <c r="D22">
        <f>IFERROR(__xludf.DUMMYFUNCTION("COUNTA(FILTER('Réponses au formulaire 1'!B:B,'Réponses au formulaire 1'!B:B=C22))"),1.0)</f>
        <v>1</v>
      </c>
    </row>
    <row r="23">
      <c r="A23" t="str">
        <f>IFERROR(__xludf.DUMMYFUNCTION("""COMPUTED_VALUE"""),"Mario ALVAREZ-CASTRILLON")</f>
        <v>Mario ALVAREZ-CASTRILLON</v>
      </c>
      <c r="C23" t="str">
        <f>IFERROR(__xludf.DUMMYFUNCTION("""COMPUTED_VALUE"""),"Gonzalez JoseRi 😇")</f>
        <v>Gonzalez JoseRi 😇</v>
      </c>
      <c r="D23">
        <f>IFERROR(__xludf.DUMMYFUNCTION("COUNTA(FILTER('Réponses au formulaire 1'!B:B,'Réponses au formulaire 1'!B:B=C23))"),1.0)</f>
        <v>1</v>
      </c>
    </row>
    <row r="24">
      <c r="A24" t="str">
        <f>IFERROR(__xludf.DUMMYFUNCTION("""COMPUTED_VALUE"""),"Alfonso COLON DE CARVAJAL")</f>
        <v>Alfonso COLON DE CARVAJAL</v>
      </c>
      <c r="C24" t="str">
        <f>IFERROR(__xludf.DUMMYFUNCTION("""COMPUTED_VALUE"""),"Jeremy Garcia")</f>
        <v>Jeremy Garcia</v>
      </c>
      <c r="D24">
        <f>IFERROR(__xludf.DUMMYFUNCTION("COUNTA(FILTER('Réponses au formulaire 1'!B:B,'Réponses au formulaire 1'!B:B=C24))"),1.0)</f>
        <v>1</v>
      </c>
    </row>
    <row r="25">
      <c r="A25" t="str">
        <f>IFERROR(__xludf.DUMMYFUNCTION("""COMPUTED_VALUE"""),"Samuel BISMUT")</f>
        <v>Samuel BISMUT</v>
      </c>
      <c r="C25" t="str">
        <f>IFERROR(__xludf.DUMMYFUNCTION("""COMPUTED_VALUE"""),"Maxence FORT")</f>
        <v>Maxence FORT</v>
      </c>
      <c r="D25">
        <f>IFERROR(__xludf.DUMMYFUNCTION("COUNTA(FILTER('Réponses au formulaire 1'!B:B,'Réponses au formulaire 1'!B:B=C25))"),1.0)</f>
        <v>1</v>
      </c>
    </row>
    <row r="26">
      <c r="A26" t="str">
        <f>IFERROR(__xludf.DUMMYFUNCTION("""COMPUTED_VALUE"""),"Antoine LETOFFET")</f>
        <v>Antoine LETOFFET</v>
      </c>
      <c r="C26" t="str">
        <f>IFERROR(__xludf.DUMMYFUNCTION("""COMPUTED_VALUE"""),"Adrien COCHARD")</f>
        <v>Adrien COCHARD</v>
      </c>
      <c r="D26">
        <f>IFERROR(__xludf.DUMMYFUNCTION("COUNTA(FILTER('Réponses au formulaire 1'!B:B,'Réponses au formulaire 1'!B:B=C26))"),1.0)</f>
        <v>1</v>
      </c>
    </row>
    <row r="27">
      <c r="A27" t="str">
        <f>IFERROR(__xludf.DUMMYFUNCTION("""COMPUTED_VALUE"""),"Felipe Altamirano")</f>
        <v>Felipe Altamirano</v>
      </c>
      <c r="C27" t="str">
        <f>IFERROR(__xludf.DUMMYFUNCTION("""COMPUTED_VALUE"""),"Tom Aubelle")</f>
        <v>Tom Aubelle</v>
      </c>
      <c r="D27">
        <f>IFERROR(__xludf.DUMMYFUNCTION("COUNTA(FILTER('Réponses au formulaire 1'!B:B,'Réponses au formulaire 1'!B:B=C27))"),1.0)</f>
        <v>1</v>
      </c>
    </row>
    <row r="28">
      <c r="A28" t="str">
        <f>IFERROR(__xludf.DUMMYFUNCTION("""COMPUTED_VALUE"""),"Alison ALIAGA")</f>
        <v>Alison ALIAGA</v>
      </c>
      <c r="C28" t="str">
        <f>IFERROR(__xludf.DUMMYFUNCTION("""COMPUTED_VALUE"""),"Joanna MARTIN")</f>
        <v>Joanna MARTIN</v>
      </c>
      <c r="D28">
        <f>IFERROR(__xludf.DUMMYFUNCTION("COUNTA(FILTER('Réponses au formulaire 1'!B:B,'Réponses au formulaire 1'!B:B=C28))"),1.0)</f>
        <v>1</v>
      </c>
    </row>
    <row r="29">
      <c r="A29" t="str">
        <f>IFERROR(__xludf.DUMMYFUNCTION("""COMPUTED_VALUE"""),"Tapias")</f>
        <v>Tapias</v>
      </c>
      <c r="C29" t="str">
        <f>IFERROR(__xludf.DUMMYFUNCTION("""COMPUTED_VALUE"""),"Pauline Viault")</f>
        <v>Pauline Viault</v>
      </c>
      <c r="D29">
        <f>IFERROR(__xludf.DUMMYFUNCTION("COUNTA(FILTER('Réponses au formulaire 1'!B:B,'Réponses au formulaire 1'!B:B=C29))"),1.0)</f>
        <v>1</v>
      </c>
    </row>
    <row r="30">
      <c r="A30" t="str">
        <f>IFERROR(__xludf.DUMMYFUNCTION("""COMPUTED_VALUE"""),"Hugo SEMPÉ")</f>
        <v>Hugo SEMPÉ</v>
      </c>
      <c r="C30" t="str">
        <f>IFERROR(__xludf.DUMMYFUNCTION("""COMPUTED_VALUE"""),"Laurine DECROS")</f>
        <v>Laurine DECROS</v>
      </c>
      <c r="D30">
        <f>IFERROR(__xludf.DUMMYFUNCTION("COUNTA(FILTER('Réponses au formulaire 1'!B:B,'Réponses au formulaire 1'!B:B=C30))"),1.0)</f>
        <v>1</v>
      </c>
    </row>
    <row r="31">
      <c r="A31" t="str">
        <f>IFERROR(__xludf.DUMMYFUNCTION("""COMPUTED_VALUE"""),"Louis LEQUES")</f>
        <v>Louis LEQUES</v>
      </c>
      <c r="C31" t="str">
        <f>IFERROR(__xludf.DUMMYFUNCTION("""COMPUTED_VALUE"""),"Suzanne COUTELOU")</f>
        <v>Suzanne COUTELOU</v>
      </c>
      <c r="D31">
        <f>IFERROR(__xludf.DUMMYFUNCTION("COUNTA(FILTER('Réponses au formulaire 1'!B:B,'Réponses au formulaire 1'!B:B=C31))"),1.0)</f>
        <v>1</v>
      </c>
    </row>
    <row r="32">
      <c r="A32" t="str">
        <f>IFERROR(__xludf.DUMMYFUNCTION("""COMPUTED_VALUE"""),"Louis CLAUCE")</f>
        <v>Louis CLAUCE</v>
      </c>
      <c r="C32" t="str">
        <f>IFERROR(__xludf.DUMMYFUNCTION("""COMPUTED_VALUE"""),"Hugo DOUX")</f>
        <v>Hugo DOUX</v>
      </c>
      <c r="D32">
        <f>IFERROR(__xludf.DUMMYFUNCTION("COUNTA(FILTER('Réponses au formulaire 1'!B:B,'Réponses au formulaire 1'!B:B=C32))"),1.0)</f>
        <v>1</v>
      </c>
    </row>
    <row r="33">
      <c r="A33" t="str">
        <f>IFERROR(__xludf.DUMMYFUNCTION("""COMPUTED_VALUE"""),"Arthur LEMASSON")</f>
        <v>Arthur LEMASSON</v>
      </c>
      <c r="C33" t="str">
        <f>IFERROR(__xludf.DUMMYFUNCTION("""COMPUTED_VALUE"""),"Alexandre VURLOD")</f>
        <v>Alexandre VURLOD</v>
      </c>
      <c r="D33">
        <f>IFERROR(__xludf.DUMMYFUNCTION("COUNTA(FILTER('Réponses au formulaire 1'!B:B,'Réponses au formulaire 1'!B:B=C33))"),1.0)</f>
        <v>1</v>
      </c>
    </row>
    <row r="34">
      <c r="A34" t="str">
        <f>IFERROR(__xludf.DUMMYFUNCTION("""COMPUTED_VALUE"""),"Vincent MESLIER")</f>
        <v>Vincent MESLIER</v>
      </c>
      <c r="C34" t="str">
        <f>IFERROR(__xludf.DUMMYFUNCTION("""COMPUTED_VALUE"""),"Julie Ugolini")</f>
        <v>Julie Ugolini</v>
      </c>
      <c r="D34">
        <f>IFERROR(__xludf.DUMMYFUNCTION("COUNTA(FILTER('Réponses au formulaire 1'!B:B,'Réponses au formulaire 1'!B:B=C34))"),1.0)</f>
        <v>1</v>
      </c>
    </row>
    <row r="35">
      <c r="A35" t="str">
        <f>IFERROR(__xludf.DUMMYFUNCTION("""COMPUTED_VALUE"""),"Tom OVISTE")</f>
        <v>Tom OVISTE</v>
      </c>
      <c r="C35" t="str">
        <f>IFERROR(__xludf.DUMMYFUNCTION("""COMPUTED_VALUE"""),"Marie POIRIER")</f>
        <v>Marie POIRIER</v>
      </c>
      <c r="D35">
        <f>IFERROR(__xludf.DUMMYFUNCTION("COUNTA(FILTER('Réponses au formulaire 1'!B:B,'Réponses au formulaire 1'!B:B=C35))"),1.0)</f>
        <v>1</v>
      </c>
    </row>
    <row r="36">
      <c r="A36" t="str">
        <f>IFERROR(__xludf.DUMMYFUNCTION("""COMPUTED_VALUE"""),"Pm Guyot")</f>
        <v>Pm Guyot</v>
      </c>
      <c r="C36" t="str">
        <f>IFERROR(__xludf.DUMMYFUNCTION("""COMPUTED_VALUE"""),"Tony MARTINEAU")</f>
        <v>Tony MARTINEAU</v>
      </c>
      <c r="D36">
        <f>IFERROR(__xludf.DUMMYFUNCTION("COUNTA(FILTER('Réponses au formulaire 1'!B:B,'Réponses au formulaire 1'!B:B=C36))"),1.0)</f>
        <v>1</v>
      </c>
    </row>
    <row r="37">
      <c r="A37" t="str">
        <f>IFERROR(__xludf.DUMMYFUNCTION("""COMPUTED_VALUE"""),"Rémy MAIGE")</f>
        <v>Rémy MAIGE</v>
      </c>
      <c r="C37" t="str">
        <f>IFERROR(__xludf.DUMMYFUNCTION("""COMPUTED_VALUE"""),"Maelig GABORIEAU")</f>
        <v>Maelig GABORIEAU</v>
      </c>
      <c r="D37">
        <f>IFERROR(__xludf.DUMMYFUNCTION("COUNTA(FILTER('Réponses au formulaire 1'!B:B,'Réponses au formulaire 1'!B:B=C37))"),1.0)</f>
        <v>1</v>
      </c>
    </row>
    <row r="38">
      <c r="A38" t="str">
        <f>IFERROR(__xludf.DUMMYFUNCTION("""COMPUTED_VALUE"""),"Tanguy CABARET")</f>
        <v>Tanguy CABARET</v>
      </c>
      <c r="C38" t="str">
        <f>IFERROR(__xludf.DUMMYFUNCTION("""COMPUTED_VALUE"""),"Marc de Ponnat")</f>
        <v>Marc de Ponnat</v>
      </c>
      <c r="D38">
        <f>IFERROR(__xludf.DUMMYFUNCTION("COUNTA(FILTER('Réponses au formulaire 1'!B:B,'Réponses au formulaire 1'!B:B=C38))"),1.0)</f>
        <v>1</v>
      </c>
    </row>
    <row r="39">
      <c r="A39" t="str">
        <f>IFERROR(__xludf.DUMMYFUNCTION("""COMPUTED_VALUE"""),"Jean-Baptiste de BECO")</f>
        <v>Jean-Baptiste de BECO</v>
      </c>
      <c r="C39" t="str">
        <f>IFERROR(__xludf.DUMMYFUNCTION("""COMPUTED_VALUE"""),"Vincent PASCAT")</f>
        <v>Vincent PASCAT</v>
      </c>
      <c r="D39">
        <f>IFERROR(__xludf.DUMMYFUNCTION("COUNTA(FILTER('Réponses au formulaire 1'!B:B,'Réponses au formulaire 1'!B:B=C39))"),1.0)</f>
        <v>1</v>
      </c>
    </row>
    <row r="40">
      <c r="A40" t="str">
        <f>IFERROR(__xludf.DUMMYFUNCTION("""COMPUTED_VALUE"""),"Aygalic JARA")</f>
        <v>Aygalic JARA</v>
      </c>
      <c r="C40" t="str">
        <f>IFERROR(__xludf.DUMMYFUNCTION("""COMPUTED_VALUE"""),"Matthieu Brunot")</f>
        <v>Matthieu Brunot</v>
      </c>
      <c r="D40">
        <f>IFERROR(__xludf.DUMMYFUNCTION("COUNTA(FILTER('Réponses au formulaire 1'!B:B,'Réponses au formulaire 1'!B:B=C40))"),1.0)</f>
        <v>1</v>
      </c>
    </row>
    <row r="41">
      <c r="C41" t="str">
        <f>IFERROR(__xludf.DUMMYFUNCTION("""COMPUTED_VALUE"""),"Julien Bomberault")</f>
        <v>Julien Bomberault</v>
      </c>
      <c r="D41">
        <f>IFERROR(__xludf.DUMMYFUNCTION("COUNTA(FILTER('Réponses au formulaire 1'!B:B,'Réponses au formulaire 1'!B:B=C41))"),1.0)</f>
        <v>1</v>
      </c>
    </row>
    <row r="42">
      <c r="C42" t="str">
        <f>IFERROR(__xludf.DUMMYFUNCTION("""COMPUTED_VALUE"""),"Carmen SORIA")</f>
        <v>Carmen SORIA</v>
      </c>
      <c r="D42">
        <f>IFERROR(__xludf.DUMMYFUNCTION("COUNTA(FILTER('Réponses au formulaire 1'!B:B,'Réponses au formulaire 1'!B:B=C42))"),1.0)</f>
        <v>1</v>
      </c>
    </row>
    <row r="43">
      <c r="C43" t="str">
        <f>IFERROR(__xludf.DUMMYFUNCTION("""COMPUTED_VALUE"""),"Constance Kooyman")</f>
        <v>Constance Kooyman</v>
      </c>
      <c r="D43">
        <f>IFERROR(__xludf.DUMMYFUNCTION("COUNTA(FILTER('Réponses au formulaire 1'!B:B,'Réponses au formulaire 1'!B:B=C43))"),1.0)</f>
        <v>1</v>
      </c>
    </row>
    <row r="44">
      <c r="C44" t="str">
        <f>IFERROR(__xludf.DUMMYFUNCTION("""COMPUTED_VALUE"""),"Damien GUYONVARCH")</f>
        <v>Damien GUYONVARCH</v>
      </c>
      <c r="D44">
        <f>IFERROR(__xludf.DUMMYFUNCTION("COUNTA(FILTER('Réponses au formulaire 1'!B:B,'Réponses au formulaire 1'!B:B=C44))"),1.0)</f>
        <v>1</v>
      </c>
    </row>
    <row r="45">
      <c r="C45" t="str">
        <f>IFERROR(__xludf.DUMMYFUNCTION("""COMPUTED_VALUE"""),"Florent COLLOCH")</f>
        <v>Florent COLLOCH</v>
      </c>
      <c r="D45">
        <f>IFERROR(__xludf.DUMMYFUNCTION("COUNTA(FILTER('Réponses au formulaire 1'!B:B,'Réponses au formulaire 1'!B:B=C45))"),1.0)</f>
        <v>1</v>
      </c>
    </row>
    <row r="46">
      <c r="C46" t="str">
        <f>IFERROR(__xludf.DUMMYFUNCTION("""COMPUTED_VALUE"""),"Adrien RIDOUARD")</f>
        <v>Adrien RIDOUARD</v>
      </c>
      <c r="D46">
        <f>IFERROR(__xludf.DUMMYFUNCTION("COUNTA(FILTER('Réponses au formulaire 1'!B:B,'Réponses au formulaire 1'!B:B=C46))"),1.0)</f>
        <v>1</v>
      </c>
    </row>
    <row r="47">
      <c r="C47" t="str">
        <f>IFERROR(__xludf.DUMMYFUNCTION("""COMPUTED_VALUE"""),"Lucas MIRANDE")</f>
        <v>Lucas MIRANDE</v>
      </c>
      <c r="D47">
        <f>IFERROR(__xludf.DUMMYFUNCTION("COUNTA(FILTER('Réponses au formulaire 1'!B:B,'Réponses au formulaire 1'!B:B=C47))"),1.0)</f>
        <v>1</v>
      </c>
    </row>
    <row r="48">
      <c r="C48" t="str">
        <f>IFERROR(__xludf.DUMMYFUNCTION("""COMPUTED_VALUE"""),"Simon PUECH")</f>
        <v>Simon PUECH</v>
      </c>
      <c r="D48">
        <f>IFERROR(__xludf.DUMMYFUNCTION("COUNTA(FILTER('Réponses au formulaire 1'!B:B,'Réponses au formulaire 1'!B:B=C48))"),1.0)</f>
        <v>1</v>
      </c>
    </row>
    <row r="49">
      <c r="C49" t="str">
        <f>IFERROR(__xludf.DUMMYFUNCTION("""COMPUTED_VALUE"""),"Thomas Serratrice")</f>
        <v>Thomas Serratrice</v>
      </c>
      <c r="D49">
        <f>IFERROR(__xludf.DUMMYFUNCTION("COUNTA(FILTER('Réponses au formulaire 1'!B:B,'Réponses au formulaire 1'!B:B=C49))"),1.0)</f>
        <v>1</v>
      </c>
    </row>
    <row r="50">
      <c r="C50" t="str">
        <f>IFERROR(__xludf.DUMMYFUNCTION("""COMPUTED_VALUE"""),"Clément DENIS")</f>
        <v>Clément DENIS</v>
      </c>
      <c r="D50">
        <f>IFERROR(__xludf.DUMMYFUNCTION("COUNTA(FILTER('Réponses au formulaire 1'!B:B,'Réponses au formulaire 1'!B:B=C50))"),1.0)</f>
        <v>1</v>
      </c>
    </row>
    <row r="51">
      <c r="C51" t="str">
        <f>IFERROR(__xludf.DUMMYFUNCTION("""COMPUTED_VALUE"""),"Mathieu KERMAREC")</f>
        <v>Mathieu KERMAREC</v>
      </c>
      <c r="D51">
        <f>IFERROR(__xludf.DUMMYFUNCTION("COUNTA(FILTER('Réponses au formulaire 1'!B:B,'Réponses au formulaire 1'!B:B=C51))"),1.0)</f>
        <v>1</v>
      </c>
    </row>
    <row r="52">
      <c r="C52" t="str">
        <f>IFERROR(__xludf.DUMMYFUNCTION("""COMPUTED_VALUE"""),"Thomas LE JAN")</f>
        <v>Thomas LE JAN</v>
      </c>
      <c r="D52">
        <f>IFERROR(__xludf.DUMMYFUNCTION("COUNTA(FILTER('Réponses au formulaire 1'!B:B,'Réponses au formulaire 1'!B:B=C52))"),1.0)</f>
        <v>1</v>
      </c>
    </row>
    <row r="53">
      <c r="C53" t="str">
        <f>IFERROR(__xludf.DUMMYFUNCTION("""COMPUTED_VALUE"""),"Paul LENOIR")</f>
        <v>Paul LENOIR</v>
      </c>
      <c r="D53">
        <f>IFERROR(__xludf.DUMMYFUNCTION("COUNTA(FILTER('Réponses au formulaire 1'!B:B,'Réponses au formulaire 1'!B:B=C53))"),1.0)</f>
        <v>1</v>
      </c>
    </row>
    <row r="54">
      <c r="C54" t="str">
        <f>IFERROR(__xludf.DUMMYFUNCTION("""COMPUTED_VALUE"""),"Alexandre MERVILLE")</f>
        <v>Alexandre MERVILLE</v>
      </c>
      <c r="D54">
        <f>IFERROR(__xludf.DUMMYFUNCTION("COUNTA(FILTER('Réponses au formulaire 1'!B:B,'Réponses au formulaire 1'!B:B=C54))"),1.0)</f>
        <v>1</v>
      </c>
    </row>
    <row r="55">
      <c r="C55" t="str">
        <f>IFERROR(__xludf.DUMMYFUNCTION("""COMPUTED_VALUE"""),"Gabriel Lucas")</f>
        <v>Gabriel Lucas</v>
      </c>
      <c r="D55">
        <f>IFERROR(__xludf.DUMMYFUNCTION("COUNTA(FILTER('Réponses au formulaire 1'!B:B,'Réponses au formulaire 1'!B:B=C55))"),1.0)</f>
        <v>1</v>
      </c>
    </row>
    <row r="56">
      <c r="C56" t="str">
        <f>IFERROR(__xludf.DUMMYFUNCTION("""COMPUTED_VALUE"""),"Grégory Perret")</f>
        <v>Grégory Perret</v>
      </c>
      <c r="D56">
        <f>IFERROR(__xludf.DUMMYFUNCTION("COUNTA(FILTER('Réponses au formulaire 1'!B:B,'Réponses au formulaire 1'!B:B=C56))"),1.0)</f>
        <v>1</v>
      </c>
    </row>
    <row r="57">
      <c r="C57" t="str">
        <f>IFERROR(__xludf.DUMMYFUNCTION("""COMPUTED_VALUE"""),"Agathe MADAULE")</f>
        <v>Agathe MADAULE</v>
      </c>
      <c r="D57">
        <f>IFERROR(__xludf.DUMMYFUNCTION("COUNTA(FILTER('Réponses au formulaire 1'!B:B,'Réponses au formulaire 1'!B:B=C57))"),1.0)</f>
        <v>1</v>
      </c>
    </row>
    <row r="58">
      <c r="C58" t="str">
        <f>IFERROR(__xludf.DUMMYFUNCTION("""COMPUTED_VALUE"""),"Mathilde Querné")</f>
        <v>Mathilde Querné</v>
      </c>
      <c r="D58">
        <f>IFERROR(__xludf.DUMMYFUNCTION("COUNTA(FILTER('Réponses au formulaire 1'!B:B,'Réponses au formulaire 1'!B:B=C58))"),1.0)</f>
        <v>1</v>
      </c>
    </row>
    <row r="59">
      <c r="C59" t="str">
        <f>IFERROR(__xludf.DUMMYFUNCTION("""COMPUTED_VALUE"""),"Marie Cozzi")</f>
        <v>Marie Cozzi</v>
      </c>
      <c r="D59">
        <f>IFERROR(__xludf.DUMMYFUNCTION("COUNTA(FILTER('Réponses au formulaire 1'!B:B,'Réponses au formulaire 1'!B:B=C59))"),1.0)</f>
        <v>1</v>
      </c>
    </row>
    <row r="60">
      <c r="C60" t="str">
        <f>IFERROR(__xludf.DUMMYFUNCTION("""COMPUTED_VALUE"""),"Cédric DUSSERRE")</f>
        <v>Cédric DUSSERRE</v>
      </c>
      <c r="D60">
        <f>IFERROR(__xludf.DUMMYFUNCTION("COUNTA(FILTER('Réponses au formulaire 1'!B:B,'Réponses au formulaire 1'!B:B=C60))"),1.0)</f>
        <v>1</v>
      </c>
    </row>
    <row r="61">
      <c r="C61" t="str">
        <f>IFERROR(__xludf.DUMMYFUNCTION("""COMPUTED_VALUE"""),"Julien Douxami")</f>
        <v>Julien Douxami</v>
      </c>
      <c r="D61">
        <f>IFERROR(__xludf.DUMMYFUNCTION("COUNTA(FILTER('Réponses au formulaire 1'!B:B,'Réponses au formulaire 1'!B:B=C61))"),1.0)</f>
        <v>1</v>
      </c>
    </row>
    <row r="62">
      <c r="C62" t="str">
        <f>IFERROR(__xludf.DUMMYFUNCTION("""COMPUTED_VALUE"""),"Louis DA COSTA")</f>
        <v>Louis DA COSTA</v>
      </c>
      <c r="D62">
        <f>IFERROR(__xludf.DUMMYFUNCTION("COUNTA(FILTER('Réponses au formulaire 1'!B:B,'Réponses au formulaire 1'!B:B=C62))"),1.0)</f>
        <v>1</v>
      </c>
    </row>
    <row r="63">
      <c r="C63" t="str">
        <f>IFERROR(__xludf.DUMMYFUNCTION("""COMPUTED_VALUE"""),"Antoine Dupuis")</f>
        <v>Antoine Dupuis</v>
      </c>
      <c r="D63">
        <f>IFERROR(__xludf.DUMMYFUNCTION("COUNTA(FILTER('Réponses au formulaire 1'!B:B,'Réponses au formulaire 1'!B:B=C63))"),1.0)</f>
        <v>1</v>
      </c>
    </row>
    <row r="64">
      <c r="C64" t="str">
        <f>IFERROR(__xludf.DUMMYFUNCTION("""COMPUTED_VALUE"""),"Lilian Dedecker")</f>
        <v>Lilian Dedecker</v>
      </c>
      <c r="D64">
        <f>IFERROR(__xludf.DUMMYFUNCTION("COUNTA(FILTER('Réponses au formulaire 1'!B:B,'Réponses au formulaire 1'!B:B=C64))"),1.0)</f>
        <v>1</v>
      </c>
    </row>
    <row r="65">
      <c r="C65" t="str">
        <f>IFERROR(__xludf.DUMMYFUNCTION("""COMPUTED_VALUE"""),"J'ui une grosse pute")</f>
        <v>J'ui une grosse pute</v>
      </c>
      <c r="D65">
        <f>IFERROR(__xludf.DUMMYFUNCTION("COUNTA(FILTER('Réponses au formulaire 1'!B:B,'Réponses au formulaire 1'!B:B=C65))"),1.0)</f>
        <v>1</v>
      </c>
    </row>
    <row r="66">
      <c r="C66" t="str">
        <f>IFERROR(__xludf.DUMMYFUNCTION("""COMPUTED_VALUE"""),"Valentine KEMPF")</f>
        <v>Valentine KEMPF</v>
      </c>
      <c r="D66">
        <f>IFERROR(__xludf.DUMMYFUNCTION("COUNTA(FILTER('Réponses au formulaire 1'!B:B,'Réponses au formulaire 1'!B:B=C66))"),1.0)</f>
        <v>1</v>
      </c>
    </row>
    <row r="67">
      <c r="C67" t="str">
        <f>IFERROR(__xludf.DUMMYFUNCTION("""COMPUTED_VALUE"""),"Charlotte Fosse")</f>
        <v>Charlotte Fosse</v>
      </c>
      <c r="D67">
        <f>IFERROR(__xludf.DUMMYFUNCTION("COUNTA(FILTER('Réponses au formulaire 1'!B:B,'Réponses au formulaire 1'!B:B=C67))"),1.0)</f>
        <v>1</v>
      </c>
    </row>
    <row r="68">
      <c r="C68" t="str">
        <f>IFERROR(__xludf.DUMMYFUNCTION("""COMPUTED_VALUE"""),"Julien LACOUR")</f>
        <v>Julien LACOUR</v>
      </c>
      <c r="D68">
        <f>IFERROR(__xludf.DUMMYFUNCTION("COUNTA(FILTER('Réponses au formulaire 1'!B:B,'Réponses au formulaire 1'!B:B=C68))"),1.0)</f>
        <v>1</v>
      </c>
    </row>
    <row r="69">
      <c r="C69" t="str">
        <f>IFERROR(__xludf.DUMMYFUNCTION("""COMPUTED_VALUE"""),"Irène Le Borgne")</f>
        <v>Irène Le Borgne</v>
      </c>
      <c r="D69">
        <f>IFERROR(__xludf.DUMMYFUNCTION("COUNTA(FILTER('Réponses au formulaire 1'!B:B,'Réponses au formulaire 1'!B:B=C69))"),1.0)</f>
        <v>1</v>
      </c>
    </row>
    <row r="70">
      <c r="C70" t="str">
        <f>IFERROR(__xludf.DUMMYFUNCTION("""COMPUTED_VALUE"""),"Aurélien DE LA HOUGUE")</f>
        <v>Aurélien DE LA HOUGUE</v>
      </c>
      <c r="D70">
        <f>IFERROR(__xludf.DUMMYFUNCTION("COUNTA(FILTER('Réponses au formulaire 1'!B:B,'Réponses au formulaire 1'!B:B=C70))"),1.0)</f>
        <v>1</v>
      </c>
    </row>
    <row r="71">
      <c r="C71" t="str">
        <f>IFERROR(__xludf.DUMMYFUNCTION("""COMPUTED_VALUE"""),"Matthieu BARCET")</f>
        <v>Matthieu BARCET</v>
      </c>
      <c r="D71">
        <f>IFERROR(__xludf.DUMMYFUNCTION("COUNTA(FILTER('Réponses au formulaire 1'!B:B,'Réponses au formulaire 1'!B:B=C71))"),1.0)</f>
        <v>1</v>
      </c>
    </row>
    <row r="72">
      <c r="C72" t="str">
        <f>IFERROR(__xludf.DUMMYFUNCTION("""COMPUTED_VALUE"""),"Marie VIOLLEAU")</f>
        <v>Marie VIOLLEAU</v>
      </c>
      <c r="D72">
        <f>IFERROR(__xludf.DUMMYFUNCTION("COUNTA(FILTER('Réponses au formulaire 1'!B:B,'Réponses au formulaire 1'!B:B=C72))"),1.0)</f>
        <v>1</v>
      </c>
    </row>
    <row r="73">
      <c r="C73" t="str">
        <f>IFERROR(__xludf.DUMMYFUNCTION("""COMPUTED_VALUE"""),"Mathieu ZACH")</f>
        <v>Mathieu ZACH</v>
      </c>
      <c r="D73">
        <f>IFERROR(__xludf.DUMMYFUNCTION("COUNTA(FILTER('Réponses au formulaire 1'!B:B,'Réponses au formulaire 1'!B:B=C73))"),1.0)</f>
        <v>1</v>
      </c>
    </row>
    <row r="74">
      <c r="C74" t="str">
        <f>IFERROR(__xludf.DUMMYFUNCTION("""COMPUTED_VALUE"""),"Iris PROUST")</f>
        <v>Iris PROUST</v>
      </c>
      <c r="D74">
        <f>IFERROR(__xludf.DUMMYFUNCTION("COUNTA(FILTER('Réponses au formulaire 1'!B:B,'Réponses au formulaire 1'!B:B=C74))"),1.0)</f>
        <v>1</v>
      </c>
    </row>
    <row r="75">
      <c r="C75" t="str">
        <f>IFERROR(__xludf.DUMMYFUNCTION("""COMPUTED_VALUE"""),"Louis AUGEREAU")</f>
        <v>Louis AUGEREAU</v>
      </c>
      <c r="D75">
        <f>IFERROR(__xludf.DUMMYFUNCTION("COUNTA(FILTER('Réponses au formulaire 1'!B:B,'Réponses au formulaire 1'!B:B=C75))"),1.0)</f>
        <v>1</v>
      </c>
    </row>
    <row r="76">
      <c r="C76" t="str">
        <f>IFERROR(__xludf.DUMMYFUNCTION("""COMPUTED_VALUE"""),"Céline Balmes")</f>
        <v>Céline Balmes</v>
      </c>
      <c r="D76">
        <f>IFERROR(__xludf.DUMMYFUNCTION("COUNTA(FILTER('Réponses au formulaire 1'!B:B,'Réponses au formulaire 1'!B:B=C76))"),1.0)</f>
        <v>1</v>
      </c>
    </row>
    <row r="77">
      <c r="C77" t="str">
        <f>IFERROR(__xludf.DUMMYFUNCTION("""COMPUTED_VALUE"""),"Paul SIMON")</f>
        <v>Paul SIMON</v>
      </c>
      <c r="D77">
        <f>IFERROR(__xludf.DUMMYFUNCTION("COUNTA(FILTER('Réponses au formulaire 1'!B:B,'Réponses au formulaire 1'!B:B=C77))"),1.0)</f>
        <v>1</v>
      </c>
    </row>
    <row r="78">
      <c r="C78" t="str">
        <f>IFERROR(__xludf.DUMMYFUNCTION("""COMPUTED_VALUE"""),"Paul CHAUVIN")</f>
        <v>Paul CHAUVIN</v>
      </c>
      <c r="D78">
        <f>IFERROR(__xludf.DUMMYFUNCTION("COUNTA(FILTER('Réponses au formulaire 1'!B:B,'Réponses au formulaire 1'!B:B=C78))"),1.0)</f>
        <v>1</v>
      </c>
    </row>
    <row r="79">
      <c r="C79" t="str">
        <f>IFERROR(__xludf.DUMMYFUNCTION("""COMPUTED_VALUE"""),"Paul MARTEL")</f>
        <v>Paul MARTEL</v>
      </c>
      <c r="D79">
        <f>IFERROR(__xludf.DUMMYFUNCTION("COUNTA(FILTER('Réponses au formulaire 1'!B:B,'Réponses au formulaire 1'!B:B=C79))"),1.0)</f>
        <v>1</v>
      </c>
    </row>
    <row r="80">
      <c r="C80" t="str">
        <f>IFERROR(__xludf.DUMMYFUNCTION("""COMPUTED_VALUE"""),"Pierre-Louis lombard")</f>
        <v>Pierre-Louis lombard</v>
      </c>
      <c r="D80">
        <f>IFERROR(__xludf.DUMMYFUNCTION("COUNTA(FILTER('Réponses au formulaire 1'!B:B,'Réponses au formulaire 1'!B:B=C80))"),1.0)</f>
        <v>1</v>
      </c>
    </row>
    <row r="81">
      <c r="C81" t="str">
        <f>IFERROR(__xludf.DUMMYFUNCTION("""COMPUTED_VALUE"""),"Lucas Chaubier")</f>
        <v>Lucas Chaubier</v>
      </c>
      <c r="D81">
        <f>IFERROR(__xludf.DUMMYFUNCTION("COUNTA(FILTER('Réponses au formulaire 1'!B:B,'Réponses au formulaire 1'!B:B=C81))"),1.0)</f>
        <v>1</v>
      </c>
    </row>
    <row r="82">
      <c r="C82" t="str">
        <f>IFERROR(__xludf.DUMMYFUNCTION("""COMPUTED_VALUE"""),"Matthieu RETIERE")</f>
        <v>Matthieu RETIERE</v>
      </c>
      <c r="D82">
        <f>IFERROR(__xludf.DUMMYFUNCTION("COUNTA(FILTER('Réponses au formulaire 1'!B:B,'Réponses au formulaire 1'!B:B=C82))"),1.0)</f>
        <v>1</v>
      </c>
    </row>
    <row r="83">
      <c r="C83" t="str">
        <f>IFERROR(__xludf.DUMMYFUNCTION("""COMPUTED_VALUE"""),"Jules SINTES")</f>
        <v>Jules SINTES</v>
      </c>
      <c r="D83">
        <f>IFERROR(__xludf.DUMMYFUNCTION("COUNTA(FILTER('Réponses au formulaire 1'!B:B,'Réponses au formulaire 1'!B:B=C83))"),1.0)</f>
        <v>1</v>
      </c>
    </row>
    <row r="84">
      <c r="C84" t="str">
        <f>IFERROR(__xludf.DUMMYFUNCTION("""COMPUTED_VALUE"""),"Emeric Claudel")</f>
        <v>Emeric Claudel</v>
      </c>
      <c r="D84">
        <f>IFERROR(__xludf.DUMMYFUNCTION("COUNTA(FILTER('Réponses au formulaire 1'!B:B,'Réponses au formulaire 1'!B:B=C84))"),1.0)</f>
        <v>1</v>
      </c>
    </row>
    <row r="85">
      <c r="C85" t="str">
        <f>IFERROR(__xludf.DUMMYFUNCTION("""COMPUTED_VALUE"""),"Thomas AUZARD")</f>
        <v>Thomas AUZARD</v>
      </c>
      <c r="D85">
        <f>IFERROR(__xludf.DUMMYFUNCTION("COUNTA(FILTER('Réponses au formulaire 1'!B:B,'Réponses au formulaire 1'!B:B=C85))"),1.0)</f>
        <v>1</v>
      </c>
    </row>
    <row r="86">
      <c r="C86" t="str">
        <f>IFERROR(__xludf.DUMMYFUNCTION("""COMPUTED_VALUE"""),"Orson JAY")</f>
        <v>Orson JAY</v>
      </c>
      <c r="D86">
        <f>IFERROR(__xludf.DUMMYFUNCTION("COUNTA(FILTER('Réponses au formulaire 1'!B:B,'Réponses au formulaire 1'!B:B=C86))"),1.0)</f>
        <v>1</v>
      </c>
    </row>
    <row r="87">
      <c r="C87" t="str">
        <f>IFERROR(__xludf.DUMMYFUNCTION("""COMPUTED_VALUE"""),"Sébastien MARAIS")</f>
        <v>Sébastien MARAIS</v>
      </c>
      <c r="D87">
        <f>IFERROR(__xludf.DUMMYFUNCTION("COUNTA(FILTER('Réponses au formulaire 1'!B:B,'Réponses au formulaire 1'!B:B=C87))"),1.0)</f>
        <v>1</v>
      </c>
    </row>
    <row r="88">
      <c r="C88" t="str">
        <f>IFERROR(__xludf.DUMMYFUNCTION("""COMPUTED_VALUE"""),"Baptiste Miossec")</f>
        <v>Baptiste Miossec</v>
      </c>
      <c r="D88">
        <f>IFERROR(__xludf.DUMMYFUNCTION("COUNTA(FILTER('Réponses au formulaire 1'!B:B,'Réponses au formulaire 1'!B:B=C88))"),1.0)</f>
        <v>1</v>
      </c>
    </row>
    <row r="89">
      <c r="C89" t="str">
        <f>IFERROR(__xludf.DUMMYFUNCTION("""COMPUTED_VALUE"""),"Ferreol GORIOUX")</f>
        <v>Ferreol GORIOUX</v>
      </c>
      <c r="D89">
        <f>IFERROR(__xludf.DUMMYFUNCTION("COUNTA(FILTER('Réponses au formulaire 1'!B:B,'Réponses au formulaire 1'!B:B=C89))"),1.0)</f>
        <v>1</v>
      </c>
    </row>
    <row r="90">
      <c r="C90" t="str">
        <f>IFERROR(__xludf.DUMMYFUNCTION("""COMPUTED_VALUE"""),"Gauthier Maillard")</f>
        <v>Gauthier Maillard</v>
      </c>
      <c r="D90">
        <f>IFERROR(__xludf.DUMMYFUNCTION("COUNTA(FILTER('Réponses au formulaire 1'!B:B,'Réponses au formulaire 1'!B:B=C90))"),1.0)</f>
        <v>1</v>
      </c>
    </row>
    <row r="91">
      <c r="C91" t="str">
        <f>IFERROR(__xludf.DUMMYFUNCTION("""COMPUTED_VALUE"""),"Thomas SAEZ")</f>
        <v>Thomas SAEZ</v>
      </c>
      <c r="D91">
        <f>IFERROR(__xludf.DUMMYFUNCTION("COUNTA(FILTER('Réponses au formulaire 1'!B:B,'Réponses au formulaire 1'!B:B=C91))"),1.0)</f>
        <v>1</v>
      </c>
    </row>
    <row r="92">
      <c r="C92" t="str">
        <f>IFERROR(__xludf.DUMMYFUNCTION("""COMPUTED_VALUE"""),"Maixent TIGNON")</f>
        <v>Maixent TIGNON</v>
      </c>
      <c r="D92">
        <f>IFERROR(__xludf.DUMMYFUNCTION("COUNTA(FILTER('Réponses au formulaire 1'!B:B,'Réponses au formulaire 1'!B:B=C92))"),1.0)</f>
        <v>1</v>
      </c>
    </row>
    <row r="93">
      <c r="C93" t="str">
        <f>IFERROR(__xludf.DUMMYFUNCTION("""COMPUTED_VALUE"""),"Quentin Peyle")</f>
        <v>Quentin Peyle</v>
      </c>
      <c r="D93">
        <f>IFERROR(__xludf.DUMMYFUNCTION("COUNTA(FILTER('Réponses au formulaire 1'!B:B,'Réponses au formulaire 1'!B:B=C93))"),1.0)</f>
        <v>1</v>
      </c>
    </row>
    <row r="94">
      <c r="C94" t="str">
        <f>IFERROR(__xludf.DUMMYFUNCTION("""COMPUTED_VALUE"""),"Lucas Baraton")</f>
        <v>Lucas Baraton</v>
      </c>
      <c r="D94">
        <f>IFERROR(__xludf.DUMMYFUNCTION("COUNTA(FILTER('Réponses au formulaire 1'!B:B,'Réponses au formulaire 1'!B:B=C94))"),1.0)</f>
        <v>1</v>
      </c>
    </row>
    <row r="95">
      <c r="C95" t="str">
        <f>IFERROR(__xludf.DUMMYFUNCTION("""COMPUTED_VALUE"""),"Samuel RATOUIT")</f>
        <v>Samuel RATOUIT</v>
      </c>
      <c r="D95">
        <f>IFERROR(__xludf.DUMMYFUNCTION("COUNTA(FILTER('Réponses au formulaire 1'!B:B,'Réponses au formulaire 1'!B:B=C95))"),1.0)</f>
        <v>1</v>
      </c>
    </row>
    <row r="96">
      <c r="C96" t="str">
        <f>IFERROR(__xludf.DUMMYFUNCTION("""COMPUTED_VALUE"""),"Martin Fauchille-Martin")</f>
        <v>Martin Fauchille-Martin</v>
      </c>
      <c r="D96">
        <f>IFERROR(__xludf.DUMMYFUNCTION("COUNTA(FILTER('Réponses au formulaire 1'!B:B,'Réponses au formulaire 1'!B:B=C96))"),1.0)</f>
        <v>1</v>
      </c>
    </row>
    <row r="97">
      <c r="C97" t="str">
        <f>IFERROR(__xludf.DUMMYFUNCTION("""COMPUTED_VALUE"""),"Nils Hornet")</f>
        <v>Nils Hornet</v>
      </c>
      <c r="D97">
        <f>IFERROR(__xludf.DUMMYFUNCTION("COUNTA(FILTER('Réponses au formulaire 1'!B:B,'Réponses au formulaire 1'!B:B=C97))"),1.0)</f>
        <v>1</v>
      </c>
    </row>
    <row r="98">
      <c r="C98" t="str">
        <f>IFERROR(__xludf.DUMMYFUNCTION("""COMPUTED_VALUE"""),"Thomas MEDORI")</f>
        <v>Thomas MEDORI</v>
      </c>
      <c r="D98">
        <f>IFERROR(__xludf.DUMMYFUNCTION("COUNTA(FILTER('Réponses au formulaire 1'!B:B,'Réponses au formulaire 1'!B:B=C98))"),1.0)</f>
        <v>1</v>
      </c>
    </row>
    <row r="99">
      <c r="C99" t="str">
        <f>IFERROR(__xludf.DUMMYFUNCTION("""COMPUTED_VALUE"""),"Aurèle HAINAUT")</f>
        <v>Aurèle HAINAUT</v>
      </c>
      <c r="D99">
        <f>IFERROR(__xludf.DUMMYFUNCTION("COUNTA(FILTER('Réponses au formulaire 1'!B:B,'Réponses au formulaire 1'!B:B=C99))"),1.0)</f>
        <v>1</v>
      </c>
    </row>
    <row r="100">
      <c r="C100" t="str">
        <f>IFERROR(__xludf.DUMMYFUNCTION("""COMPUTED_VALUE"""),"Aurèle DALIBOT")</f>
        <v>Aurèle DALIBOT</v>
      </c>
      <c r="D100">
        <f>IFERROR(__xludf.DUMMYFUNCTION("COUNTA(FILTER('Réponses au formulaire 1'!B:B,'Réponses au formulaire 1'!B:B=C100))"),1.0)</f>
        <v>1</v>
      </c>
    </row>
    <row r="101">
      <c r="C101" t="str">
        <f>IFERROR(__xludf.DUMMYFUNCTION("""COMPUTED_VALUE"""),"Quentin NIGRON")</f>
        <v>Quentin NIGRON</v>
      </c>
      <c r="D101">
        <f>IFERROR(__xludf.DUMMYFUNCTION("COUNTA(FILTER('Réponses au formulaire 1'!B:B,'Réponses au formulaire 1'!B:B=C101))"),1.0)</f>
        <v>1</v>
      </c>
    </row>
    <row r="102">
      <c r="C102" t="str">
        <f>IFERROR(__xludf.DUMMYFUNCTION("""COMPUTED_VALUE"""),"Alessandro MASI")</f>
        <v>Alessandro MASI</v>
      </c>
      <c r="D102">
        <f>IFERROR(__xludf.DUMMYFUNCTION("COUNTA(FILTER('Réponses au formulaire 1'!B:B,'Réponses au formulaire 1'!B:B=C102))"),1.0)</f>
        <v>1</v>
      </c>
    </row>
    <row r="103">
      <c r="C103" t="str">
        <f>IFERROR(__xludf.DUMMYFUNCTION("""COMPUTED_VALUE"""),"Robin Tanquerel")</f>
        <v>Robin Tanquerel</v>
      </c>
      <c r="D103">
        <f>IFERROR(__xludf.DUMMYFUNCTION("COUNTA(FILTER('Réponses au formulaire 1'!B:B,'Réponses au formulaire 1'!B:B=C103))"),1.0)</f>
        <v>1</v>
      </c>
    </row>
    <row r="104">
      <c r="C104" t="str">
        <f>IFERROR(__xludf.DUMMYFUNCTION("""COMPUTED_VALUE"""),"Pauline AUBRY")</f>
        <v>Pauline AUBRY</v>
      </c>
      <c r="D104">
        <f>IFERROR(__xludf.DUMMYFUNCTION("COUNTA(FILTER('Réponses au formulaire 1'!B:B,'Réponses au formulaire 1'!B:B=C104))"),1.0)</f>
        <v>1</v>
      </c>
    </row>
    <row r="105">
      <c r="C105" t="str">
        <f>IFERROR(__xludf.DUMMYFUNCTION("""COMPUTED_VALUE"""),"Nicolas GUYONNEAU")</f>
        <v>Nicolas GUYONNEAU</v>
      </c>
      <c r="D105">
        <f>IFERROR(__xludf.DUMMYFUNCTION("COUNTA(FILTER('Réponses au formulaire 1'!B:B,'Réponses au formulaire 1'!B:B=C105))"),1.0)</f>
        <v>1</v>
      </c>
    </row>
    <row r="106">
      <c r="C106" t="str">
        <f>IFERROR(__xludf.DUMMYFUNCTION("""COMPUTED_VALUE"""),"Nathan Gérard")</f>
        <v>Nathan Gérard</v>
      </c>
      <c r="D106">
        <f>IFERROR(__xludf.DUMMYFUNCTION("COUNTA(FILTER('Réponses au formulaire 1'!B:B,'Réponses au formulaire 1'!B:B=C106))"),1.0)</f>
        <v>1</v>
      </c>
    </row>
    <row r="107">
      <c r="C107" t="str">
        <f>IFERROR(__xludf.DUMMYFUNCTION("""COMPUTED_VALUE"""),"Flora SOUSSAND")</f>
        <v>Flora SOUSSAND</v>
      </c>
      <c r="D107">
        <f>IFERROR(__xludf.DUMMYFUNCTION("COUNTA(FILTER('Réponses au formulaire 1'!B:B,'Réponses au formulaire 1'!B:B=C107))"),1.0)</f>
        <v>1</v>
      </c>
    </row>
    <row r="108">
      <c r="C108" t="str">
        <f>IFERROR(__xludf.DUMMYFUNCTION("""COMPUTED_VALUE"""),"Maxime Guldner")</f>
        <v>Maxime Guldner</v>
      </c>
      <c r="D108">
        <f>IFERROR(__xludf.DUMMYFUNCTION("COUNTA(FILTER('Réponses au formulaire 1'!B:B,'Réponses au formulaire 1'!B:B=C108))"),1.0)</f>
        <v>1</v>
      </c>
    </row>
    <row r="109">
      <c r="C109" t="str">
        <f>IFERROR(__xludf.DUMMYFUNCTION("""COMPUTED_VALUE"""),"Alizée DIATCHENKO")</f>
        <v>Alizée DIATCHENKO</v>
      </c>
      <c r="D109">
        <f>IFERROR(__xludf.DUMMYFUNCTION("COUNTA(FILTER('Réponses au formulaire 1'!B:B,'Réponses au formulaire 1'!B:B=C109))"),1.0)</f>
        <v>1</v>
      </c>
    </row>
    <row r="110">
      <c r="C110" t="str">
        <f>IFERROR(__xludf.DUMMYFUNCTION("""COMPUTED_VALUE"""),"Thibaut BERTHOMÉ")</f>
        <v>Thibaut BERTHOMÉ</v>
      </c>
      <c r="D110">
        <f>IFERROR(__xludf.DUMMYFUNCTION("COUNTA(FILTER('Réponses au formulaire 1'!B:B,'Réponses au formulaire 1'!B:B=C110))"),1.0)</f>
        <v>1</v>
      </c>
    </row>
    <row r="111">
      <c r="C111" t="str">
        <f>IFERROR(__xludf.DUMMYFUNCTION("""COMPUTED_VALUE"""),"Claire TRINQUET")</f>
        <v>Claire TRINQUET</v>
      </c>
      <c r="D111">
        <f>IFERROR(__xludf.DUMMYFUNCTION("COUNTA(FILTER('Réponses au formulaire 1'!B:B,'Réponses au formulaire 1'!B:B=C111))"),1.0)</f>
        <v>1</v>
      </c>
    </row>
    <row r="112">
      <c r="C112" t="str">
        <f>IFERROR(__xludf.DUMMYFUNCTION("""COMPUTED_VALUE"""),"Sol VILLEGAS")</f>
        <v>Sol VILLEGAS</v>
      </c>
      <c r="D112">
        <f>IFERROR(__xludf.DUMMYFUNCTION("COUNTA(FILTER('Réponses au formulaire 1'!B:B,'Réponses au formulaire 1'!B:B=C112))"),1.0)</f>
        <v>1</v>
      </c>
    </row>
    <row r="113">
      <c r="C113" t="str">
        <f>IFERROR(__xludf.DUMMYFUNCTION("""COMPUTED_VALUE"""),"Mario ALVAREZ-CASTRILLON")</f>
        <v>Mario ALVAREZ-CASTRILLON</v>
      </c>
      <c r="D113">
        <f>IFERROR(__xludf.DUMMYFUNCTION("COUNTA(FILTER('Réponses au formulaire 1'!B:B,'Réponses au formulaire 1'!B:B=C113))"),1.0)</f>
        <v>1</v>
      </c>
    </row>
    <row r="114">
      <c r="C114" t="str">
        <f>IFERROR(__xludf.DUMMYFUNCTION("""COMPUTED_VALUE"""),"Marie-Jeanne PAUL")</f>
        <v>Marie-Jeanne PAUL</v>
      </c>
      <c r="D114">
        <f>IFERROR(__xludf.DUMMYFUNCTION("COUNTA(FILTER('Réponses au formulaire 1'!B:B,'Réponses au formulaire 1'!B:B=C114))"),1.0)</f>
        <v>1</v>
      </c>
    </row>
    <row r="115">
      <c r="C115" t="str">
        <f>IFERROR(__xludf.DUMMYFUNCTION("""COMPUTED_VALUE"""),"Vincent Maillou")</f>
        <v>Vincent Maillou</v>
      </c>
      <c r="D115">
        <f>IFERROR(__xludf.DUMMYFUNCTION("COUNTA(FILTER('Réponses au formulaire 1'!B:B,'Réponses au formulaire 1'!B:B=C115))"),1.0)</f>
        <v>1</v>
      </c>
    </row>
    <row r="116">
      <c r="C116" t="str">
        <f>IFERROR(__xludf.DUMMYFUNCTION("""COMPUTED_VALUE"""),"Benjamin Martin")</f>
        <v>Benjamin Martin</v>
      </c>
      <c r="D116">
        <f>IFERROR(__xludf.DUMMYFUNCTION("COUNTA(FILTER('Réponses au formulaire 1'!B:B,'Réponses au formulaire 1'!B:B=C116))"),1.0)</f>
        <v>1</v>
      </c>
    </row>
    <row r="117">
      <c r="C117" t="str">
        <f>IFERROR(__xludf.DUMMYFUNCTION("""COMPUTED_VALUE"""),"Alix BOSSU")</f>
        <v>Alix BOSSU</v>
      </c>
      <c r="D117">
        <f>IFERROR(__xludf.DUMMYFUNCTION("COUNTA(FILTER('Réponses au formulaire 1'!B:B,'Réponses au formulaire 1'!B:B=C117))"),1.0)</f>
        <v>1</v>
      </c>
    </row>
    <row r="118">
      <c r="C118" t="str">
        <f>IFERROR(__xludf.DUMMYFUNCTION("""COMPUTED_VALUE"""),"Oscar JACINTHO")</f>
        <v>Oscar JACINTHO</v>
      </c>
      <c r="D118">
        <f>IFERROR(__xludf.DUMMYFUNCTION("COUNTA(FILTER('Réponses au formulaire 1'!B:B,'Réponses au formulaire 1'!B:B=C118))"),1.0)</f>
        <v>1</v>
      </c>
    </row>
    <row r="119">
      <c r="C119" t="str">
        <f>IFERROR(__xludf.DUMMYFUNCTION("""COMPUTED_VALUE"""),"Henri CHHOA")</f>
        <v>Henri CHHOA</v>
      </c>
      <c r="D119">
        <f>IFERROR(__xludf.DUMMYFUNCTION("COUNTA(FILTER('Réponses au formulaire 1'!B:B,'Réponses au formulaire 1'!B:B=C119))"),1.0)</f>
        <v>1</v>
      </c>
    </row>
    <row r="120">
      <c r="C120" t="str">
        <f>IFERROR(__xludf.DUMMYFUNCTION("""COMPUTED_VALUE"""),"Juan Felipe GÓMEZ ALFARO")</f>
        <v>Juan Felipe GÓMEZ ALFARO</v>
      </c>
      <c r="D120">
        <f>IFERROR(__xludf.DUMMYFUNCTION("COUNTA(FILTER('Réponses au formulaire 1'!B:B,'Réponses au formulaire 1'!B:B=C120))"),1.0)</f>
        <v>1</v>
      </c>
    </row>
    <row r="121">
      <c r="C121" t="str">
        <f>IFERROR(__xludf.DUMMYFUNCTION("""COMPUTED_VALUE"""),"Alfonso COLON DE CARVAJAL")</f>
        <v>Alfonso COLON DE CARVAJAL</v>
      </c>
      <c r="D121">
        <f>IFERROR(__xludf.DUMMYFUNCTION("COUNTA(FILTER('Réponses au formulaire 1'!B:B,'Réponses au formulaire 1'!B:B=C121))"),1.0)</f>
        <v>1</v>
      </c>
    </row>
    <row r="122">
      <c r="C122" t="str">
        <f>IFERROR(__xludf.DUMMYFUNCTION("""COMPUTED_VALUE"""),"Sarah PETROCCHI")</f>
        <v>Sarah PETROCCHI</v>
      </c>
      <c r="D122">
        <f>IFERROR(__xludf.DUMMYFUNCTION("COUNTA(FILTER('Réponses au formulaire 1'!B:B,'Réponses au formulaire 1'!B:B=C122))"),1.0)</f>
        <v>1</v>
      </c>
    </row>
    <row r="123">
      <c r="C123" t="str">
        <f>IFERROR(__xludf.DUMMYFUNCTION("""COMPUTED_VALUE"""),"Constance PHILIPPE")</f>
        <v>Constance PHILIPPE</v>
      </c>
      <c r="D123">
        <f>IFERROR(__xludf.DUMMYFUNCTION("COUNTA(FILTER('Réponses au formulaire 1'!B:B,'Réponses au formulaire 1'!B:B=C123))"),1.0)</f>
        <v>1</v>
      </c>
    </row>
    <row r="124">
      <c r="C124" t="str">
        <f>IFERROR(__xludf.DUMMYFUNCTION("""COMPUTED_VALUE"""),"Alban VILLEDIEU")</f>
        <v>Alban VILLEDIEU</v>
      </c>
      <c r="D124">
        <f>IFERROR(__xludf.DUMMYFUNCTION("COUNTA(FILTER('Réponses au formulaire 1'!B:B,'Réponses au formulaire 1'!B:B=C124))"),1.0)</f>
        <v>1</v>
      </c>
    </row>
    <row r="125">
      <c r="C125" t="str">
        <f>IFERROR(__xludf.DUMMYFUNCTION("""COMPUTED_VALUE"""),"Marius DUVILLARD")</f>
        <v>Marius DUVILLARD</v>
      </c>
      <c r="D125">
        <f>IFERROR(__xludf.DUMMYFUNCTION("COUNTA(FILTER('Réponses au formulaire 1'!B:B,'Réponses au formulaire 1'!B:B=C125))"),1.0)</f>
        <v>1</v>
      </c>
    </row>
    <row r="126">
      <c r="C126" t="str">
        <f>IFERROR(__xludf.DUMMYFUNCTION("""COMPUTED_VALUE"""),"Pierre Go")</f>
        <v>Pierre Go</v>
      </c>
      <c r="D126">
        <f>IFERROR(__xludf.DUMMYFUNCTION("COUNTA(FILTER('Réponses au formulaire 1'!B:B,'Réponses au formulaire 1'!B:B=C126))"),1.0)</f>
        <v>1</v>
      </c>
    </row>
    <row r="127">
      <c r="C127" t="str">
        <f>IFERROR(__xludf.DUMMYFUNCTION("""COMPUTED_VALUE"""),"Mitsi R.")</f>
        <v>Mitsi R.</v>
      </c>
      <c r="D127">
        <f>IFERROR(__xludf.DUMMYFUNCTION("COUNTA(FILTER('Réponses au formulaire 1'!B:B,'Réponses au formulaire 1'!B:B=C127))"),1.0)</f>
        <v>1</v>
      </c>
    </row>
    <row r="128">
      <c r="C128" t="str">
        <f>IFERROR(__xludf.DUMMYFUNCTION("""COMPUTED_VALUE"""),"Valentin Antonio")</f>
        <v>Valentin Antonio</v>
      </c>
      <c r="D128">
        <f>IFERROR(__xludf.DUMMYFUNCTION("COUNTA(FILTER('Réponses au formulaire 1'!B:B,'Réponses au formulaire 1'!B:B=C128))"),1.0)</f>
        <v>1</v>
      </c>
    </row>
    <row r="129">
      <c r="C129" t="str">
        <f>IFERROR(__xludf.DUMMYFUNCTION("""COMPUTED_VALUE"""),"Juline CORNET-GOY")</f>
        <v>Juline CORNET-GOY</v>
      </c>
      <c r="D129">
        <f>IFERROR(__xludf.DUMMYFUNCTION("COUNTA(FILTER('Réponses au formulaire 1'!B:B,'Réponses au formulaire 1'!B:B=C129))"),1.0)</f>
        <v>1</v>
      </c>
    </row>
    <row r="130">
      <c r="C130" t="str">
        <f>IFERROR(__xludf.DUMMYFUNCTION("""COMPUTED_VALUE"""),"Lise GERMON")</f>
        <v>Lise GERMON</v>
      </c>
      <c r="D130">
        <f>IFERROR(__xludf.DUMMYFUNCTION("COUNTA(FILTER('Réponses au formulaire 1'!B:B,'Réponses au formulaire 1'!B:B=C130))"),1.0)</f>
        <v>1</v>
      </c>
    </row>
    <row r="131">
      <c r="C131" t="str">
        <f>IFERROR(__xludf.DUMMYFUNCTION("""COMPUTED_VALUE"""),"Alizée AMSLER")</f>
        <v>Alizée AMSLER</v>
      </c>
      <c r="D131">
        <f>IFERROR(__xludf.DUMMYFUNCTION("COUNTA(FILTER('Réponses au formulaire 1'!B:B,'Réponses au formulaire 1'!B:B=C131))"),1.0)</f>
        <v>1</v>
      </c>
    </row>
    <row r="132">
      <c r="C132" t="str">
        <f>IFERROR(__xludf.DUMMYFUNCTION("""COMPUTED_VALUE"""),"Mai-Vi VU")</f>
        <v>Mai-Vi VU</v>
      </c>
      <c r="D132">
        <f>IFERROR(__xludf.DUMMYFUNCTION("COUNTA(FILTER('Réponses au formulaire 1'!B:B,'Réponses au formulaire 1'!B:B=C132))"),1.0)</f>
        <v>1</v>
      </c>
    </row>
    <row r="133">
      <c r="C133" t="str">
        <f>IFERROR(__xludf.DUMMYFUNCTION("""COMPUTED_VALUE"""),"Perrine JUILLET")</f>
        <v>Perrine JUILLET</v>
      </c>
      <c r="D133">
        <f>IFERROR(__xludf.DUMMYFUNCTION("COUNTA(FILTER('Réponses au formulaire 1'!B:B,'Réponses au formulaire 1'!B:B=C133))"),1.0)</f>
        <v>1</v>
      </c>
    </row>
    <row r="134">
      <c r="C134" t="str">
        <f>IFERROR(__xludf.DUMMYFUNCTION("""COMPUTED_VALUE"""),"Maxence PASCAL")</f>
        <v>Maxence PASCAL</v>
      </c>
    </row>
    <row r="135">
      <c r="C135" t="str">
        <f>IFERROR(__xludf.DUMMYFUNCTION("""COMPUTED_VALUE"""),"Lisa SAVARIEAU")</f>
        <v>Lisa SAVARIEAU</v>
      </c>
    </row>
    <row r="136">
      <c r="C136" t="str">
        <f>IFERROR(__xludf.DUMMYFUNCTION("""COMPUTED_VALUE"""),"Ludivine LUXEY")</f>
        <v>Ludivine LUXEY</v>
      </c>
    </row>
    <row r="137">
      <c r="C137" t="str">
        <f>IFERROR(__xludf.DUMMYFUNCTION("""COMPUTED_VALUE"""),"Henrique MARTINEZ DE AZEVEDO")</f>
        <v>Henrique MARTINEZ DE AZEVEDO</v>
      </c>
    </row>
    <row r="138">
      <c r="C138" t="str">
        <f>IFERROR(__xludf.DUMMYFUNCTION("""COMPUTED_VALUE"""),"Ariane BERGER")</f>
        <v>Ariane BERGER</v>
      </c>
    </row>
    <row r="139">
      <c r="C139" t="str">
        <f>IFERROR(__xludf.DUMMYFUNCTION("""COMPUTED_VALUE"""),"Alice Mennesson")</f>
        <v>Alice Mennesson</v>
      </c>
    </row>
    <row r="140">
      <c r="C140" t="str">
        <f>IFERROR(__xludf.DUMMYFUNCTION("""COMPUTED_VALUE"""),"José Ronzel")</f>
        <v>José Ronzel</v>
      </c>
    </row>
    <row r="141">
      <c r="C141" t="str">
        <f>IFERROR(__xludf.DUMMYFUNCTION("""COMPUTED_VALUE"""),"Exequiel")</f>
        <v>Exequiel</v>
      </c>
    </row>
    <row r="142">
      <c r="C142" t="str">
        <f>IFERROR(__xludf.DUMMYFUNCTION("""COMPUTED_VALUE"""),"Léa SCETBUN")</f>
        <v>Léa SCETBUN</v>
      </c>
    </row>
    <row r="143">
      <c r="C143" t="str">
        <f>IFERROR(__xludf.DUMMYFUNCTION("""COMPUTED_VALUE"""),"Théo DELOBEL")</f>
        <v>Théo DELOBEL</v>
      </c>
    </row>
    <row r="144">
      <c r="C144" t="str">
        <f>IFERROR(__xludf.DUMMYFUNCTION("""COMPUTED_VALUE"""),"Jérôme KAYSER")</f>
        <v>Jérôme KAYSER</v>
      </c>
    </row>
    <row r="145">
      <c r="C145" t="str">
        <f>IFERROR(__xludf.DUMMYFUNCTION("""COMPUTED_VALUE"""),"Esteban LECOURT")</f>
        <v>Esteban LECOURT</v>
      </c>
    </row>
    <row r="146">
      <c r="C146" t="str">
        <f>IFERROR(__xludf.DUMMYFUNCTION("""COMPUTED_VALUE"""),"Luis FERNANDEZ")</f>
        <v>Luis FERNANDEZ</v>
      </c>
    </row>
    <row r="147">
      <c r="C147" t="str">
        <f>IFERROR(__xludf.DUMMYFUNCTION("""COMPUTED_VALUE"""),"Solene LE FUR")</f>
        <v>Solene LE FUR</v>
      </c>
    </row>
    <row r="148">
      <c r="C148" t="str">
        <f>IFERROR(__xludf.DUMMYFUNCTION("""COMPUTED_VALUE"""),"Eugénie cotte")</f>
        <v>Eugénie cotte</v>
      </c>
    </row>
    <row r="149">
      <c r="C149" t="str">
        <f>IFERROR(__xludf.DUMMYFUNCTION("""COMPUTED_VALUE"""),"Samuel BISMUT")</f>
        <v>Samuel BISMUT</v>
      </c>
    </row>
    <row r="150">
      <c r="C150" t="str">
        <f>IFERROR(__xludf.DUMMYFUNCTION("""COMPUTED_VALUE"""),"Victor BLANCART")</f>
        <v>Victor BLANCART</v>
      </c>
    </row>
    <row r="151">
      <c r="C151" t="str">
        <f>IFERROR(__xludf.DUMMYFUNCTION("""COMPUTED_VALUE"""),"Tommy GEHENIAU")</f>
        <v>Tommy GEHENIAU</v>
      </c>
    </row>
    <row r="152">
      <c r="C152" t="str">
        <f>IFERROR(__xludf.DUMMYFUNCTION("""COMPUTED_VALUE"""),"Léo HUREAU")</f>
        <v>Léo HUREAU</v>
      </c>
    </row>
    <row r="153">
      <c r="C153" t="str">
        <f>IFERROR(__xludf.DUMMYFUNCTION("""COMPUTED_VALUE"""),"Awen BRUNEAU")</f>
        <v>Awen BRUNEAU</v>
      </c>
    </row>
    <row r="154">
      <c r="C154" t="str">
        <f>IFERROR(__xludf.DUMMYFUNCTION("""COMPUTED_VALUE"""),"simeo Potiron")</f>
        <v>simeo Potiron</v>
      </c>
    </row>
    <row r="155">
      <c r="C155" t="str">
        <f>IFERROR(__xludf.DUMMYFUNCTION("""COMPUTED_VALUE"""),"Pierre MAQUET")</f>
        <v>Pierre MAQUET</v>
      </c>
    </row>
    <row r="156">
      <c r="C156" t="str">
        <f>IFERROR(__xludf.DUMMYFUNCTION("""COMPUTED_VALUE"""),"Céline FEREC")</f>
        <v>Céline FEREC</v>
      </c>
    </row>
    <row r="157">
      <c r="C157" t="str">
        <f>IFERROR(__xludf.DUMMYFUNCTION("""COMPUTED_VALUE"""),"Maxime GRAS")</f>
        <v>Maxime GRAS</v>
      </c>
    </row>
    <row r="158">
      <c r="C158" t="str">
        <f>IFERROR(__xludf.DUMMYFUNCTION("""COMPUTED_VALUE"""),"Audrey BOYENVAL")</f>
        <v>Audrey BOYENVAL</v>
      </c>
    </row>
    <row r="159">
      <c r="C159" t="str">
        <f>IFERROR(__xludf.DUMMYFUNCTION("""COMPUTED_VALUE"""),"Chloé CANAVATE")</f>
        <v>Chloé CANAVATE</v>
      </c>
    </row>
    <row r="160">
      <c r="C160" t="str">
        <f>IFERROR(__xludf.DUMMYFUNCTION("""COMPUTED_VALUE"""),"Antoine TARDIVON")</f>
        <v>Antoine TARDIVON</v>
      </c>
    </row>
    <row r="161">
      <c r="C161" t="str">
        <f>IFERROR(__xludf.DUMMYFUNCTION("""COMPUTED_VALUE"""),"Adrien Simonet")</f>
        <v>Adrien Simonet</v>
      </c>
    </row>
    <row r="162">
      <c r="C162" t="str">
        <f>IFERROR(__xludf.DUMMYFUNCTION("""COMPUTED_VALUE"""),"Maena GALERON")</f>
        <v>Maena GALERON</v>
      </c>
    </row>
    <row r="163">
      <c r="C163" t="str">
        <f>IFERROR(__xludf.DUMMYFUNCTION("""COMPUTED_VALUE"""),"Antoine LETOFFET")</f>
        <v>Antoine LETOFFET</v>
      </c>
    </row>
    <row r="164">
      <c r="C164" t="str">
        <f>IFERROR(__xludf.DUMMYFUNCTION("""COMPUTED_VALUE"""),"Grégoire Turzo")</f>
        <v>Grégoire Turzo</v>
      </c>
    </row>
    <row r="165">
      <c r="C165" t="str">
        <f>IFERROR(__xludf.DUMMYFUNCTION("""COMPUTED_VALUE"""),"Henri de Chanterac")</f>
        <v>Henri de Chanterac</v>
      </c>
    </row>
    <row r="166">
      <c r="C166" t="str">
        <f>IFERROR(__xludf.DUMMYFUNCTION("""COMPUTED_VALUE"""),"Elouan BARBEREAU")</f>
        <v>Elouan BARBEREAU</v>
      </c>
    </row>
    <row r="167">
      <c r="C167" t="str">
        <f>IFERROR(__xludf.DUMMYFUNCTION("""COMPUTED_VALUE"""),"Moens Diego")</f>
        <v>Moens Diego</v>
      </c>
    </row>
    <row r="168">
      <c r="C168" t="str">
        <f>IFERROR(__xludf.DUMMYFUNCTION("""COMPUTED_VALUE"""),"Felipe Altamirano")</f>
        <v>Felipe Altamirano</v>
      </c>
    </row>
    <row r="169">
      <c r="C169" t="str">
        <f>IFERROR(__xludf.DUMMYFUNCTION("""COMPUTED_VALUE"""),"Alison ALIAGA")</f>
        <v>Alison ALIAGA</v>
      </c>
    </row>
    <row r="170">
      <c r="C170" t="str">
        <f>IFERROR(__xludf.DUMMYFUNCTION("""COMPUTED_VALUE"""),"Argueta Tamayo Emanuel")</f>
        <v>Argueta Tamayo Emanuel</v>
      </c>
    </row>
    <row r="171">
      <c r="C171" t="str">
        <f>IFERROR(__xludf.DUMMYFUNCTION("""COMPUTED_VALUE"""),"Marina THIEME PETERSEN")</f>
        <v>Marina THIEME PETERSEN</v>
      </c>
    </row>
    <row r="172">
      <c r="C172" t="str">
        <f>IFERROR(__xludf.DUMMYFUNCTION("""COMPUTED_VALUE"""),"Erwan Sauvage")</f>
        <v>Erwan Sauvage</v>
      </c>
    </row>
    <row r="173">
      <c r="C173" t="str">
        <f>IFERROR(__xludf.DUMMYFUNCTION("""COMPUTED_VALUE"""),"Mathieu Rey-Herme")</f>
        <v>Mathieu Rey-Herme</v>
      </c>
    </row>
    <row r="174">
      <c r="C174" t="str">
        <f>IFERROR(__xludf.DUMMYFUNCTION("""COMPUTED_VALUE"""),"Tapias")</f>
        <v>Tapias</v>
      </c>
    </row>
    <row r="175">
      <c r="C175" t="str">
        <f>IFERROR(__xludf.DUMMYFUNCTION("""COMPUTED_VALUE"""),"Manon VLIEGHE")</f>
        <v>Manon VLIEGHE</v>
      </c>
    </row>
    <row r="176">
      <c r="C176" t="str">
        <f>IFERROR(__xludf.DUMMYFUNCTION("""COMPUTED_VALUE"""),"Miguel MORENO")</f>
        <v>Miguel MORENO</v>
      </c>
    </row>
    <row r="177">
      <c r="C177" t="str">
        <f>IFERROR(__xludf.DUMMYFUNCTION("""COMPUTED_VALUE"""),"Baptiste Marlet")</f>
        <v>Baptiste Marlet</v>
      </c>
    </row>
    <row r="178">
      <c r="C178" t="str">
        <f>IFERROR(__xludf.DUMMYFUNCTION("""COMPUTED_VALUE"""),"Hugo SEMPÉ")</f>
        <v>Hugo SEMPÉ</v>
      </c>
    </row>
    <row r="179">
      <c r="C179" t="str">
        <f>IFERROR(__xludf.DUMMYFUNCTION("""COMPUTED_VALUE"""),"Nicolas Meniconi")</f>
        <v>Nicolas Meniconi</v>
      </c>
    </row>
    <row r="180">
      <c r="C180" t="str">
        <f>IFERROR(__xludf.DUMMYFUNCTION("""COMPUTED_VALUE"""),"Romain THIMON")</f>
        <v>Romain THIMON</v>
      </c>
    </row>
    <row r="181">
      <c r="C181" t="str">
        <f>IFERROR(__xludf.DUMMYFUNCTION("""COMPUTED_VALUE"""),"Maximilien LESSAULT")</f>
        <v>Maximilien LESSAULT</v>
      </c>
    </row>
    <row r="182">
      <c r="C182" t="str">
        <f>IFERROR(__xludf.DUMMYFUNCTION("""COMPUTED_VALUE"""),"Thomas oppmann")</f>
        <v>Thomas oppmann</v>
      </c>
    </row>
    <row r="183">
      <c r="C183" t="str">
        <f>IFERROR(__xludf.DUMMYFUNCTION("""COMPUTED_VALUE"""),"Alexandre Ghannad")</f>
        <v>Alexandre Ghannad</v>
      </c>
    </row>
    <row r="184">
      <c r="C184" t="str">
        <f>IFERROR(__xludf.DUMMYFUNCTION("""COMPUTED_VALUE"""),"Christopher LESDALONS")</f>
        <v>Christopher LESDALONS</v>
      </c>
    </row>
    <row r="185">
      <c r="C185" t="str">
        <f>IFERROR(__xludf.DUMMYFUNCTION("""COMPUTED_VALUE"""),"Amine BEDRANE")</f>
        <v>Amine BEDRANE</v>
      </c>
    </row>
    <row r="186">
      <c r="C186" t="str">
        <f>IFERROR(__xludf.DUMMYFUNCTION("""COMPUTED_VALUE"""),"Charles-Eole MARICHAL")</f>
        <v>Charles-Eole MARICHAL</v>
      </c>
    </row>
    <row r="187">
      <c r="C187" t="str">
        <f>IFERROR(__xludf.DUMMYFUNCTION("""COMPUTED_VALUE"""),"Justin Becker")</f>
        <v>Justin Becker</v>
      </c>
    </row>
    <row r="188">
      <c r="C188" t="str">
        <f>IFERROR(__xludf.DUMMYFUNCTION("""COMPUTED_VALUE"""),"Pierre-Jean POLLOT")</f>
        <v>Pierre-Jean POLLOT</v>
      </c>
    </row>
    <row r="189">
      <c r="C189" t="str">
        <f>IFERROR(__xludf.DUMMYFUNCTION("""COMPUTED_VALUE"""),"Judith LOUIS-ALEXANDRE")</f>
        <v>Judith LOUIS-ALEXANDRE</v>
      </c>
    </row>
    <row r="190">
      <c r="C190" t="str">
        <f>IFERROR(__xludf.DUMMYFUNCTION("""COMPUTED_VALUE"""),"Alexandre MERASLI")</f>
        <v>Alexandre MERASLI</v>
      </c>
    </row>
    <row r="191">
      <c r="C191" t="str">
        <f>IFERROR(__xludf.DUMMYFUNCTION("""COMPUTED_VALUE"""),"Charlotte BEAUNE")</f>
        <v>Charlotte BEAUNE</v>
      </c>
    </row>
    <row r="192">
      <c r="C192" t="str">
        <f>IFERROR(__xludf.DUMMYFUNCTION("""COMPUTED_VALUE"""),"Helena Delmotte")</f>
        <v>Helena Delmotte</v>
      </c>
    </row>
    <row r="193">
      <c r="C193" t="str">
        <f>IFERROR(__xludf.DUMMYFUNCTION("""COMPUTED_VALUE"""),"Anis KHEZNADJI")</f>
        <v>Anis KHEZNADJI</v>
      </c>
    </row>
    <row r="194">
      <c r="C194" t="str">
        <f>IFERROR(__xludf.DUMMYFUNCTION("""COMPUTED_VALUE"""),"Marie COUPÉ")</f>
        <v>Marie COUPÉ</v>
      </c>
    </row>
    <row r="195">
      <c r="C195" t="str">
        <f>IFERROR(__xludf.DUMMYFUNCTION("""COMPUTED_VALUE"""),"Geoffroy LECONTE")</f>
        <v>Geoffroy LECONTE</v>
      </c>
    </row>
    <row r="196">
      <c r="C196" t="str">
        <f>IFERROR(__xludf.DUMMYFUNCTION("""COMPUTED_VALUE"""),"Pierre BOURREAU")</f>
        <v>Pierre BOURREAU</v>
      </c>
    </row>
    <row r="197">
      <c r="C197" t="str">
        <f>IFERROR(__xludf.DUMMYFUNCTION("""COMPUTED_VALUE"""),"Antoine SENELLART")</f>
        <v>Antoine SENELLART</v>
      </c>
    </row>
    <row r="198">
      <c r="C198" t="str">
        <f>IFERROR(__xludf.DUMMYFUNCTION("""COMPUTED_VALUE"""),"Louis LEQUES")</f>
        <v>Louis LEQUES</v>
      </c>
    </row>
    <row r="199">
      <c r="C199" t="str">
        <f>IFERROR(__xludf.DUMMYFUNCTION("""COMPUTED_VALUE"""),"Louis CLAUCE")</f>
        <v>Louis CLAUCE</v>
      </c>
    </row>
    <row r="200">
      <c r="C200" t="str">
        <f>IFERROR(__xludf.DUMMYFUNCTION("""COMPUTED_VALUE"""),"Samir ZINA-RAGGOUA")</f>
        <v>Samir ZINA-RAGGOUA</v>
      </c>
    </row>
    <row r="201">
      <c r="C201" t="str">
        <f>IFERROR(__xludf.DUMMYFUNCTION("""COMPUTED_VALUE"""),"Mikaël Farje")</f>
        <v>Mikaël Farje</v>
      </c>
    </row>
    <row r="202">
      <c r="C202" t="str">
        <f>IFERROR(__xludf.DUMMYFUNCTION("""COMPUTED_VALUE"""),"Allouache")</f>
        <v>Allouache</v>
      </c>
    </row>
    <row r="203">
      <c r="C203" t="str">
        <f>IFERROR(__xludf.DUMMYFUNCTION("""COMPUTED_VALUE"""),"Noémie RABILLOUD")</f>
        <v>Noémie RABILLOUD</v>
      </c>
    </row>
    <row r="204">
      <c r="C204" t="str">
        <f>IFERROR(__xludf.DUMMYFUNCTION("""COMPUTED_VALUE"""),"Jean Pichard")</f>
        <v>Jean Pichard</v>
      </c>
    </row>
    <row r="205">
      <c r="C205" t="str">
        <f>IFERROR(__xludf.DUMMYFUNCTION("""COMPUTED_VALUE"""),"Mathis CELCE")</f>
        <v>Mathis CELCE</v>
      </c>
    </row>
    <row r="206">
      <c r="C206" t="str">
        <f>IFERROR(__xludf.DUMMYFUNCTION("""COMPUTED_VALUE"""),"Maxime Roy")</f>
        <v>Maxime Roy</v>
      </c>
    </row>
    <row r="207">
      <c r="C207" t="str">
        <f>IFERROR(__xludf.DUMMYFUNCTION("""COMPUTED_VALUE"""),"Gauthier PEZZOLI")</f>
        <v>Gauthier PEZZOLI</v>
      </c>
    </row>
    <row r="208">
      <c r="C208" t="str">
        <f>IFERROR(__xludf.DUMMYFUNCTION("""COMPUTED_VALUE"""),"Théo Hennion")</f>
        <v>Théo Hennion</v>
      </c>
    </row>
    <row r="209">
      <c r="C209" t="str">
        <f>IFERROR(__xludf.DUMMYFUNCTION("""COMPUTED_VALUE"""),"Clément Wozniak")</f>
        <v>Clément Wozniak</v>
      </c>
    </row>
    <row r="210">
      <c r="C210" t="str">
        <f>IFERROR(__xludf.DUMMYFUNCTION("""COMPUTED_VALUE"""),"Cyriane BIENVENUE")</f>
        <v>Cyriane BIENVENUE</v>
      </c>
    </row>
    <row r="211">
      <c r="C211" t="str">
        <f>IFERROR(__xludf.DUMMYFUNCTION("""COMPUTED_VALUE"""),"Marius MENAULT")</f>
        <v>Marius MENAULT</v>
      </c>
    </row>
    <row r="212">
      <c r="C212" t="str">
        <f>IFERROR(__xludf.DUMMYFUNCTION("""COMPUTED_VALUE"""),"Amine CHEKROUD")</f>
        <v>Amine CHEKROUD</v>
      </c>
    </row>
    <row r="213">
      <c r="C213" t="str">
        <f>IFERROR(__xludf.DUMMYFUNCTION("""COMPUTED_VALUE"""),"Cyprien MARION")</f>
        <v>Cyprien MARION</v>
      </c>
    </row>
    <row r="214">
      <c r="C214" t="str">
        <f>IFERROR(__xludf.DUMMYFUNCTION("""COMPUTED_VALUE"""),"Arthur LEMASSON")</f>
        <v>Arthur LEMASSON</v>
      </c>
    </row>
    <row r="215">
      <c r="C215" t="str">
        <f>IFERROR(__xludf.DUMMYFUNCTION("""COMPUTED_VALUE"""),"Vincent MESLIER")</f>
        <v>Vincent MESLIER</v>
      </c>
    </row>
    <row r="216">
      <c r="C216" t="str">
        <f>IFERROR(__xludf.DUMMYFUNCTION("""COMPUTED_VALUE"""),"Tom OVISTE")</f>
        <v>Tom OVISTE</v>
      </c>
    </row>
    <row r="217">
      <c r="C217" t="str">
        <f>IFERROR(__xludf.DUMMYFUNCTION("""COMPUTED_VALUE"""),"Léonce AUDIBERT")</f>
        <v>Léonce AUDIBERT</v>
      </c>
    </row>
    <row r="218">
      <c r="C218" t="str">
        <f>IFERROR(__xludf.DUMMYFUNCTION("""COMPUTED_VALUE"""),"Pm Guyot")</f>
        <v>Pm Guyot</v>
      </c>
    </row>
    <row r="219">
      <c r="C219" t="str">
        <f>IFERROR(__xludf.DUMMYFUNCTION("""COMPUTED_VALUE"""),"Antoine Chillet")</f>
        <v>Antoine Chillet</v>
      </c>
    </row>
    <row r="220">
      <c r="C220" t="str">
        <f>IFERROR(__xludf.DUMMYFUNCTION("""COMPUTED_VALUE"""),"Louis COGAN")</f>
        <v>Louis COGAN</v>
      </c>
    </row>
    <row r="221">
      <c r="C221" t="str">
        <f>IFERROR(__xludf.DUMMYFUNCTION("""COMPUTED_VALUE"""),"Richard ARNAUD")</f>
        <v>Richard ARNAUD</v>
      </c>
    </row>
    <row r="222">
      <c r="C222" t="str">
        <f>IFERROR(__xludf.DUMMYFUNCTION("""COMPUTED_VALUE"""),"Le Mintier Emmanuel")</f>
        <v>Le Mintier Emmanuel</v>
      </c>
    </row>
    <row r="223">
      <c r="C223" t="str">
        <f>IFERROR(__xludf.DUMMYFUNCTION("""COMPUTED_VALUE"""),"Lilie BOIZUMAULT")</f>
        <v>Lilie BOIZUMAULT</v>
      </c>
    </row>
    <row r="224">
      <c r="C224" t="str">
        <f>IFERROR(__xludf.DUMMYFUNCTION("""COMPUTED_VALUE"""),"Amine MEHMOUDEN")</f>
        <v>Amine MEHMOUDEN</v>
      </c>
    </row>
    <row r="225">
      <c r="C225" t="str">
        <f>IFERROR(__xludf.DUMMYFUNCTION("""COMPUTED_VALUE"""),"Adrien Jamelot")</f>
        <v>Adrien Jamelot</v>
      </c>
    </row>
    <row r="226">
      <c r="C226" t="str">
        <f>IFERROR(__xludf.DUMMYFUNCTION("""COMPUTED_VALUE"""),"Eric Ali Mehenni")</f>
        <v>Eric Ali Mehenni</v>
      </c>
    </row>
    <row r="227">
      <c r="C227" t="str">
        <f>IFERROR(__xludf.DUMMYFUNCTION("""COMPUTED_VALUE"""),"Anaïs BOUCHET")</f>
        <v>Anaïs BOUCHET</v>
      </c>
    </row>
    <row r="228">
      <c r="C228" t="str">
        <f>IFERROR(__xludf.DUMMYFUNCTION("""COMPUTED_VALUE"""),"Antoine DAROUX")</f>
        <v>Antoine DAROUX</v>
      </c>
    </row>
    <row r="229">
      <c r="C229" t="str">
        <f>IFERROR(__xludf.DUMMYFUNCTION("""COMPUTED_VALUE"""),"Lucas SANCIET--MUNIER")</f>
        <v>Lucas SANCIET--MUNIER</v>
      </c>
    </row>
    <row r="230">
      <c r="C230" t="str">
        <f>IFERROR(__xludf.DUMMYFUNCTION("""COMPUTED_VALUE"""),"Thomas LE BOURHIS")</f>
        <v>Thomas LE BOURHIS</v>
      </c>
    </row>
    <row r="231">
      <c r="C231" t="str">
        <f>IFERROR(__xludf.DUMMYFUNCTION("""COMPUTED_VALUE"""),"Hugo GAYRARD")</f>
        <v>Hugo GAYRARD</v>
      </c>
    </row>
    <row r="232">
      <c r="C232" t="str">
        <f>IFERROR(__xludf.DUMMYFUNCTION("""COMPUTED_VALUE"""),"Loïc")</f>
        <v>Loïc</v>
      </c>
    </row>
    <row r="233">
      <c r="C233" t="str">
        <f>IFERROR(__xludf.DUMMYFUNCTION("""COMPUTED_VALUE"""),"Pierre Veillard")</f>
        <v>Pierre Veillard</v>
      </c>
    </row>
    <row r="234">
      <c r="C234" t="str">
        <f>IFERROR(__xludf.DUMMYFUNCTION("""COMPUTED_VALUE"""),"Ruben MATONDZI")</f>
        <v>Ruben MATONDZI</v>
      </c>
    </row>
    <row r="235">
      <c r="C235" t="str">
        <f>IFERROR(__xludf.DUMMYFUNCTION("""COMPUTED_VALUE"""),"Manon DUBREIL")</f>
        <v>Manon DUBREIL</v>
      </c>
    </row>
    <row r="236">
      <c r="C236" t="str">
        <f>IFERROR(__xludf.DUMMYFUNCTION("""COMPUTED_VALUE"""),"Maëlenn COLSON")</f>
        <v>Maëlenn COLSON</v>
      </c>
    </row>
    <row r="237">
      <c r="C237" t="str">
        <f>IFERROR(__xludf.DUMMYFUNCTION("""COMPUTED_VALUE"""),"Rémy MAIGE")</f>
        <v>Rémy MAIGE</v>
      </c>
    </row>
    <row r="238">
      <c r="C238" t="str">
        <f>IFERROR(__xludf.DUMMYFUNCTION("""COMPUTED_VALUE"""),"Ramy SLIM")</f>
        <v>Ramy SLIM</v>
      </c>
    </row>
    <row r="239">
      <c r="C239" t="str">
        <f>IFERROR(__xludf.DUMMYFUNCTION("""COMPUTED_VALUE"""),"TOMAZ AMORIM")</f>
        <v>TOMAZ AMORIM</v>
      </c>
    </row>
    <row r="240">
      <c r="C240" t="str">
        <f>IFERROR(__xludf.DUMMYFUNCTION("""COMPUTED_VALUE"""),"Maxime Canard")</f>
        <v>Maxime Canard</v>
      </c>
    </row>
    <row r="241">
      <c r="C241" t="str">
        <f>IFERROR(__xludf.DUMMYFUNCTION("""COMPUTED_VALUE"""),"Corentin GILBERT")</f>
        <v>Corentin GILBERT</v>
      </c>
    </row>
    <row r="242">
      <c r="C242" t="str">
        <f>IFERROR(__xludf.DUMMYFUNCTION("""COMPUTED_VALUE"""),"Sergio MORENO LÓPEZ")</f>
        <v>Sergio MORENO LÓPEZ</v>
      </c>
    </row>
    <row r="243">
      <c r="C243" t="str">
        <f>IFERROR(__xludf.DUMMYFUNCTION("""COMPUTED_VALUE"""),"Adán REYES REYES")</f>
        <v>Adán REYES REYES</v>
      </c>
    </row>
    <row r="244">
      <c r="C244" t="str">
        <f>IFERROR(__xludf.DUMMYFUNCTION("""COMPUTED_VALUE"""),"Jose Luís RIVERA BLANCO")</f>
        <v>Jose Luís RIVERA BLANCO</v>
      </c>
    </row>
    <row r="245">
      <c r="C245" t="str">
        <f>IFERROR(__xludf.DUMMYFUNCTION("""COMPUTED_VALUE"""),"Yinzheng ZHOU")</f>
        <v>Yinzheng ZHOU</v>
      </c>
    </row>
    <row r="246">
      <c r="C246" t="str">
        <f>IFERROR(__xludf.DUMMYFUNCTION("""COMPUTED_VALUE"""),"Alexandre Bryk")</f>
        <v>Alexandre Bryk</v>
      </c>
    </row>
    <row r="247">
      <c r="C247" t="str">
        <f>IFERROR(__xludf.DUMMYFUNCTION("""COMPUTED_VALUE"""),"Sebastian CEPEDA")</f>
        <v>Sebastian CEPEDA</v>
      </c>
    </row>
    <row r="248">
      <c r="C248" t="str">
        <f>IFERROR(__xludf.DUMMYFUNCTION("""COMPUTED_VALUE"""),"Julián David HERNÁNDEZ TOVAR")</f>
        <v>Julián David HERNÁNDEZ TOVAR</v>
      </c>
    </row>
    <row r="249">
      <c r="C249" t="str">
        <f>IFERROR(__xludf.DUMMYFUNCTION("""COMPUTED_VALUE"""),"Ananda VANDERWEGEN")</f>
        <v>Ananda VANDERWEGEN</v>
      </c>
    </row>
    <row r="250">
      <c r="C250" t="str">
        <f>IFERROR(__xludf.DUMMYFUNCTION("""COMPUTED_VALUE"""),"Sébastien VILLA")</f>
        <v>Sébastien VILLA</v>
      </c>
    </row>
    <row r="251">
      <c r="C251" t="str">
        <f>IFERROR(__xludf.DUMMYFUNCTION("""COMPUTED_VALUE"""),"Pierre Libault")</f>
        <v>Pierre Libault</v>
      </c>
    </row>
    <row r="252">
      <c r="C252" t="str">
        <f>IFERROR(__xludf.DUMMYFUNCTION("""COMPUTED_VALUE"""),"Adam EL YOUMI")</f>
        <v>Adam EL YOUMI</v>
      </c>
    </row>
    <row r="253">
      <c r="C253" t="str">
        <f>IFERROR(__xludf.DUMMYFUNCTION("""COMPUTED_VALUE"""),"Vincent ESPINASSE")</f>
        <v>Vincent ESPINASSE</v>
      </c>
    </row>
    <row r="254">
      <c r="C254" t="str">
        <f>IFERROR(__xludf.DUMMYFUNCTION("""COMPUTED_VALUE"""),"Félix-Olivier Ngangue Nseke")</f>
        <v>Félix-Olivier Ngangue Nseke</v>
      </c>
    </row>
    <row r="255">
      <c r="C255" t="str">
        <f>IFERROR(__xludf.DUMMYFUNCTION("""COMPUTED_VALUE"""),"Laurène THILLIER")</f>
        <v>Laurène THILLIER</v>
      </c>
    </row>
    <row r="256">
      <c r="C256" t="str">
        <f>IFERROR(__xludf.DUMMYFUNCTION("""COMPUTED_VALUE"""),"Tanguy CABARET")</f>
        <v>Tanguy CABARET</v>
      </c>
    </row>
    <row r="257">
      <c r="C257" t="str">
        <f>IFERROR(__xludf.DUMMYFUNCTION("""COMPUTED_VALUE"""),"Romane CARIOU")</f>
        <v>Romane CARIOU</v>
      </c>
    </row>
    <row r="258">
      <c r="C258" t="str">
        <f>IFERROR(__xludf.DUMMYFUNCTION("""COMPUTED_VALUE"""),"Romain SUCCHE")</f>
        <v>Romain SUCCHE</v>
      </c>
    </row>
    <row r="259">
      <c r="C259" t="str">
        <f>IFERROR(__xludf.DUMMYFUNCTION("""COMPUTED_VALUE"""),"Nicolas ROGER")</f>
        <v>Nicolas ROGER</v>
      </c>
    </row>
    <row r="260">
      <c r="C260" t="str">
        <f>IFERROR(__xludf.DUMMYFUNCTION("""COMPUTED_VALUE"""),"Emmanuel COLLIGNAN")</f>
        <v>Emmanuel COLLIGNAN</v>
      </c>
    </row>
    <row r="261">
      <c r="C261" t="str">
        <f>IFERROR(__xludf.DUMMYFUNCTION("""COMPUTED_VALUE"""),"Jérôme VILLEROT")</f>
        <v>Jérôme VILLEROT</v>
      </c>
    </row>
    <row r="262">
      <c r="C262" t="str">
        <f>IFERROR(__xludf.DUMMYFUNCTION("""COMPUTED_VALUE"""),"Borget")</f>
        <v>Borget</v>
      </c>
    </row>
    <row r="263">
      <c r="C263" t="str">
        <f>IFERROR(__xludf.DUMMYFUNCTION("""COMPUTED_VALUE"""),"Raúl VILLAFUERTE")</f>
        <v>Raúl VILLAFUERTE</v>
      </c>
    </row>
    <row r="264">
      <c r="C264" t="str">
        <f>IFERROR(__xludf.DUMMYFUNCTION("""COMPUTED_VALUE"""),"Paul SAUBION")</f>
        <v>Paul SAUBION</v>
      </c>
    </row>
    <row r="265">
      <c r="C265" t="str">
        <f>IFERROR(__xludf.DUMMYFUNCTION("""COMPUTED_VALUE"""),"Florian BARTOCCI")</f>
        <v>Florian BARTOCCI</v>
      </c>
    </row>
    <row r="266">
      <c r="C266" t="str">
        <f>IFERROR(__xludf.DUMMYFUNCTION("""COMPUTED_VALUE"""),"Jean-Baptiste de BECO")</f>
        <v>Jean-Baptiste de BECO</v>
      </c>
    </row>
    <row r="267">
      <c r="C267" t="str">
        <f>IFERROR(__xludf.DUMMYFUNCTION("""COMPUTED_VALUE"""),"Matthieu LAMIELLE")</f>
        <v>Matthieu LAMIELLE</v>
      </c>
    </row>
    <row r="268">
      <c r="C268" t="str">
        <f>IFERROR(__xludf.DUMMYFUNCTION("""COMPUTED_VALUE"""),"Adrien BERSIER")</f>
        <v>Adrien BERSIER</v>
      </c>
    </row>
    <row r="269">
      <c r="C269" t="str">
        <f>IFERROR(__xludf.DUMMYFUNCTION("""COMPUTED_VALUE"""),"Aygalic JARA")</f>
        <v>Aygalic JARA</v>
      </c>
    </row>
    <row r="270">
      <c r="C270" t="str">
        <f>IFERROR(__xludf.DUMMYFUNCTION("""COMPUTED_VALUE"""),"Thomas HERRBACH")</f>
        <v>Thomas HERRBACH</v>
      </c>
    </row>
    <row r="271">
      <c r="C271" t="str">
        <f>IFERROR(__xludf.DUMMYFUNCTION("""COMPUTED_VALUE"""),"Márcio Bruno DOS SANTOS CORREIA")</f>
        <v>Márcio Bruno DOS SANTOS CORREIA</v>
      </c>
    </row>
    <row r="272">
      <c r="C272" t="str">
        <f>IFERROR(__xludf.DUMMYFUNCTION("""COMPUTED_VALUE"""),"Adrien BOUVIER")</f>
        <v>Adrien BOUVIER</v>
      </c>
    </row>
    <row r="273">
      <c r="C273" t="str">
        <f>IFERROR(__xludf.DUMMYFUNCTION("""COMPUTED_VALUE"""),"Hugo Weiss")</f>
        <v>Hugo Weiss</v>
      </c>
    </row>
    <row r="274">
      <c r="C274" t="str">
        <f>IFERROR(__xludf.DUMMYFUNCTION("""COMPUTED_VALUE"""),"Adele ONDARCUHU")</f>
        <v>Adele ONDARCUHU</v>
      </c>
    </row>
    <row r="275">
      <c r="C275" t="str">
        <f>IFERROR(__xludf.DUMMYFUNCTION("""COMPUTED_VALUE"""),"Vire")</f>
        <v>Vire</v>
      </c>
    </row>
    <row r="276">
      <c r="C276" t="str">
        <f>IFERROR(__xludf.DUMMYFUNCTION("""COMPUTED_VALUE"""),"Valentin Pibernus")</f>
        <v>Valentin Pibernus</v>
      </c>
    </row>
    <row r="277">
      <c r="C277" t="str">
        <f>IFERROR(__xludf.DUMMYFUNCTION("""COMPUTED_VALUE"""),"Fabien RAVET")</f>
        <v>Fabien RAVET</v>
      </c>
    </row>
    <row r="278">
      <c r="C278" t="str">
        <f>IFERROR(__xludf.DUMMYFUNCTION("""COMPUTED_VALUE"""),"Bastien")</f>
        <v>Bastien</v>
      </c>
    </row>
    <row r="279">
      <c r="C279" t="str">
        <f>IFERROR(__xludf.DUMMYFUNCTION("""COMPUTED_VALUE"""),"Audric BALSSA")</f>
        <v>Audric BALSSA</v>
      </c>
    </row>
    <row r="280">
      <c r="C280" t="str">
        <f>IFERROR(__xludf.DUMMYFUNCTION("""COMPUTED_VALUE"""),"Alexandre SEVENO")</f>
        <v>Alexandre SEVENO</v>
      </c>
    </row>
    <row r="281">
      <c r="C281" t="str">
        <f>IFERROR(__xludf.DUMMYFUNCTION("""COMPUTED_VALUE"""),"Maxime PATRY")</f>
        <v>Maxime PATRY</v>
      </c>
    </row>
    <row r="282">
      <c r="C282" t="str">
        <f>IFERROR(__xludf.DUMMYFUNCTION("""COMPUTED_VALUE"""),"Selim Autones")</f>
        <v>Selim Autones</v>
      </c>
    </row>
    <row r="283">
      <c r="C283" t="str">
        <f>IFERROR(__xludf.DUMMYFUNCTION("""COMPUTED_VALUE"""),"Arthur")</f>
        <v>Arthur</v>
      </c>
    </row>
    <row r="284">
      <c r="C284" t="str">
        <f>IFERROR(__xludf.DUMMYFUNCTION("""COMPUTED_VALUE"""),"Mathurin Schneider")</f>
        <v>Mathurin Schneider</v>
      </c>
    </row>
    <row r="285">
      <c r="C285" t="str">
        <f>IFERROR(__xludf.DUMMYFUNCTION("""COMPUTED_VALUE"""),"KONATE")</f>
        <v>KONATE</v>
      </c>
    </row>
    <row r="286">
      <c r="C286" t="str">
        <f>IFERROR(__xludf.DUMMYFUNCTION("""COMPUTED_VALUE"""),"Alexandre FOSSORIER")</f>
        <v>Alexandre FOSSORIER</v>
      </c>
    </row>
    <row r="287">
      <c r="C287" t="str">
        <f>IFERROR(__xludf.DUMMYFUNCTION("""COMPUTED_VALUE"""),"Werner")</f>
        <v>Werner</v>
      </c>
    </row>
    <row r="288">
      <c r="C288" t="str">
        <f>IFERROR(__xludf.DUMMYFUNCTION("""COMPUTED_VALUE"""),"Paniez")</f>
        <v>Paniez</v>
      </c>
    </row>
    <row r="289">
      <c r="C289" t="str">
        <f>IFERROR(__xludf.DUMMYFUNCTION("""COMPUTED_VALUE"""),"Adrien HALLARD")</f>
        <v>Adrien HALLARD</v>
      </c>
    </row>
    <row r="290">
      <c r="C290" t="str">
        <f>IFERROR(__xludf.DUMMYFUNCTION("""COMPUTED_VALUE"""),"Timothée Corlay")</f>
        <v>Timothée Corlay</v>
      </c>
    </row>
    <row r="291">
      <c r="C291" t="str">
        <f>IFERROR(__xludf.DUMMYFUNCTION("""COMPUTED_VALUE"""),"Aurélio Catel")</f>
        <v>Aurélio Catel</v>
      </c>
    </row>
    <row r="292">
      <c r="C292" t="str">
        <f>IFERROR(__xludf.DUMMYFUNCTION("""COMPUTED_VALUE"""),"Yuna Landais")</f>
        <v>Yuna Landais</v>
      </c>
    </row>
  </sheetData>
  <drawing r:id="rId1"/>
</worksheet>
</file>