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éponses au formulaire 1" sheetId="1" state="visible" r:id="rId2"/>
    <sheet name="Réponse propre" sheetId="2" state="visible" r:id="rId3"/>
    <sheet name="FamillePersonnes" sheetId="3" state="visible" r:id="rId4"/>
    <sheet name="Famillesid" sheetId="4" state="visible" r:id="rId5"/>
    <sheet name="Personnesobjet" sheetId="5" state="visible" r:id="rId6"/>
    <sheet name="Placement amphi" sheetId="6" state="visible" r:id="rId7"/>
    <sheet name="Positionnement objet " sheetId="7" state="visible" r:id="rId8"/>
    <sheet name="Vérif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<sst xmlns="http://schemas.openxmlformats.org/spreadsheetml/2006/main" count="5466" uniqueCount="1168">
  <si>
    <t xml:space="preserve">Horodateur</t>
  </si>
  <si>
    <t xml:space="preserve">Prénom NOM </t>
  </si>
  <si>
    <t xml:space="preserve">Que vois-tu sur cette photo ?</t>
  </si>
  <si>
    <t xml:space="preserve">Tu as listé ?</t>
  </si>
  <si>
    <t xml:space="preserve">Tu t'investis dans l'associatif ?</t>
  </si>
  <si>
    <t xml:space="preserve">Goûts musicaux ?</t>
  </si>
  <si>
    <t xml:space="preserve">Amateur d'art (artiste ou spectateur) ?</t>
  </si>
  <si>
    <t xml:space="preserve">Tu joues aux jeux vidéo ?</t>
  </si>
  <si>
    <t xml:space="preserve">Tu fais du sport ?</t>
  </si>
  <si>
    <t xml:space="preserve">Le sport c'est .....</t>
  </si>
  <si>
    <t xml:space="preserve">Quel sport (pratique ou amateur) ?</t>
  </si>
  <si>
    <t xml:space="preserve">Tu aimes te faire des bons petits plats et bien manger  ?</t>
  </si>
  <si>
    <t xml:space="preserve">Maintenant on passe aux choses sérieuses, tu bois ? </t>
  </si>
  <si>
    <t xml:space="preserve">Tu sors souvent ?</t>
  </si>
  <si>
    <t xml:space="preserve">En soirée ......</t>
  </si>
  <si>
    <t xml:space="preserve">Tu fumes des gros ter ?</t>
  </si>
  <si>
    <t xml:space="preserve">Chaud pour avoir un fillot ITII ?</t>
  </si>
  <si>
    <t xml:space="preserve">Es-tu un ITII ?</t>
  </si>
  <si>
    <t xml:space="preserve">Quel est le nom de ta famille de parrains ?</t>
  </si>
  <si>
    <t xml:space="preserve">Quel objet donneras-tu à ton fillot pour la soirée de parrainage ?</t>
  </si>
  <si>
    <t xml:space="preserve">Quelles cultures veux tu découvrir ?</t>
  </si>
  <si>
    <t xml:space="preserve">Quelles langues connaît tu déjà (même un peu) ?</t>
  </si>
  <si>
    <t xml:space="preserve">Michel Qu</t>
  </si>
  <si>
    <t xml:space="preserve">L'homme le plus influent de France, leader charismatique récemment élu malgré son opposition passée avec certains membres du gouvernement, et Macron à ses côtés</t>
  </si>
  <si>
    <t xml:space="preserve">BDS</t>
  </si>
  <si>
    <t xml:space="preserve">Rock, Electro posée, Electro hard, Musique fançaise, Musique classique</t>
  </si>
  <si>
    <t xml:space="preserve">Musique</t>
  </si>
  <si>
    <t xml:space="preserve">Quelques fois par semaine</t>
  </si>
  <si>
    <t xml:space="preserve">Le dimanche à 15h32 s'il fait beau</t>
  </si>
  <si>
    <t xml:space="preserve">Pour le fun</t>
  </si>
  <si>
    <t xml:space="preserve">Sports de raquette</t>
  </si>
  <si>
    <t xml:space="preserve">J'aime cuisiner le WE ou quand j'ai le temps</t>
  </si>
  <si>
    <t xml:space="preserve">Plusieurs fois par semaine</t>
  </si>
  <si>
    <t xml:space="preserve">Objectif grosse défonce</t>
  </si>
  <si>
    <t xml:space="preserve">Non</t>
  </si>
  <si>
    <t xml:space="preserve">DPSU</t>
  </si>
  <si>
    <t xml:space="preserve">Du cidre</t>
  </si>
  <si>
    <t xml:space="preserve">Marie BOUTROUX</t>
  </si>
  <si>
    <t xml:space="preserve">BDE</t>
  </si>
  <si>
    <t xml:space="preserve">Rock, Electro posée, Pop, Musique fançaise</t>
  </si>
  <si>
    <t xml:space="preserve">Littérature, Musique, Cinéma</t>
  </si>
  <si>
    <t xml:space="preserve">Seulement les soirs de pleine lune</t>
  </si>
  <si>
    <t xml:space="preserve">Sports collectifs</t>
  </si>
  <si>
    <t xml:space="preserve">Je fais toujours attention à bien manger</t>
  </si>
  <si>
    <t xml:space="preserve">Une fois par jour (voire plus)</t>
  </si>
  <si>
    <t xml:space="preserve">T'enflammes le dancefloor</t>
  </si>
  <si>
    <t xml:space="preserve">Aucune idée</t>
  </si>
  <si>
    <t xml:space="preserve">Kheira POUVREAU</t>
  </si>
  <si>
    <t xml:space="preserve">Rock, Pop, Musique fançaise</t>
  </si>
  <si>
    <t xml:space="preserve">Danse, Théâtre</t>
  </si>
  <si>
    <t xml:space="preserve">Une fois de temps en temps</t>
  </si>
  <si>
    <t xml:space="preserve">Pour la compet</t>
  </si>
  <si>
    <t xml:space="preserve">Sports collectifs, Autre</t>
  </si>
  <si>
    <t xml:space="preserve">Une fois par semaine</t>
  </si>
  <si>
    <t xml:space="preserve">Oui</t>
  </si>
  <si>
    <t xml:space="preserve">.</t>
  </si>
  <si>
    <t xml:space="preserve">Jean ROMAN</t>
  </si>
  <si>
    <t xml:space="preserve">Electro posée, Electro hard, Pop, Autre</t>
  </si>
  <si>
    <t xml:space="preserve">Littérature, Cinéma</t>
  </si>
  <si>
    <t xml:space="preserve">Autre</t>
  </si>
  <si>
    <t xml:space="preserve">Oh oui, et les trucs bien gras ça me connait !</t>
  </si>
  <si>
    <t xml:space="preserve">Un cubi de sangria (vide, évidement, pas d'alcool dans Centrale)</t>
  </si>
  <si>
    <t xml:space="preserve">Alexis Birée</t>
  </si>
  <si>
    <t xml:space="preserve">Rock, Pop</t>
  </si>
  <si>
    <t xml:space="preserve">Musique, Cinéma</t>
  </si>
  <si>
    <t xml:space="preserve">Pour le développement perso et se dépasser</t>
  </si>
  <si>
    <t xml:space="preserve">Une fois par mois</t>
  </si>
  <si>
    <t xml:space="preserve">Le Bordel</t>
  </si>
  <si>
    <t xml:space="preserve">Surprise</t>
  </si>
  <si>
    <t xml:space="preserve">Jeanne SUDOUR</t>
  </si>
  <si>
    <t xml:space="preserve">Rock, Electro posée, Rap, Pop</t>
  </si>
  <si>
    <t xml:space="preserve">Littérature, Danse</t>
  </si>
  <si>
    <t xml:space="preserve">Alterner entre grec et coquillettes ça compte ?</t>
  </si>
  <si>
    <t xml:space="preserve">Je ne sais pas encore</t>
  </si>
  <si>
    <t xml:space="preserve">Laura DRAUX</t>
  </si>
  <si>
    <t xml:space="preserve">Le président et un inconnu</t>
  </si>
  <si>
    <t xml:space="preserve">Rap, Pop</t>
  </si>
  <si>
    <t xml:space="preserve">Pas du tout</t>
  </si>
  <si>
    <t xml:space="preserve">Equitation, Autre</t>
  </si>
  <si>
    <t xml:space="preserve">Je sais pas</t>
  </si>
  <si>
    <t xml:space="preserve">Célia CHABRANT</t>
  </si>
  <si>
    <t xml:space="preserve">Rock, Rap, Pop, Musique fançaise</t>
  </si>
  <si>
    <t xml:space="preserve">Littérature, Danse, Musique, Cinéma</t>
  </si>
  <si>
    <t xml:space="preserve">Sports collectifs, Equitation, Escalade</t>
  </si>
  <si>
    <t xml:space="preserve">On verra</t>
  </si>
  <si>
    <t xml:space="preserve">Pablo CARDONA ALVAREZ</t>
  </si>
  <si>
    <t xml:space="preserve">Rock, Electro posée, Pop</t>
  </si>
  <si>
    <t xml:space="preserve">Peinture, Musique, Cinéma</t>
  </si>
  <si>
    <t xml:space="preserve">Sports collectifs, Sports de raquette</t>
  </si>
  <si>
    <t xml:space="preserve">Tu te poses dans un coin, chill !!</t>
  </si>
  <si>
    <t xml:space="preserve">La Glotte</t>
  </si>
  <si>
    <t xml:space="preserve">Écharpe ( Valencia C.F. )</t>
  </si>
  <si>
    <t xml:space="preserve">Enzo MORI</t>
  </si>
  <si>
    <t xml:space="preserve">Electro posée, Electro hard, Rap, Pop, Musique fançaise</t>
  </si>
  <si>
    <t xml:space="preserve">Une fois par jour</t>
  </si>
  <si>
    <t xml:space="preserve">Sports collectifs, Sports de raquette, Sports aquatiques</t>
  </si>
  <si>
    <t xml:space="preserve">Consulm3ow</t>
  </si>
  <si>
    <t xml:space="preserve">Une cuillère </t>
  </si>
  <si>
    <t xml:space="preserve">Apolline Gorry</t>
  </si>
  <si>
    <t xml:space="preserve">Deux inconnus</t>
  </si>
  <si>
    <t xml:space="preserve">Rock, Pop, Musique fançaise, Jazz</t>
  </si>
  <si>
    <t xml:space="preserve">Littérature, Danse, Musique, Théâtre</t>
  </si>
  <si>
    <t xml:space="preserve">Pompon de cheerleading ou souvenir du Népal </t>
  </si>
  <si>
    <t xml:space="preserve">Victor VINCENT DE LESTRADE</t>
  </si>
  <si>
    <t xml:space="preserve">Electro posée, Rap, Pop</t>
  </si>
  <si>
    <t xml:space="preserve">Cinéma</t>
  </si>
  <si>
    <t xml:space="preserve">Palme de la plus grosse PLS Nemo 2019</t>
  </si>
  <si>
    <t xml:space="preserve">Mathis BARTHERE</t>
  </si>
  <si>
    <t xml:space="preserve">Electro posée, Electro hard, Rap, Musique fançaise</t>
  </si>
  <si>
    <t xml:space="preserve">Planche caspor</t>
  </si>
  <si>
    <t xml:space="preserve">Andrew FONDJO</t>
  </si>
  <si>
    <t xml:space="preserve">Rap, Autre</t>
  </si>
  <si>
    <t xml:space="preserve">Peinture, Danse, Musique</t>
  </si>
  <si>
    <t xml:space="preserve">Le CONSULM3OW</t>
  </si>
  <si>
    <t xml:space="preserve">Manette de play/table caspor</t>
  </si>
  <si>
    <t xml:space="preserve">Laura BOIS</t>
  </si>
  <si>
    <t xml:space="preserve">Electro posée</t>
  </si>
  <si>
    <t xml:space="preserve">Peinture, Littérature, Musique, Graphisme</t>
  </si>
  <si>
    <t xml:space="preserve">Sports de combat</t>
  </si>
  <si>
    <t xml:space="preserve">Le Zoo </t>
  </si>
  <si>
    <t xml:space="preserve">sifflet </t>
  </si>
  <si>
    <t xml:space="preserve">Guillaume SALUDEN</t>
  </si>
  <si>
    <t xml:space="preserve">Pop, Musique fançaise, Jazz</t>
  </si>
  <si>
    <t xml:space="preserve">Peinture, Littérature, Sculpture, Danse, Musique, Théâtre, Cinéma, Graphisme, Autre</t>
  </si>
  <si>
    <t xml:space="preserve">Sports collectifs, Athlétisme, Sports aquatiques, Equitation</t>
  </si>
  <si>
    <t xml:space="preserve">Beurre salé &amp; chocolatine</t>
  </si>
  <si>
    <t xml:space="preserve">Drapeau </t>
  </si>
  <si>
    <t xml:space="preserve">Dimitri DEGONHIER</t>
  </si>
  <si>
    <t xml:space="preserve">Rock, Electro posée, Electro hard, Pop</t>
  </si>
  <si>
    <t xml:space="preserve">Le Zoo</t>
  </si>
  <si>
    <t xml:space="preserve">Un meme imprimé (nantral gag  rpz)</t>
  </si>
  <si>
    <t xml:space="preserve">André D'ELBREIL</t>
  </si>
  <si>
    <t xml:space="preserve">Rock, Electro posée, Rap, Pop, Jazz</t>
  </si>
  <si>
    <t xml:space="preserve">Un bout de verre (la fontaine tmtc)</t>
  </si>
  <si>
    <t xml:space="preserve">Louis Duhem</t>
  </si>
  <si>
    <t xml:space="preserve">Rock, Rap, Pop, Musique fançaise, Jazz</t>
  </si>
  <si>
    <t xml:space="preserve">Les domineurs</t>
  </si>
  <si>
    <t xml:space="preserve">Du houmous</t>
  </si>
  <si>
    <t xml:space="preserve">Maximin TOURAILLE</t>
  </si>
  <si>
    <t xml:space="preserve">Electro posée, Pop, Musique fançaise</t>
  </si>
  <si>
    <t xml:space="preserve">Sports collectifs, Sports de combat</t>
  </si>
  <si>
    <t xml:space="preserve">costume de nain + lunettes </t>
  </si>
  <si>
    <t xml:space="preserve">Gonzalez JoseRi 😇</t>
  </si>
  <si>
    <t xml:space="preserve">Rock, Metal, Electro posée, Electro hard, Rap, Pop, Musique fançaise, Jazz, Musique classique, Kpop, Autre</t>
  </si>
  <si>
    <t xml:space="preserve">Sports collectifs, Sports de raquette, Athlétisme, Voile, Sports de rames, Sports aquatiques, Sports de combat, Equitation, Escalade, Autre</t>
  </si>
  <si>
    <t xml:space="preserve">Mouton</t>
  </si>
  <si>
    <t xml:space="preserve">Jeremy Garcia</t>
  </si>
  <si>
    <t xml:space="preserve">Sports collectifs, Athlétisme, Sports de rames, Equitation</t>
  </si>
  <si>
    <t xml:space="preserve">Beurre Salé &amp; Chocolatine  </t>
  </si>
  <si>
    <t xml:space="preserve">Puzzle</t>
  </si>
  <si>
    <t xml:space="preserve">Maxence FORT</t>
  </si>
  <si>
    <t xml:space="preserve">Rock, Electro posée, Electro hard, Rap, Autre</t>
  </si>
  <si>
    <t xml:space="preserve">Danse, Musique, Cinéma, Graphisme</t>
  </si>
  <si>
    <t xml:space="preserve">Sports collectifs, Athlétisme, Sports de rames, Equitation, Autre</t>
  </si>
  <si>
    <t xml:space="preserve">Puzzle hyper stylé</t>
  </si>
  <si>
    <t xml:space="preserve">Adrien COCHARD</t>
  </si>
  <si>
    <t xml:space="preserve">Metal</t>
  </si>
  <si>
    <t xml:space="preserve">Musique, Théâtre</t>
  </si>
  <si>
    <t xml:space="preserve">La Comté</t>
  </si>
  <si>
    <t xml:space="preserve">D120</t>
  </si>
  <si>
    <t xml:space="preserve">Tom Aubelle</t>
  </si>
  <si>
    <t xml:space="preserve">La chevroll's </t>
  </si>
  <si>
    <t xml:space="preserve">Pas encore trouvé </t>
  </si>
  <si>
    <t xml:space="preserve">Joanna MARTIN</t>
  </si>
  <si>
    <t xml:space="preserve">Electro posée, Pop</t>
  </si>
  <si>
    <t xml:space="preserve">Littérature, Musique</t>
  </si>
  <si>
    <t xml:space="preserve">La Chevroll’s</t>
  </si>
  <si>
    <t xml:space="preserve">Un éléphant</t>
  </si>
  <si>
    <t xml:space="preserve">Pauline Viault</t>
  </si>
  <si>
    <t xml:space="preserve">Sports collectifs, Sports aquatiques</t>
  </si>
  <si>
    <t xml:space="preserve">La Comté </t>
  </si>
  <si>
    <t xml:space="preserve">Un tutu rose </t>
  </si>
  <si>
    <t xml:space="preserve">Laurine DECROS</t>
  </si>
  <si>
    <t xml:space="preserve">Littérature, Danse, Musique, Théâtre, Cinéma, Graphisme</t>
  </si>
  <si>
    <t xml:space="preserve">Une partition de musique </t>
  </si>
  <si>
    <t xml:space="preserve">Suzanne COUTELOU</t>
  </si>
  <si>
    <t xml:space="preserve">BDA, BDE</t>
  </si>
  <si>
    <t xml:space="preserve">Rock, Electro posée, Pop, Jazz, Musique classique</t>
  </si>
  <si>
    <t xml:space="preserve">Danse, Musique, Théâtre, Cinéma</t>
  </si>
  <si>
    <t xml:space="preserve">Sports collectifs, Voile, Sports de combat, Escalade, Autre</t>
  </si>
  <si>
    <t xml:space="preserve">Une salopette rayée bleue et blanche</t>
  </si>
  <si>
    <t xml:space="preserve">Hugo DOUX</t>
  </si>
  <si>
    <t xml:space="preserve">Rock, Electro posée, Electro hard, Rap, Pop, Musique fançaise, Jazz, Musique classique, Autre</t>
  </si>
  <si>
    <t xml:space="preserve">Peinture, Danse, Musique, Théâtre, Cinéma, Graphisme, Autre</t>
  </si>
  <si>
    <t xml:space="preserve">Sports collectifs, Sports de rames, Sports aquatiques, Autre</t>
  </si>
  <si>
    <t xml:space="preserve">Un bandana</t>
  </si>
  <si>
    <t xml:space="preserve">Alexandre VURLOD</t>
  </si>
  <si>
    <t xml:space="preserve">Sports collectifs, Sports de raquette, Sports de combat</t>
  </si>
  <si>
    <t xml:space="preserve">La Chevroll's</t>
  </si>
  <si>
    <t xml:space="preserve">Ce choix n'est encore défini</t>
  </si>
  <si>
    <t xml:space="preserve">Julie Ugolini</t>
  </si>
  <si>
    <t xml:space="preserve">Electro hard, Rap</t>
  </si>
  <si>
    <t xml:space="preserve">La tracharnasse </t>
  </si>
  <si>
    <t xml:space="preserve">Sûrement une connerie </t>
  </si>
  <si>
    <t xml:space="preserve">Marie POIRIER</t>
  </si>
  <si>
    <t xml:space="preserve">BDE, BDS</t>
  </si>
  <si>
    <t xml:space="preserve">La Tracharnasse</t>
  </si>
  <si>
    <t xml:space="preserve">Un skate ou un trotinnette</t>
  </si>
  <si>
    <t xml:space="preserve">Tony MARTINEAU</t>
  </si>
  <si>
    <t xml:space="preserve">Pop, Musique fançaise, Musique classique</t>
  </si>
  <si>
    <t xml:space="preserve">Athlétisme</t>
  </si>
  <si>
    <t xml:space="preserve">pas encore d'idée</t>
  </si>
  <si>
    <t xml:space="preserve">Maelig GABORIEAU</t>
  </si>
  <si>
    <t xml:space="preserve">Electro posée, Rap, Pop, Musique fançaise</t>
  </si>
  <si>
    <t xml:space="preserve">Sports collectifs, Sports de raquette, Athlétisme</t>
  </si>
  <si>
    <t xml:space="preserve">La Glotte </t>
  </si>
  <si>
    <t xml:space="preserve">Une casquette </t>
  </si>
  <si>
    <t xml:space="preserve">Marc de Ponnat</t>
  </si>
  <si>
    <t xml:space="preserve">Rock, Metal, Musique fançaise</t>
  </si>
  <si>
    <t xml:space="preserve">Une table ou un micro</t>
  </si>
  <si>
    <t xml:space="preserve">Vincent PASCAT</t>
  </si>
  <si>
    <t xml:space="preserve">Electro posée, Electro hard</t>
  </si>
  <si>
    <t xml:space="preserve">Les domineurs </t>
  </si>
  <si>
    <t xml:space="preserve">Un vinyle?</t>
  </si>
  <si>
    <t xml:space="preserve">Matthieu Brunot</t>
  </si>
  <si>
    <t xml:space="preserve">un enfant, voire deux s'il est chauve</t>
  </si>
  <si>
    <t xml:space="preserve">troll</t>
  </si>
  <si>
    <t xml:space="preserve">Julien Bomberault</t>
  </si>
  <si>
    <t xml:space="preserve">BDA</t>
  </si>
  <si>
    <t xml:space="preserve">Rock, Metal, Electro posée, Electro hard, Rap, Jazz, Musique classique, Autre</t>
  </si>
  <si>
    <t xml:space="preserve">Pas de sport</t>
  </si>
  <si>
    <t xml:space="preserve">Une peluche de Scrat</t>
  </si>
  <si>
    <t xml:space="preserve">Carmen SORIA</t>
  </si>
  <si>
    <t xml:space="preserve">Rock, Electro posée, Rap, Pop, Musique fançaise, Autre</t>
  </si>
  <si>
    <t xml:space="preserve">Sports collectifs, Athlétisme, Escalade, Autre</t>
  </si>
  <si>
    <t xml:space="preserve">pâte à modeler</t>
  </si>
  <si>
    <t xml:space="preserve">Constance Kooyman</t>
  </si>
  <si>
    <t xml:space="preserve">Rock, Metal, Jazz, Musique classique, Autre</t>
  </si>
  <si>
    <t xml:space="preserve">Athlétisme, Equitation</t>
  </si>
  <si>
    <t xml:space="preserve">Waltherock</t>
  </si>
  <si>
    <t xml:space="preserve">Walter le mouton (c'est une peluche) </t>
  </si>
  <si>
    <t xml:space="preserve">Damien GUYONVARCH</t>
  </si>
  <si>
    <t xml:space="preserve">Pas de liste</t>
  </si>
  <si>
    <t xml:space="preserve">Rock, Electro posée, Pop, Autre</t>
  </si>
  <si>
    <t xml:space="preserve">Cadre avec une photo de Dwayne Johnson</t>
  </si>
  <si>
    <t xml:space="preserve">Florent COLLOCH</t>
  </si>
  <si>
    <t xml:space="preserve">Bouteille de sable</t>
  </si>
  <si>
    <t xml:space="preserve">Adrien RIDOUARD</t>
  </si>
  <si>
    <t xml:space="preserve">Rock, Metal, Electro posée, Electro hard</t>
  </si>
  <si>
    <t xml:space="preserve">Liasse de billets (home made) </t>
  </si>
  <si>
    <t xml:space="preserve">Lucas MIRANDE</t>
  </si>
  <si>
    <t xml:space="preserve">Electro posée, Electro hard, Rap, Musique classique</t>
  </si>
  <si>
    <t xml:space="preserve">Musique, Théâtre, Cinéma</t>
  </si>
  <si>
    <t xml:space="preserve">Sports collectifs, Athlétisme, Sports de rames</t>
  </si>
  <si>
    <t xml:space="preserve">Un drapeau du Brésil</t>
  </si>
  <si>
    <t xml:space="preserve">Simon PUECH</t>
  </si>
  <si>
    <t xml:space="preserve">Electro posée, Jazz</t>
  </si>
  <si>
    <t xml:space="preserve">Harnais de kitesurf</t>
  </si>
  <si>
    <t xml:space="preserve">Thomas Serratrice</t>
  </si>
  <si>
    <t xml:space="preserve">Rock, Electro posée, Musique fançaise</t>
  </si>
  <si>
    <t xml:space="preserve">Sports de raquette, Athlétisme, Sports aquatiques</t>
  </si>
  <si>
    <t xml:space="preserve">COMA</t>
  </si>
  <si>
    <t xml:space="preserve">Bombe de lubrifiant moteur diesel </t>
  </si>
  <si>
    <t xml:space="preserve">Clément DENIS</t>
  </si>
  <si>
    <t xml:space="preserve">Electro hard, Rap, Pop, Musique fançaise, Jazz</t>
  </si>
  <si>
    <t xml:space="preserve">Abdel Caspor Harrack si il est là </t>
  </si>
  <si>
    <t xml:space="preserve">Mathieu KERMAREC</t>
  </si>
  <si>
    <t xml:space="preserve">Rap, Jazz</t>
  </si>
  <si>
    <t xml:space="preserve">Musique, Autre</t>
  </si>
  <si>
    <t xml:space="preserve">L'Influence</t>
  </si>
  <si>
    <t xml:space="preserve">Un truc</t>
  </si>
  <si>
    <t xml:space="preserve">Thomas LE JAN</t>
  </si>
  <si>
    <t xml:space="preserve">Electro posée, Electro hard, Autre</t>
  </si>
  <si>
    <t xml:space="preserve">Danse, Musique, Autre</t>
  </si>
  <si>
    <t xml:space="preserve">Pour les autres</t>
  </si>
  <si>
    <t xml:space="preserve">Equitation</t>
  </si>
  <si>
    <t xml:space="preserve">L’Influence</t>
  </si>
  <si>
    <t xml:space="preserve">Un cadeau </t>
  </si>
  <si>
    <t xml:space="preserve">Paul LENOIR</t>
  </si>
  <si>
    <t xml:space="preserve">Pas du tout, Peinture, Littérature, Sculpture, Danse, Musique, Théâtre, Cinéma, Graphisme, Autre</t>
  </si>
  <si>
    <t xml:space="preserve">Sports collectifs, Sports de rames, Sports de combat</t>
  </si>
  <si>
    <t xml:space="preserve">Un présent </t>
  </si>
  <si>
    <t xml:space="preserve">Alexandre MERVILLE</t>
  </si>
  <si>
    <t xml:space="preserve">Electro posée, Electro hard, Jazz</t>
  </si>
  <si>
    <t xml:space="preserve">Pas du tout, Autre</t>
  </si>
  <si>
    <t xml:space="preserve">Sports collectifs, Sports de rames, Equitation</t>
  </si>
  <si>
    <t xml:space="preserve">NON</t>
  </si>
  <si>
    <t xml:space="preserve">Gabriel Lucas</t>
  </si>
  <si>
    <t xml:space="preserve">Rock, Metal, Electro posée, Electro hard, Autre</t>
  </si>
  <si>
    <t xml:space="preserve">Grégory Perret</t>
  </si>
  <si>
    <t xml:space="preserve">Rap, Musique fançaise</t>
  </si>
  <si>
    <t xml:space="preserve">Casquette de Schumacher </t>
  </si>
  <si>
    <t xml:space="preserve">Agathe MADAULE</t>
  </si>
  <si>
    <t xml:space="preserve">Je suis aigri et j'aime pas la musique, Rap</t>
  </si>
  <si>
    <t xml:space="preserve">Summerfaigle</t>
  </si>
  <si>
    <t xml:space="preserve">Foulard feria</t>
  </si>
  <si>
    <t xml:space="preserve">Mathilde Querné</t>
  </si>
  <si>
    <t xml:space="preserve">Danse, Musique</t>
  </si>
  <si>
    <t xml:space="preserve">Un cactus</t>
  </si>
  <si>
    <t xml:space="preserve">Marie Cozzi</t>
  </si>
  <si>
    <t xml:space="preserve">Je suis aigri et j'aime pas la musique</t>
  </si>
  <si>
    <t xml:space="preserve">Théâtre, Cinéma, Graphisme</t>
  </si>
  <si>
    <t xml:space="preserve">Pas de sport, Equitation</t>
  </si>
  <si>
    <t xml:space="preserve">PB-nuage</t>
  </si>
  <si>
    <t xml:space="preserve">Ma veste jaune</t>
  </si>
  <si>
    <t xml:space="preserve">Cédric DUSSERRE</t>
  </si>
  <si>
    <t xml:space="preserve">Rock, Rap, Musique fançaise</t>
  </si>
  <si>
    <t xml:space="preserve">Sports aquatiques, Autre</t>
  </si>
  <si>
    <t xml:space="preserve">Mafia</t>
  </si>
  <si>
    <t xml:space="preserve">Une crosse de hockey</t>
  </si>
  <si>
    <t xml:space="preserve">Julien Douxami</t>
  </si>
  <si>
    <t xml:space="preserve">Rap</t>
  </si>
  <si>
    <t xml:space="preserve">des lunettes fashion</t>
  </si>
  <si>
    <t xml:space="preserve">Louis DA COSTA</t>
  </si>
  <si>
    <t xml:space="preserve">Rock, Electro hard, Rap, Pop, Jazz</t>
  </si>
  <si>
    <t xml:space="preserve">Danse, Cinéma</t>
  </si>
  <si>
    <t xml:space="preserve">COMA </t>
  </si>
  <si>
    <t xml:space="preserve">Une atelle</t>
  </si>
  <si>
    <t xml:space="preserve">Antoine Dupuis</t>
  </si>
  <si>
    <t xml:space="preserve">Electro posée, Rap, Musique fançaise, Jazz</t>
  </si>
  <si>
    <t xml:space="preserve">Peinture, Musique</t>
  </si>
  <si>
    <t xml:space="preserve">Coma</t>
  </si>
  <si>
    <t xml:space="preserve">Un ski de qualité supérieure</t>
  </si>
  <si>
    <t xml:space="preserve">Lilian Dedecker</t>
  </si>
  <si>
    <t xml:space="preserve">Rock, Metal, Electro hard, Rap, Musique fançaise</t>
  </si>
  <si>
    <t xml:space="preserve">Appareil photo</t>
  </si>
  <si>
    <t xml:space="preserve">J'ui une grosse pute</t>
  </si>
  <si>
    <t xml:space="preserve">Rock, Pop, Kpop</t>
  </si>
  <si>
    <t xml:space="preserve">Peinture, Musique, Théâtre, Cinéma</t>
  </si>
  <si>
    <t xml:space="preserve">Chapeau de farfadet </t>
  </si>
  <si>
    <t xml:space="preserve">Valentine KEMPF</t>
  </si>
  <si>
    <t xml:space="preserve">Rock, Metal, Pop, Musique fançaise, Jazz, Musique classique, Autre</t>
  </si>
  <si>
    <t xml:space="preserve">Peinture, Sculpture, Danse, Musique, Théâtre, Cinéma, Graphisme</t>
  </si>
  <si>
    <t xml:space="preserve">Une sonette de vélo </t>
  </si>
  <si>
    <t xml:space="preserve">Charlotte Fosse</t>
  </si>
  <si>
    <t xml:space="preserve">Sports de raquette, Autre</t>
  </si>
  <si>
    <t xml:space="preserve">Trident X ChaPau</t>
  </si>
  <si>
    <t xml:space="preserve">Choix en cours</t>
  </si>
  <si>
    <t xml:space="preserve">Julien LACOUR</t>
  </si>
  <si>
    <t xml:space="preserve">Sports aquatiques</t>
  </si>
  <si>
    <t xml:space="preserve">La comté</t>
  </si>
  <si>
    <t xml:space="preserve">Peluche Snoopy</t>
  </si>
  <si>
    <t xml:space="preserve">Irène Le Borgne</t>
  </si>
  <si>
    <t xml:space="preserve">Rock, Rap, Pop, Jazz</t>
  </si>
  <si>
    <t xml:space="preserve">Un kway orange</t>
  </si>
  <si>
    <t xml:space="preserve">Aurélien DE LA HOUGUE</t>
  </si>
  <si>
    <t xml:space="preserve">Littérature, Sculpture, Danse, Cinéma</t>
  </si>
  <si>
    <t xml:space="preserve">Voile, Autre</t>
  </si>
  <si>
    <t xml:space="preserve">Trident x ChaPau </t>
  </si>
  <si>
    <t xml:space="preserve">Une spirale hypnotisante</t>
  </si>
  <si>
    <t xml:space="preserve">Matthieu BARCET</t>
  </si>
  <si>
    <t xml:space="preserve">Sports collectifs, Sports de raquette, Voile, Escalade, Autre</t>
  </si>
  <si>
    <t xml:space="preserve">Trident x ChaPau</t>
  </si>
  <si>
    <t xml:space="preserve">Un bout de voile</t>
  </si>
  <si>
    <t xml:space="preserve">Marie VIOLLEAU</t>
  </si>
  <si>
    <t xml:space="preserve">Rap, Pop, Musique fançaise, Jazz, Musique classique, Autre</t>
  </si>
  <si>
    <t xml:space="preserve">gallerie++</t>
  </si>
  <si>
    <t xml:space="preserve">Une béquille </t>
  </si>
  <si>
    <t xml:space="preserve">Mathieu ZACH</t>
  </si>
  <si>
    <t xml:space="preserve">Rock, Electro posée, Rap, Pop, Musique fançaise, Jazz, Musique classique, Autre</t>
  </si>
  <si>
    <t xml:space="preserve">Musique, Cinéma, Autre</t>
  </si>
  <si>
    <t xml:space="preserve">Sports collectifs, Sports de combat, Autre</t>
  </si>
  <si>
    <t xml:space="preserve">galerie ++</t>
  </si>
  <si>
    <t xml:space="preserve">Poster sympathique </t>
  </si>
  <si>
    <t xml:space="preserve">Iris PROUST</t>
  </si>
  <si>
    <t xml:space="preserve">Sports collectifs, Sports de rames</t>
  </si>
  <si>
    <t xml:space="preserve">cannelés</t>
  </si>
  <si>
    <t xml:space="preserve">Louis AUGEREAU</t>
  </si>
  <si>
    <t xml:space="preserve">Rock, Electro posée, Musique fançaise, Musique classique</t>
  </si>
  <si>
    <t xml:space="preserve">Sports collectifs, Voile, Sports de combat</t>
  </si>
  <si>
    <t xml:space="preserve">Trident x ChaPo</t>
  </si>
  <si>
    <t xml:space="preserve">Un truc stylé</t>
  </si>
  <si>
    <t xml:space="preserve">Céline Balmes</t>
  </si>
  <si>
    <t xml:space="preserve">Rock, Electro posée, Pop, Musique fançaise, Jazz, Musique classique</t>
  </si>
  <si>
    <t xml:space="preserve">Peinture, Musique, Autre</t>
  </si>
  <si>
    <t xml:space="preserve">Cape Winterf'aigle</t>
  </si>
  <si>
    <t xml:space="preserve">Paul SIMON</t>
  </si>
  <si>
    <t xml:space="preserve">Rock, Metal, Electro posée, Pop</t>
  </si>
  <si>
    <t xml:space="preserve">De l'amour</t>
  </si>
  <si>
    <t xml:space="preserve">Paul CHAUVIN</t>
  </si>
  <si>
    <t xml:space="preserve">Musique fançaise</t>
  </si>
  <si>
    <t xml:space="preserve">Sports collectifs, Sports de raquette, Voile, Autre</t>
  </si>
  <si>
    <t xml:space="preserve">Mafia </t>
  </si>
  <si>
    <t xml:space="preserve">je sais pas encore </t>
  </si>
  <si>
    <t xml:space="preserve">Paul MARTEL</t>
  </si>
  <si>
    <t xml:space="preserve">Rap, Musique fançaise, Jazz</t>
  </si>
  <si>
    <t xml:space="preserve">Le Corridor</t>
  </si>
  <si>
    <t xml:space="preserve">Déguisement </t>
  </si>
  <si>
    <t xml:space="preserve">Pierre-Louis lombard</t>
  </si>
  <si>
    <t xml:space="preserve">Je suis aigri et j'aime pas la musique, Musique fançaise</t>
  </si>
  <si>
    <t xml:space="preserve">Mon bob Charlie </t>
  </si>
  <si>
    <t xml:space="preserve">Lucas Chaubier</t>
  </si>
  <si>
    <t xml:space="preserve">Rock, Metal, Musique fançaise, Musique classique</t>
  </si>
  <si>
    <t xml:space="preserve">🎈</t>
  </si>
  <si>
    <t xml:space="preserve">Matthieu RETIERE</t>
  </si>
  <si>
    <t xml:space="preserve">Rap, Pop, Musique fançaise</t>
  </si>
  <si>
    <t xml:space="preserve">Un truc quali</t>
  </si>
  <si>
    <t xml:space="preserve">Jules SINTES</t>
  </si>
  <si>
    <t xml:space="preserve">Electro posée, Rap, Musique fançaise</t>
  </si>
  <si>
    <t xml:space="preserve">Sports collectifs, Equitation</t>
  </si>
  <si>
    <t xml:space="preserve">Dusex</t>
  </si>
  <si>
    <t xml:space="preserve">Ski</t>
  </si>
  <si>
    <t xml:space="preserve">Emeric Claudel</t>
  </si>
  <si>
    <t xml:space="preserve">Littérature, Sculpture, Danse, Graphisme</t>
  </si>
  <si>
    <t xml:space="preserve">Raffin</t>
  </si>
  <si>
    <t xml:space="preserve">Thomas AUZARD</t>
  </si>
  <si>
    <t xml:space="preserve">Rock, Rap, Jazz, Musique classique, Kpop, Autre</t>
  </si>
  <si>
    <t xml:space="preserve">Peinture, Littérature, Danse, Musique</t>
  </si>
  <si>
    <t xml:space="preserve">Sports de raquette, Equitation</t>
  </si>
  <si>
    <t xml:space="preserve">Une voiture </t>
  </si>
  <si>
    <t xml:space="preserve">Orson JAY</t>
  </si>
  <si>
    <t xml:space="preserve">Ski bas</t>
  </si>
  <si>
    <t xml:space="preserve">Sébastien MARAIS</t>
  </si>
  <si>
    <t xml:space="preserve">Electro posée, Rap</t>
  </si>
  <si>
    <t xml:space="preserve">Bonsaï</t>
  </si>
  <si>
    <t xml:space="preserve">Baptiste Miossec</t>
  </si>
  <si>
    <t xml:space="preserve">Electro posée, Pop, Musique fançaise, Autre</t>
  </si>
  <si>
    <t xml:space="preserve">Sports de raquette, Athlétisme, Sports de rames</t>
  </si>
  <si>
    <t xml:space="preserve">Summerf’aigle </t>
  </si>
  <si>
    <t xml:space="preserve">Médaille de semi marathon </t>
  </si>
  <si>
    <t xml:space="preserve">Ferreol GORIOUX</t>
  </si>
  <si>
    <t xml:space="preserve">La Roulotte</t>
  </si>
  <si>
    <t xml:space="preserve">Un maillot de rugby </t>
  </si>
  <si>
    <t xml:space="preserve">Gauthier Maillard</t>
  </si>
  <si>
    <t xml:space="preserve">Sports de raquette, Athlétisme</t>
  </si>
  <si>
    <t xml:space="preserve">Galerie ++</t>
  </si>
  <si>
    <t xml:space="preserve">Une roue de velo</t>
  </si>
  <si>
    <t xml:space="preserve">Thomas SAEZ</t>
  </si>
  <si>
    <t xml:space="preserve">La dézingue </t>
  </si>
  <si>
    <t xml:space="preserve">une truelle avec du platre</t>
  </si>
  <si>
    <t xml:space="preserve">Maixent TIGNON</t>
  </si>
  <si>
    <t xml:space="preserve">Musique, Cinéma, Graphisme</t>
  </si>
  <si>
    <t xml:space="preserve">Une chaise de bureau en bien bel état</t>
  </si>
  <si>
    <t xml:space="preserve">Quentin Peyle</t>
  </si>
  <si>
    <t xml:space="preserve">La glotte</t>
  </si>
  <si>
    <t xml:space="preserve">Une bêche </t>
  </si>
  <si>
    <t xml:space="preserve">Lucas Baraton</t>
  </si>
  <si>
    <t xml:space="preserve">Electro posée, Electro hard, Rap</t>
  </si>
  <si>
    <t xml:space="preserve">Boîte de glaçons </t>
  </si>
  <si>
    <t xml:space="preserve">Samuel RATOUIT</t>
  </si>
  <si>
    <t xml:space="preserve">Electro posée, Rap, Pop, Musique fançaise, Jazz</t>
  </si>
  <si>
    <t xml:space="preserve">Un Chapelet </t>
  </si>
  <si>
    <t xml:space="preserve">Martin Fauchille-Martin</t>
  </si>
  <si>
    <t xml:space="preserve">BDS, Pas de liste</t>
  </si>
  <si>
    <t xml:space="preserve">Le petit Némo</t>
  </si>
  <si>
    <t xml:space="preserve">Nils Hornet</t>
  </si>
  <si>
    <t xml:space="preserve">Electro posée, Rap, Pop, Musique fançaise, Musique classique</t>
  </si>
  <si>
    <t xml:space="preserve">Une tongue </t>
  </si>
  <si>
    <t xml:space="preserve">Thomas MEDORI</t>
  </si>
  <si>
    <t xml:space="preserve">Electro hard, Rap, Pop, Musique fançaise</t>
  </si>
  <si>
    <t xml:space="preserve">Aquamiff</t>
  </si>
  <si>
    <t xml:space="preserve">Aquarium</t>
  </si>
  <si>
    <t xml:space="preserve">Aurèle HAINAUT</t>
  </si>
  <si>
    <t xml:space="preserve">Rock, Electro posée, Electro hard</t>
  </si>
  <si>
    <t xml:space="preserve">Sports de raquette, Escalade</t>
  </si>
  <si>
    <t xml:space="preserve">Aquamif </t>
  </si>
  <si>
    <t xml:space="preserve">Un flacon de poppy </t>
  </si>
  <si>
    <t xml:space="preserve">Aurèle DALIBOT</t>
  </si>
  <si>
    <t xml:space="preserve">Aquamif</t>
  </si>
  <si>
    <t xml:space="preserve">Un chibros</t>
  </si>
  <si>
    <t xml:space="preserve">Quentin NIGRON</t>
  </si>
  <si>
    <t xml:space="preserve">Rock, Electro posée, Rap, Pop, Musique fançaise, Jazz, Musique classique</t>
  </si>
  <si>
    <t xml:space="preserve">Sports collectifs, Athlétisme</t>
  </si>
  <si>
    <t xml:space="preserve">Une fiole </t>
  </si>
  <si>
    <t xml:space="preserve">Alessandro MASI</t>
  </si>
  <si>
    <t xml:space="preserve">Rock, Metal</t>
  </si>
  <si>
    <t xml:space="preserve">PB/Nuage</t>
  </si>
  <si>
    <t xml:space="preserve">"1001 manières de cuisiner les légumes anciens : le guide complet revisité, édition 1967 avec supplément poireux et navets inclus pour le même prix"</t>
  </si>
  <si>
    <t xml:space="preserve">Robin Tanquerel</t>
  </si>
  <si>
    <t xml:space="preserve">Pas de sport, Sports de raquette</t>
  </si>
  <si>
    <t xml:space="preserve">PB-Nuage</t>
  </si>
  <si>
    <t xml:space="preserve">Du JDR et de l'alcool </t>
  </si>
  <si>
    <t xml:space="preserve">Pauline AUBRY</t>
  </si>
  <si>
    <t xml:space="preserve">Littérature, Musique, Cinéma, Graphisme</t>
  </si>
  <si>
    <t xml:space="preserve">Pas de sport, Athlétisme</t>
  </si>
  <si>
    <t xml:space="preserve">Auberge-Monastère</t>
  </si>
  <si>
    <t xml:space="preserve">Ma couronne</t>
  </si>
  <si>
    <t xml:space="preserve">Nicolas GUYONNEAU</t>
  </si>
  <si>
    <t xml:space="preserve">Le Donjon</t>
  </si>
  <si>
    <t xml:space="preserve">Mon maillot de volley</t>
  </si>
  <si>
    <t xml:space="preserve">Nathan Gérard</t>
  </si>
  <si>
    <t xml:space="preserve">Sports de rames</t>
  </si>
  <si>
    <t xml:space="preserve">Un calendrier Clara Morgane</t>
  </si>
  <si>
    <t xml:space="preserve">Flora SOUSSAND</t>
  </si>
  <si>
    <t xml:space="preserve">Rock, Pop, Musique fançaise, Musique classique, Autre</t>
  </si>
  <si>
    <t xml:space="preserve">Peinture, Littérature, Sculpture, Danse, Théâtre, Cinéma</t>
  </si>
  <si>
    <t xml:space="preserve">ECNiouzes sur l'enfance</t>
  </si>
  <si>
    <t xml:space="preserve">Maxime Guldner</t>
  </si>
  <si>
    <t xml:space="preserve">Sports collectifs, Sports de raquette, Sports de combat, Autre</t>
  </si>
  <si>
    <t xml:space="preserve">Summerf'aigle</t>
  </si>
  <si>
    <t xml:space="preserve">album l'entourage </t>
  </si>
  <si>
    <t xml:space="preserve">Alizée DIATCHENKO</t>
  </si>
  <si>
    <t xml:space="preserve">La 4 étoiles</t>
  </si>
  <si>
    <t xml:space="preserve">Une étoile</t>
  </si>
  <si>
    <t xml:space="preserve">Thibaut BERTHOMÉ</t>
  </si>
  <si>
    <t xml:space="preserve">Une maquette d'archi lol</t>
  </si>
  <si>
    <t xml:space="preserve">Claire TRINQUET</t>
  </si>
  <si>
    <t xml:space="preserve">Rock, Rap, Kpop</t>
  </si>
  <si>
    <t xml:space="preserve">Un domino</t>
  </si>
  <si>
    <t xml:space="preserve">Sol VILLEGAS</t>
  </si>
  <si>
    <t xml:space="preserve">Pimp my ride</t>
  </si>
  <si>
    <t xml:space="preserve">JAMONN</t>
  </si>
  <si>
    <t xml:space="preserve">Mario ALVAREZ-CASTRILLON</t>
  </si>
  <si>
    <t xml:space="preserve">Rock, Jazz</t>
  </si>
  <si>
    <t xml:space="preserve">Pimp my Ride</t>
  </si>
  <si>
    <t xml:space="preserve">Guitare</t>
  </si>
  <si>
    <t xml:space="preserve">Marie-Jeanne PAUL</t>
  </si>
  <si>
    <t xml:space="preserve">Rock, Metal, Electro posée, Electro hard, Pop, Musique fançaise, Jazz, Musique classique, Kpop</t>
  </si>
  <si>
    <t xml:space="preserve">Peinture, Littérature, Danse, Musique, Théâtre, Cinéma</t>
  </si>
  <si>
    <t xml:space="preserve">Sports aquatiques, Escalade</t>
  </si>
  <si>
    <t xml:space="preserve">Auberge/Monastere</t>
  </si>
  <si>
    <t xml:space="preserve">Vincent Maillou</t>
  </si>
  <si>
    <t xml:space="preserve">Electro posée, Electro hard, Rap, Pop, Jazz</t>
  </si>
  <si>
    <t xml:space="preserve">Musique, Graphisme</t>
  </si>
  <si>
    <t xml:space="preserve">Sports de rames, Autre</t>
  </si>
  <si>
    <t xml:space="preserve">Un aviron (la rame)</t>
  </si>
  <si>
    <t xml:space="preserve">Benjamin Martin</t>
  </si>
  <si>
    <t xml:space="preserve">Je suis aigri et j'aime pas la musique, Rock, Metal, Electro posée, Rap, Pop, Musique fançaise, Jazz, Musique classique, Kpop</t>
  </si>
  <si>
    <t xml:space="preserve">Escalade</t>
  </si>
  <si>
    <t xml:space="preserve">Les Mages</t>
  </si>
  <si>
    <t xml:space="preserve">Le parchemin magique du Sorcier</t>
  </si>
  <si>
    <t xml:space="preserve">Alix BOSSU</t>
  </si>
  <si>
    <t xml:space="preserve">Electro posée, Electro hard, Pop, Musique fançaise, Jazz, Musique classique</t>
  </si>
  <si>
    <t xml:space="preserve">une kro vide</t>
  </si>
  <si>
    <t xml:space="preserve">Oscar JACINTHO</t>
  </si>
  <si>
    <t xml:space="preserve">Rock, Metal, Electro posée, Electro hard, Rap, Jazz, Musique classique</t>
  </si>
  <si>
    <t xml:space="preserve">De la sorcière</t>
  </si>
  <si>
    <t xml:space="preserve">Henri CHHOA</t>
  </si>
  <si>
    <t xml:space="preserve">Rap, Pop, Musique classique, Kpop</t>
  </si>
  <si>
    <t xml:space="preserve">Sports collectifs, Sports de raquette, Equitation</t>
  </si>
  <si>
    <t xml:space="preserve">Pshit pshit</t>
  </si>
  <si>
    <t xml:space="preserve">Juan Felipe GÓMEZ ALFARO</t>
  </si>
  <si>
    <t xml:space="preserve">Rock, Jazz, Kpop</t>
  </si>
  <si>
    <t xml:space="preserve">Peinture, Littérature, Musique, Théâtre, Cinéma</t>
  </si>
  <si>
    <t xml:space="preserve">Athlétisme, Sports aquatiques</t>
  </si>
  <si>
    <t xml:space="preserve">Malandros Team</t>
  </si>
  <si>
    <t xml:space="preserve">Alfonso COLON DE CARVAJAL</t>
  </si>
  <si>
    <t xml:space="preserve">Electro hard, Rap, Jazz</t>
  </si>
  <si>
    <t xml:space="preserve">Sports collectifs, Sports de rames, Sports de combat, Autre</t>
  </si>
  <si>
    <t xml:space="preserve">Vêtements</t>
  </si>
  <si>
    <t xml:space="preserve">Sarah PETROCCHI</t>
  </si>
  <si>
    <t xml:space="preserve">Rock, Metal, Electro posée, Rap, Pop, Kpop, Autre</t>
  </si>
  <si>
    <t xml:space="preserve">Peinture, Littérature, Danse, Musique, Cinéma</t>
  </si>
  <si>
    <t xml:space="preserve">Sports de combat, Equitation</t>
  </si>
  <si>
    <t xml:space="preserve">Une carte de salon de tatouage</t>
  </si>
  <si>
    <t xml:space="preserve">Constance PHILIPPE</t>
  </si>
  <si>
    <t xml:space="preserve">Rock, Metal, Musique classique, Autre</t>
  </si>
  <si>
    <t xml:space="preserve">Peinture, Littérature, Danse, Musique, Théâtre, Graphisme</t>
  </si>
  <si>
    <t xml:space="preserve">Sports de combat, Autre</t>
  </si>
  <si>
    <t xml:space="preserve">Pygama</t>
  </si>
  <si>
    <t xml:space="preserve">Alban VILLEDIEU</t>
  </si>
  <si>
    <t xml:space="preserve">Peinture, Sculpture, Cinéma</t>
  </si>
  <si>
    <t xml:space="preserve">Barton</t>
  </si>
  <si>
    <t xml:space="preserve">Jsp wsh</t>
  </si>
  <si>
    <t xml:space="preserve">Marius DUVILLARD</t>
  </si>
  <si>
    <t xml:space="preserve">Peinture, Danse, Musique, Théâtre, Cinéma</t>
  </si>
  <si>
    <t xml:space="preserve">La Crypte</t>
  </si>
  <si>
    <t xml:space="preserve">une fi'sel</t>
  </si>
  <si>
    <t xml:space="preserve">Pierre Go</t>
  </si>
  <si>
    <t xml:space="preserve">Rock, Metal, Electro posée, Rap, Pop, Musique classique</t>
  </si>
  <si>
    <t xml:space="preserve">Sports collectifs, Sports de raquette, Sports de rames</t>
  </si>
  <si>
    <t xml:space="preserve">Une machine à barbe a papa</t>
  </si>
  <si>
    <t xml:space="preserve">Mitsi R.</t>
  </si>
  <si>
    <t xml:space="preserve">Rock, Electro posée, Rap, Pop, Musique fançaise</t>
  </si>
  <si>
    <t xml:space="preserve">El sombrero</t>
  </si>
  <si>
    <t xml:space="preserve">Valentin Antonio</t>
  </si>
  <si>
    <t xml:space="preserve">Peinture, Littérature, Cinéma</t>
  </si>
  <si>
    <t xml:space="preserve">une balle de hand</t>
  </si>
  <si>
    <t xml:space="preserve">Juline CORNET-GOY</t>
  </si>
  <si>
    <t xml:space="preserve">Jodyssée</t>
  </si>
  <si>
    <t xml:space="preserve">Don’t know yet</t>
  </si>
  <si>
    <t xml:space="preserve">Lise GERMON</t>
  </si>
  <si>
    <t xml:space="preserve">Livre Odyssée</t>
  </si>
  <si>
    <t xml:space="preserve">Alizée AMSLER</t>
  </si>
  <si>
    <t xml:space="preserve">Jeu de wii </t>
  </si>
  <si>
    <t xml:space="preserve">Mai-Vi VU</t>
  </si>
  <si>
    <t xml:space="preserve">Pas de sport, Sports collectifs</t>
  </si>
  <si>
    <t xml:space="preserve">Une genouillère </t>
  </si>
  <si>
    <t xml:space="preserve">Perrine JUILLET</t>
  </si>
  <si>
    <t xml:space="preserve">Equitation, Escalade</t>
  </si>
  <si>
    <t xml:space="preserve">Jodyssee</t>
  </si>
  <si>
    <t xml:space="preserve">Mon diplome de bac littéraire</t>
  </si>
  <si>
    <t xml:space="preserve">Maxence PASCAL</t>
  </si>
  <si>
    <t xml:space="preserve">Les trutitas</t>
  </si>
  <si>
    <t xml:space="preserve">Manette de console</t>
  </si>
  <si>
    <t xml:space="preserve">Lisa SAVARIEAU</t>
  </si>
  <si>
    <t xml:space="preserve">DarkLudi et ses copines</t>
  </si>
  <si>
    <t xml:space="preserve">Tomates cerises</t>
  </si>
  <si>
    <t xml:space="preserve">Ludivine LUXEY</t>
  </si>
  <si>
    <t xml:space="preserve">Pop</t>
  </si>
  <si>
    <t xml:space="preserve">DarkLudi et ses copines </t>
  </si>
  <si>
    <t xml:space="preserve">Drapeau rugby </t>
  </si>
  <si>
    <t xml:space="preserve">Henrique MARTINEZ DE AZEVEDO</t>
  </si>
  <si>
    <t xml:space="preserve">Rock, Electro posée, Rap, Jazz, Autre</t>
  </si>
  <si>
    <t xml:space="preserve">une fausse canne a peche, peut-etre</t>
  </si>
  <si>
    <t xml:space="preserve">Ariane BERGER</t>
  </si>
  <si>
    <t xml:space="preserve">Pop, Musique fançaise</t>
  </si>
  <si>
    <t xml:space="preserve">Une bougie</t>
  </si>
  <si>
    <t xml:space="preserve">Alice Mennesson</t>
  </si>
  <si>
    <t xml:space="preserve">Littérature, Théâtre, Cinéma</t>
  </si>
  <si>
    <t xml:space="preserve">Dark Ludi et ses copines </t>
  </si>
  <si>
    <t xml:space="preserve">Une planche de snow</t>
  </si>
  <si>
    <t xml:space="preserve">José Ronzel</t>
  </si>
  <si>
    <t xml:space="preserve">les trutitas</t>
  </si>
  <si>
    <t xml:space="preserve">Feo le chat</t>
  </si>
  <si>
    <t xml:space="preserve">Exequiel</t>
  </si>
  <si>
    <t xml:space="preserve">Musique classique</t>
  </si>
  <si>
    <t xml:space="preserve">Tu viens pas</t>
  </si>
  <si>
    <t xml:space="preserve">Une flute</t>
  </si>
  <si>
    <t xml:space="preserve">Léa SCETBUN</t>
  </si>
  <si>
    <t xml:space="preserve">Les grosses cochonnes</t>
  </si>
  <si>
    <t xml:space="preserve">Un porte clé</t>
  </si>
  <si>
    <t xml:space="preserve">Théo DELOBEL</t>
  </si>
  <si>
    <t xml:space="preserve">Littérature, Musique, Théâtre, Cinéma</t>
  </si>
  <si>
    <t xml:space="preserve">Les Grosses Cochonnes</t>
  </si>
  <si>
    <t xml:space="preserve">Le fleurs du mal/pin's Brio/autrechoselol</t>
  </si>
  <si>
    <t xml:space="preserve">Jérôme KAYSER</t>
  </si>
  <si>
    <t xml:space="preserve">Rock, Musique fançaise, Musique classique</t>
  </si>
  <si>
    <t xml:space="preserve">Peinture, Littérature, Théâtre</t>
  </si>
  <si>
    <t xml:space="preserve">Les Fleurs du mal/Un pins FA/autre chose lol</t>
  </si>
  <si>
    <t xml:space="preserve">Esteban LECOURT</t>
  </si>
  <si>
    <t xml:space="preserve">Rock, Metal, Musique classique</t>
  </si>
  <si>
    <t xml:space="preserve">Jamais</t>
  </si>
  <si>
    <t xml:space="preserve">Un sweat SKT</t>
  </si>
  <si>
    <t xml:space="preserve">Luis FERNANDEZ</t>
  </si>
  <si>
    <t xml:space="preserve">Peinture, Sculpture, Graphisme</t>
  </si>
  <si>
    <t xml:space="preserve">Voile, Escalade</t>
  </si>
  <si>
    <t xml:space="preserve">Malandros </t>
  </si>
  <si>
    <t xml:space="preserve">Chaussons escalade</t>
  </si>
  <si>
    <t xml:space="preserve">Solene LE FUR</t>
  </si>
  <si>
    <t xml:space="preserve">Voile, Sports aquatiques</t>
  </si>
  <si>
    <t xml:space="preserve">Sans-abri </t>
  </si>
  <si>
    <t xml:space="preserve">Je sais pas encore</t>
  </si>
  <si>
    <t xml:space="preserve">Eugénie cotte</t>
  </si>
  <si>
    <t xml:space="preserve">Electro posée, Pop, Musique fançaise, Jazz</t>
  </si>
  <si>
    <t xml:space="preserve">Sports de raquette, Voile, Sports de rames, Sports aquatiques, Sports de combat</t>
  </si>
  <si>
    <t xml:space="preserve">sans-abri</t>
  </si>
  <si>
    <t xml:space="preserve">Des oreilles de cochon</t>
  </si>
  <si>
    <t xml:space="preserve">Samuel BISMUT</t>
  </si>
  <si>
    <t xml:space="preserve">Rock, Electro posée, Electro hard, Rap, Pop, Musique fançaise, Jazz</t>
  </si>
  <si>
    <t xml:space="preserve">Sans abris</t>
  </si>
  <si>
    <t xml:space="preserve">Chapeau Ricard </t>
  </si>
  <si>
    <t xml:space="preserve">Victor BLANCART</t>
  </si>
  <si>
    <t xml:space="preserve">Rock, Electro hard, Rap, Musique fançaise, Jazz, Musique classique</t>
  </si>
  <si>
    <t xml:space="preserve">Peinture, Littérature, Musique, Cinéma</t>
  </si>
  <si>
    <t xml:space="preserve">Les mages</t>
  </si>
  <si>
    <t xml:space="preserve">Une gourde</t>
  </si>
  <si>
    <t xml:space="preserve">Tommy GEHENIAU</t>
  </si>
  <si>
    <t xml:space="preserve">Rock, Electro posée, Rap, Jazz</t>
  </si>
  <si>
    <t xml:space="preserve">Sports de raquette, Escalade, Autre</t>
  </si>
  <si>
    <t xml:space="preserve">L'aquamif</t>
  </si>
  <si>
    <t xml:space="preserve">Aurèle</t>
  </si>
  <si>
    <t xml:space="preserve">Léo HUREAU</t>
  </si>
  <si>
    <t xml:space="preserve">Rock, Electro posée, Rap, Pop, Musique fançaise, Musique classique</t>
  </si>
  <si>
    <t xml:space="preserve">Peinture, Littérature, Sculpture, Musique, Théâtre, Cinéma</t>
  </si>
  <si>
    <t xml:space="preserve">Le Panthéon</t>
  </si>
  <si>
    <t xml:space="preserve">Awen BRUNEAU</t>
  </si>
  <si>
    <t xml:space="preserve">Objet relatif aux vieilles charrues</t>
  </si>
  <si>
    <t xml:space="preserve">simeo Potiron</t>
  </si>
  <si>
    <t xml:space="preserve">la team corlay</t>
  </si>
  <si>
    <t xml:space="preserve">no se</t>
  </si>
  <si>
    <t xml:space="preserve">Pierre MAQUET</t>
  </si>
  <si>
    <t xml:space="preserve">Rock, Rap, Musique classique</t>
  </si>
  <si>
    <t xml:space="preserve">Une partition</t>
  </si>
  <si>
    <t xml:space="preserve">Céline FEREC</t>
  </si>
  <si>
    <t xml:space="preserve">Rock, Rap, Pop</t>
  </si>
  <si>
    <t xml:space="preserve">une feuille d'admission aux urgences ;)</t>
  </si>
  <si>
    <t xml:space="preserve">Maxime GRAS</t>
  </si>
  <si>
    <t xml:space="preserve">Athlétisme, Sports de combat, Escalade, Autre</t>
  </si>
  <si>
    <t xml:space="preserve">Sachet de meth/chapeau/silp/bouteille de Mr Propre/Truc de théâtre</t>
  </si>
  <si>
    <t xml:space="preserve">Audrey BOYENVAL</t>
  </si>
  <si>
    <t xml:space="preserve">Rap, Pop, Musique fançaise, Jazz, Musique classique</t>
  </si>
  <si>
    <t xml:space="preserve">Un trophée</t>
  </si>
  <si>
    <t xml:space="preserve">Chloé CANAVATE</t>
  </si>
  <si>
    <t xml:space="preserve">Le 4 étoiles </t>
  </si>
  <si>
    <t xml:space="preserve">Une bouteille de jagger</t>
  </si>
  <si>
    <t xml:space="preserve">Antoine TARDIVON</t>
  </si>
  <si>
    <t xml:space="preserve">La team Corlay</t>
  </si>
  <si>
    <t xml:space="preserve">No se</t>
  </si>
  <si>
    <t xml:space="preserve">Adrien Simonet</t>
  </si>
  <si>
    <t xml:space="preserve">La team corlay </t>
  </si>
  <si>
    <t xml:space="preserve">Rien</t>
  </si>
  <si>
    <t xml:space="preserve">Maena GALERON</t>
  </si>
  <si>
    <t xml:space="preserve">La 4 étoiles </t>
  </si>
  <si>
    <t xml:space="preserve">Une étoile </t>
  </si>
  <si>
    <t xml:space="preserve">Antoine LETOFFET</t>
  </si>
  <si>
    <t xml:space="preserve">Rock, Metal, Electro posée, Electro hard, Rap, Pop, Musique fançaise, Jazz, Musique classique, Autre</t>
  </si>
  <si>
    <t xml:space="preserve">Musique, Théâtre, Cinéma, Graphisme, Autre</t>
  </si>
  <si>
    <t xml:space="preserve">Sports collectifs, Athlétisme, Sports aquatiques, Autre</t>
  </si>
  <si>
    <t xml:space="preserve">sans abri</t>
  </si>
  <si>
    <t xml:space="preserve">je sais pas encore</t>
  </si>
  <si>
    <t xml:space="preserve">Grégoire Turzo</t>
  </si>
  <si>
    <t xml:space="preserve">Rock, Electro posée, Electro hard, Rap, Pop, Musique fançaise</t>
  </si>
  <si>
    <t xml:space="preserve">Les fortiches</t>
  </si>
  <si>
    <t xml:space="preserve">Lunette de toilettes</t>
  </si>
  <si>
    <t xml:space="preserve">Henri de Chanterac</t>
  </si>
  <si>
    <t xml:space="preserve">Théâtre</t>
  </si>
  <si>
    <t xml:space="preserve">les fortiches</t>
  </si>
  <si>
    <t xml:space="preserve">un pochon de houblon</t>
  </si>
  <si>
    <t xml:space="preserve">Elouan BARBEREAU</t>
  </si>
  <si>
    <t xml:space="preserve">papier</t>
  </si>
  <si>
    <t xml:space="preserve">Moens Diego</t>
  </si>
  <si>
    <t xml:space="preserve">Littérature, Danse, Théâtre, Cinéma</t>
  </si>
  <si>
    <t xml:space="preserve">Sports collectifs, Athlétisme, Sports de combat</t>
  </si>
  <si>
    <t xml:space="preserve">LePatio</t>
  </si>
  <si>
    <t xml:space="preserve">Grande feuille à rouler </t>
  </si>
  <si>
    <t xml:space="preserve">Felipe Altamirano</t>
  </si>
  <si>
    <t xml:space="preserve">Metal, Musique classique, Autre</t>
  </si>
  <si>
    <t xml:space="preserve">Danse</t>
  </si>
  <si>
    <t xml:space="preserve">Athlétisme, Sports de combat</t>
  </si>
  <si>
    <t xml:space="preserve">Une bouteille de pisco vide</t>
  </si>
  <si>
    <t xml:space="preserve">Alison ALIAGA</t>
  </si>
  <si>
    <t xml:space="preserve">Electro hard, Autre</t>
  </si>
  <si>
    <t xml:space="preserve">Pas du tout, Danse</t>
  </si>
  <si>
    <t xml:space="preserve">LePatio </t>
  </si>
  <si>
    <t xml:space="preserve">Mon nounou </t>
  </si>
  <si>
    <t xml:space="preserve">Argueta Tamayo Emanuel</t>
  </si>
  <si>
    <t xml:space="preserve">Danse, Théâtre, Cinéma</t>
  </si>
  <si>
    <t xml:space="preserve">Sports collectifs, Athlétisme, Voile</t>
  </si>
  <si>
    <t xml:space="preserve">Valentina (Salsa Picante) </t>
  </si>
  <si>
    <t xml:space="preserve">Marina THIEME PETERSEN</t>
  </si>
  <si>
    <t xml:space="preserve">Rock, Musique classique</t>
  </si>
  <si>
    <t xml:space="preserve">schoko bons</t>
  </si>
  <si>
    <t xml:space="preserve">Erwan Sauvage</t>
  </si>
  <si>
    <t xml:space="preserve">Rock, Jazz, Musique classique</t>
  </si>
  <si>
    <t xml:space="preserve">La Famille du Baisodrome</t>
  </si>
  <si>
    <t xml:space="preserve">Mon peignoir</t>
  </si>
  <si>
    <t xml:space="preserve">Mathieu Rey-Herme</t>
  </si>
  <si>
    <t xml:space="preserve">La Crypte </t>
  </si>
  <si>
    <t xml:space="preserve">Veston du gouverneur (comu)</t>
  </si>
  <si>
    <t xml:space="preserve">Tapias</t>
  </si>
  <si>
    <t xml:space="preserve">Une banane vert </t>
  </si>
  <si>
    <t xml:space="preserve">Manon VLIEGHE</t>
  </si>
  <si>
    <t xml:space="preserve">Rock, Metal, Musique classique, Kpop</t>
  </si>
  <si>
    <t xml:space="preserve">Une valise de matèriel à dessin</t>
  </si>
  <si>
    <t xml:space="preserve">Miguel MORENO</t>
  </si>
  <si>
    <t xml:space="preserve">Rock, Metal, Electro hard, Musique fançaise, Jazz, Musique classique</t>
  </si>
  <si>
    <t xml:space="preserve">Sports aquatiques, Sports de combat</t>
  </si>
  <si>
    <t xml:space="preserve">Conseills académiques et pour bien s'amuser pendant ses études dans la façon Latinoaméricaine </t>
  </si>
  <si>
    <t xml:space="preserve">Baptiste Marlet</t>
  </si>
  <si>
    <t xml:space="preserve">Littérature, Musique, Théâtre</t>
  </si>
  <si>
    <t xml:space="preserve">Les coulisses</t>
  </si>
  <si>
    <t xml:space="preserve">Le set de dés du JDR</t>
  </si>
  <si>
    <t xml:space="preserve">Hugo SEMPÉ</t>
  </si>
  <si>
    <t xml:space="preserve">Pimp my ride </t>
  </si>
  <si>
    <t xml:space="preserve">Un arrêt de bus</t>
  </si>
  <si>
    <t xml:space="preserve">Nicolas Meniconi</t>
  </si>
  <si>
    <t xml:space="preserve">Electro posée, Pop, Autre</t>
  </si>
  <si>
    <t xml:space="preserve">Peinture, Littérature, Musique, Théâtre</t>
  </si>
  <si>
    <t xml:space="preserve">Les coulisses </t>
  </si>
  <si>
    <t xml:space="preserve">Noeud pap</t>
  </si>
  <si>
    <t xml:space="preserve">Romain THIMON</t>
  </si>
  <si>
    <t xml:space="preserve">32 ecocups et deux balles de ping pong</t>
  </si>
  <si>
    <t xml:space="preserve">Maximilien LESSAULT</t>
  </si>
  <si>
    <t xml:space="preserve">Rock, Metal, Electro posée, Electro hard, Rap, Pop, Jazz, Musique classique, Kpop</t>
  </si>
  <si>
    <t xml:space="preserve">Peinture, Musique, Graphisme</t>
  </si>
  <si>
    <t xml:space="preserve">Sports collectifs, Escalade</t>
  </si>
  <si>
    <t xml:space="preserve">RACLETENTOUTAN</t>
  </si>
  <si>
    <t xml:space="preserve">Thomas oppmann</t>
  </si>
  <si>
    <t xml:space="preserve">Une manette GameCube </t>
  </si>
  <si>
    <t xml:space="preserve">Alexandre Ghannad</t>
  </si>
  <si>
    <t xml:space="preserve">Metal, Musique fançaise, Musique classique</t>
  </si>
  <si>
    <t xml:space="preserve">Peinture, Musique, Théâtre, Autre</t>
  </si>
  <si>
    <t xml:space="preserve">Christopher LESDALONS</t>
  </si>
  <si>
    <t xml:space="preserve">Rock, Metal, Electro posée, Pop, Musique fançaise, Jazz</t>
  </si>
  <si>
    <t xml:space="preserve">Amine BEDRANE</t>
  </si>
  <si>
    <t xml:space="preserve">Metal, Electro posée, Rap, Musique fançaise, Jazz, Musique classique, Kpop</t>
  </si>
  <si>
    <t xml:space="preserve">Sais pas encore</t>
  </si>
  <si>
    <t xml:space="preserve">Charles-Eole MARICHAL</t>
  </si>
  <si>
    <t xml:space="preserve">Je suis aigri et j'aime pas la musique, Electro posée, Autre</t>
  </si>
  <si>
    <t xml:space="preserve">Littérature, Musique, Théâtre, Autre</t>
  </si>
  <si>
    <t xml:space="preserve">Pas de sport, Sports de combat, Autre</t>
  </si>
  <si>
    <t xml:space="preserve">La Salière d'Or</t>
  </si>
  <si>
    <t xml:space="preserve">Justin Becker</t>
  </si>
  <si>
    <t xml:space="preserve">Rock, Metal, Pop</t>
  </si>
  <si>
    <t xml:space="preserve">PB - Nuage</t>
  </si>
  <si>
    <t xml:space="preserve">Porte clé</t>
  </si>
  <si>
    <t xml:space="preserve">Pierre-Jean POLLOT</t>
  </si>
  <si>
    <t xml:space="preserve">Danse, Musique, Théâtre, Graphisme, Autre</t>
  </si>
  <si>
    <t xml:space="preserve">Un noeud papillon</t>
  </si>
  <si>
    <t xml:space="preserve">Judith LOUIS-ALEXANDRE</t>
  </si>
  <si>
    <t xml:space="preserve">Alexandre MERASLI</t>
  </si>
  <si>
    <t xml:space="preserve">Rock, Metal, Electro posée, Pop, Musique classique</t>
  </si>
  <si>
    <t xml:space="preserve">Bastion</t>
  </si>
  <si>
    <t xml:space="preserve">Une balle de ping pong</t>
  </si>
  <si>
    <t xml:space="preserve">Charlotte BEAUNE</t>
  </si>
  <si>
    <t xml:space="preserve">Le Squat</t>
  </si>
  <si>
    <t xml:space="preserve">Mon attelle de genou flingué</t>
  </si>
  <si>
    <t xml:space="preserve">Helena Delmotte</t>
  </si>
  <si>
    <t xml:space="preserve">Une affiche de la COMU</t>
  </si>
  <si>
    <t xml:space="preserve">Anis KHEZNADJI</t>
  </si>
  <si>
    <t xml:space="preserve">Pas de sport, Sports aquatiques</t>
  </si>
  <si>
    <t xml:space="preserve">Le squat</t>
  </si>
  <si>
    <t xml:space="preserve">Un kebab</t>
  </si>
  <si>
    <t xml:space="preserve">Marie COUPÉ</t>
  </si>
  <si>
    <t xml:space="preserve">Electro posée, Electro hard, Pop, Jazz</t>
  </si>
  <si>
    <t xml:space="preserve">Peinture</t>
  </si>
  <si>
    <t xml:space="preserve">Sports collectifs, Voile</t>
  </si>
  <si>
    <t xml:space="preserve">Une girafe en plastique</t>
  </si>
  <si>
    <t xml:space="preserve">Geoffroy LECONTE</t>
  </si>
  <si>
    <t xml:space="preserve">Electro posée, Jazz, Musique classique</t>
  </si>
  <si>
    <t xml:space="preserve">Bart'on</t>
  </si>
  <si>
    <t xml:space="preserve">Pas encore décidé</t>
  </si>
  <si>
    <t xml:space="preserve">Pierre BOURREAU</t>
  </si>
  <si>
    <t xml:space="preserve">Rock, Rap</t>
  </si>
  <si>
    <t xml:space="preserve">La Boisson</t>
  </si>
  <si>
    <t xml:space="preserve">Du vin</t>
  </si>
  <si>
    <t xml:space="preserve">Antoine SENELLART</t>
  </si>
  <si>
    <t xml:space="preserve">Un Khalot</t>
  </si>
  <si>
    <t xml:space="preserve">Louis LEQUES</t>
  </si>
  <si>
    <t xml:space="preserve">Rock, Electro posée, Rap, Autre</t>
  </si>
  <si>
    <t xml:space="preserve">Les Topeurs</t>
  </si>
  <si>
    <t xml:space="preserve">un oinj</t>
  </si>
  <si>
    <t xml:space="preserve">Louis CLAUCE</t>
  </si>
  <si>
    <t xml:space="preserve">Rock, Metal, Electro posée, Jazz, Musique classique</t>
  </si>
  <si>
    <t xml:space="preserve">Peinture, Sculpture, Musique</t>
  </si>
  <si>
    <t xml:space="preserve">La Boisson </t>
  </si>
  <si>
    <t xml:space="preserve">un coupe cigare</t>
  </si>
  <si>
    <t xml:space="preserve">Samir ZINA-RAGGOUA</t>
  </si>
  <si>
    <t xml:space="preserve">Topeurs</t>
  </si>
  <si>
    <t xml:space="preserve">Je ne sais pas</t>
  </si>
  <si>
    <t xml:space="preserve">Mikaël Farje</t>
  </si>
  <si>
    <t xml:space="preserve">Un maillot de foot </t>
  </si>
  <si>
    <t xml:space="preserve">Allouache</t>
  </si>
  <si>
    <t xml:space="preserve">Des ailes d’ange </t>
  </si>
  <si>
    <t xml:space="preserve">Noémie RABILLOUD</t>
  </si>
  <si>
    <t xml:space="preserve">Un ras du cou (collier)</t>
  </si>
  <si>
    <t xml:space="preserve">Jean Pichard</t>
  </si>
  <si>
    <t xml:space="preserve">Pas choisi encore </t>
  </si>
  <si>
    <t xml:space="preserve">Mathis CELCE</t>
  </si>
  <si>
    <t xml:space="preserve">Peinture, Sculpture, Théâtre, Cinéma</t>
  </si>
  <si>
    <t xml:space="preserve">azerty44</t>
  </si>
  <si>
    <t xml:space="preserve">Ta mère</t>
  </si>
  <si>
    <t xml:space="preserve">Maxime Roy</t>
  </si>
  <si>
    <t xml:space="preserve">Rock, Metal, Electro posée, Jazz, Autre</t>
  </si>
  <si>
    <t xml:space="preserve">jsais ap</t>
  </si>
  <si>
    <t xml:space="preserve">Gauthier PEZZOLI</t>
  </si>
  <si>
    <t xml:space="preserve">Rock, Metal, Electro hard</t>
  </si>
  <si>
    <t xml:space="preserve">Théâtre, Cinéma</t>
  </si>
  <si>
    <t xml:space="preserve">Un rubix cube ou bien un lien vers ma chaîne YT</t>
  </si>
  <si>
    <t xml:space="preserve">Théo Hennion</t>
  </si>
  <si>
    <t xml:space="preserve">Rock, Electro posée, Rap, Pop, Musique fançaise, Jazz, Kpop, Autre</t>
  </si>
  <si>
    <t xml:space="preserve">Peinture, Danse, Musique, Théâtre, Cinéma, Graphisme</t>
  </si>
  <si>
    <t xml:space="preserve">Sports de raquette, Athlétisme, Sports de combat, Escalade, Autre</t>
  </si>
  <si>
    <t xml:space="preserve">Parainplégiques</t>
  </si>
  <si>
    <t xml:space="preserve">Un truc de boxe ou un truc de switch</t>
  </si>
  <si>
    <t xml:space="preserve">Clément Wozniak</t>
  </si>
  <si>
    <t xml:space="preserve">Les parainplegiques</t>
  </si>
  <si>
    <t xml:space="preserve">Oreiller</t>
  </si>
  <si>
    <t xml:space="preserve">Cyriane BIENVENUE</t>
  </si>
  <si>
    <t xml:space="preserve">Voile</t>
  </si>
  <si>
    <t xml:space="preserve">Le Kraal</t>
  </si>
  <si>
    <t xml:space="preserve">Des gants de voile</t>
  </si>
  <si>
    <t xml:space="preserve">Marius MENAULT</t>
  </si>
  <si>
    <t xml:space="preserve">Rock, Electro posée, Electro hard, Rap, Pop</t>
  </si>
  <si>
    <t xml:space="preserve">Peinture, Sculpture, Danse, Musique, Théâtre, Cinéma, Graphisme, Autre</t>
  </si>
  <si>
    <t xml:space="preserve">Sports collectifs, Sports de raquette, Sports de rames, Sports aquatiques, Escalade, Autre</t>
  </si>
  <si>
    <t xml:space="preserve">La dezing</t>
  </si>
  <si>
    <t xml:space="preserve">Des chaussettes</t>
  </si>
  <si>
    <t xml:space="preserve">Amine CHEKROUD</t>
  </si>
  <si>
    <t xml:space="preserve">Rap, Pop, Musique classique</t>
  </si>
  <si>
    <t xml:space="preserve">Discorde</t>
  </si>
  <si>
    <t xml:space="preserve">Cyprien MARION</t>
  </si>
  <si>
    <t xml:space="preserve">Rock, Pop, Musique fançaise, Musique classique</t>
  </si>
  <si>
    <t xml:space="preserve">Kraal</t>
  </si>
  <si>
    <t xml:space="preserve">Un démanilleur</t>
  </si>
  <si>
    <t xml:space="preserve">Arthur LEMASSON</t>
  </si>
  <si>
    <t xml:space="preserve">Je suis aigri et j'aime pas la musique, Rock, Metal, Electro posée, Electro hard, Rap, Pop, Musique fançaise, Jazz, Musique classique, Kpop, Autre</t>
  </si>
  <si>
    <t xml:space="preserve">Pas de sport, Sports collectifs, Sports de raquette, Athlétisme, Voile, Sports de rames, Sports aquatiques, Sports de combat, Equitation, Escalade, Autre</t>
  </si>
  <si>
    <t xml:space="preserve">BBC</t>
  </si>
  <si>
    <t xml:space="preserve">Un chips</t>
  </si>
  <si>
    <t xml:space="preserve">Vincent MESLIER</t>
  </si>
  <si>
    <t xml:space="preserve">Peinture, Littérature, Sculpture, Danse, Musique, Théâtre, Cinéma</t>
  </si>
  <si>
    <t xml:space="preserve">Sports collectifs, Sports de raquette, Voile, Sports aquatiques, Sports de combat, Equitation, Escalade</t>
  </si>
  <si>
    <t xml:space="preserve">Une maximator</t>
  </si>
  <si>
    <t xml:space="preserve">Tom OVISTE</t>
  </si>
  <si>
    <t xml:space="preserve">Beaucoup d'amour</t>
  </si>
  <si>
    <t xml:space="preserve">Léonce AUDIBERT</t>
  </si>
  <si>
    <t xml:space="preserve">Rock, Electro posée, Rap, Pop, Musique fançaise, Jazz</t>
  </si>
  <si>
    <t xml:space="preserve">La Dezing </t>
  </si>
  <si>
    <t xml:space="preserve">Désolé je sais pas du tout mon bon Adrien la mif et Lucas  la mif </t>
  </si>
  <si>
    <t xml:space="preserve">Pm Guyot</t>
  </si>
  <si>
    <t xml:space="preserve">Rock, Metal, Electro hard, Rap, Pop, Musique fançaise, Jazz, Musique classique, Kpop</t>
  </si>
  <si>
    <t xml:space="preserve">Athlétisme, Equitation, Autre</t>
  </si>
  <si>
    <t xml:space="preserve">Un masque de merde</t>
  </si>
  <si>
    <t xml:space="preserve">Antoine Chillet</t>
  </si>
  <si>
    <t xml:space="preserve">Balle de ping avec le logo d'Enactus </t>
  </si>
  <si>
    <t xml:space="preserve">Louis COGAN</t>
  </si>
  <si>
    <t xml:space="preserve">Electro posée, Musique fançaise, Musique classique</t>
  </si>
  <si>
    <t xml:space="preserve">Athlétisme, Voile</t>
  </si>
  <si>
    <t xml:space="preserve">Un gant de voile solitaire cherchant sa moitié au fond de la baie de Pornic (merci Cyriane)</t>
  </si>
  <si>
    <t xml:space="preserve">Richard ARNAUD</t>
  </si>
  <si>
    <t xml:space="preserve">Rock, Metal, Electro posée, Electro hard, Pop, Musique fançaise, Jazz, Musique classique, Autre</t>
  </si>
  <si>
    <t xml:space="preserve">Famille Discorde</t>
  </si>
  <si>
    <t xml:space="preserve">J'improserai</t>
  </si>
  <si>
    <t xml:space="preserve">Le Mintier Emmanuel</t>
  </si>
  <si>
    <t xml:space="preserve">Manivelle de Winch</t>
  </si>
  <si>
    <t xml:space="preserve">Lilie BOIZUMAULT</t>
  </si>
  <si>
    <t xml:space="preserve">La dézing</t>
  </si>
  <si>
    <t xml:space="preserve">Pochtard avec du gazon dedans </t>
  </si>
  <si>
    <t xml:space="preserve">Amine MEHMOUDEN</t>
  </si>
  <si>
    <t xml:space="preserve">le squat</t>
  </si>
  <si>
    <t xml:space="preserve">Adrien Jamelot</t>
  </si>
  <si>
    <t xml:space="preserve">Sports de raquette, Voile</t>
  </si>
  <si>
    <t xml:space="preserve">Une brosse à dents</t>
  </si>
  <si>
    <t xml:space="preserve">Eric Ali Mehenni</t>
  </si>
  <si>
    <t xml:space="preserve">Rock, Electro posée, Rap, Pop, Musique classique</t>
  </si>
  <si>
    <t xml:space="preserve">Badge</t>
  </si>
  <si>
    <t xml:space="preserve">Une carte</t>
  </si>
  <si>
    <t xml:space="preserve">Anaïs BOUCHET</t>
  </si>
  <si>
    <t xml:space="preserve">Rock, Metal, Electro posée, Pop, Jazz</t>
  </si>
  <si>
    <t xml:space="preserve">Littérature, Danse, Musique</t>
  </si>
  <si>
    <t xml:space="preserve">Famille Discorde </t>
  </si>
  <si>
    <t xml:space="preserve">Un serre-tête médusé </t>
  </si>
  <si>
    <t xml:space="preserve">Antoine DAROUX</t>
  </si>
  <si>
    <t xml:space="preserve">Littérature</t>
  </si>
  <si>
    <t xml:space="preserve">EI3 Mous'cancers</t>
  </si>
  <si>
    <t xml:space="preserve">Un planning du BDE des Fox</t>
  </si>
  <si>
    <t xml:space="preserve">Lucas SANCIET--MUNIER</t>
  </si>
  <si>
    <t xml:space="preserve">Electro posée, Electro hard, Rap, Musique fançaise, Autre</t>
  </si>
  <si>
    <t xml:space="preserve">Les ei3-Mous'cancers</t>
  </si>
  <si>
    <t xml:space="preserve">Un saucisson de Savoie</t>
  </si>
  <si>
    <t xml:space="preserve">Thomas LE BOURHIS</t>
  </si>
  <si>
    <t xml:space="preserve">Un paquet de cartes</t>
  </si>
  <si>
    <t xml:space="preserve">Hugo GAYRARD</t>
  </si>
  <si>
    <t xml:space="preserve">Rock, Electro posée, Rap, Musique fançaise, Jazz, Musique classique, Autre</t>
  </si>
  <si>
    <t xml:space="preserve">Ei3 mous cancer </t>
  </si>
  <si>
    <t xml:space="preserve">Un déguisement</t>
  </si>
  <si>
    <t xml:space="preserve">Loïc</t>
  </si>
  <si>
    <t xml:space="preserve">EI3 mous cancer</t>
  </si>
  <si>
    <t xml:space="preserve">Toute ma bienveillance</t>
  </si>
  <si>
    <t xml:space="preserve">Pierre Veillard</t>
  </si>
  <si>
    <t xml:space="preserve">Rock, Electro posée, Pop, Musique fançaise, Jazz</t>
  </si>
  <si>
    <t xml:space="preserve">Peinture, Littérature, Sculpture, Musique, Cinéma</t>
  </si>
  <si>
    <t xml:space="preserve">Un poney</t>
  </si>
  <si>
    <t xml:space="preserve">Ruben MATONDZI</t>
  </si>
  <si>
    <t xml:space="preserve">L'alliance </t>
  </si>
  <si>
    <t xml:space="preserve">Un oreiller </t>
  </si>
  <si>
    <t xml:space="preserve">Manon DUBREIL</t>
  </si>
  <si>
    <t xml:space="preserve">Rock, Electro posée, Electro hard, Pop, Musique fançaise, Jazz, Musique classique</t>
  </si>
  <si>
    <t xml:space="preserve">Peinture, Littérature, Sculpture, Danse, Musique, Cinéma, Graphisme</t>
  </si>
  <si>
    <t xml:space="preserve">l'Alliance</t>
  </si>
  <si>
    <t xml:space="preserve">ADUNNO</t>
  </si>
  <si>
    <t xml:space="preserve">Maëlenn COLSON</t>
  </si>
  <si>
    <t xml:space="preserve">Des paillettes &lt;3</t>
  </si>
  <si>
    <t xml:space="preserve">Rémy MAIGE</t>
  </si>
  <si>
    <t xml:space="preserve">Musique, Théâtre, Cinéma, Graphisme</t>
  </si>
  <si>
    <t xml:space="preserve">Sports collectifs, Sports de raquette, Autre</t>
  </si>
  <si>
    <t xml:space="preserve">pb-nauge</t>
  </si>
  <si>
    <r>
      <rPr>
        <sz val="11"/>
        <rFont val="Cambria"/>
        <family val="0"/>
        <charset val="1"/>
      </rPr>
      <t xml:space="preserve">¯\_(</t>
    </r>
    <r>
      <rPr>
        <sz val="11"/>
        <rFont val="Microsoft YaHei"/>
        <family val="2"/>
      </rPr>
      <t xml:space="preserve">ツ</t>
    </r>
    <r>
      <rPr>
        <sz val="11"/>
        <rFont val="Cambria"/>
        <family val="0"/>
        <charset val="1"/>
      </rPr>
      <t xml:space="preserve">)_/¯</t>
    </r>
  </si>
  <si>
    <t xml:space="preserve">Ramy SLIM</t>
  </si>
  <si>
    <t xml:space="preserve">BDA, BDS</t>
  </si>
  <si>
    <t xml:space="preserve">TOMAZ AMORIM</t>
  </si>
  <si>
    <t xml:space="preserve">Rock, Jazz, Musique classique, Autre</t>
  </si>
  <si>
    <t xml:space="preserve">Musique, Cinéma, Graphisme, Autre</t>
  </si>
  <si>
    <t xml:space="preserve">Grande Famille</t>
  </si>
  <si>
    <t xml:space="preserve">Une tasse de café</t>
  </si>
  <si>
    <t xml:space="preserve">Maxime Canard</t>
  </si>
  <si>
    <t xml:space="preserve">Rock, Rap, Pop, Musique fançaise, Jazz, Musique classique</t>
  </si>
  <si>
    <t xml:space="preserve">Les Ei3 Mous'cancer</t>
  </si>
  <si>
    <t xml:space="preserve">Corentin GILBERT</t>
  </si>
  <si>
    <t xml:space="preserve">Metal, Electro posée, Electro hard, Rap, Jazz, Musique classique</t>
  </si>
  <si>
    <t xml:space="preserve">La vigie</t>
  </si>
  <si>
    <t xml:space="preserve">boite a musique / partition</t>
  </si>
  <si>
    <t xml:space="preserve">Sergio MORENO LÓPEZ</t>
  </si>
  <si>
    <t xml:space="preserve">Sports collectifs, Sports de raquette, Sports aquatiques, Sports de combat</t>
  </si>
  <si>
    <t xml:space="preserve">Los Insoportables </t>
  </si>
  <si>
    <t xml:space="preserve">Acune idée encore </t>
  </si>
  <si>
    <t xml:space="preserve">Adán REYES REYES</t>
  </si>
  <si>
    <t xml:space="preserve">Rock, Autre</t>
  </si>
  <si>
    <t xml:space="preserve">Je sais pas encore </t>
  </si>
  <si>
    <t xml:space="preserve">Jose Luís RIVERA BLANCO</t>
  </si>
  <si>
    <t xml:space="preserve">Je sais pas </t>
  </si>
  <si>
    <t xml:space="preserve">Yinzheng ZHOU</t>
  </si>
  <si>
    <t xml:space="preserve">Jazz, Autre</t>
  </si>
  <si>
    <t xml:space="preserve">Los Insoportables</t>
  </si>
  <si>
    <t xml:space="preserve">Sais pas trop, des bières?</t>
  </si>
  <si>
    <t xml:space="preserve">Alexandre Bryk</t>
  </si>
  <si>
    <t xml:space="preserve">Cinéma, Autre</t>
  </si>
  <si>
    <t xml:space="preserve">La Vigie </t>
  </si>
  <si>
    <t xml:space="preserve">Sebastian CEPEDA</t>
  </si>
  <si>
    <t xml:space="preserve">Peinture, Littérature, Musique, Cinéma, Autre</t>
  </si>
  <si>
    <t xml:space="preserve">los Insoportables</t>
  </si>
  <si>
    <t xml:space="preserve">un bout de papier </t>
  </si>
  <si>
    <t xml:space="preserve">Julián David HERNÁNDEZ TOVAR</t>
  </si>
  <si>
    <t xml:space="preserve">Rock, Electro posée, Pop, Musique fançaise, Musique classique, Autre</t>
  </si>
  <si>
    <t xml:space="preserve">Danse, Musique, Cinéma</t>
  </si>
  <si>
    <t xml:space="preserve">Los insoportables</t>
  </si>
  <si>
    <t xml:space="preserve">"molinillo" colombien, truc pour mélanger le cacao colombien :)</t>
  </si>
  <si>
    <t xml:space="preserve">Ananda VANDERWEGEN</t>
  </si>
  <si>
    <t xml:space="preserve">Rock, Pop, Jazz, Musique classique, Autre</t>
  </si>
  <si>
    <t xml:space="preserve">Grande famille </t>
  </si>
  <si>
    <t xml:space="preserve">T shirt </t>
  </si>
  <si>
    <t xml:space="preserve">Sébastien VILLA</t>
  </si>
  <si>
    <t xml:space="preserve">Rock</t>
  </si>
  <si>
    <t xml:space="preserve">Sports collectifs, Sports de rames, Escalade</t>
  </si>
  <si>
    <t xml:space="preserve">un aviron</t>
  </si>
  <si>
    <t xml:space="preserve">Pierre Libault</t>
  </si>
  <si>
    <t xml:space="preserve">Peinture, Cinéma, Graphisme</t>
  </si>
  <si>
    <t xml:space="preserve">Les 6 salopards</t>
  </si>
  <si>
    <t xml:space="preserve">En réflexion </t>
  </si>
  <si>
    <t xml:space="preserve">Adam EL YOUMI</t>
  </si>
  <si>
    <t xml:space="preserve">Rock, Electro posée, Electro hard, Rap, Pop, Musique fançaise, Musique classique</t>
  </si>
  <si>
    <t xml:space="preserve">Peinture, Littérature, Sculpture, Musique, Théâtre, Cinéma, Graphisme</t>
  </si>
  <si>
    <t xml:space="preserve">Les parrainplégiques</t>
  </si>
  <si>
    <t xml:space="preserve">un cornichon</t>
  </si>
  <si>
    <t xml:space="preserve">Vincent ESPINASSE</t>
  </si>
  <si>
    <t xml:space="preserve">Littérature, Sculpture, Théâtre, Cinéma, Graphisme</t>
  </si>
  <si>
    <t xml:space="preserve">un masque de lapin</t>
  </si>
  <si>
    <t xml:space="preserve">Félix-Olivier Ngangue Nseke</t>
  </si>
  <si>
    <t xml:space="preserve">maillot de foot</t>
  </si>
  <si>
    <t xml:space="preserve">Laurène THILLIER</t>
  </si>
  <si>
    <t xml:space="preserve">oreilles de cochon</t>
  </si>
  <si>
    <t xml:space="preserve">Tanguy CABARET</t>
  </si>
  <si>
    <t xml:space="preserve">Rock, Metal, Electro posée, Electro hard, Rap, Pop, Musique fançaise, Jazz, Musique classique</t>
  </si>
  <si>
    <t xml:space="preserve">Peinture, Danse, Musique, Cinéma</t>
  </si>
  <si>
    <t xml:space="preserve">Voile, Sports de combat, Autre</t>
  </si>
  <si>
    <t xml:space="preserve">Une piece de bagnole mais je sais pas encore quoi </t>
  </si>
  <si>
    <t xml:space="preserve">Romane CARIOU</t>
  </si>
  <si>
    <t xml:space="preserve">Rock, Metal, Pop, Musique fançaise, Jazz, Musique classique</t>
  </si>
  <si>
    <t xml:space="preserve">Littérature, Danse, Musique, Théâtre, Cinéma</t>
  </si>
  <si>
    <t xml:space="preserve">Sports collectifs, Sports de rames, Sports aquatiques, Escalade</t>
  </si>
  <si>
    <t xml:space="preserve">une corde de harpe </t>
  </si>
  <si>
    <t xml:space="preserve">Romain SUCCHE</t>
  </si>
  <si>
    <t xml:space="preserve">Les cyclistes </t>
  </si>
  <si>
    <t xml:space="preserve">Lunettes cassées </t>
  </si>
  <si>
    <t xml:space="preserve">Nicolas ROGER</t>
  </si>
  <si>
    <t xml:space="preserve">Electro posée, Rap, Musique classique</t>
  </si>
  <si>
    <t xml:space="preserve">Sports de raquette, Sports de rames</t>
  </si>
  <si>
    <t xml:space="preserve">Une gamelle de chat </t>
  </si>
  <si>
    <t xml:space="preserve">Emmanuel COLLIGNAN</t>
  </si>
  <si>
    <t xml:space="preserve">les cyclistes</t>
  </si>
  <si>
    <t xml:space="preserve">Ballon?</t>
  </si>
  <si>
    <t xml:space="preserve">Jérôme VILLEROT</t>
  </si>
  <si>
    <t xml:space="preserve">Rock, Electro posée, Rap, Pop, Musique fançaise, Jazz, Musique classique, Kpop, Autre</t>
  </si>
  <si>
    <t xml:space="preserve">Peinture, Littérature, Danse, Musique, Théâtre, Cinéma, Autre</t>
  </si>
  <si>
    <t xml:space="preserve">Sports collectifs, Sports de raquette, Athlétisme, Voile, Sports de rames</t>
  </si>
  <si>
    <t xml:space="preserve">Les cyclistes</t>
  </si>
  <si>
    <t xml:space="preserve">Un billet</t>
  </si>
  <si>
    <t xml:space="preserve">Borget</t>
  </si>
  <si>
    <t xml:space="preserve">Electro posée, Electro hard, Musique fançaise, Jazz</t>
  </si>
  <si>
    <t xml:space="preserve">Sports aquatiques, Equitation</t>
  </si>
  <si>
    <t xml:space="preserve">Un cochon</t>
  </si>
  <si>
    <t xml:space="preserve">Raúl VILLAFUERTE</t>
  </si>
  <si>
    <t xml:space="preserve">Rock, Pop, Musique fançaise, Autre</t>
  </si>
  <si>
    <t xml:space="preserve">Littérature, Sculpture, Danse, Graphisme, Autre</t>
  </si>
  <si>
    <t xml:space="preserve">Malandros team</t>
  </si>
  <si>
    <t xml:space="preserve">Tequila</t>
  </si>
  <si>
    <t xml:space="preserve">Paul SAUBION</t>
  </si>
  <si>
    <t xml:space="preserve">Rock, Metal, Electro posée, Pop, Musique fançaise, Jazz, Musique classique</t>
  </si>
  <si>
    <t xml:space="preserve">Sports collectifs, Sports de raquette, Athlétisme, Sports aquatiques</t>
  </si>
  <si>
    <t xml:space="preserve">Juaman’GI Reloaded</t>
  </si>
  <si>
    <t xml:space="preserve">Une porte</t>
  </si>
  <si>
    <t xml:space="preserve">Florian BARTOCCI</t>
  </si>
  <si>
    <t xml:space="preserve">Juman'GI Reloaded</t>
  </si>
  <si>
    <t xml:space="preserve">Album de Gims</t>
  </si>
  <si>
    <t xml:space="preserve">Jean-Baptiste de BECO</t>
  </si>
  <si>
    <t xml:space="preserve">Bouteille de picon</t>
  </si>
  <si>
    <t xml:space="preserve">Matthieu LAMIELLE</t>
  </si>
  <si>
    <t xml:space="preserve">Rock, Metal, Electro posée, Musique classique, Autre</t>
  </si>
  <si>
    <t xml:space="preserve">Escalade, Autre</t>
  </si>
  <si>
    <t xml:space="preserve">Une corde</t>
  </si>
  <si>
    <t xml:space="preserve">Adrien BERSIER</t>
  </si>
  <si>
    <t xml:space="preserve">Juman'GI reloaded</t>
  </si>
  <si>
    <t xml:space="preserve">Un diadème </t>
  </si>
  <si>
    <t xml:space="preserve">Aygalic JARA</t>
  </si>
  <si>
    <t xml:space="preserve">Une ecocup </t>
  </si>
  <si>
    <t xml:space="preserve">Thomas HERRBACH</t>
  </si>
  <si>
    <t xml:space="preserve">Je suis aigri et j'aime pas la musique, Rock, Metal, Electro hard, Musique fançaise, Musique classique</t>
  </si>
  <si>
    <t xml:space="preserve">La Vigie</t>
  </si>
  <si>
    <t xml:space="preserve">Une bouture de romarin</t>
  </si>
  <si>
    <t xml:space="preserve">Márcio Bruno DOS SANTOS CORREIA</t>
  </si>
  <si>
    <t xml:space="preserve">Rock, Pop, Jazz</t>
  </si>
  <si>
    <t xml:space="preserve">Grande famille</t>
  </si>
  <si>
    <t xml:space="preserve">Livre</t>
  </si>
  <si>
    <t xml:space="preserve">Adrien BOUVIER</t>
  </si>
  <si>
    <t xml:space="preserve">pimp my ride</t>
  </si>
  <si>
    <t xml:space="preserve">Un poids pour barre olympique </t>
  </si>
  <si>
    <t xml:space="preserve">Hugo Weiss</t>
  </si>
  <si>
    <t xml:space="preserve">Une photo de Gaël Monfils</t>
  </si>
  <si>
    <t xml:space="preserve">Adele ONDARCUHU</t>
  </si>
  <si>
    <t xml:space="preserve">Pas encore choisi</t>
  </si>
  <si>
    <t xml:space="preserve">Vire</t>
  </si>
  <si>
    <t xml:space="preserve">Electro hard</t>
  </si>
  <si>
    <t xml:space="preserve">Raquette cassée</t>
  </si>
  <si>
    <t xml:space="preserve">Valentin Pibernus</t>
  </si>
  <si>
    <t xml:space="preserve">Electro posée, Electro hard, Pop</t>
  </si>
  <si>
    <t xml:space="preserve">Sports collectifs, Escalade, Autre</t>
  </si>
  <si>
    <t xml:space="preserve">Parainplegiques </t>
  </si>
  <si>
    <t xml:space="preserve">Surprise </t>
  </si>
  <si>
    <t xml:space="preserve">Fabien RAVET</t>
  </si>
  <si>
    <t xml:space="preserve">Bastien</t>
  </si>
  <si>
    <t xml:space="preserve">La dézingue</t>
  </si>
  <si>
    <t xml:space="preserve">Pique de brochette</t>
  </si>
  <si>
    <t xml:space="preserve">Audric BALSSA</t>
  </si>
  <si>
    <t xml:space="preserve">Ce choix n'est pas définitif</t>
  </si>
  <si>
    <t xml:space="preserve">Alexandre SEVENO</t>
  </si>
  <si>
    <t xml:space="preserve">Sports de raquette, Sports de combat</t>
  </si>
  <si>
    <t xml:space="preserve">Le donjon </t>
  </si>
  <si>
    <t xml:space="preserve">Un gant de moto</t>
  </si>
  <si>
    <t xml:space="preserve">Maxime PATRY</t>
  </si>
  <si>
    <t xml:space="preserve">Peinture, Sculpture, Musique, Théâtre</t>
  </si>
  <si>
    <t xml:space="preserve">Un chien mélange entre Trump et Thanos imprimé en 3d</t>
  </si>
  <si>
    <t xml:space="preserve">Selim Autones</t>
  </si>
  <si>
    <t xml:space="preserve">Rock, Metal, Electro posée, Rap, Pop, Jazz</t>
  </si>
  <si>
    <t xml:space="preserve">Sports collectifs, Sports aquatiques, Autre</t>
  </si>
  <si>
    <t xml:space="preserve">L'Alliance</t>
  </si>
  <si>
    <t xml:space="preserve">Pull sporla</t>
  </si>
  <si>
    <t xml:space="preserve">Arthur</t>
  </si>
  <si>
    <t xml:space="preserve">Rap, Pop, Musique fançaise, Musique classique</t>
  </si>
  <si>
    <t xml:space="preserve">Sports collectifs, Voile, Sports aquatiques, Autre</t>
  </si>
  <si>
    <t xml:space="preserve">Aspero</t>
  </si>
  <si>
    <t xml:space="preserve">Une banane</t>
  </si>
  <si>
    <t xml:space="preserve">Mathurin Schneider</t>
  </si>
  <si>
    <t xml:space="preserve">Un truc en rapport avec les graffitis, une bombe ou un truc du genre !</t>
  </si>
  <si>
    <t xml:space="preserve">KONATE</t>
  </si>
  <si>
    <t xml:space="preserve">Peinture, Littérature, Musique</t>
  </si>
  <si>
    <t xml:space="preserve">Une bouteille de monbazillac</t>
  </si>
  <si>
    <t xml:space="preserve">Alexandre FOSSORIER</t>
  </si>
  <si>
    <t xml:space="preserve">Mystère </t>
  </si>
  <si>
    <t xml:space="preserve">Werner</t>
  </si>
  <si>
    <t xml:space="preserve">Rock, Electro posée, Electro hard, Musique classique</t>
  </si>
  <si>
    <t xml:space="preserve">Littérature, Danse, Musique, Cinéma, Graphisme</t>
  </si>
  <si>
    <t xml:space="preserve">un cheveu de Poitou :o </t>
  </si>
  <si>
    <t xml:space="preserve">Paniez</t>
  </si>
  <si>
    <t xml:space="preserve">Rock, Electro posée, Rap</t>
  </si>
  <si>
    <t xml:space="preserve">Sculpture, Théâtre, Cinéma</t>
  </si>
  <si>
    <t xml:space="preserve">Parrainplégique </t>
  </si>
  <si>
    <t xml:space="preserve">Une table</t>
  </si>
  <si>
    <t xml:space="preserve">Adrien HALLARD</t>
  </si>
  <si>
    <t xml:space="preserve">Peinture, Littérature</t>
  </si>
  <si>
    <t xml:space="preserve">?</t>
  </si>
  <si>
    <t xml:space="preserve">Timothée Corlay</t>
  </si>
  <si>
    <t xml:space="preserve">Sports collectifs, Sports de raquette, Voile</t>
  </si>
  <si>
    <t xml:space="preserve">Team corlay</t>
  </si>
  <si>
    <t xml:space="preserve">Raquette de squash</t>
  </si>
  <si>
    <t xml:space="preserve">Aurélio Catel</t>
  </si>
  <si>
    <t xml:space="preserve">Médaille </t>
  </si>
  <si>
    <t xml:space="preserve">Yuna Landais</t>
  </si>
  <si>
    <t xml:space="preserve">Peinture, Littérature, Danse, Théâtre, Cinéma</t>
  </si>
  <si>
    <t xml:space="preserve">Drapeau breton </t>
  </si>
  <si>
    <t xml:space="preserve">Familles :</t>
  </si>
  <si>
    <t xml:space="preserve">Nuage</t>
  </si>
  <si>
    <t xml:space="preserve">PB</t>
  </si>
  <si>
    <t xml:space="preserve">La dezingue</t>
  </si>
  <si>
    <t xml:space="preserve">La boisson</t>
  </si>
  <si>
    <t xml:space="preserve">Les topeurs</t>
  </si>
  <si>
    <t xml:space="preserve">Personnes :</t>
  </si>
  <si>
    <t xml:space="preserve">Marion JOUVIGNE</t>
  </si>
  <si>
    <t xml:space="preserve">Total :</t>
  </si>
  <si>
    <t xml:space="preserve">A traiter :</t>
  </si>
  <si>
    <t xml:space="preserve">Fait ?</t>
  </si>
  <si>
    <t xml:space="preserve">Nb de personnes :</t>
  </si>
  <si>
    <t xml:space="preserve">Famille non valide :</t>
  </si>
  <si>
    <t xml:space="preserve">x</t>
  </si>
  <si>
    <t xml:space="preserve">Nb de familles :</t>
  </si>
  <si>
    <t xml:space="preserve">Nombre de personnes en famille :</t>
  </si>
  <si>
    <t xml:space="preserve">Nombre de familles non valide :</t>
  </si>
  <si>
    <t xml:space="preserve">Moyenne de personne par famille :</t>
  </si>
  <si>
    <t xml:space="preserve">X</t>
  </si>
  <si>
    <t xml:space="preserve">ID :</t>
  </si>
  <si>
    <t xml:space="preserve">Nombres personnes :</t>
  </si>
  <si>
    <t xml:space="preserve">Place :</t>
  </si>
  <si>
    <t xml:space="preserve">ID</t>
  </si>
  <si>
    <t xml:space="preserve">Récupéré ?</t>
  </si>
  <si>
    <t xml:space="preserve">Personne</t>
  </si>
  <si>
    <t xml:space="preserve">Objet à encore récupérer</t>
  </si>
  <si>
    <t xml:space="preserve">canape</t>
  </si>
  <si>
    <t xml:space="preserve">carton 1</t>
  </si>
  <si>
    <t xml:space="preserve">sur les canapés</t>
  </si>
  <si>
    <t xml:space="preserve">CNT armoire 2</t>
  </si>
  <si>
    <t xml:space="preserve">CNT-CNC</t>
  </si>
  <si>
    <t xml:space="preserve">Carton 1</t>
  </si>
  <si>
    <t xml:space="preserve">Ballon</t>
  </si>
  <si>
    <t xml:space="preserve">big picture livre</t>
  </si>
  <si>
    <t xml:space="preserve">minskin</t>
  </si>
  <si>
    <t xml:space="preserve">sous bureau bde</t>
  </si>
  <si>
    <t xml:space="preserve">Audrey Boyenval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</si>
</sst>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:MM:SS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Microsoft YaHei"/>
      <family val="2"/>
    </font>
    <font>
      <sz val="11"/>
      <color rgb="FFFFFFFF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F7981D"/>
      <name val="Inconsolata"/>
      <family val="0"/>
      <charset val="1"/>
    </font>
    <font>
      <sz val="11"/>
      <color rgb="FF000000"/>
      <name val="Inconsolata"/>
      <family val="0"/>
      <charset val="1"/>
    </font>
    <font>
      <sz val="1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CCCCCC"/>
        <bgColor rgb="FFCCCCFF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n"/>
      <right/>
      <top style="thick"/>
      <bottom style="thick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ill>
        <patternFill>
          <bgColor rgb="FFB7E1CD"/>
        </patternFill>
      </fill>
    </dxf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81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5" min="1" style="0" width="21.57"/>
    <col collapsed="false" customWidth="true" hidden="false" outlineLevel="0" max="6" min="6" style="0" width="25.57"/>
    <col collapsed="false" customWidth="true" hidden="false" outlineLevel="0" max="28" min="7" style="0" width="21.57"/>
    <col collapsed="false" customWidth="true" hidden="false" outlineLevel="0" max="1025" min="2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/>
      <c r="X1" s="1"/>
      <c r="Y1" s="1"/>
      <c r="Z1" s="1"/>
      <c r="AA1" s="1"/>
      <c r="AB1" s="1"/>
    </row>
    <row r="2" customFormat="false" ht="15.75" hidden="false" customHeight="false" outlineLevel="0" collapsed="false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5.75" hidden="false" customHeight="false" outlineLevel="0" collapsed="false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5.75" hidden="false" customHeight="false" outlineLevel="0" collapsed="false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5.75" hidden="false" customHeight="false" outlineLevel="0" collapsed="false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5.75" hidden="false" customHeight="false" outlineLevel="0" collapsed="false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5.75" hidden="false" customHeight="false" outlineLevel="0" collapsed="false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5.75" hidden="false" customHeight="false" outlineLevel="0" collapsed="false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5.75" hidden="false" customHeight="false" outlineLevel="0" collapsed="false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5.75" hidden="false" customHeight="false" outlineLevel="0" collapsed="false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5.75" hidden="false" customHeight="false" outlineLevel="0" collapsed="false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5.75" hidden="false" customHeight="false" outlineLevel="0" collapsed="false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5.75" hidden="false" customHeight="false" outlineLevel="0" collapsed="false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customFormat="false" ht="15.75" hidden="false" customHeight="false" outlineLevel="0" collapsed="false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customFormat="false" ht="15.75" hidden="false" customHeight="false" outlineLevel="0" collapsed="false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customFormat="false" ht="15.75" hidden="false" customHeight="false" outlineLevel="0" collapsed="false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customFormat="false" ht="15.75" hidden="false" customHeight="false" outlineLevel="0" collapsed="false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customFormat="false" ht="15.75" hidden="false" customHeight="false" outlineLevel="0" collapsed="false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customFormat="false" ht="15.75" hidden="false" customHeight="false" outlineLevel="0" collapsed="false">
      <c r="A19" s="3" t="n">
        <v>43626.6363156713</v>
      </c>
      <c r="B19" s="2" t="s">
        <v>22</v>
      </c>
      <c r="C19" s="2" t="s">
        <v>23</v>
      </c>
      <c r="D19" s="2" t="s">
        <v>24</v>
      </c>
      <c r="E19" s="2" t="n">
        <v>2</v>
      </c>
      <c r="F19" s="2" t="s">
        <v>25</v>
      </c>
      <c r="G19" s="2" t="s">
        <v>26</v>
      </c>
      <c r="H19" s="2" t="s">
        <v>27</v>
      </c>
      <c r="I19" s="2" t="s">
        <v>28</v>
      </c>
      <c r="J19" s="2" t="s">
        <v>29</v>
      </c>
      <c r="K19" s="2" t="s">
        <v>30</v>
      </c>
      <c r="L19" s="2" t="s">
        <v>31</v>
      </c>
      <c r="M19" s="2" t="n">
        <v>8</v>
      </c>
      <c r="N19" s="2" t="s">
        <v>32</v>
      </c>
      <c r="O19" s="2" t="s">
        <v>33</v>
      </c>
      <c r="P19" s="2" t="n">
        <v>4</v>
      </c>
      <c r="Q19" s="2" t="s">
        <v>34</v>
      </c>
      <c r="R19" s="2" t="s">
        <v>34</v>
      </c>
      <c r="S19" s="2" t="s">
        <v>35</v>
      </c>
      <c r="T19" s="2" t="s">
        <v>36</v>
      </c>
      <c r="U19" s="1"/>
      <c r="V19" s="1"/>
      <c r="W19" s="1"/>
      <c r="X19" s="1"/>
      <c r="Y19" s="1"/>
      <c r="Z19" s="1"/>
      <c r="AA19" s="1"/>
      <c r="AB19" s="1"/>
    </row>
    <row r="20" customFormat="false" ht="15.75" hidden="false" customHeight="false" outlineLevel="0" collapsed="false">
      <c r="A20" s="3" t="n">
        <v>43626.6365815162</v>
      </c>
      <c r="B20" s="2" t="s">
        <v>37</v>
      </c>
      <c r="C20" s="2" t="s">
        <v>23</v>
      </c>
      <c r="D20" s="2" t="s">
        <v>38</v>
      </c>
      <c r="E20" s="2" t="n">
        <v>4</v>
      </c>
      <c r="F20" s="2" t="s">
        <v>39</v>
      </c>
      <c r="G20" s="2" t="s">
        <v>40</v>
      </c>
      <c r="H20" s="2" t="s">
        <v>41</v>
      </c>
      <c r="I20" s="2" t="s">
        <v>32</v>
      </c>
      <c r="J20" s="2" t="s">
        <v>29</v>
      </c>
      <c r="K20" s="2" t="s">
        <v>42</v>
      </c>
      <c r="L20" s="2" t="s">
        <v>43</v>
      </c>
      <c r="M20" s="2" t="n">
        <v>10</v>
      </c>
      <c r="N20" s="2" t="s">
        <v>44</v>
      </c>
      <c r="O20" s="2" t="s">
        <v>45</v>
      </c>
      <c r="P20" s="2" t="n">
        <v>1</v>
      </c>
      <c r="Q20" s="2" t="s">
        <v>34</v>
      </c>
      <c r="R20" s="2" t="s">
        <v>34</v>
      </c>
      <c r="S20" s="2" t="s">
        <v>35</v>
      </c>
      <c r="T20" s="2" t="s">
        <v>46</v>
      </c>
      <c r="U20" s="1"/>
      <c r="V20" s="1"/>
      <c r="W20" s="1"/>
      <c r="X20" s="1"/>
      <c r="Y20" s="1"/>
      <c r="Z20" s="1"/>
      <c r="AA20" s="1"/>
      <c r="AB20" s="1"/>
    </row>
    <row r="21" customFormat="false" ht="15.75" hidden="false" customHeight="false" outlineLevel="0" collapsed="false">
      <c r="A21" s="3" t="n">
        <v>43626.6384051968</v>
      </c>
      <c r="B21" s="2" t="s">
        <v>47</v>
      </c>
      <c r="C21" s="2" t="s">
        <v>23</v>
      </c>
      <c r="D21" s="2" t="s">
        <v>38</v>
      </c>
      <c r="E21" s="2" t="n">
        <v>4</v>
      </c>
      <c r="F21" s="2" t="s">
        <v>48</v>
      </c>
      <c r="G21" s="2" t="s">
        <v>49</v>
      </c>
      <c r="H21" s="2" t="s">
        <v>50</v>
      </c>
      <c r="I21" s="2" t="s">
        <v>32</v>
      </c>
      <c r="J21" s="2" t="s">
        <v>51</v>
      </c>
      <c r="K21" s="2" t="s">
        <v>52</v>
      </c>
      <c r="L21" s="2" t="s">
        <v>43</v>
      </c>
      <c r="M21" s="2" t="n">
        <v>6</v>
      </c>
      <c r="N21" s="2" t="s">
        <v>53</v>
      </c>
      <c r="O21" s="2" t="s">
        <v>45</v>
      </c>
      <c r="P21" s="2" t="n">
        <v>1</v>
      </c>
      <c r="Q21" s="2" t="s">
        <v>54</v>
      </c>
      <c r="R21" s="2" t="s">
        <v>34</v>
      </c>
      <c r="S21" s="2" t="s">
        <v>35</v>
      </c>
      <c r="T21" s="2" t="s">
        <v>55</v>
      </c>
      <c r="U21" s="1"/>
      <c r="V21" s="1"/>
      <c r="W21" s="1"/>
      <c r="X21" s="1"/>
      <c r="Y21" s="1"/>
      <c r="Z21" s="1"/>
      <c r="AA21" s="1"/>
      <c r="AB21" s="1"/>
    </row>
    <row r="22" customFormat="false" ht="15.75" hidden="false" customHeight="false" outlineLevel="0" collapsed="false">
      <c r="A22" s="3" t="n">
        <v>43626.6583012384</v>
      </c>
      <c r="B22" s="2" t="s">
        <v>56</v>
      </c>
      <c r="C22" s="2" t="s">
        <v>23</v>
      </c>
      <c r="D22" s="2" t="s">
        <v>24</v>
      </c>
      <c r="E22" s="2" t="n">
        <v>4</v>
      </c>
      <c r="F22" s="2" t="s">
        <v>57</v>
      </c>
      <c r="G22" s="2" t="s">
        <v>58</v>
      </c>
      <c r="H22" s="2" t="s">
        <v>27</v>
      </c>
      <c r="I22" s="2" t="s">
        <v>32</v>
      </c>
      <c r="J22" s="2" t="s">
        <v>29</v>
      </c>
      <c r="K22" s="2" t="s">
        <v>59</v>
      </c>
      <c r="L22" s="2" t="s">
        <v>60</v>
      </c>
      <c r="M22" s="2" t="n">
        <v>10</v>
      </c>
      <c r="N22" s="2" t="s">
        <v>44</v>
      </c>
      <c r="O22" s="2" t="s">
        <v>33</v>
      </c>
      <c r="P22" s="2" t="n">
        <v>2</v>
      </c>
      <c r="Q22" s="2" t="s">
        <v>54</v>
      </c>
      <c r="R22" s="2" t="s">
        <v>34</v>
      </c>
      <c r="S22" s="2" t="s">
        <v>35</v>
      </c>
      <c r="T22" s="2" t="s">
        <v>61</v>
      </c>
      <c r="U22" s="1"/>
      <c r="V22" s="1"/>
      <c r="W22" s="1"/>
      <c r="X22" s="1"/>
      <c r="Y22" s="1"/>
      <c r="Z22" s="1"/>
      <c r="AA22" s="1"/>
      <c r="AB22" s="1"/>
    </row>
    <row r="23" customFormat="false" ht="15.75" hidden="false" customHeight="false" outlineLevel="0" collapsed="false">
      <c r="A23" s="3" t="n">
        <v>43626.6942934375</v>
      </c>
      <c r="B23" s="2" t="s">
        <v>62</v>
      </c>
      <c r="C23" s="2" t="s">
        <v>23</v>
      </c>
      <c r="D23" s="2" t="s">
        <v>24</v>
      </c>
      <c r="E23" s="2" t="n">
        <v>2</v>
      </c>
      <c r="F23" s="2" t="s">
        <v>63</v>
      </c>
      <c r="G23" s="2" t="s">
        <v>64</v>
      </c>
      <c r="H23" s="2" t="s">
        <v>41</v>
      </c>
      <c r="I23" s="2" t="s">
        <v>32</v>
      </c>
      <c r="J23" s="2" t="s">
        <v>65</v>
      </c>
      <c r="K23" s="2" t="s">
        <v>52</v>
      </c>
      <c r="L23" s="2" t="s">
        <v>43</v>
      </c>
      <c r="M23" s="2" t="n">
        <v>5</v>
      </c>
      <c r="N23" s="2" t="s">
        <v>66</v>
      </c>
      <c r="O23" s="2" t="s">
        <v>33</v>
      </c>
      <c r="P23" s="2" t="n">
        <v>1</v>
      </c>
      <c r="Q23" s="2" t="s">
        <v>54</v>
      </c>
      <c r="R23" s="2" t="s">
        <v>34</v>
      </c>
      <c r="S23" s="2" t="s">
        <v>67</v>
      </c>
      <c r="T23" s="2" t="s">
        <v>68</v>
      </c>
      <c r="U23" s="1"/>
      <c r="V23" s="1"/>
      <c r="W23" s="1"/>
      <c r="X23" s="1"/>
      <c r="Y23" s="1"/>
      <c r="Z23" s="1"/>
      <c r="AA23" s="1"/>
      <c r="AB23" s="1"/>
    </row>
    <row r="24" customFormat="false" ht="15.75" hidden="false" customHeight="false" outlineLevel="0" collapsed="false">
      <c r="A24" s="3" t="n">
        <v>43626.7247333218</v>
      </c>
      <c r="B24" s="2" t="s">
        <v>69</v>
      </c>
      <c r="C24" s="2" t="s">
        <v>23</v>
      </c>
      <c r="D24" s="2" t="s">
        <v>24</v>
      </c>
      <c r="E24" s="2" t="n">
        <v>4</v>
      </c>
      <c r="F24" s="2" t="s">
        <v>70</v>
      </c>
      <c r="G24" s="2" t="s">
        <v>71</v>
      </c>
      <c r="H24" s="2" t="s">
        <v>41</v>
      </c>
      <c r="I24" s="2" t="s">
        <v>53</v>
      </c>
      <c r="J24" s="2" t="s">
        <v>65</v>
      </c>
      <c r="K24" s="2" t="s">
        <v>59</v>
      </c>
      <c r="L24" s="2" t="s">
        <v>72</v>
      </c>
      <c r="M24" s="2" t="n">
        <v>9</v>
      </c>
      <c r="N24" s="2" t="s">
        <v>32</v>
      </c>
      <c r="O24" s="2" t="s">
        <v>33</v>
      </c>
      <c r="P24" s="2" t="n">
        <v>1</v>
      </c>
      <c r="Q24" s="2" t="s">
        <v>34</v>
      </c>
      <c r="R24" s="2" t="s">
        <v>34</v>
      </c>
      <c r="S24" s="2" t="s">
        <v>35</v>
      </c>
      <c r="T24" s="2" t="s">
        <v>73</v>
      </c>
      <c r="U24" s="1"/>
      <c r="V24" s="1"/>
      <c r="W24" s="1"/>
      <c r="X24" s="1"/>
      <c r="Y24" s="1"/>
      <c r="Z24" s="1"/>
      <c r="AA24" s="1"/>
      <c r="AB24" s="1"/>
    </row>
    <row r="25" customFormat="false" ht="15.75" hidden="false" customHeight="false" outlineLevel="0" collapsed="false">
      <c r="A25" s="3" t="n">
        <v>43626.6949349769</v>
      </c>
      <c r="B25" s="2" t="s">
        <v>74</v>
      </c>
      <c r="C25" s="2" t="s">
        <v>75</v>
      </c>
      <c r="D25" s="2" t="s">
        <v>24</v>
      </c>
      <c r="E25" s="2" t="n">
        <v>3</v>
      </c>
      <c r="F25" s="2" t="s">
        <v>76</v>
      </c>
      <c r="G25" s="2" t="s">
        <v>77</v>
      </c>
      <c r="H25" s="2" t="s">
        <v>41</v>
      </c>
      <c r="I25" s="2" t="s">
        <v>32</v>
      </c>
      <c r="J25" s="2" t="s">
        <v>65</v>
      </c>
      <c r="K25" s="2" t="s">
        <v>78</v>
      </c>
      <c r="L25" s="2" t="s">
        <v>43</v>
      </c>
      <c r="M25" s="2" t="n">
        <v>5</v>
      </c>
      <c r="N25" s="2" t="s">
        <v>53</v>
      </c>
      <c r="O25" s="2" t="s">
        <v>33</v>
      </c>
      <c r="P25" s="2" t="n">
        <v>5</v>
      </c>
      <c r="Q25" s="2" t="s">
        <v>54</v>
      </c>
      <c r="R25" s="2" t="s">
        <v>34</v>
      </c>
      <c r="S25" s="2" t="s">
        <v>67</v>
      </c>
      <c r="T25" s="2" t="s">
        <v>79</v>
      </c>
      <c r="U25" s="1"/>
      <c r="V25" s="1"/>
      <c r="W25" s="1"/>
      <c r="X25" s="1"/>
      <c r="Y25" s="1"/>
      <c r="Z25" s="1"/>
      <c r="AA25" s="1"/>
      <c r="AB25" s="1"/>
    </row>
    <row r="26" customFormat="false" ht="15.75" hidden="false" customHeight="false" outlineLevel="0" collapsed="false">
      <c r="A26" s="3" t="n">
        <v>43626.6949819907</v>
      </c>
      <c r="B26" s="2" t="s">
        <v>80</v>
      </c>
      <c r="C26" s="2" t="s">
        <v>23</v>
      </c>
      <c r="D26" s="2" t="s">
        <v>24</v>
      </c>
      <c r="E26" s="2" t="n">
        <v>4</v>
      </c>
      <c r="F26" s="2" t="s">
        <v>81</v>
      </c>
      <c r="G26" s="2" t="s">
        <v>82</v>
      </c>
      <c r="H26" s="2" t="s">
        <v>41</v>
      </c>
      <c r="I26" s="2" t="s">
        <v>32</v>
      </c>
      <c r="J26" s="2" t="s">
        <v>29</v>
      </c>
      <c r="K26" s="2" t="s">
        <v>83</v>
      </c>
      <c r="L26" s="2" t="s">
        <v>31</v>
      </c>
      <c r="M26" s="2" t="n">
        <v>8</v>
      </c>
      <c r="N26" s="2" t="s">
        <v>32</v>
      </c>
      <c r="O26" s="2" t="s">
        <v>45</v>
      </c>
      <c r="P26" s="2" t="n">
        <v>1</v>
      </c>
      <c r="Q26" s="2" t="s">
        <v>54</v>
      </c>
      <c r="R26" s="2" t="s">
        <v>34</v>
      </c>
      <c r="S26" s="2" t="s">
        <v>67</v>
      </c>
      <c r="T26" s="2" t="s">
        <v>84</v>
      </c>
      <c r="U26" s="1"/>
      <c r="V26" s="1"/>
      <c r="W26" s="1"/>
      <c r="X26" s="1"/>
      <c r="Y26" s="1"/>
      <c r="Z26" s="1"/>
      <c r="AA26" s="1"/>
      <c r="AB26" s="1"/>
    </row>
    <row r="27" customFormat="false" ht="15.75" hidden="false" customHeight="false" outlineLevel="0" collapsed="false">
      <c r="A27" s="3" t="n">
        <v>43626.6995060069</v>
      </c>
      <c r="B27" s="2" t="s">
        <v>85</v>
      </c>
      <c r="C27" s="2" t="s">
        <v>23</v>
      </c>
      <c r="D27" s="2" t="s">
        <v>24</v>
      </c>
      <c r="E27" s="2" t="n">
        <v>3</v>
      </c>
      <c r="F27" s="2" t="s">
        <v>86</v>
      </c>
      <c r="G27" s="2" t="s">
        <v>87</v>
      </c>
      <c r="H27" s="2" t="s">
        <v>50</v>
      </c>
      <c r="I27" s="2" t="s">
        <v>32</v>
      </c>
      <c r="J27" s="2" t="s">
        <v>51</v>
      </c>
      <c r="K27" s="2" t="s">
        <v>88</v>
      </c>
      <c r="L27" s="2" t="s">
        <v>43</v>
      </c>
      <c r="M27" s="2" t="n">
        <v>7</v>
      </c>
      <c r="N27" s="2" t="s">
        <v>53</v>
      </c>
      <c r="O27" s="2" t="s">
        <v>89</v>
      </c>
      <c r="P27" s="2" t="n">
        <v>1</v>
      </c>
      <c r="Q27" s="2" t="s">
        <v>34</v>
      </c>
      <c r="R27" s="2" t="s">
        <v>34</v>
      </c>
      <c r="S27" s="2" t="s">
        <v>90</v>
      </c>
      <c r="T27" s="2" t="s">
        <v>91</v>
      </c>
      <c r="U27" s="1"/>
      <c r="V27" s="1"/>
      <c r="W27" s="1"/>
      <c r="X27" s="1"/>
      <c r="Y27" s="1"/>
      <c r="Z27" s="1"/>
      <c r="AA27" s="1"/>
      <c r="AB27" s="1"/>
    </row>
    <row r="28" customFormat="false" ht="15.75" hidden="false" customHeight="false" outlineLevel="0" collapsed="false">
      <c r="A28" s="3" t="n">
        <v>43626.7384783796</v>
      </c>
      <c r="B28" s="2" t="s">
        <v>92</v>
      </c>
      <c r="C28" s="2" t="s">
        <v>23</v>
      </c>
      <c r="D28" s="2" t="s">
        <v>24</v>
      </c>
      <c r="E28" s="2" t="n">
        <v>3</v>
      </c>
      <c r="F28" s="2" t="s">
        <v>93</v>
      </c>
      <c r="G28" s="2" t="s">
        <v>77</v>
      </c>
      <c r="H28" s="2" t="s">
        <v>50</v>
      </c>
      <c r="I28" s="2" t="s">
        <v>94</v>
      </c>
      <c r="J28" s="2" t="s">
        <v>51</v>
      </c>
      <c r="K28" s="2" t="s">
        <v>95</v>
      </c>
      <c r="L28" s="2" t="s">
        <v>31</v>
      </c>
      <c r="M28" s="2" t="n">
        <v>8</v>
      </c>
      <c r="N28" s="2" t="s">
        <v>44</v>
      </c>
      <c r="O28" s="2" t="s">
        <v>33</v>
      </c>
      <c r="P28" s="2" t="n">
        <v>2</v>
      </c>
      <c r="Q28" s="2" t="s">
        <v>34</v>
      </c>
      <c r="R28" s="2" t="s">
        <v>34</v>
      </c>
      <c r="S28" s="2" t="s">
        <v>96</v>
      </c>
      <c r="T28" s="2" t="s">
        <v>97</v>
      </c>
      <c r="U28" s="1"/>
      <c r="V28" s="1"/>
      <c r="W28" s="1"/>
      <c r="X28" s="1"/>
      <c r="Y28" s="1"/>
      <c r="Z28" s="1"/>
      <c r="AA28" s="1"/>
      <c r="AB28" s="1"/>
    </row>
    <row r="29" customFormat="false" ht="15.75" hidden="false" customHeight="false" outlineLevel="0" collapsed="false">
      <c r="A29" s="3" t="n">
        <v>43626.7328085417</v>
      </c>
      <c r="B29" s="2" t="s">
        <v>98</v>
      </c>
      <c r="C29" s="2" t="s">
        <v>99</v>
      </c>
      <c r="D29" s="2" t="s">
        <v>38</v>
      </c>
      <c r="E29" s="2" t="n">
        <v>4</v>
      </c>
      <c r="F29" s="2" t="s">
        <v>100</v>
      </c>
      <c r="G29" s="2" t="s">
        <v>101</v>
      </c>
      <c r="H29" s="2" t="s">
        <v>41</v>
      </c>
      <c r="I29" s="2" t="s">
        <v>32</v>
      </c>
      <c r="J29" s="2" t="s">
        <v>29</v>
      </c>
      <c r="K29" s="2" t="s">
        <v>42</v>
      </c>
      <c r="L29" s="2" t="s">
        <v>43</v>
      </c>
      <c r="M29" s="2" t="n">
        <v>7</v>
      </c>
      <c r="N29" s="2" t="s">
        <v>32</v>
      </c>
      <c r="O29" s="2" t="s">
        <v>45</v>
      </c>
      <c r="P29" s="2" t="n">
        <v>1</v>
      </c>
      <c r="Q29" s="2" t="s">
        <v>34</v>
      </c>
      <c r="R29" s="2" t="s">
        <v>34</v>
      </c>
      <c r="S29" s="2" t="s">
        <v>35</v>
      </c>
      <c r="T29" s="2" t="s">
        <v>102</v>
      </c>
      <c r="U29" s="1"/>
      <c r="V29" s="1"/>
      <c r="W29" s="1"/>
      <c r="X29" s="1"/>
      <c r="Y29" s="1"/>
      <c r="Z29" s="1"/>
      <c r="AA29" s="1"/>
      <c r="AB29" s="1"/>
    </row>
    <row r="30" customFormat="false" ht="15.75" hidden="false" customHeight="false" outlineLevel="0" collapsed="false">
      <c r="A30" s="3" t="n">
        <v>43626.7401076736</v>
      </c>
      <c r="B30" s="2" t="s">
        <v>103</v>
      </c>
      <c r="C30" s="2" t="s">
        <v>99</v>
      </c>
      <c r="D30" s="2" t="s">
        <v>24</v>
      </c>
      <c r="E30" s="2" t="n">
        <v>3</v>
      </c>
      <c r="F30" s="2" t="s">
        <v>104</v>
      </c>
      <c r="G30" s="2" t="s">
        <v>105</v>
      </c>
      <c r="H30" s="2" t="s">
        <v>41</v>
      </c>
      <c r="I30" s="2" t="s">
        <v>94</v>
      </c>
      <c r="J30" s="2" t="s">
        <v>65</v>
      </c>
      <c r="K30" s="2" t="s">
        <v>88</v>
      </c>
      <c r="L30" s="2" t="s">
        <v>43</v>
      </c>
      <c r="M30" s="2" t="n">
        <v>8</v>
      </c>
      <c r="N30" s="2" t="s">
        <v>32</v>
      </c>
      <c r="O30" s="2" t="s">
        <v>33</v>
      </c>
      <c r="P30" s="2" t="n">
        <v>3</v>
      </c>
      <c r="Q30" s="2" t="s">
        <v>34</v>
      </c>
      <c r="R30" s="2" t="s">
        <v>34</v>
      </c>
      <c r="S30" s="2" t="s">
        <v>96</v>
      </c>
      <c r="T30" s="2" t="s">
        <v>106</v>
      </c>
      <c r="U30" s="1"/>
      <c r="V30" s="1"/>
      <c r="W30" s="1"/>
      <c r="X30" s="1"/>
      <c r="Y30" s="1"/>
      <c r="Z30" s="1"/>
      <c r="AA30" s="1"/>
      <c r="AB30" s="1"/>
    </row>
    <row r="31" customFormat="false" ht="15.75" hidden="false" customHeight="false" outlineLevel="0" collapsed="false">
      <c r="A31" s="3" t="n">
        <v>43626.7451630556</v>
      </c>
      <c r="B31" s="2" t="s">
        <v>107</v>
      </c>
      <c r="C31" s="2" t="s">
        <v>23</v>
      </c>
      <c r="D31" s="2" t="s">
        <v>24</v>
      </c>
      <c r="E31" s="2" t="n">
        <v>4</v>
      </c>
      <c r="F31" s="2" t="s">
        <v>108</v>
      </c>
      <c r="G31" s="2" t="s">
        <v>77</v>
      </c>
      <c r="H31" s="2" t="s">
        <v>50</v>
      </c>
      <c r="I31" s="2" t="s">
        <v>32</v>
      </c>
      <c r="J31" s="2" t="s">
        <v>51</v>
      </c>
      <c r="K31" s="2" t="s">
        <v>88</v>
      </c>
      <c r="L31" s="2" t="s">
        <v>31</v>
      </c>
      <c r="M31" s="2" t="n">
        <v>9</v>
      </c>
      <c r="N31" s="2" t="s">
        <v>32</v>
      </c>
      <c r="O31" s="2" t="s">
        <v>45</v>
      </c>
      <c r="P31" s="2" t="n">
        <v>3</v>
      </c>
      <c r="Q31" s="2" t="s">
        <v>34</v>
      </c>
      <c r="R31" s="2" t="s">
        <v>34</v>
      </c>
      <c r="S31" s="2" t="s">
        <v>96</v>
      </c>
      <c r="T31" s="2" t="s">
        <v>109</v>
      </c>
      <c r="U31" s="1"/>
      <c r="V31" s="1"/>
      <c r="W31" s="1"/>
      <c r="X31" s="1"/>
      <c r="Y31" s="1"/>
      <c r="Z31" s="1"/>
      <c r="AA31" s="1"/>
      <c r="AB31" s="1"/>
    </row>
    <row r="32" customFormat="false" ht="15.75" hidden="false" customHeight="false" outlineLevel="0" collapsed="false">
      <c r="A32" s="3" t="n">
        <v>43626.7454799306</v>
      </c>
      <c r="B32" s="2" t="s">
        <v>110</v>
      </c>
      <c r="C32" s="2" t="s">
        <v>23</v>
      </c>
      <c r="D32" s="2" t="s">
        <v>24</v>
      </c>
      <c r="E32" s="2" t="n">
        <v>4</v>
      </c>
      <c r="F32" s="2" t="s">
        <v>111</v>
      </c>
      <c r="G32" s="2" t="s">
        <v>112</v>
      </c>
      <c r="H32" s="2" t="s">
        <v>50</v>
      </c>
      <c r="I32" s="2" t="s">
        <v>94</v>
      </c>
      <c r="J32" s="2" t="s">
        <v>65</v>
      </c>
      <c r="K32" s="2" t="s">
        <v>88</v>
      </c>
      <c r="L32" s="2" t="s">
        <v>31</v>
      </c>
      <c r="M32" s="2" t="n">
        <v>2</v>
      </c>
      <c r="N32" s="2" t="s">
        <v>32</v>
      </c>
      <c r="O32" s="2" t="s">
        <v>45</v>
      </c>
      <c r="P32" s="2" t="n">
        <v>1</v>
      </c>
      <c r="Q32" s="2" t="s">
        <v>34</v>
      </c>
      <c r="R32" s="2" t="s">
        <v>34</v>
      </c>
      <c r="S32" s="2" t="s">
        <v>113</v>
      </c>
      <c r="T32" s="2" t="s">
        <v>114</v>
      </c>
      <c r="U32" s="1"/>
      <c r="V32" s="1"/>
      <c r="W32" s="1"/>
      <c r="X32" s="1"/>
      <c r="Y32" s="1"/>
      <c r="Z32" s="1"/>
      <c r="AA32" s="1"/>
      <c r="AB32" s="1"/>
    </row>
    <row r="33" customFormat="false" ht="15.75" hidden="false" customHeight="false" outlineLevel="0" collapsed="false">
      <c r="A33" s="3" t="n">
        <v>43626.7712763079</v>
      </c>
      <c r="B33" s="2" t="s">
        <v>115</v>
      </c>
      <c r="C33" s="2" t="s">
        <v>23</v>
      </c>
      <c r="D33" s="2" t="s">
        <v>24</v>
      </c>
      <c r="E33" s="2" t="n">
        <v>2</v>
      </c>
      <c r="F33" s="2" t="s">
        <v>116</v>
      </c>
      <c r="G33" s="2" t="s">
        <v>117</v>
      </c>
      <c r="H33" s="2" t="s">
        <v>41</v>
      </c>
      <c r="I33" s="2" t="s">
        <v>53</v>
      </c>
      <c r="J33" s="2" t="s">
        <v>29</v>
      </c>
      <c r="K33" s="2" t="s">
        <v>118</v>
      </c>
      <c r="L33" s="2" t="s">
        <v>31</v>
      </c>
      <c r="M33" s="2" t="n">
        <v>9</v>
      </c>
      <c r="N33" s="2" t="s">
        <v>32</v>
      </c>
      <c r="O33" s="2" t="s">
        <v>45</v>
      </c>
      <c r="P33" s="2" t="n">
        <v>1</v>
      </c>
      <c r="Q33" s="2" t="s">
        <v>34</v>
      </c>
      <c r="R33" s="2" t="s">
        <v>34</v>
      </c>
      <c r="S33" s="2" t="s">
        <v>119</v>
      </c>
      <c r="T33" s="2" t="s">
        <v>120</v>
      </c>
      <c r="U33" s="1"/>
      <c r="V33" s="1"/>
      <c r="W33" s="1"/>
      <c r="X33" s="1"/>
      <c r="Y33" s="1"/>
      <c r="Z33" s="1"/>
      <c r="AA33" s="1"/>
      <c r="AB33" s="1"/>
    </row>
    <row r="34" customFormat="false" ht="15.75" hidden="false" customHeight="false" outlineLevel="0" collapsed="false">
      <c r="A34" s="3" t="n">
        <v>43626.8550341319</v>
      </c>
      <c r="B34" s="2" t="s">
        <v>121</v>
      </c>
      <c r="C34" s="2" t="s">
        <v>23</v>
      </c>
      <c r="D34" s="2" t="s">
        <v>24</v>
      </c>
      <c r="E34" s="2" t="n">
        <v>4</v>
      </c>
      <c r="F34" s="2" t="s">
        <v>122</v>
      </c>
      <c r="G34" s="2" t="s">
        <v>123</v>
      </c>
      <c r="H34" s="2" t="s">
        <v>41</v>
      </c>
      <c r="I34" s="2" t="s">
        <v>94</v>
      </c>
      <c r="J34" s="2" t="s">
        <v>65</v>
      </c>
      <c r="K34" s="2" t="s">
        <v>124</v>
      </c>
      <c r="L34" s="2" t="s">
        <v>31</v>
      </c>
      <c r="M34" s="2" t="n">
        <v>6</v>
      </c>
      <c r="N34" s="2" t="s">
        <v>32</v>
      </c>
      <c r="O34" s="2" t="s">
        <v>45</v>
      </c>
      <c r="P34" s="2" t="n">
        <v>5</v>
      </c>
      <c r="Q34" s="2" t="s">
        <v>34</v>
      </c>
      <c r="R34" s="2" t="s">
        <v>34</v>
      </c>
      <c r="S34" s="2" t="s">
        <v>125</v>
      </c>
      <c r="T34" s="2" t="s">
        <v>126</v>
      </c>
      <c r="U34" s="1"/>
      <c r="V34" s="1"/>
      <c r="W34" s="1"/>
      <c r="X34" s="1"/>
      <c r="Y34" s="1"/>
      <c r="Z34" s="1"/>
      <c r="AA34" s="1"/>
      <c r="AB34" s="1"/>
    </row>
    <row r="35" customFormat="false" ht="15.75" hidden="false" customHeight="false" outlineLevel="0" collapsed="false">
      <c r="A35" s="3" t="n">
        <v>43626.7757149074</v>
      </c>
      <c r="B35" s="2" t="s">
        <v>127</v>
      </c>
      <c r="C35" s="2" t="s">
        <v>23</v>
      </c>
      <c r="D35" s="2" t="s">
        <v>24</v>
      </c>
      <c r="E35" s="2" t="n">
        <v>2</v>
      </c>
      <c r="F35" s="2" t="s">
        <v>128</v>
      </c>
      <c r="G35" s="2" t="s">
        <v>77</v>
      </c>
      <c r="H35" s="2" t="s">
        <v>50</v>
      </c>
      <c r="I35" s="2" t="s">
        <v>32</v>
      </c>
      <c r="J35" s="2" t="s">
        <v>51</v>
      </c>
      <c r="K35" s="2" t="s">
        <v>88</v>
      </c>
      <c r="L35" s="2" t="s">
        <v>72</v>
      </c>
      <c r="M35" s="2" t="n">
        <v>9</v>
      </c>
      <c r="N35" s="2" t="s">
        <v>32</v>
      </c>
      <c r="O35" s="2" t="s">
        <v>45</v>
      </c>
      <c r="P35" s="2" t="n">
        <v>2</v>
      </c>
      <c r="Q35" s="2" t="s">
        <v>34</v>
      </c>
      <c r="R35" s="2" t="s">
        <v>34</v>
      </c>
      <c r="S35" s="2" t="s">
        <v>129</v>
      </c>
      <c r="T35" s="2" t="s">
        <v>130</v>
      </c>
      <c r="U35" s="1"/>
      <c r="V35" s="1"/>
      <c r="W35" s="1"/>
      <c r="X35" s="1"/>
      <c r="Y35" s="1"/>
      <c r="Z35" s="1"/>
      <c r="AA35" s="1"/>
      <c r="AB35" s="1"/>
    </row>
    <row r="36" customFormat="false" ht="15.75" hidden="false" customHeight="false" outlineLevel="0" collapsed="false">
      <c r="A36" s="3" t="n">
        <v>43626.7758316204</v>
      </c>
      <c r="B36" s="2" t="s">
        <v>131</v>
      </c>
      <c r="C36" s="2" t="s">
        <v>23</v>
      </c>
      <c r="D36" s="2" t="s">
        <v>24</v>
      </c>
      <c r="E36" s="2" t="n">
        <v>2</v>
      </c>
      <c r="F36" s="2" t="s">
        <v>132</v>
      </c>
      <c r="G36" s="2" t="s">
        <v>26</v>
      </c>
      <c r="H36" s="2" t="s">
        <v>27</v>
      </c>
      <c r="I36" s="2" t="s">
        <v>32</v>
      </c>
      <c r="J36" s="2" t="s">
        <v>51</v>
      </c>
      <c r="K36" s="2" t="s">
        <v>88</v>
      </c>
      <c r="L36" s="2" t="s">
        <v>31</v>
      </c>
      <c r="M36" s="2" t="n">
        <v>9</v>
      </c>
      <c r="N36" s="2" t="s">
        <v>32</v>
      </c>
      <c r="O36" s="2" t="s">
        <v>45</v>
      </c>
      <c r="P36" s="2" t="n">
        <v>2</v>
      </c>
      <c r="Q36" s="2" t="s">
        <v>34</v>
      </c>
      <c r="R36" s="2" t="s">
        <v>34</v>
      </c>
      <c r="S36" s="2" t="s">
        <v>129</v>
      </c>
      <c r="T36" s="2" t="s">
        <v>133</v>
      </c>
      <c r="U36" s="1"/>
      <c r="V36" s="1"/>
      <c r="W36" s="1"/>
      <c r="X36" s="1"/>
      <c r="Y36" s="1"/>
      <c r="Z36" s="1"/>
      <c r="AA36" s="1"/>
      <c r="AB36" s="1"/>
    </row>
    <row r="37" customFormat="false" ht="15.75" hidden="false" customHeight="false" outlineLevel="0" collapsed="false">
      <c r="A37" s="3" t="n">
        <v>43626.8266625</v>
      </c>
      <c r="B37" s="2" t="s">
        <v>134</v>
      </c>
      <c r="C37" s="2" t="s">
        <v>99</v>
      </c>
      <c r="D37" s="2" t="s">
        <v>38</v>
      </c>
      <c r="E37" s="2" t="n">
        <v>5</v>
      </c>
      <c r="F37" s="2" t="s">
        <v>135</v>
      </c>
      <c r="G37" s="2" t="s">
        <v>64</v>
      </c>
      <c r="H37" s="2" t="s">
        <v>50</v>
      </c>
      <c r="I37" s="2" t="s">
        <v>53</v>
      </c>
      <c r="J37" s="2" t="s">
        <v>65</v>
      </c>
      <c r="K37" s="2" t="s">
        <v>42</v>
      </c>
      <c r="L37" s="2" t="s">
        <v>72</v>
      </c>
      <c r="M37" s="2" t="n">
        <v>9</v>
      </c>
      <c r="N37" s="2" t="s">
        <v>32</v>
      </c>
      <c r="O37" s="2" t="s">
        <v>33</v>
      </c>
      <c r="P37" s="2" t="n">
        <v>3</v>
      </c>
      <c r="Q37" s="2" t="s">
        <v>34</v>
      </c>
      <c r="R37" s="2" t="s">
        <v>34</v>
      </c>
      <c r="S37" s="2" t="s">
        <v>136</v>
      </c>
      <c r="T37" s="2" t="s">
        <v>137</v>
      </c>
      <c r="U37" s="1"/>
      <c r="V37" s="1"/>
      <c r="W37" s="1"/>
      <c r="X37" s="1"/>
      <c r="Y37" s="1"/>
      <c r="Z37" s="1"/>
      <c r="AA37" s="1"/>
      <c r="AB37" s="1"/>
    </row>
    <row r="38" customFormat="false" ht="15.75" hidden="false" customHeight="false" outlineLevel="0" collapsed="false">
      <c r="A38" s="3" t="n">
        <v>43626.829889375</v>
      </c>
      <c r="B38" s="2" t="s">
        <v>138</v>
      </c>
      <c r="C38" s="2" t="s">
        <v>23</v>
      </c>
      <c r="D38" s="2" t="s">
        <v>24</v>
      </c>
      <c r="E38" s="2" t="n">
        <v>5</v>
      </c>
      <c r="F38" s="2" t="s">
        <v>139</v>
      </c>
      <c r="G38" s="2" t="s">
        <v>77</v>
      </c>
      <c r="H38" s="2" t="s">
        <v>27</v>
      </c>
      <c r="I38" s="2" t="s">
        <v>32</v>
      </c>
      <c r="J38" s="2" t="s">
        <v>29</v>
      </c>
      <c r="K38" s="2" t="s">
        <v>140</v>
      </c>
      <c r="L38" s="2" t="s">
        <v>31</v>
      </c>
      <c r="M38" s="2" t="n">
        <v>7</v>
      </c>
      <c r="N38" s="2" t="s">
        <v>53</v>
      </c>
      <c r="O38" s="2" t="s">
        <v>89</v>
      </c>
      <c r="P38" s="2" t="n">
        <v>1</v>
      </c>
      <c r="Q38" s="2" t="s">
        <v>34</v>
      </c>
      <c r="R38" s="2" t="s">
        <v>34</v>
      </c>
      <c r="S38" s="2" t="s">
        <v>129</v>
      </c>
      <c r="T38" s="2" t="s">
        <v>141</v>
      </c>
      <c r="U38" s="1"/>
      <c r="V38" s="1"/>
      <c r="W38" s="1"/>
      <c r="X38" s="1"/>
      <c r="Y38" s="1"/>
      <c r="Z38" s="1"/>
      <c r="AA38" s="1"/>
      <c r="AB38" s="1"/>
    </row>
    <row r="39" customFormat="false" ht="15.75" hidden="false" customHeight="false" outlineLevel="0" collapsed="false">
      <c r="A39" s="3" t="n">
        <v>43626.8555142477</v>
      </c>
      <c r="B39" s="2" t="s">
        <v>142</v>
      </c>
      <c r="C39" s="2" t="s">
        <v>23</v>
      </c>
      <c r="D39" s="2" t="s">
        <v>24</v>
      </c>
      <c r="E39" s="2" t="n">
        <v>5</v>
      </c>
      <c r="F39" s="2" t="s">
        <v>143</v>
      </c>
      <c r="G39" s="2" t="s">
        <v>123</v>
      </c>
      <c r="H39" s="2" t="s">
        <v>41</v>
      </c>
      <c r="I39" s="2" t="s">
        <v>94</v>
      </c>
      <c r="J39" s="2" t="s">
        <v>65</v>
      </c>
      <c r="K39" s="2" t="s">
        <v>144</v>
      </c>
      <c r="L39" s="2" t="s">
        <v>60</v>
      </c>
      <c r="M39" s="2" t="n">
        <v>1</v>
      </c>
      <c r="N39" s="2" t="s">
        <v>44</v>
      </c>
      <c r="O39" s="2" t="s">
        <v>45</v>
      </c>
      <c r="P39" s="2" t="n">
        <v>3</v>
      </c>
      <c r="Q39" s="2" t="s">
        <v>34</v>
      </c>
      <c r="R39" s="2" t="s">
        <v>34</v>
      </c>
      <c r="S39" s="2" t="s">
        <v>125</v>
      </c>
      <c r="T39" s="2" t="s">
        <v>145</v>
      </c>
      <c r="U39" s="1"/>
      <c r="V39" s="1"/>
      <c r="W39" s="1"/>
      <c r="X39" s="1"/>
      <c r="Y39" s="1"/>
      <c r="Z39" s="1"/>
      <c r="AA39" s="1"/>
      <c r="AB39" s="1"/>
    </row>
    <row r="40" customFormat="false" ht="15.75" hidden="false" customHeight="false" outlineLevel="0" collapsed="false">
      <c r="A40" s="3" t="n">
        <v>43626.8554815857</v>
      </c>
      <c r="B40" s="2" t="s">
        <v>146</v>
      </c>
      <c r="C40" s="2" t="s">
        <v>23</v>
      </c>
      <c r="D40" s="2" t="s">
        <v>24</v>
      </c>
      <c r="E40" s="2" t="n">
        <v>4</v>
      </c>
      <c r="F40" s="2" t="s">
        <v>76</v>
      </c>
      <c r="G40" s="2" t="s">
        <v>59</v>
      </c>
      <c r="H40" s="2" t="s">
        <v>50</v>
      </c>
      <c r="I40" s="2" t="s">
        <v>94</v>
      </c>
      <c r="J40" s="2" t="s">
        <v>51</v>
      </c>
      <c r="K40" s="2" t="s">
        <v>147</v>
      </c>
      <c r="L40" s="2" t="s">
        <v>31</v>
      </c>
      <c r="M40" s="2" t="n">
        <v>7</v>
      </c>
      <c r="N40" s="2" t="s">
        <v>53</v>
      </c>
      <c r="O40" s="2" t="s">
        <v>45</v>
      </c>
      <c r="P40" s="2" t="n">
        <v>1</v>
      </c>
      <c r="Q40" s="2" t="s">
        <v>34</v>
      </c>
      <c r="R40" s="2" t="s">
        <v>34</v>
      </c>
      <c r="S40" s="2" t="s">
        <v>148</v>
      </c>
      <c r="T40" s="2" t="s">
        <v>149</v>
      </c>
      <c r="U40" s="1"/>
      <c r="V40" s="1"/>
      <c r="W40" s="1"/>
      <c r="X40" s="1"/>
      <c r="Y40" s="1"/>
      <c r="Z40" s="1"/>
      <c r="AA40" s="1"/>
      <c r="AB40" s="1"/>
    </row>
    <row r="41" customFormat="false" ht="15.75" hidden="false" customHeight="false" outlineLevel="0" collapsed="false">
      <c r="A41" s="3" t="n">
        <v>43626.8554975926</v>
      </c>
      <c r="B41" s="2" t="s">
        <v>150</v>
      </c>
      <c r="C41" s="2" t="s">
        <v>99</v>
      </c>
      <c r="D41" s="2" t="s">
        <v>24</v>
      </c>
      <c r="E41" s="2" t="n">
        <v>5</v>
      </c>
      <c r="F41" s="2" t="s">
        <v>151</v>
      </c>
      <c r="G41" s="2" t="s">
        <v>152</v>
      </c>
      <c r="H41" s="2" t="s">
        <v>41</v>
      </c>
      <c r="I41" s="2" t="s">
        <v>32</v>
      </c>
      <c r="J41" s="2" t="s">
        <v>29</v>
      </c>
      <c r="K41" s="2" t="s">
        <v>153</v>
      </c>
      <c r="L41" s="2" t="s">
        <v>72</v>
      </c>
      <c r="M41" s="2" t="n">
        <v>7</v>
      </c>
      <c r="N41" s="2" t="s">
        <v>32</v>
      </c>
      <c r="O41" s="2" t="s">
        <v>89</v>
      </c>
      <c r="P41" s="2" t="n">
        <v>1</v>
      </c>
      <c r="Q41" s="2" t="s">
        <v>34</v>
      </c>
      <c r="R41" s="2" t="s">
        <v>34</v>
      </c>
      <c r="S41" s="2" t="s">
        <v>125</v>
      </c>
      <c r="T41" s="2" t="s">
        <v>154</v>
      </c>
      <c r="U41" s="1"/>
      <c r="V41" s="1"/>
      <c r="W41" s="1"/>
      <c r="X41" s="1"/>
      <c r="Y41" s="1"/>
      <c r="Z41" s="1"/>
      <c r="AA41" s="1"/>
      <c r="AB41" s="1"/>
    </row>
    <row r="42" customFormat="false" ht="15.75" hidden="false" customHeight="false" outlineLevel="0" collapsed="false">
      <c r="A42" s="3" t="n">
        <v>43626.8591646296</v>
      </c>
      <c r="B42" s="2" t="s">
        <v>155</v>
      </c>
      <c r="C42" s="2" t="s">
        <v>99</v>
      </c>
      <c r="D42" s="2" t="s">
        <v>38</v>
      </c>
      <c r="E42" s="2" t="n">
        <v>3</v>
      </c>
      <c r="F42" s="2" t="s">
        <v>156</v>
      </c>
      <c r="G42" s="2" t="s">
        <v>157</v>
      </c>
      <c r="H42" s="2" t="s">
        <v>27</v>
      </c>
      <c r="I42" s="2" t="s">
        <v>53</v>
      </c>
      <c r="J42" s="2" t="s">
        <v>65</v>
      </c>
      <c r="K42" s="2" t="s">
        <v>59</v>
      </c>
      <c r="L42" s="2" t="s">
        <v>31</v>
      </c>
      <c r="M42" s="2" t="n">
        <v>6</v>
      </c>
      <c r="N42" s="2" t="s">
        <v>32</v>
      </c>
      <c r="O42" s="2" t="s">
        <v>89</v>
      </c>
      <c r="P42" s="2" t="n">
        <v>1</v>
      </c>
      <c r="Q42" s="2" t="s">
        <v>34</v>
      </c>
      <c r="R42" s="2" t="s">
        <v>34</v>
      </c>
      <c r="S42" s="2" t="s">
        <v>158</v>
      </c>
      <c r="T42" s="2" t="s">
        <v>159</v>
      </c>
      <c r="U42" s="1"/>
      <c r="V42" s="1"/>
      <c r="W42" s="1"/>
      <c r="X42" s="1"/>
      <c r="Y42" s="1"/>
      <c r="Z42" s="1"/>
      <c r="AA42" s="1"/>
      <c r="AB42" s="1"/>
    </row>
    <row r="43" customFormat="false" ht="15.75" hidden="false" customHeight="false" outlineLevel="0" collapsed="false">
      <c r="A43" s="3" t="n">
        <v>43626.8651176157</v>
      </c>
      <c r="B43" s="2" t="s">
        <v>160</v>
      </c>
      <c r="C43" s="2" t="s">
        <v>23</v>
      </c>
      <c r="D43" s="2" t="s">
        <v>24</v>
      </c>
      <c r="E43" s="2" t="n">
        <v>5</v>
      </c>
      <c r="F43" s="2" t="s">
        <v>116</v>
      </c>
      <c r="G43" s="2" t="s">
        <v>105</v>
      </c>
      <c r="H43" s="2" t="s">
        <v>50</v>
      </c>
      <c r="I43" s="2" t="s">
        <v>32</v>
      </c>
      <c r="J43" s="2" t="s">
        <v>51</v>
      </c>
      <c r="K43" s="2" t="s">
        <v>42</v>
      </c>
      <c r="L43" s="2" t="s">
        <v>72</v>
      </c>
      <c r="M43" s="2" t="n">
        <v>7</v>
      </c>
      <c r="N43" s="2" t="s">
        <v>53</v>
      </c>
      <c r="O43" s="2" t="s">
        <v>45</v>
      </c>
      <c r="P43" s="2" t="n">
        <v>1</v>
      </c>
      <c r="Q43" s="2" t="s">
        <v>54</v>
      </c>
      <c r="R43" s="2" t="s">
        <v>34</v>
      </c>
      <c r="S43" s="2" t="s">
        <v>161</v>
      </c>
      <c r="T43" s="2" t="s">
        <v>162</v>
      </c>
      <c r="U43" s="1"/>
      <c r="V43" s="1"/>
      <c r="W43" s="1"/>
      <c r="X43" s="1"/>
      <c r="Y43" s="1"/>
      <c r="Z43" s="1"/>
      <c r="AA43" s="1"/>
      <c r="AB43" s="1"/>
    </row>
    <row r="44" customFormat="false" ht="15.75" hidden="false" customHeight="false" outlineLevel="0" collapsed="false">
      <c r="A44" s="3" t="n">
        <v>43626.8699612731</v>
      </c>
      <c r="B44" s="2" t="s">
        <v>163</v>
      </c>
      <c r="C44" s="2" t="s">
        <v>23</v>
      </c>
      <c r="D44" s="2" t="s">
        <v>24</v>
      </c>
      <c r="E44" s="2" t="n">
        <v>5</v>
      </c>
      <c r="F44" s="2" t="s">
        <v>164</v>
      </c>
      <c r="G44" s="2" t="s">
        <v>165</v>
      </c>
      <c r="H44" s="2" t="s">
        <v>41</v>
      </c>
      <c r="I44" s="2" t="s">
        <v>53</v>
      </c>
      <c r="J44" s="2" t="s">
        <v>29</v>
      </c>
      <c r="K44" s="2" t="s">
        <v>42</v>
      </c>
      <c r="L44" s="2" t="s">
        <v>31</v>
      </c>
      <c r="M44" s="2" t="n">
        <v>7</v>
      </c>
      <c r="N44" s="2" t="s">
        <v>53</v>
      </c>
      <c r="O44" s="2" t="s">
        <v>45</v>
      </c>
      <c r="P44" s="2" t="n">
        <v>1</v>
      </c>
      <c r="Q44" s="2" t="s">
        <v>54</v>
      </c>
      <c r="R44" s="2" t="s">
        <v>34</v>
      </c>
      <c r="S44" s="2" t="s">
        <v>166</v>
      </c>
      <c r="T44" s="2" t="s">
        <v>167</v>
      </c>
      <c r="U44" s="1"/>
      <c r="V44" s="1"/>
      <c r="W44" s="1"/>
      <c r="X44" s="1"/>
      <c r="Y44" s="1"/>
      <c r="Z44" s="1"/>
      <c r="AA44" s="1"/>
      <c r="AB44" s="1"/>
    </row>
    <row r="45" customFormat="false" ht="15.75" hidden="false" customHeight="false" outlineLevel="0" collapsed="false">
      <c r="A45" s="3" t="n">
        <v>43626.8735766898</v>
      </c>
      <c r="B45" s="2" t="s">
        <v>168</v>
      </c>
      <c r="C45" s="2" t="s">
        <v>75</v>
      </c>
      <c r="D45" s="2" t="s">
        <v>38</v>
      </c>
      <c r="E45" s="2" t="n">
        <v>4</v>
      </c>
      <c r="F45" s="2" t="s">
        <v>48</v>
      </c>
      <c r="G45" s="2" t="s">
        <v>49</v>
      </c>
      <c r="H45" s="2" t="s">
        <v>41</v>
      </c>
      <c r="I45" s="2" t="s">
        <v>32</v>
      </c>
      <c r="J45" s="2" t="s">
        <v>65</v>
      </c>
      <c r="K45" s="2" t="s">
        <v>169</v>
      </c>
      <c r="L45" s="2" t="s">
        <v>43</v>
      </c>
      <c r="M45" s="2" t="n">
        <v>6</v>
      </c>
      <c r="N45" s="2" t="s">
        <v>53</v>
      </c>
      <c r="O45" s="2" t="s">
        <v>45</v>
      </c>
      <c r="P45" s="2" t="n">
        <v>1</v>
      </c>
      <c r="Q45" s="2" t="s">
        <v>34</v>
      </c>
      <c r="R45" s="2" t="s">
        <v>34</v>
      </c>
      <c r="S45" s="2" t="s">
        <v>170</v>
      </c>
      <c r="T45" s="2" t="s">
        <v>171</v>
      </c>
      <c r="U45" s="1"/>
      <c r="V45" s="1"/>
      <c r="W45" s="1"/>
      <c r="X45" s="1"/>
      <c r="Y45" s="1"/>
      <c r="Z45" s="1"/>
      <c r="AA45" s="1"/>
      <c r="AB45" s="1"/>
    </row>
    <row r="46" customFormat="false" ht="15.75" hidden="false" customHeight="false" outlineLevel="0" collapsed="false">
      <c r="A46" s="3" t="n">
        <v>43626.8743366551</v>
      </c>
      <c r="B46" s="2" t="s">
        <v>172</v>
      </c>
      <c r="C46" s="2" t="s">
        <v>75</v>
      </c>
      <c r="D46" s="2" t="s">
        <v>38</v>
      </c>
      <c r="E46" s="2" t="n">
        <v>5</v>
      </c>
      <c r="F46" s="2" t="s">
        <v>135</v>
      </c>
      <c r="G46" s="2" t="s">
        <v>173</v>
      </c>
      <c r="H46" s="2" t="s">
        <v>41</v>
      </c>
      <c r="I46" s="2" t="s">
        <v>53</v>
      </c>
      <c r="J46" s="2" t="s">
        <v>65</v>
      </c>
      <c r="K46" s="2" t="s">
        <v>30</v>
      </c>
      <c r="L46" s="2" t="s">
        <v>31</v>
      </c>
      <c r="M46" s="2" t="n">
        <v>5</v>
      </c>
      <c r="N46" s="2" t="s">
        <v>53</v>
      </c>
      <c r="O46" s="2" t="s">
        <v>45</v>
      </c>
      <c r="P46" s="2" t="n">
        <v>1</v>
      </c>
      <c r="Q46" s="2" t="s">
        <v>34</v>
      </c>
      <c r="R46" s="2" t="s">
        <v>34</v>
      </c>
      <c r="S46" s="2" t="s">
        <v>158</v>
      </c>
      <c r="T46" s="2" t="s">
        <v>174</v>
      </c>
      <c r="U46" s="1"/>
      <c r="V46" s="1"/>
      <c r="W46" s="1"/>
      <c r="X46" s="1"/>
      <c r="Y46" s="1"/>
      <c r="Z46" s="1"/>
      <c r="AA46" s="1"/>
      <c r="AB46" s="1"/>
    </row>
    <row r="47" customFormat="false" ht="15.75" hidden="false" customHeight="false" outlineLevel="0" collapsed="false">
      <c r="A47" s="3" t="n">
        <v>43626.8747861806</v>
      </c>
      <c r="B47" s="2" t="s">
        <v>175</v>
      </c>
      <c r="C47" s="2" t="s">
        <v>99</v>
      </c>
      <c r="D47" s="2" t="s">
        <v>176</v>
      </c>
      <c r="E47" s="2" t="n">
        <v>5</v>
      </c>
      <c r="F47" s="2" t="s">
        <v>177</v>
      </c>
      <c r="G47" s="2" t="s">
        <v>178</v>
      </c>
      <c r="H47" s="2" t="s">
        <v>50</v>
      </c>
      <c r="I47" s="2" t="s">
        <v>32</v>
      </c>
      <c r="J47" s="2" t="s">
        <v>29</v>
      </c>
      <c r="K47" s="2" t="s">
        <v>179</v>
      </c>
      <c r="L47" s="2" t="s">
        <v>43</v>
      </c>
      <c r="M47" s="2" t="n">
        <v>8</v>
      </c>
      <c r="N47" s="2" t="s">
        <v>53</v>
      </c>
      <c r="O47" s="2" t="s">
        <v>89</v>
      </c>
      <c r="P47" s="2" t="n">
        <v>1</v>
      </c>
      <c r="Q47" s="2" t="s">
        <v>54</v>
      </c>
      <c r="R47" s="2" t="s">
        <v>34</v>
      </c>
      <c r="S47" s="2" t="s">
        <v>158</v>
      </c>
      <c r="T47" s="2" t="s">
        <v>180</v>
      </c>
      <c r="U47" s="1"/>
      <c r="V47" s="1"/>
      <c r="W47" s="1"/>
      <c r="X47" s="1"/>
      <c r="Y47" s="1"/>
      <c r="Z47" s="1"/>
      <c r="AA47" s="1"/>
      <c r="AB47" s="1"/>
    </row>
    <row r="48" customFormat="false" ht="15.75" hidden="false" customHeight="false" outlineLevel="0" collapsed="false">
      <c r="A48" s="3" t="n">
        <v>43626.8768422338</v>
      </c>
      <c r="B48" s="2" t="s">
        <v>181</v>
      </c>
      <c r="C48" s="2" t="s">
        <v>99</v>
      </c>
      <c r="D48" s="2" t="s">
        <v>38</v>
      </c>
      <c r="E48" s="2" t="n">
        <v>5</v>
      </c>
      <c r="F48" s="2" t="s">
        <v>182</v>
      </c>
      <c r="G48" s="2" t="s">
        <v>183</v>
      </c>
      <c r="H48" s="2" t="s">
        <v>50</v>
      </c>
      <c r="I48" s="2" t="s">
        <v>28</v>
      </c>
      <c r="J48" s="2" t="s">
        <v>29</v>
      </c>
      <c r="K48" s="2" t="s">
        <v>184</v>
      </c>
      <c r="L48" s="2" t="s">
        <v>43</v>
      </c>
      <c r="M48" s="2" t="n">
        <v>8</v>
      </c>
      <c r="N48" s="2" t="s">
        <v>53</v>
      </c>
      <c r="O48" s="2" t="s">
        <v>45</v>
      </c>
      <c r="P48" s="2" t="n">
        <v>3</v>
      </c>
      <c r="Q48" s="2" t="s">
        <v>54</v>
      </c>
      <c r="R48" s="2" t="s">
        <v>34</v>
      </c>
      <c r="S48" s="2" t="s">
        <v>170</v>
      </c>
      <c r="T48" s="2" t="s">
        <v>185</v>
      </c>
      <c r="U48" s="1"/>
      <c r="V48" s="1"/>
      <c r="W48" s="1"/>
      <c r="X48" s="1"/>
      <c r="Y48" s="1"/>
      <c r="Z48" s="1"/>
      <c r="AA48" s="1"/>
      <c r="AB48" s="1"/>
    </row>
    <row r="49" customFormat="false" ht="15.75" hidden="false" customHeight="false" outlineLevel="0" collapsed="false">
      <c r="A49" s="3" t="n">
        <v>43626.899203125</v>
      </c>
      <c r="B49" s="2" t="s">
        <v>186</v>
      </c>
      <c r="C49" s="2" t="s">
        <v>23</v>
      </c>
      <c r="D49" s="2" t="s">
        <v>24</v>
      </c>
      <c r="E49" s="2" t="n">
        <v>5</v>
      </c>
      <c r="F49" s="2" t="s">
        <v>116</v>
      </c>
      <c r="G49" s="2" t="s">
        <v>58</v>
      </c>
      <c r="H49" s="2" t="s">
        <v>50</v>
      </c>
      <c r="I49" s="2" t="s">
        <v>53</v>
      </c>
      <c r="J49" s="2" t="s">
        <v>65</v>
      </c>
      <c r="K49" s="2" t="s">
        <v>187</v>
      </c>
      <c r="L49" s="2" t="s">
        <v>43</v>
      </c>
      <c r="M49" s="2" t="n">
        <v>4</v>
      </c>
      <c r="N49" s="2" t="s">
        <v>66</v>
      </c>
      <c r="O49" s="2" t="s">
        <v>89</v>
      </c>
      <c r="P49" s="2" t="n">
        <v>1</v>
      </c>
      <c r="Q49" s="2" t="s">
        <v>54</v>
      </c>
      <c r="R49" s="2" t="s">
        <v>34</v>
      </c>
      <c r="S49" s="2" t="s">
        <v>188</v>
      </c>
      <c r="T49" s="2" t="s">
        <v>189</v>
      </c>
      <c r="U49" s="1"/>
      <c r="V49" s="1"/>
      <c r="W49" s="1"/>
      <c r="X49" s="1"/>
      <c r="Y49" s="1"/>
      <c r="Z49" s="1"/>
      <c r="AA49" s="1"/>
      <c r="AB49" s="1"/>
    </row>
    <row r="50" customFormat="false" ht="15.75" hidden="false" customHeight="false" outlineLevel="0" collapsed="false">
      <c r="A50" s="3" t="n">
        <v>43627.262483206</v>
      </c>
      <c r="B50" s="2" t="s">
        <v>190</v>
      </c>
      <c r="C50" s="2" t="s">
        <v>23</v>
      </c>
      <c r="D50" s="2" t="s">
        <v>176</v>
      </c>
      <c r="E50" s="2" t="n">
        <v>3</v>
      </c>
      <c r="F50" s="2" t="s">
        <v>191</v>
      </c>
      <c r="G50" s="2" t="s">
        <v>87</v>
      </c>
      <c r="H50" s="2" t="s">
        <v>41</v>
      </c>
      <c r="I50" s="2" t="s">
        <v>53</v>
      </c>
      <c r="J50" s="2" t="s">
        <v>29</v>
      </c>
      <c r="K50" s="2" t="s">
        <v>59</v>
      </c>
      <c r="L50" s="2" t="s">
        <v>60</v>
      </c>
      <c r="M50" s="2" t="n">
        <v>10</v>
      </c>
      <c r="N50" s="2" t="s">
        <v>44</v>
      </c>
      <c r="O50" s="2" t="s">
        <v>33</v>
      </c>
      <c r="P50" s="2" t="n">
        <v>4</v>
      </c>
      <c r="Q50" s="2" t="s">
        <v>34</v>
      </c>
      <c r="R50" s="2" t="s">
        <v>34</v>
      </c>
      <c r="S50" s="2" t="s">
        <v>192</v>
      </c>
      <c r="T50" s="2" t="s">
        <v>193</v>
      </c>
      <c r="U50" s="1"/>
      <c r="V50" s="1"/>
      <c r="W50" s="1"/>
      <c r="X50" s="1"/>
      <c r="Y50" s="1"/>
      <c r="Z50" s="1"/>
      <c r="AA50" s="1"/>
      <c r="AB50" s="1"/>
    </row>
    <row r="51" customFormat="false" ht="15.75" hidden="false" customHeight="false" outlineLevel="0" collapsed="false">
      <c r="A51" s="3" t="n">
        <v>43627.2676776968</v>
      </c>
      <c r="B51" s="2" t="s">
        <v>194</v>
      </c>
      <c r="C51" s="2" t="s">
        <v>99</v>
      </c>
      <c r="D51" s="2" t="s">
        <v>195</v>
      </c>
      <c r="E51" s="2" t="n">
        <v>4</v>
      </c>
      <c r="F51" s="2" t="s">
        <v>132</v>
      </c>
      <c r="G51" s="2" t="s">
        <v>40</v>
      </c>
      <c r="H51" s="2" t="s">
        <v>41</v>
      </c>
      <c r="I51" s="2" t="s">
        <v>53</v>
      </c>
      <c r="J51" s="2" t="s">
        <v>29</v>
      </c>
      <c r="K51" s="2" t="s">
        <v>95</v>
      </c>
      <c r="L51" s="2" t="s">
        <v>60</v>
      </c>
      <c r="M51" s="2" t="n">
        <v>9</v>
      </c>
      <c r="N51" s="2" t="s">
        <v>32</v>
      </c>
      <c r="O51" s="2" t="s">
        <v>33</v>
      </c>
      <c r="P51" s="2" t="n">
        <v>4</v>
      </c>
      <c r="Q51" s="2" t="s">
        <v>34</v>
      </c>
      <c r="R51" s="2" t="s">
        <v>34</v>
      </c>
      <c r="S51" s="2" t="s">
        <v>196</v>
      </c>
      <c r="T51" s="2" t="s">
        <v>197</v>
      </c>
      <c r="U51" s="1"/>
      <c r="V51" s="1"/>
      <c r="W51" s="1"/>
      <c r="X51" s="1"/>
      <c r="Y51" s="1"/>
      <c r="Z51" s="1"/>
      <c r="AA51" s="1"/>
      <c r="AB51" s="1"/>
    </row>
    <row r="52" customFormat="false" ht="15.75" hidden="false" customHeight="false" outlineLevel="0" collapsed="false">
      <c r="A52" s="3" t="n">
        <v>43627.3093553704</v>
      </c>
      <c r="B52" s="2" t="s">
        <v>198</v>
      </c>
      <c r="C52" s="2" t="s">
        <v>23</v>
      </c>
      <c r="D52" s="2" t="s">
        <v>24</v>
      </c>
      <c r="E52" s="2" t="n">
        <v>5</v>
      </c>
      <c r="F52" s="2" t="s">
        <v>199</v>
      </c>
      <c r="G52" s="2" t="s">
        <v>77</v>
      </c>
      <c r="H52" s="2" t="s">
        <v>41</v>
      </c>
      <c r="I52" s="2" t="s">
        <v>94</v>
      </c>
      <c r="J52" s="2" t="s">
        <v>65</v>
      </c>
      <c r="K52" s="2" t="s">
        <v>200</v>
      </c>
      <c r="L52" s="2" t="s">
        <v>31</v>
      </c>
      <c r="M52" s="2" t="n">
        <v>1</v>
      </c>
      <c r="N52" s="2" t="s">
        <v>66</v>
      </c>
      <c r="O52" s="2" t="s">
        <v>45</v>
      </c>
      <c r="P52" s="2" t="n">
        <v>1</v>
      </c>
      <c r="Q52" s="2" t="s">
        <v>34</v>
      </c>
      <c r="R52" s="2" t="s">
        <v>34</v>
      </c>
      <c r="S52" s="2" t="s">
        <v>188</v>
      </c>
      <c r="T52" s="2" t="s">
        <v>201</v>
      </c>
      <c r="U52" s="1"/>
      <c r="V52" s="1"/>
      <c r="W52" s="1"/>
      <c r="X52" s="1"/>
      <c r="Y52" s="1"/>
      <c r="Z52" s="1"/>
      <c r="AA52" s="1"/>
      <c r="AB52" s="1"/>
    </row>
    <row r="53" customFormat="false" ht="15.75" hidden="false" customHeight="false" outlineLevel="0" collapsed="false">
      <c r="A53" s="3" t="n">
        <v>43627.3450329861</v>
      </c>
      <c r="B53" s="2" t="s">
        <v>202</v>
      </c>
      <c r="C53" s="2" t="s">
        <v>23</v>
      </c>
      <c r="D53" s="2" t="s">
        <v>24</v>
      </c>
      <c r="E53" s="2" t="n">
        <v>4</v>
      </c>
      <c r="F53" s="2" t="s">
        <v>203</v>
      </c>
      <c r="G53" s="2" t="s">
        <v>64</v>
      </c>
      <c r="H53" s="2" t="s">
        <v>41</v>
      </c>
      <c r="I53" s="2" t="s">
        <v>32</v>
      </c>
      <c r="J53" s="2" t="s">
        <v>65</v>
      </c>
      <c r="K53" s="2" t="s">
        <v>204</v>
      </c>
      <c r="L53" s="2" t="s">
        <v>60</v>
      </c>
      <c r="M53" s="2" t="n">
        <v>8</v>
      </c>
      <c r="N53" s="2" t="s">
        <v>32</v>
      </c>
      <c r="O53" s="2" t="s">
        <v>45</v>
      </c>
      <c r="P53" s="2" t="n">
        <v>1</v>
      </c>
      <c r="Q53" s="2" t="s">
        <v>34</v>
      </c>
      <c r="R53" s="2" t="s">
        <v>34</v>
      </c>
      <c r="S53" s="2" t="s">
        <v>205</v>
      </c>
      <c r="T53" s="2" t="s">
        <v>206</v>
      </c>
      <c r="U53" s="1"/>
      <c r="V53" s="1"/>
      <c r="W53" s="1"/>
      <c r="X53" s="1"/>
      <c r="Y53" s="1"/>
      <c r="Z53" s="1"/>
      <c r="AA53" s="1"/>
      <c r="AB53" s="1"/>
    </row>
    <row r="54" customFormat="false" ht="15.75" hidden="false" customHeight="false" outlineLevel="0" collapsed="false">
      <c r="A54" s="3" t="n">
        <v>43627.3501612732</v>
      </c>
      <c r="B54" s="2" t="s">
        <v>207</v>
      </c>
      <c r="C54" s="2" t="s">
        <v>23</v>
      </c>
      <c r="D54" s="2" t="s">
        <v>24</v>
      </c>
      <c r="E54" s="2" t="n">
        <v>5</v>
      </c>
      <c r="F54" s="2" t="s">
        <v>208</v>
      </c>
      <c r="G54" s="2" t="s">
        <v>64</v>
      </c>
      <c r="H54" s="2" t="s">
        <v>27</v>
      </c>
      <c r="I54" s="2" t="s">
        <v>53</v>
      </c>
      <c r="J54" s="2" t="s">
        <v>65</v>
      </c>
      <c r="K54" s="2" t="s">
        <v>88</v>
      </c>
      <c r="L54" s="2" t="s">
        <v>31</v>
      </c>
      <c r="M54" s="2" t="n">
        <v>9</v>
      </c>
      <c r="N54" s="2" t="s">
        <v>32</v>
      </c>
      <c r="O54" s="2" t="s">
        <v>33</v>
      </c>
      <c r="P54" s="2" t="n">
        <v>3</v>
      </c>
      <c r="Q54" s="2" t="s">
        <v>54</v>
      </c>
      <c r="R54" s="2" t="s">
        <v>34</v>
      </c>
      <c r="S54" s="2" t="s">
        <v>196</v>
      </c>
      <c r="T54" s="2" t="s">
        <v>209</v>
      </c>
      <c r="U54" s="1"/>
      <c r="V54" s="1"/>
      <c r="W54" s="1"/>
      <c r="X54" s="1"/>
      <c r="Y54" s="1"/>
      <c r="Z54" s="1"/>
      <c r="AA54" s="1"/>
      <c r="AB54" s="1"/>
    </row>
    <row r="55" customFormat="false" ht="15.75" hidden="false" customHeight="false" outlineLevel="0" collapsed="false">
      <c r="A55" s="3" t="n">
        <v>43627.3607171875</v>
      </c>
      <c r="B55" s="2" t="s">
        <v>210</v>
      </c>
      <c r="C55" s="2" t="s">
        <v>23</v>
      </c>
      <c r="D55" s="2" t="s">
        <v>38</v>
      </c>
      <c r="E55" s="2" t="n">
        <v>4</v>
      </c>
      <c r="F55" s="2" t="s">
        <v>211</v>
      </c>
      <c r="G55" s="2" t="s">
        <v>26</v>
      </c>
      <c r="H55" s="2" t="s">
        <v>27</v>
      </c>
      <c r="I55" s="2" t="s">
        <v>53</v>
      </c>
      <c r="J55" s="2" t="s">
        <v>29</v>
      </c>
      <c r="K55" s="2" t="s">
        <v>59</v>
      </c>
      <c r="L55" s="2" t="s">
        <v>31</v>
      </c>
      <c r="M55" s="2" t="n">
        <v>8</v>
      </c>
      <c r="N55" s="2" t="s">
        <v>44</v>
      </c>
      <c r="O55" s="2" t="s">
        <v>45</v>
      </c>
      <c r="P55" s="2" t="n">
        <v>3</v>
      </c>
      <c r="Q55" s="2" t="s">
        <v>34</v>
      </c>
      <c r="R55" s="2" t="s">
        <v>34</v>
      </c>
      <c r="S55" s="2" t="s">
        <v>212</v>
      </c>
      <c r="T55" s="2" t="s">
        <v>213</v>
      </c>
      <c r="U55" s="1"/>
      <c r="V55" s="1"/>
      <c r="W55" s="1"/>
      <c r="X55" s="1"/>
      <c r="Y55" s="1"/>
      <c r="Z55" s="1"/>
      <c r="AA55" s="1"/>
      <c r="AB55" s="1"/>
    </row>
    <row r="56" customFormat="false" ht="15.75" hidden="false" customHeight="false" outlineLevel="0" collapsed="false">
      <c r="A56" s="3" t="n">
        <v>43627.3614084722</v>
      </c>
      <c r="B56" s="2" t="s">
        <v>214</v>
      </c>
      <c r="C56" s="2" t="s">
        <v>23</v>
      </c>
      <c r="D56" s="2" t="s">
        <v>24</v>
      </c>
      <c r="E56" s="2" t="n">
        <v>5</v>
      </c>
      <c r="F56" s="2" t="s">
        <v>208</v>
      </c>
      <c r="G56" s="2" t="s">
        <v>64</v>
      </c>
      <c r="H56" s="2" t="s">
        <v>27</v>
      </c>
      <c r="I56" s="2" t="s">
        <v>53</v>
      </c>
      <c r="J56" s="2" t="s">
        <v>65</v>
      </c>
      <c r="K56" s="2" t="s">
        <v>88</v>
      </c>
      <c r="L56" s="2" t="s">
        <v>31</v>
      </c>
      <c r="M56" s="2" t="n">
        <v>9</v>
      </c>
      <c r="N56" s="2" t="s">
        <v>32</v>
      </c>
      <c r="O56" s="2" t="s">
        <v>33</v>
      </c>
      <c r="P56" s="2" t="n">
        <v>3</v>
      </c>
      <c r="Q56" s="2" t="s">
        <v>54</v>
      </c>
      <c r="R56" s="2" t="s">
        <v>34</v>
      </c>
      <c r="S56" s="2" t="s">
        <v>196</v>
      </c>
      <c r="T56" s="2" t="s">
        <v>215</v>
      </c>
      <c r="U56" s="2" t="s">
        <v>216</v>
      </c>
      <c r="V56" s="1"/>
      <c r="W56" s="1"/>
      <c r="X56" s="1"/>
      <c r="Y56" s="1"/>
      <c r="Z56" s="1"/>
      <c r="AA56" s="1"/>
      <c r="AB56" s="1"/>
    </row>
    <row r="57" customFormat="false" ht="15.75" hidden="false" customHeight="false" outlineLevel="0" collapsed="false">
      <c r="A57" s="3" t="n">
        <v>43627.3739718982</v>
      </c>
      <c r="B57" s="2" t="s">
        <v>217</v>
      </c>
      <c r="C57" s="2" t="s">
        <v>23</v>
      </c>
      <c r="D57" s="2" t="s">
        <v>218</v>
      </c>
      <c r="E57" s="2" t="n">
        <v>5</v>
      </c>
      <c r="F57" s="2" t="s">
        <v>219</v>
      </c>
      <c r="G57" s="2" t="s">
        <v>26</v>
      </c>
      <c r="H57" s="2" t="s">
        <v>50</v>
      </c>
      <c r="I57" s="2" t="s">
        <v>28</v>
      </c>
      <c r="J57" s="2" t="s">
        <v>29</v>
      </c>
      <c r="K57" s="2" t="s">
        <v>220</v>
      </c>
      <c r="L57" s="2" t="s">
        <v>43</v>
      </c>
      <c r="M57" s="2" t="n">
        <v>10</v>
      </c>
      <c r="N57" s="2" t="s">
        <v>44</v>
      </c>
      <c r="O57" s="2" t="s">
        <v>33</v>
      </c>
      <c r="P57" s="2" t="n">
        <v>3</v>
      </c>
      <c r="Q57" s="2" t="s">
        <v>54</v>
      </c>
      <c r="R57" s="2" t="s">
        <v>34</v>
      </c>
      <c r="S57" s="2" t="s">
        <v>196</v>
      </c>
      <c r="T57" s="2" t="s">
        <v>221</v>
      </c>
      <c r="U57" s="1"/>
      <c r="V57" s="1"/>
      <c r="W57" s="1"/>
      <c r="X57" s="1"/>
      <c r="Y57" s="1"/>
      <c r="Z57" s="1"/>
      <c r="AA57" s="1"/>
      <c r="AB57" s="1"/>
    </row>
    <row r="58" customFormat="false" ht="15.75" hidden="false" customHeight="false" outlineLevel="0" collapsed="false">
      <c r="A58" s="3" t="n">
        <v>43627.3809787847</v>
      </c>
      <c r="B58" s="2" t="s">
        <v>222</v>
      </c>
      <c r="C58" s="2" t="s">
        <v>99</v>
      </c>
      <c r="D58" s="2" t="s">
        <v>24</v>
      </c>
      <c r="E58" s="2" t="n">
        <v>2</v>
      </c>
      <c r="F58" s="2" t="s">
        <v>223</v>
      </c>
      <c r="G58" s="2" t="s">
        <v>165</v>
      </c>
      <c r="H58" s="2" t="s">
        <v>41</v>
      </c>
      <c r="I58" s="2" t="s">
        <v>32</v>
      </c>
      <c r="J58" s="2" t="s">
        <v>51</v>
      </c>
      <c r="K58" s="2" t="s">
        <v>224</v>
      </c>
      <c r="L58" s="2" t="s">
        <v>43</v>
      </c>
      <c r="M58" s="2" t="n">
        <v>9</v>
      </c>
      <c r="N58" s="2" t="s">
        <v>32</v>
      </c>
      <c r="O58" s="2" t="s">
        <v>45</v>
      </c>
      <c r="P58" s="2" t="n">
        <v>2</v>
      </c>
      <c r="Q58" s="2" t="s">
        <v>34</v>
      </c>
      <c r="R58" s="2" t="s">
        <v>34</v>
      </c>
      <c r="S58" s="2" t="s">
        <v>90</v>
      </c>
      <c r="T58" s="2" t="s">
        <v>225</v>
      </c>
      <c r="U58" s="1"/>
      <c r="V58" s="1"/>
      <c r="W58" s="1"/>
      <c r="X58" s="1"/>
      <c r="Y58" s="1"/>
      <c r="Z58" s="1"/>
      <c r="AA58" s="1"/>
      <c r="AB58" s="1"/>
    </row>
    <row r="59" customFormat="false" ht="15.75" hidden="false" customHeight="false" outlineLevel="0" collapsed="false">
      <c r="A59" s="3" t="n">
        <v>43627.3812579861</v>
      </c>
      <c r="B59" s="2" t="s">
        <v>226</v>
      </c>
      <c r="C59" s="2" t="s">
        <v>23</v>
      </c>
      <c r="D59" s="2" t="s">
        <v>218</v>
      </c>
      <c r="E59" s="2" t="n">
        <v>3</v>
      </c>
      <c r="F59" s="2" t="s">
        <v>227</v>
      </c>
      <c r="G59" s="2" t="s">
        <v>165</v>
      </c>
      <c r="H59" s="2" t="s">
        <v>50</v>
      </c>
      <c r="I59" s="2" t="s">
        <v>32</v>
      </c>
      <c r="J59" s="2" t="s">
        <v>65</v>
      </c>
      <c r="K59" s="2" t="s">
        <v>228</v>
      </c>
      <c r="L59" s="2" t="s">
        <v>43</v>
      </c>
      <c r="M59" s="2" t="n">
        <v>4</v>
      </c>
      <c r="N59" s="2" t="s">
        <v>53</v>
      </c>
      <c r="O59" s="2" t="s">
        <v>89</v>
      </c>
      <c r="P59" s="2" t="n">
        <v>1</v>
      </c>
      <c r="Q59" s="2" t="s">
        <v>54</v>
      </c>
      <c r="R59" s="2" t="s">
        <v>34</v>
      </c>
      <c r="S59" s="2" t="s">
        <v>229</v>
      </c>
      <c r="T59" s="2" t="s">
        <v>230</v>
      </c>
      <c r="U59" s="1"/>
      <c r="V59" s="1"/>
      <c r="W59" s="1"/>
      <c r="X59" s="1"/>
      <c r="Y59" s="1"/>
      <c r="Z59" s="1"/>
      <c r="AA59" s="1"/>
      <c r="AB59" s="1"/>
    </row>
    <row r="60" customFormat="false" ht="15.75" hidden="false" customHeight="false" outlineLevel="0" collapsed="false">
      <c r="A60" s="3" t="n">
        <v>43627.3833423727</v>
      </c>
      <c r="B60" s="2" t="s">
        <v>231</v>
      </c>
      <c r="C60" s="2" t="s">
        <v>23</v>
      </c>
      <c r="D60" s="2" t="s">
        <v>232</v>
      </c>
      <c r="E60" s="2" t="n">
        <v>1</v>
      </c>
      <c r="F60" s="2" t="s">
        <v>233</v>
      </c>
      <c r="G60" s="2" t="s">
        <v>105</v>
      </c>
      <c r="H60" s="2" t="s">
        <v>27</v>
      </c>
      <c r="I60" s="2" t="s">
        <v>32</v>
      </c>
      <c r="J60" s="2" t="s">
        <v>29</v>
      </c>
      <c r="K60" s="2" t="s">
        <v>30</v>
      </c>
      <c r="L60" s="2" t="s">
        <v>31</v>
      </c>
      <c r="M60" s="2" t="n">
        <v>3</v>
      </c>
      <c r="N60" s="2" t="s">
        <v>53</v>
      </c>
      <c r="O60" s="2" t="s">
        <v>89</v>
      </c>
      <c r="P60" s="2" t="n">
        <v>1</v>
      </c>
      <c r="Q60" s="2" t="s">
        <v>54</v>
      </c>
      <c r="R60" s="2" t="s">
        <v>34</v>
      </c>
      <c r="S60" s="2" t="s">
        <v>229</v>
      </c>
      <c r="T60" s="2" t="s">
        <v>234</v>
      </c>
      <c r="U60" s="1"/>
      <c r="V60" s="1"/>
      <c r="W60" s="1"/>
      <c r="X60" s="1"/>
      <c r="Y60" s="1"/>
      <c r="Z60" s="1"/>
      <c r="AA60" s="1"/>
      <c r="AB60" s="1"/>
    </row>
    <row r="61" customFormat="false" ht="15.75" hidden="false" customHeight="false" outlineLevel="0" collapsed="false">
      <c r="A61" s="3" t="n">
        <v>43627.3838270139</v>
      </c>
      <c r="B61" s="2" t="s">
        <v>235</v>
      </c>
      <c r="C61" s="2" t="s">
        <v>23</v>
      </c>
      <c r="D61" s="2" t="s">
        <v>232</v>
      </c>
      <c r="E61" s="2" t="n">
        <v>2</v>
      </c>
      <c r="F61" s="2" t="s">
        <v>116</v>
      </c>
      <c r="G61" s="2" t="s">
        <v>58</v>
      </c>
      <c r="H61" s="2" t="s">
        <v>27</v>
      </c>
      <c r="I61" s="2" t="s">
        <v>32</v>
      </c>
      <c r="J61" s="2" t="s">
        <v>29</v>
      </c>
      <c r="K61" s="2" t="s">
        <v>59</v>
      </c>
      <c r="L61" s="2" t="s">
        <v>31</v>
      </c>
      <c r="M61" s="2" t="n">
        <v>5</v>
      </c>
      <c r="N61" s="2" t="s">
        <v>53</v>
      </c>
      <c r="O61" s="2" t="s">
        <v>89</v>
      </c>
      <c r="P61" s="2" t="n">
        <v>1</v>
      </c>
      <c r="Q61" s="2" t="s">
        <v>54</v>
      </c>
      <c r="R61" s="2" t="s">
        <v>34</v>
      </c>
      <c r="S61" s="2" t="s">
        <v>229</v>
      </c>
      <c r="T61" s="2" t="s">
        <v>236</v>
      </c>
      <c r="U61" s="1"/>
      <c r="V61" s="1"/>
      <c r="W61" s="1"/>
      <c r="X61" s="1"/>
      <c r="Y61" s="1"/>
      <c r="Z61" s="1"/>
      <c r="AA61" s="1"/>
      <c r="AB61" s="1"/>
    </row>
    <row r="62" customFormat="false" ht="15.75" hidden="false" customHeight="false" outlineLevel="0" collapsed="false">
      <c r="A62" s="3" t="n">
        <v>43627.391907662</v>
      </c>
      <c r="B62" s="2" t="s">
        <v>237</v>
      </c>
      <c r="C62" s="2" t="s">
        <v>23</v>
      </c>
      <c r="D62" s="2" t="s">
        <v>232</v>
      </c>
      <c r="E62" s="2" t="n">
        <v>3</v>
      </c>
      <c r="F62" s="2" t="s">
        <v>238</v>
      </c>
      <c r="G62" s="2" t="s">
        <v>105</v>
      </c>
      <c r="H62" s="2" t="s">
        <v>50</v>
      </c>
      <c r="I62" s="2" t="s">
        <v>53</v>
      </c>
      <c r="J62" s="2" t="s">
        <v>29</v>
      </c>
      <c r="K62" s="2" t="s">
        <v>59</v>
      </c>
      <c r="L62" s="2" t="s">
        <v>31</v>
      </c>
      <c r="M62" s="2" t="n">
        <v>4</v>
      </c>
      <c r="N62" s="2" t="s">
        <v>53</v>
      </c>
      <c r="O62" s="2" t="s">
        <v>89</v>
      </c>
      <c r="P62" s="2" t="n">
        <v>1</v>
      </c>
      <c r="Q62" s="2" t="s">
        <v>54</v>
      </c>
      <c r="R62" s="2" t="s">
        <v>34</v>
      </c>
      <c r="S62" s="2" t="s">
        <v>229</v>
      </c>
      <c r="T62" s="2" t="s">
        <v>239</v>
      </c>
      <c r="U62" s="1"/>
      <c r="V62" s="1"/>
      <c r="W62" s="1"/>
      <c r="X62" s="1"/>
      <c r="Y62" s="1"/>
      <c r="Z62" s="1"/>
      <c r="AA62" s="1"/>
      <c r="AB62" s="1"/>
    </row>
    <row r="63" customFormat="false" ht="15.75" hidden="false" customHeight="false" outlineLevel="0" collapsed="false">
      <c r="A63" s="3" t="n">
        <v>43627.4079058796</v>
      </c>
      <c r="B63" s="2" t="s">
        <v>240</v>
      </c>
      <c r="C63" s="2" t="s">
        <v>23</v>
      </c>
      <c r="D63" s="2" t="s">
        <v>38</v>
      </c>
      <c r="E63" s="2" t="n">
        <v>4</v>
      </c>
      <c r="F63" s="2" t="s">
        <v>241</v>
      </c>
      <c r="G63" s="2" t="s">
        <v>242</v>
      </c>
      <c r="H63" s="2" t="s">
        <v>41</v>
      </c>
      <c r="I63" s="2" t="s">
        <v>32</v>
      </c>
      <c r="J63" s="2" t="s">
        <v>65</v>
      </c>
      <c r="K63" s="2" t="s">
        <v>243</v>
      </c>
      <c r="L63" s="2" t="s">
        <v>43</v>
      </c>
      <c r="M63" s="2" t="n">
        <v>8</v>
      </c>
      <c r="N63" s="2" t="s">
        <v>32</v>
      </c>
      <c r="O63" s="2" t="s">
        <v>45</v>
      </c>
      <c r="P63" s="2" t="n">
        <v>1</v>
      </c>
      <c r="Q63" s="2" t="s">
        <v>34</v>
      </c>
      <c r="R63" s="2" t="s">
        <v>34</v>
      </c>
      <c r="S63" s="2" t="s">
        <v>136</v>
      </c>
      <c r="T63" s="2" t="s">
        <v>244</v>
      </c>
      <c r="U63" s="1"/>
      <c r="V63" s="1"/>
      <c r="W63" s="1"/>
      <c r="X63" s="1"/>
      <c r="Y63" s="1"/>
      <c r="Z63" s="1"/>
      <c r="AA63" s="1"/>
      <c r="AB63" s="1"/>
    </row>
    <row r="64" customFormat="false" ht="15.75" hidden="false" customHeight="false" outlineLevel="0" collapsed="false">
      <c r="A64" s="3" t="n">
        <v>43627.4508368866</v>
      </c>
      <c r="B64" s="2" t="s">
        <v>245</v>
      </c>
      <c r="C64" s="2" t="s">
        <v>23</v>
      </c>
      <c r="D64" s="2" t="s">
        <v>24</v>
      </c>
      <c r="E64" s="2" t="n">
        <v>5</v>
      </c>
      <c r="F64" s="2" t="s">
        <v>246</v>
      </c>
      <c r="G64" s="2" t="s">
        <v>64</v>
      </c>
      <c r="H64" s="2" t="s">
        <v>27</v>
      </c>
      <c r="I64" s="2" t="s">
        <v>32</v>
      </c>
      <c r="J64" s="2" t="s">
        <v>29</v>
      </c>
      <c r="K64" s="2" t="s">
        <v>42</v>
      </c>
      <c r="L64" s="2" t="s">
        <v>31</v>
      </c>
      <c r="M64" s="2" t="n">
        <v>8</v>
      </c>
      <c r="N64" s="2" t="s">
        <v>53</v>
      </c>
      <c r="O64" s="2" t="s">
        <v>45</v>
      </c>
      <c r="P64" s="2" t="n">
        <v>1</v>
      </c>
      <c r="Q64" s="2" t="s">
        <v>34</v>
      </c>
      <c r="R64" s="2" t="s">
        <v>34</v>
      </c>
      <c r="S64" s="2" t="s">
        <v>166</v>
      </c>
      <c r="T64" s="2" t="s">
        <v>247</v>
      </c>
      <c r="U64" s="1"/>
      <c r="V64" s="1"/>
      <c r="W64" s="1"/>
      <c r="X64" s="1"/>
      <c r="Y64" s="1"/>
      <c r="Z64" s="1"/>
      <c r="AA64" s="1"/>
      <c r="AB64" s="1"/>
    </row>
    <row r="65" customFormat="false" ht="15.75" hidden="false" customHeight="false" outlineLevel="0" collapsed="false">
      <c r="A65" s="3" t="n">
        <v>43627.4660117361</v>
      </c>
      <c r="B65" s="2" t="s">
        <v>248</v>
      </c>
      <c r="C65" s="2" t="s">
        <v>23</v>
      </c>
      <c r="D65" s="2" t="s">
        <v>24</v>
      </c>
      <c r="E65" s="2" t="n">
        <v>4</v>
      </c>
      <c r="F65" s="2" t="s">
        <v>249</v>
      </c>
      <c r="G65" s="2" t="s">
        <v>77</v>
      </c>
      <c r="H65" s="2" t="s">
        <v>50</v>
      </c>
      <c r="I65" s="2" t="s">
        <v>32</v>
      </c>
      <c r="J65" s="2" t="s">
        <v>65</v>
      </c>
      <c r="K65" s="2" t="s">
        <v>250</v>
      </c>
      <c r="L65" s="2" t="s">
        <v>31</v>
      </c>
      <c r="M65" s="2" t="n">
        <v>8</v>
      </c>
      <c r="N65" s="2" t="s">
        <v>32</v>
      </c>
      <c r="O65" s="2" t="s">
        <v>33</v>
      </c>
      <c r="P65" s="2" t="n">
        <v>3</v>
      </c>
      <c r="Q65" s="2" t="s">
        <v>34</v>
      </c>
      <c r="R65" s="2" t="s">
        <v>34</v>
      </c>
      <c r="S65" s="2" t="s">
        <v>251</v>
      </c>
      <c r="T65" s="2" t="s">
        <v>252</v>
      </c>
      <c r="U65" s="1"/>
      <c r="V65" s="1"/>
      <c r="W65" s="1"/>
      <c r="X65" s="1"/>
      <c r="Y65" s="1"/>
      <c r="Z65" s="1"/>
      <c r="AA65" s="1"/>
      <c r="AB65" s="1"/>
    </row>
    <row r="66" customFormat="false" ht="15.75" hidden="false" customHeight="false" outlineLevel="0" collapsed="false">
      <c r="A66" s="3" t="n">
        <v>43627.4702449421</v>
      </c>
      <c r="B66" s="2" t="s">
        <v>253</v>
      </c>
      <c r="C66" s="2" t="s">
        <v>23</v>
      </c>
      <c r="D66" s="2" t="s">
        <v>24</v>
      </c>
      <c r="E66" s="2" t="n">
        <v>5</v>
      </c>
      <c r="F66" s="2" t="s">
        <v>254</v>
      </c>
      <c r="G66" s="2" t="s">
        <v>77</v>
      </c>
      <c r="H66" s="2" t="s">
        <v>27</v>
      </c>
      <c r="I66" s="2" t="s">
        <v>32</v>
      </c>
      <c r="J66" s="2" t="s">
        <v>29</v>
      </c>
      <c r="K66" s="2" t="s">
        <v>88</v>
      </c>
      <c r="L66" s="2" t="s">
        <v>31</v>
      </c>
      <c r="M66" s="2" t="n">
        <v>8</v>
      </c>
      <c r="N66" s="2" t="s">
        <v>32</v>
      </c>
      <c r="O66" s="2" t="s">
        <v>45</v>
      </c>
      <c r="P66" s="2" t="n">
        <v>3</v>
      </c>
      <c r="Q66" s="2" t="s">
        <v>34</v>
      </c>
      <c r="R66" s="2" t="s">
        <v>34</v>
      </c>
      <c r="S66" s="2" t="s">
        <v>96</v>
      </c>
      <c r="T66" s="2" t="s">
        <v>255</v>
      </c>
      <c r="U66" s="1"/>
      <c r="V66" s="1"/>
      <c r="W66" s="1"/>
      <c r="X66" s="1"/>
      <c r="Y66" s="1"/>
      <c r="Z66" s="1"/>
      <c r="AA66" s="1"/>
      <c r="AB66" s="1"/>
    </row>
    <row r="67" customFormat="false" ht="15.75" hidden="false" customHeight="false" outlineLevel="0" collapsed="false">
      <c r="A67" s="3" t="n">
        <v>43627.4747386574</v>
      </c>
      <c r="B67" s="2" t="s">
        <v>256</v>
      </c>
      <c r="C67" s="2" t="s">
        <v>99</v>
      </c>
      <c r="D67" s="2" t="s">
        <v>38</v>
      </c>
      <c r="E67" s="2" t="n">
        <v>3</v>
      </c>
      <c r="F67" s="2" t="s">
        <v>257</v>
      </c>
      <c r="G67" s="2" t="s">
        <v>258</v>
      </c>
      <c r="H67" s="2" t="s">
        <v>50</v>
      </c>
      <c r="I67" s="2" t="s">
        <v>53</v>
      </c>
      <c r="J67" s="2" t="s">
        <v>29</v>
      </c>
      <c r="K67" s="2" t="s">
        <v>140</v>
      </c>
      <c r="L67" s="2" t="s">
        <v>72</v>
      </c>
      <c r="M67" s="2" t="n">
        <v>10</v>
      </c>
      <c r="N67" s="2" t="s">
        <v>44</v>
      </c>
      <c r="O67" s="2" t="s">
        <v>33</v>
      </c>
      <c r="P67" s="2" t="n">
        <v>5</v>
      </c>
      <c r="Q67" s="2" t="s">
        <v>34</v>
      </c>
      <c r="R67" s="2" t="s">
        <v>34</v>
      </c>
      <c r="S67" s="2" t="s">
        <v>259</v>
      </c>
      <c r="T67" s="2" t="s">
        <v>260</v>
      </c>
      <c r="U67" s="1"/>
      <c r="V67" s="1"/>
      <c r="W67" s="1"/>
      <c r="X67" s="1"/>
      <c r="Y67" s="1"/>
      <c r="Z67" s="1"/>
      <c r="AA67" s="1"/>
      <c r="AB67" s="1"/>
    </row>
    <row r="68" customFormat="false" ht="15.75" hidden="false" customHeight="false" outlineLevel="0" collapsed="false">
      <c r="A68" s="3" t="n">
        <v>43627.4747401505</v>
      </c>
      <c r="B68" s="2" t="s">
        <v>261</v>
      </c>
      <c r="C68" s="2" t="s">
        <v>99</v>
      </c>
      <c r="D68" s="2" t="s">
        <v>38</v>
      </c>
      <c r="E68" s="2" t="n">
        <v>3</v>
      </c>
      <c r="F68" s="2" t="s">
        <v>262</v>
      </c>
      <c r="G68" s="2" t="s">
        <v>263</v>
      </c>
      <c r="H68" s="2" t="s">
        <v>50</v>
      </c>
      <c r="I68" s="2" t="s">
        <v>28</v>
      </c>
      <c r="J68" s="2" t="s">
        <v>264</v>
      </c>
      <c r="K68" s="2" t="s">
        <v>265</v>
      </c>
      <c r="L68" s="2" t="s">
        <v>43</v>
      </c>
      <c r="M68" s="2" t="n">
        <v>10</v>
      </c>
      <c r="N68" s="2" t="s">
        <v>44</v>
      </c>
      <c r="O68" s="2" t="s">
        <v>33</v>
      </c>
      <c r="P68" s="2" t="n">
        <v>5</v>
      </c>
      <c r="Q68" s="2" t="s">
        <v>34</v>
      </c>
      <c r="R68" s="2" t="s">
        <v>34</v>
      </c>
      <c r="S68" s="2" t="s">
        <v>266</v>
      </c>
      <c r="T68" s="2" t="s">
        <v>267</v>
      </c>
      <c r="U68" s="1"/>
      <c r="V68" s="1"/>
      <c r="W68" s="1"/>
      <c r="X68" s="1"/>
      <c r="Y68" s="1"/>
      <c r="Z68" s="1"/>
      <c r="AA68" s="1"/>
      <c r="AB68" s="1"/>
    </row>
    <row r="69" customFormat="false" ht="15.75" hidden="false" customHeight="false" outlineLevel="0" collapsed="false">
      <c r="A69" s="3" t="n">
        <v>43627.4747782639</v>
      </c>
      <c r="B69" s="2" t="s">
        <v>268</v>
      </c>
      <c r="C69" s="2" t="s">
        <v>99</v>
      </c>
      <c r="D69" s="2" t="s">
        <v>24</v>
      </c>
      <c r="E69" s="2" t="n">
        <v>3</v>
      </c>
      <c r="F69" s="2" t="s">
        <v>211</v>
      </c>
      <c r="G69" s="2" t="s">
        <v>269</v>
      </c>
      <c r="H69" s="2" t="s">
        <v>41</v>
      </c>
      <c r="I69" s="2" t="s">
        <v>32</v>
      </c>
      <c r="J69" s="2" t="s">
        <v>264</v>
      </c>
      <c r="K69" s="2" t="s">
        <v>270</v>
      </c>
      <c r="L69" s="2" t="s">
        <v>43</v>
      </c>
      <c r="M69" s="2" t="n">
        <v>10</v>
      </c>
      <c r="N69" s="2" t="s">
        <v>44</v>
      </c>
      <c r="O69" s="2" t="s">
        <v>33</v>
      </c>
      <c r="P69" s="2" t="n">
        <v>5</v>
      </c>
      <c r="Q69" s="2" t="s">
        <v>34</v>
      </c>
      <c r="R69" s="2" t="s">
        <v>34</v>
      </c>
      <c r="S69" s="2" t="s">
        <v>266</v>
      </c>
      <c r="T69" s="2" t="s">
        <v>271</v>
      </c>
      <c r="U69" s="1"/>
      <c r="V69" s="1"/>
      <c r="W69" s="1"/>
      <c r="X69" s="1"/>
      <c r="Y69" s="1"/>
      <c r="Z69" s="1"/>
      <c r="AA69" s="1"/>
      <c r="AB69" s="1"/>
    </row>
    <row r="70" customFormat="false" ht="15.75" hidden="false" customHeight="false" outlineLevel="0" collapsed="false">
      <c r="A70" s="3" t="n">
        <v>43627.4749093866</v>
      </c>
      <c r="B70" s="2" t="s">
        <v>272</v>
      </c>
      <c r="C70" s="2" t="s">
        <v>23</v>
      </c>
      <c r="D70" s="2" t="s">
        <v>38</v>
      </c>
      <c r="E70" s="2" t="n">
        <v>3</v>
      </c>
      <c r="F70" s="2" t="s">
        <v>273</v>
      </c>
      <c r="G70" s="2" t="s">
        <v>274</v>
      </c>
      <c r="H70" s="2" t="s">
        <v>50</v>
      </c>
      <c r="I70" s="2" t="s">
        <v>32</v>
      </c>
      <c r="J70" s="2" t="s">
        <v>264</v>
      </c>
      <c r="K70" s="2" t="s">
        <v>275</v>
      </c>
      <c r="L70" s="2" t="s">
        <v>60</v>
      </c>
      <c r="M70" s="2" t="n">
        <v>10</v>
      </c>
      <c r="N70" s="2" t="s">
        <v>44</v>
      </c>
      <c r="O70" s="2" t="s">
        <v>33</v>
      </c>
      <c r="P70" s="2" t="n">
        <v>5</v>
      </c>
      <c r="Q70" s="2" t="s">
        <v>34</v>
      </c>
      <c r="R70" s="2" t="s">
        <v>34</v>
      </c>
      <c r="S70" s="2" t="s">
        <v>259</v>
      </c>
      <c r="T70" s="2" t="s">
        <v>276</v>
      </c>
      <c r="U70" s="1"/>
      <c r="V70" s="1"/>
      <c r="W70" s="1"/>
      <c r="X70" s="1"/>
      <c r="Y70" s="1"/>
      <c r="Z70" s="1"/>
      <c r="AA70" s="1"/>
      <c r="AB70" s="1"/>
    </row>
    <row r="71" customFormat="false" ht="15.75" hidden="false" customHeight="false" outlineLevel="0" collapsed="false">
      <c r="A71" s="3" t="n">
        <v>43627.4749617593</v>
      </c>
      <c r="B71" s="2" t="s">
        <v>277</v>
      </c>
      <c r="C71" s="2" t="s">
        <v>99</v>
      </c>
      <c r="D71" s="2" t="s">
        <v>38</v>
      </c>
      <c r="E71" s="2" t="n">
        <v>3</v>
      </c>
      <c r="F71" s="2" t="s">
        <v>278</v>
      </c>
      <c r="G71" s="2" t="s">
        <v>274</v>
      </c>
      <c r="H71" s="2" t="s">
        <v>41</v>
      </c>
      <c r="I71" s="2" t="s">
        <v>32</v>
      </c>
      <c r="J71" s="2" t="s">
        <v>65</v>
      </c>
      <c r="K71" s="2" t="s">
        <v>265</v>
      </c>
      <c r="L71" s="2" t="s">
        <v>43</v>
      </c>
      <c r="M71" s="2" t="n">
        <v>10</v>
      </c>
      <c r="N71" s="2" t="s">
        <v>44</v>
      </c>
      <c r="O71" s="2" t="s">
        <v>33</v>
      </c>
      <c r="P71" s="2" t="n">
        <v>5</v>
      </c>
      <c r="Q71" s="2" t="s">
        <v>34</v>
      </c>
      <c r="R71" s="2" t="s">
        <v>34</v>
      </c>
      <c r="S71" s="2" t="s">
        <v>259</v>
      </c>
      <c r="T71" s="2" t="s">
        <v>54</v>
      </c>
      <c r="U71" s="1"/>
      <c r="V71" s="1"/>
      <c r="W71" s="1"/>
      <c r="X71" s="1"/>
      <c r="Y71" s="1"/>
      <c r="Z71" s="1"/>
      <c r="AA71" s="1"/>
      <c r="AB71" s="1"/>
    </row>
    <row r="72" customFormat="false" ht="15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5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5.75" hidden="false" customHeight="false" outlineLevel="0" collapsed="false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5.75" hidden="false" customHeight="false" outlineLevel="0" collapsed="false">
      <c r="A75" s="3" t="n">
        <v>43627.5395465741</v>
      </c>
      <c r="B75" s="2" t="s">
        <v>279</v>
      </c>
      <c r="C75" s="2" t="s">
        <v>23</v>
      </c>
      <c r="D75" s="2" t="s">
        <v>24</v>
      </c>
      <c r="E75" s="2" t="n">
        <v>4</v>
      </c>
      <c r="F75" s="2" t="s">
        <v>280</v>
      </c>
      <c r="G75" s="2" t="s">
        <v>77</v>
      </c>
      <c r="H75" s="2" t="s">
        <v>50</v>
      </c>
      <c r="I75" s="2" t="s">
        <v>32</v>
      </c>
      <c r="J75" s="2" t="s">
        <v>65</v>
      </c>
      <c r="K75" s="2" t="s">
        <v>88</v>
      </c>
      <c r="L75" s="2" t="s">
        <v>31</v>
      </c>
      <c r="M75" s="2" t="n">
        <v>8</v>
      </c>
      <c r="N75" s="2" t="s">
        <v>32</v>
      </c>
      <c r="O75" s="2" t="s">
        <v>33</v>
      </c>
      <c r="P75" s="2" t="n">
        <v>1</v>
      </c>
      <c r="Q75" s="2" t="s">
        <v>34</v>
      </c>
      <c r="R75" s="2" t="s">
        <v>34</v>
      </c>
      <c r="S75" s="2" t="s">
        <v>251</v>
      </c>
      <c r="T75" s="2" t="s">
        <v>281</v>
      </c>
      <c r="U75" s="1"/>
      <c r="V75" s="1"/>
      <c r="W75" s="1"/>
      <c r="X75" s="1"/>
      <c r="Y75" s="1"/>
      <c r="Z75" s="1"/>
      <c r="AA75" s="1"/>
      <c r="AB75" s="1"/>
    </row>
    <row r="76" customFormat="false" ht="15.75" hidden="false" customHeight="false" outlineLevel="0" collapsed="false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5.75" hidden="false" customHeight="false" outlineLevel="0" collapsed="false">
      <c r="A77" s="3" t="n">
        <v>43627.5766843403</v>
      </c>
      <c r="B77" s="2" t="s">
        <v>282</v>
      </c>
      <c r="C77" s="2" t="s">
        <v>75</v>
      </c>
      <c r="D77" s="2" t="s">
        <v>38</v>
      </c>
      <c r="E77" s="2" t="n">
        <v>3</v>
      </c>
      <c r="F77" s="2" t="s">
        <v>283</v>
      </c>
      <c r="G77" s="2" t="s">
        <v>77</v>
      </c>
      <c r="H77" s="2" t="s">
        <v>41</v>
      </c>
      <c r="I77" s="2" t="s">
        <v>28</v>
      </c>
      <c r="J77" s="2" t="s">
        <v>29</v>
      </c>
      <c r="K77" s="2" t="s">
        <v>220</v>
      </c>
      <c r="L77" s="2" t="s">
        <v>72</v>
      </c>
      <c r="M77" s="2" t="n">
        <v>10</v>
      </c>
      <c r="N77" s="2" t="s">
        <v>32</v>
      </c>
      <c r="O77" s="2" t="s">
        <v>45</v>
      </c>
      <c r="P77" s="2" t="n">
        <v>1</v>
      </c>
      <c r="Q77" s="2" t="s">
        <v>34</v>
      </c>
      <c r="R77" s="2" t="s">
        <v>34</v>
      </c>
      <c r="S77" s="2" t="s">
        <v>284</v>
      </c>
      <c r="T77" s="2" t="s">
        <v>285</v>
      </c>
      <c r="U77" s="1"/>
      <c r="V77" s="1"/>
      <c r="W77" s="1"/>
      <c r="X77" s="1"/>
      <c r="Y77" s="1"/>
      <c r="Z77" s="1"/>
      <c r="AA77" s="1"/>
      <c r="AB77" s="1"/>
    </row>
    <row r="78" customFormat="false" ht="15.75" hidden="false" customHeight="false" outlineLevel="0" collapsed="false">
      <c r="A78" s="3" t="n">
        <v>43627.657637581</v>
      </c>
      <c r="B78" s="2" t="s">
        <v>286</v>
      </c>
      <c r="C78" s="2" t="s">
        <v>23</v>
      </c>
      <c r="D78" s="2" t="s">
        <v>38</v>
      </c>
      <c r="E78" s="2" t="n">
        <v>4</v>
      </c>
      <c r="F78" s="2" t="s">
        <v>203</v>
      </c>
      <c r="G78" s="2" t="s">
        <v>287</v>
      </c>
      <c r="H78" s="2" t="s">
        <v>41</v>
      </c>
      <c r="I78" s="2" t="s">
        <v>32</v>
      </c>
      <c r="J78" s="2" t="s">
        <v>29</v>
      </c>
      <c r="K78" s="2" t="s">
        <v>88</v>
      </c>
      <c r="L78" s="2" t="s">
        <v>43</v>
      </c>
      <c r="M78" s="2" t="n">
        <v>10</v>
      </c>
      <c r="N78" s="2" t="s">
        <v>44</v>
      </c>
      <c r="O78" s="2" t="s">
        <v>45</v>
      </c>
      <c r="P78" s="2" t="n">
        <v>1</v>
      </c>
      <c r="Q78" s="2" t="s">
        <v>54</v>
      </c>
      <c r="R78" s="2" t="s">
        <v>34</v>
      </c>
      <c r="S78" s="2" t="s">
        <v>136</v>
      </c>
      <c r="T78" s="2" t="s">
        <v>288</v>
      </c>
      <c r="U78" s="1"/>
      <c r="V78" s="1"/>
      <c r="W78" s="1"/>
      <c r="X78" s="1"/>
      <c r="Y78" s="1"/>
      <c r="Z78" s="1"/>
      <c r="AA78" s="1"/>
      <c r="AB78" s="1"/>
    </row>
    <row r="79" customFormat="false" ht="15.75" hidden="false" customHeight="false" outlineLevel="0" collapsed="false">
      <c r="A79" s="3" t="n">
        <v>43627.7324428009</v>
      </c>
      <c r="B79" s="2" t="s">
        <v>289</v>
      </c>
      <c r="C79" s="2" t="s">
        <v>23</v>
      </c>
      <c r="D79" s="2" t="s">
        <v>218</v>
      </c>
      <c r="E79" s="2" t="n">
        <v>2</v>
      </c>
      <c r="F79" s="2" t="s">
        <v>290</v>
      </c>
      <c r="G79" s="2" t="s">
        <v>291</v>
      </c>
      <c r="H79" s="2" t="s">
        <v>41</v>
      </c>
      <c r="I79" s="2" t="s">
        <v>28</v>
      </c>
      <c r="J79" s="2" t="s">
        <v>264</v>
      </c>
      <c r="K79" s="2" t="s">
        <v>292</v>
      </c>
      <c r="L79" s="2" t="s">
        <v>31</v>
      </c>
      <c r="M79" s="2" t="n">
        <v>3</v>
      </c>
      <c r="N79" s="2" t="s">
        <v>53</v>
      </c>
      <c r="O79" s="2" t="s">
        <v>89</v>
      </c>
      <c r="P79" s="2" t="n">
        <v>2</v>
      </c>
      <c r="Q79" s="2" t="s">
        <v>34</v>
      </c>
      <c r="R79" s="2" t="s">
        <v>34</v>
      </c>
      <c r="S79" s="2" t="s">
        <v>293</v>
      </c>
      <c r="T79" s="2" t="s">
        <v>294</v>
      </c>
      <c r="U79" s="1"/>
      <c r="V79" s="1"/>
      <c r="W79" s="1"/>
      <c r="X79" s="1"/>
      <c r="Y79" s="1"/>
      <c r="Z79" s="1"/>
      <c r="AA79" s="1"/>
      <c r="AB79" s="1"/>
    </row>
    <row r="80" customFormat="false" ht="15.75" hidden="false" customHeight="false" outlineLevel="0" collapsed="false">
      <c r="A80" s="3" t="n">
        <v>43627.7530249306</v>
      </c>
      <c r="B80" s="2" t="s">
        <v>295</v>
      </c>
      <c r="C80" s="2" t="s">
        <v>23</v>
      </c>
      <c r="D80" s="2" t="s">
        <v>38</v>
      </c>
      <c r="E80" s="2" t="n">
        <v>3</v>
      </c>
      <c r="F80" s="2" t="s">
        <v>296</v>
      </c>
      <c r="G80" s="2" t="s">
        <v>64</v>
      </c>
      <c r="H80" s="2" t="s">
        <v>50</v>
      </c>
      <c r="I80" s="2" t="s">
        <v>94</v>
      </c>
      <c r="J80" s="2" t="s">
        <v>51</v>
      </c>
      <c r="K80" s="2" t="s">
        <v>297</v>
      </c>
      <c r="L80" s="2" t="s">
        <v>60</v>
      </c>
      <c r="M80" s="2" t="n">
        <v>10</v>
      </c>
      <c r="N80" s="2" t="s">
        <v>44</v>
      </c>
      <c r="O80" s="2" t="s">
        <v>33</v>
      </c>
      <c r="P80" s="2" t="n">
        <v>3</v>
      </c>
      <c r="Q80" s="2" t="s">
        <v>34</v>
      </c>
      <c r="R80" s="2" t="s">
        <v>34</v>
      </c>
      <c r="S80" s="2" t="s">
        <v>298</v>
      </c>
      <c r="T80" s="2" t="s">
        <v>299</v>
      </c>
      <c r="U80" s="1"/>
      <c r="V80" s="1"/>
      <c r="W80" s="1"/>
      <c r="X80" s="1"/>
      <c r="Y80" s="1"/>
      <c r="Z80" s="1"/>
      <c r="AA80" s="1"/>
      <c r="AB80" s="1"/>
    </row>
    <row r="81" customFormat="false" ht="15.75" hidden="false" customHeight="false" outlineLevel="0" collapsed="false">
      <c r="A81" s="3" t="n">
        <v>43627.7617363773</v>
      </c>
      <c r="B81" s="2" t="s">
        <v>300</v>
      </c>
      <c r="C81" s="2" t="s">
        <v>75</v>
      </c>
      <c r="D81" s="2" t="s">
        <v>38</v>
      </c>
      <c r="E81" s="2" t="n">
        <v>3</v>
      </c>
      <c r="F81" s="2" t="s">
        <v>301</v>
      </c>
      <c r="G81" s="2" t="s">
        <v>26</v>
      </c>
      <c r="H81" s="2" t="s">
        <v>50</v>
      </c>
      <c r="I81" s="2" t="s">
        <v>53</v>
      </c>
      <c r="J81" s="2" t="s">
        <v>29</v>
      </c>
      <c r="K81" s="2" t="s">
        <v>30</v>
      </c>
      <c r="L81" s="2" t="s">
        <v>60</v>
      </c>
      <c r="M81" s="2" t="n">
        <v>10</v>
      </c>
      <c r="N81" s="2" t="s">
        <v>44</v>
      </c>
      <c r="O81" s="2" t="s">
        <v>33</v>
      </c>
      <c r="P81" s="2" t="n">
        <v>2</v>
      </c>
      <c r="Q81" s="2" t="s">
        <v>34</v>
      </c>
      <c r="R81" s="2" t="s">
        <v>34</v>
      </c>
      <c r="S81" s="2" t="s">
        <v>298</v>
      </c>
      <c r="T81" s="2" t="s">
        <v>302</v>
      </c>
      <c r="U81" s="1"/>
      <c r="V81" s="1"/>
      <c r="W81" s="1"/>
      <c r="X81" s="1"/>
      <c r="Y81" s="1"/>
      <c r="Z81" s="1"/>
      <c r="AA81" s="1"/>
      <c r="AB81" s="1"/>
    </row>
    <row r="82" customFormat="false" ht="15.75" hidden="false" customHeight="false" outlineLevel="0" collapsed="false">
      <c r="A82" s="3" t="n">
        <v>43627.8363571181</v>
      </c>
      <c r="B82" s="2" t="s">
        <v>303</v>
      </c>
      <c r="C82" s="2" t="s">
        <v>23</v>
      </c>
      <c r="D82" s="2" t="s">
        <v>24</v>
      </c>
      <c r="E82" s="2" t="n">
        <v>4</v>
      </c>
      <c r="F82" s="2" t="s">
        <v>304</v>
      </c>
      <c r="G82" s="2" t="s">
        <v>305</v>
      </c>
      <c r="H82" s="2" t="s">
        <v>50</v>
      </c>
      <c r="I82" s="2" t="s">
        <v>32</v>
      </c>
      <c r="J82" s="2" t="s">
        <v>65</v>
      </c>
      <c r="K82" s="2" t="s">
        <v>88</v>
      </c>
      <c r="L82" s="2" t="s">
        <v>31</v>
      </c>
      <c r="M82" s="2" t="n">
        <v>8</v>
      </c>
      <c r="N82" s="2" t="s">
        <v>32</v>
      </c>
      <c r="O82" s="2" t="s">
        <v>45</v>
      </c>
      <c r="P82" s="2" t="n">
        <v>2</v>
      </c>
      <c r="Q82" s="2" t="s">
        <v>34</v>
      </c>
      <c r="R82" s="2" t="s">
        <v>34</v>
      </c>
      <c r="S82" s="2" t="s">
        <v>306</v>
      </c>
      <c r="T82" s="2" t="s">
        <v>307</v>
      </c>
      <c r="U82" s="1"/>
      <c r="V82" s="1"/>
      <c r="W82" s="1"/>
      <c r="X82" s="1"/>
      <c r="Y82" s="1"/>
      <c r="Z82" s="1"/>
      <c r="AA82" s="1"/>
      <c r="AB82" s="1"/>
    </row>
    <row r="83" customFormat="false" ht="15.75" hidden="false" customHeight="false" outlineLevel="0" collapsed="false">
      <c r="A83" s="3" t="n">
        <v>43627.8406977546</v>
      </c>
      <c r="B83" s="2" t="s">
        <v>308</v>
      </c>
      <c r="C83" s="2" t="s">
        <v>23</v>
      </c>
      <c r="D83" s="2" t="s">
        <v>24</v>
      </c>
      <c r="E83" s="2" t="n">
        <v>4</v>
      </c>
      <c r="F83" s="2" t="s">
        <v>309</v>
      </c>
      <c r="G83" s="2" t="s">
        <v>310</v>
      </c>
      <c r="H83" s="2" t="s">
        <v>41</v>
      </c>
      <c r="I83" s="2" t="s">
        <v>32</v>
      </c>
      <c r="J83" s="2" t="s">
        <v>65</v>
      </c>
      <c r="K83" s="2" t="s">
        <v>88</v>
      </c>
      <c r="L83" s="2" t="s">
        <v>31</v>
      </c>
      <c r="M83" s="2" t="n">
        <v>7</v>
      </c>
      <c r="N83" s="2" t="s">
        <v>32</v>
      </c>
      <c r="O83" s="2" t="s">
        <v>45</v>
      </c>
      <c r="P83" s="2" t="n">
        <v>4</v>
      </c>
      <c r="Q83" s="2" t="s">
        <v>34</v>
      </c>
      <c r="R83" s="2" t="s">
        <v>34</v>
      </c>
      <c r="S83" s="2" t="s">
        <v>311</v>
      </c>
      <c r="T83" s="2" t="s">
        <v>312</v>
      </c>
      <c r="U83" s="1"/>
      <c r="V83" s="1"/>
      <c r="W83" s="1"/>
      <c r="X83" s="1"/>
      <c r="Y83" s="1"/>
      <c r="Z83" s="1"/>
      <c r="AA83" s="1"/>
      <c r="AB83" s="1"/>
    </row>
    <row r="84" customFormat="false" ht="15.75" hidden="false" customHeight="false" outlineLevel="0" collapsed="false">
      <c r="A84" s="3" t="n">
        <v>43627.8414112616</v>
      </c>
      <c r="B84" s="2" t="s">
        <v>313</v>
      </c>
      <c r="C84" s="2" t="s">
        <v>75</v>
      </c>
      <c r="D84" s="2" t="s">
        <v>24</v>
      </c>
      <c r="E84" s="2" t="n">
        <v>3</v>
      </c>
      <c r="F84" s="2" t="s">
        <v>314</v>
      </c>
      <c r="G84" s="2" t="s">
        <v>105</v>
      </c>
      <c r="H84" s="2" t="s">
        <v>41</v>
      </c>
      <c r="I84" s="2" t="s">
        <v>94</v>
      </c>
      <c r="J84" s="2" t="s">
        <v>51</v>
      </c>
      <c r="K84" s="2" t="s">
        <v>52</v>
      </c>
      <c r="L84" s="2" t="s">
        <v>43</v>
      </c>
      <c r="M84" s="2" t="n">
        <v>7</v>
      </c>
      <c r="N84" s="2" t="s">
        <v>32</v>
      </c>
      <c r="O84" s="2" t="s">
        <v>89</v>
      </c>
      <c r="P84" s="2" t="n">
        <v>1</v>
      </c>
      <c r="Q84" s="2" t="s">
        <v>34</v>
      </c>
      <c r="R84" s="2" t="s">
        <v>34</v>
      </c>
      <c r="S84" s="2" t="s">
        <v>96</v>
      </c>
      <c r="T84" s="2" t="s">
        <v>315</v>
      </c>
      <c r="U84" s="1"/>
      <c r="V84" s="1"/>
      <c r="W84" s="1"/>
      <c r="X84" s="1"/>
      <c r="Y84" s="1"/>
      <c r="Z84" s="1"/>
      <c r="AA84" s="1"/>
      <c r="AB84" s="1"/>
    </row>
    <row r="85" customFormat="false" ht="15.75" hidden="false" customHeight="false" outlineLevel="0" collapsed="false">
      <c r="A85" s="3" t="n">
        <v>43627.9143029514</v>
      </c>
      <c r="B85" s="2" t="s">
        <v>316</v>
      </c>
      <c r="C85" s="2" t="s">
        <v>23</v>
      </c>
      <c r="D85" s="2" t="s">
        <v>218</v>
      </c>
      <c r="E85" s="2" t="n">
        <v>3</v>
      </c>
      <c r="F85" s="2" t="s">
        <v>317</v>
      </c>
      <c r="G85" s="2" t="s">
        <v>318</v>
      </c>
      <c r="H85" s="2" t="s">
        <v>94</v>
      </c>
      <c r="I85" s="2" t="s">
        <v>28</v>
      </c>
      <c r="J85" s="2" t="s">
        <v>264</v>
      </c>
      <c r="K85" s="2" t="s">
        <v>220</v>
      </c>
      <c r="L85" s="2" t="s">
        <v>72</v>
      </c>
      <c r="M85" s="2" t="n">
        <v>7</v>
      </c>
      <c r="N85" s="2" t="s">
        <v>53</v>
      </c>
      <c r="O85" s="2" t="s">
        <v>89</v>
      </c>
      <c r="P85" s="2" t="n">
        <v>2</v>
      </c>
      <c r="Q85" s="2" t="s">
        <v>34</v>
      </c>
      <c r="R85" s="2" t="s">
        <v>34</v>
      </c>
      <c r="S85" s="2" t="s">
        <v>293</v>
      </c>
      <c r="T85" s="2" t="s">
        <v>319</v>
      </c>
      <c r="U85" s="1"/>
      <c r="V85" s="1"/>
      <c r="W85" s="1"/>
      <c r="X85" s="1"/>
      <c r="Y85" s="1"/>
      <c r="Z85" s="1"/>
      <c r="AA85" s="1"/>
      <c r="AB85" s="1"/>
    </row>
    <row r="86" customFormat="false" ht="15.75" hidden="false" customHeight="false" outlineLevel="0" collapsed="false">
      <c r="A86" s="3" t="n">
        <v>43627.9657301968</v>
      </c>
      <c r="B86" s="2" t="s">
        <v>320</v>
      </c>
      <c r="C86" s="2" t="s">
        <v>23</v>
      </c>
      <c r="D86" s="2" t="s">
        <v>38</v>
      </c>
      <c r="E86" s="2" t="n">
        <v>4</v>
      </c>
      <c r="F86" s="2" t="s">
        <v>321</v>
      </c>
      <c r="G86" s="2" t="s">
        <v>322</v>
      </c>
      <c r="H86" s="2" t="s">
        <v>41</v>
      </c>
      <c r="I86" s="2" t="s">
        <v>53</v>
      </c>
      <c r="J86" s="2" t="s">
        <v>29</v>
      </c>
      <c r="K86" s="2" t="s">
        <v>59</v>
      </c>
      <c r="L86" s="2" t="s">
        <v>43</v>
      </c>
      <c r="M86" s="2" t="n">
        <v>5</v>
      </c>
      <c r="N86" s="2" t="s">
        <v>53</v>
      </c>
      <c r="O86" s="2" t="s">
        <v>89</v>
      </c>
      <c r="P86" s="2" t="n">
        <v>3</v>
      </c>
      <c r="Q86" s="2" t="s">
        <v>34</v>
      </c>
      <c r="R86" s="2" t="s">
        <v>34</v>
      </c>
      <c r="S86" s="2" t="s">
        <v>284</v>
      </c>
      <c r="T86" s="2" t="s">
        <v>323</v>
      </c>
      <c r="U86" s="1"/>
      <c r="V86" s="1"/>
      <c r="W86" s="1"/>
      <c r="X86" s="1"/>
      <c r="Y86" s="1"/>
      <c r="Z86" s="1"/>
      <c r="AA86" s="1"/>
      <c r="AB86" s="1"/>
    </row>
    <row r="87" customFormat="false" ht="15.75" hidden="false" customHeight="false" outlineLevel="0" collapsed="false">
      <c r="A87" s="3" t="n">
        <v>43628.4562092593</v>
      </c>
      <c r="B87" s="2" t="s">
        <v>324</v>
      </c>
      <c r="C87" s="2" t="s">
        <v>75</v>
      </c>
      <c r="D87" s="2" t="s">
        <v>232</v>
      </c>
      <c r="E87" s="2" t="n">
        <v>2</v>
      </c>
      <c r="F87" s="2" t="s">
        <v>177</v>
      </c>
      <c r="G87" s="2" t="s">
        <v>40</v>
      </c>
      <c r="H87" s="2" t="s">
        <v>41</v>
      </c>
      <c r="I87" s="2" t="s">
        <v>32</v>
      </c>
      <c r="J87" s="2" t="s">
        <v>51</v>
      </c>
      <c r="K87" s="2" t="s">
        <v>325</v>
      </c>
      <c r="L87" s="2" t="s">
        <v>43</v>
      </c>
      <c r="M87" s="2" t="n">
        <v>7</v>
      </c>
      <c r="N87" s="2" t="s">
        <v>53</v>
      </c>
      <c r="O87" s="2" t="s">
        <v>45</v>
      </c>
      <c r="P87" s="2" t="n">
        <v>1</v>
      </c>
      <c r="Q87" s="2" t="s">
        <v>54</v>
      </c>
      <c r="R87" s="2" t="s">
        <v>34</v>
      </c>
      <c r="S87" s="2" t="s">
        <v>326</v>
      </c>
      <c r="T87" s="2" t="s">
        <v>327</v>
      </c>
      <c r="U87" s="1"/>
      <c r="V87" s="1"/>
      <c r="W87" s="1"/>
      <c r="X87" s="1"/>
      <c r="Y87" s="1"/>
      <c r="Z87" s="1"/>
      <c r="AA87" s="1"/>
      <c r="AB87" s="1"/>
    </row>
    <row r="88" customFormat="false" ht="15.75" hidden="false" customHeight="false" outlineLevel="0" collapsed="false">
      <c r="A88" s="3" t="n">
        <v>43628.6668972106</v>
      </c>
      <c r="B88" s="2" t="s">
        <v>328</v>
      </c>
      <c r="C88" s="2" t="s">
        <v>23</v>
      </c>
      <c r="D88" s="2" t="s">
        <v>38</v>
      </c>
      <c r="E88" s="2" t="n">
        <v>4</v>
      </c>
      <c r="F88" s="2" t="s">
        <v>76</v>
      </c>
      <c r="G88" s="2" t="s">
        <v>64</v>
      </c>
      <c r="H88" s="2" t="s">
        <v>50</v>
      </c>
      <c r="I88" s="2" t="s">
        <v>53</v>
      </c>
      <c r="J88" s="2" t="s">
        <v>65</v>
      </c>
      <c r="K88" s="2" t="s">
        <v>329</v>
      </c>
      <c r="L88" s="2" t="s">
        <v>72</v>
      </c>
      <c r="M88" s="2" t="n">
        <v>8</v>
      </c>
      <c r="N88" s="2" t="s">
        <v>53</v>
      </c>
      <c r="O88" s="2" t="s">
        <v>89</v>
      </c>
      <c r="P88" s="2" t="n">
        <v>2</v>
      </c>
      <c r="Q88" s="2" t="s">
        <v>54</v>
      </c>
      <c r="R88" s="2" t="s">
        <v>34</v>
      </c>
      <c r="S88" s="2" t="s">
        <v>330</v>
      </c>
      <c r="T88" s="2" t="s">
        <v>331</v>
      </c>
      <c r="U88" s="1"/>
      <c r="V88" s="1"/>
      <c r="W88" s="1"/>
      <c r="X88" s="1"/>
      <c r="Y88" s="1"/>
      <c r="Z88" s="1"/>
      <c r="AA88" s="1"/>
      <c r="AB88" s="1"/>
    </row>
    <row r="89" customFormat="false" ht="15.75" hidden="false" customHeight="false" outlineLevel="0" collapsed="false">
      <c r="A89" s="3" t="n">
        <v>43628.6790705093</v>
      </c>
      <c r="B89" s="2" t="s">
        <v>332</v>
      </c>
      <c r="C89" s="2" t="s">
        <v>99</v>
      </c>
      <c r="D89" s="2" t="s">
        <v>38</v>
      </c>
      <c r="E89" s="2" t="n">
        <v>3</v>
      </c>
      <c r="F89" s="2" t="s">
        <v>333</v>
      </c>
      <c r="G89" s="2" t="s">
        <v>40</v>
      </c>
      <c r="H89" s="2" t="s">
        <v>41</v>
      </c>
      <c r="I89" s="2" t="s">
        <v>32</v>
      </c>
      <c r="J89" s="2" t="s">
        <v>29</v>
      </c>
      <c r="K89" s="2" t="s">
        <v>42</v>
      </c>
      <c r="L89" s="2" t="s">
        <v>31</v>
      </c>
      <c r="M89" s="2" t="n">
        <v>7</v>
      </c>
      <c r="N89" s="2" t="s">
        <v>32</v>
      </c>
      <c r="O89" s="2" t="s">
        <v>45</v>
      </c>
      <c r="P89" s="2" t="n">
        <v>3</v>
      </c>
      <c r="Q89" s="2" t="s">
        <v>54</v>
      </c>
      <c r="R89" s="2" t="s">
        <v>34</v>
      </c>
      <c r="S89" s="2" t="s">
        <v>136</v>
      </c>
      <c r="T89" s="2" t="s">
        <v>334</v>
      </c>
      <c r="U89" s="1"/>
      <c r="V89" s="1"/>
      <c r="W89" s="1"/>
      <c r="X89" s="1"/>
      <c r="Y89" s="1"/>
      <c r="Z89" s="1"/>
      <c r="AA89" s="1"/>
      <c r="AB89" s="1"/>
    </row>
    <row r="90" customFormat="false" ht="15.75" hidden="false" customHeight="false" outlineLevel="0" collapsed="false">
      <c r="A90" s="3" t="n">
        <v>43628.7146692245</v>
      </c>
      <c r="B90" s="2" t="s">
        <v>335</v>
      </c>
      <c r="C90" s="2" t="s">
        <v>23</v>
      </c>
      <c r="D90" s="2" t="s">
        <v>38</v>
      </c>
      <c r="E90" s="2" t="n">
        <v>5</v>
      </c>
      <c r="F90" s="2" t="s">
        <v>48</v>
      </c>
      <c r="G90" s="2" t="s">
        <v>336</v>
      </c>
      <c r="H90" s="2" t="s">
        <v>50</v>
      </c>
      <c r="I90" s="2" t="s">
        <v>32</v>
      </c>
      <c r="J90" s="2" t="s">
        <v>65</v>
      </c>
      <c r="K90" s="2" t="s">
        <v>337</v>
      </c>
      <c r="L90" s="2" t="s">
        <v>60</v>
      </c>
      <c r="M90" s="2" t="n">
        <v>5</v>
      </c>
      <c r="N90" s="2" t="s">
        <v>66</v>
      </c>
      <c r="O90" s="2" t="s">
        <v>89</v>
      </c>
      <c r="P90" s="2" t="n">
        <v>1</v>
      </c>
      <c r="Q90" s="2" t="s">
        <v>34</v>
      </c>
      <c r="R90" s="2" t="s">
        <v>34</v>
      </c>
      <c r="S90" s="2" t="s">
        <v>338</v>
      </c>
      <c r="T90" s="2" t="s">
        <v>339</v>
      </c>
      <c r="U90" s="1"/>
      <c r="V90" s="1"/>
      <c r="W90" s="1"/>
      <c r="X90" s="1"/>
      <c r="Y90" s="1"/>
      <c r="Z90" s="1"/>
      <c r="AA90" s="1"/>
      <c r="AB90" s="1"/>
    </row>
    <row r="91" customFormat="false" ht="15.75" hidden="false" customHeight="false" outlineLevel="0" collapsed="false">
      <c r="A91" s="3" t="n">
        <v>43628.718486713</v>
      </c>
      <c r="B91" s="2" t="s">
        <v>340</v>
      </c>
      <c r="C91" s="2" t="s">
        <v>23</v>
      </c>
      <c r="D91" s="2" t="s">
        <v>38</v>
      </c>
      <c r="E91" s="2" t="n">
        <v>4</v>
      </c>
      <c r="F91" s="2" t="s">
        <v>208</v>
      </c>
      <c r="G91" s="2" t="s">
        <v>58</v>
      </c>
      <c r="H91" s="2" t="s">
        <v>50</v>
      </c>
      <c r="I91" s="2" t="s">
        <v>32</v>
      </c>
      <c r="J91" s="2" t="s">
        <v>65</v>
      </c>
      <c r="K91" s="2" t="s">
        <v>341</v>
      </c>
      <c r="L91" s="2" t="s">
        <v>60</v>
      </c>
      <c r="M91" s="2" t="n">
        <v>5</v>
      </c>
      <c r="N91" s="2" t="s">
        <v>53</v>
      </c>
      <c r="O91" s="2" t="s">
        <v>89</v>
      </c>
      <c r="P91" s="2" t="n">
        <v>1</v>
      </c>
      <c r="Q91" s="2" t="s">
        <v>34</v>
      </c>
      <c r="R91" s="2" t="s">
        <v>34</v>
      </c>
      <c r="S91" s="2" t="s">
        <v>342</v>
      </c>
      <c r="T91" s="2" t="s">
        <v>343</v>
      </c>
      <c r="U91" s="1"/>
      <c r="V91" s="1"/>
      <c r="W91" s="1"/>
      <c r="X91" s="1"/>
      <c r="Y91" s="1"/>
      <c r="Z91" s="1"/>
      <c r="AA91" s="1"/>
      <c r="AB91" s="1"/>
    </row>
    <row r="92" customFormat="false" ht="15.75" hidden="false" customHeight="false" outlineLevel="0" collapsed="false">
      <c r="A92" s="3" t="n">
        <v>43628.7218956829</v>
      </c>
      <c r="B92" s="2" t="s">
        <v>344</v>
      </c>
      <c r="C92" s="2" t="s">
        <v>75</v>
      </c>
      <c r="D92" s="2" t="s">
        <v>24</v>
      </c>
      <c r="E92" s="2" t="n">
        <v>3</v>
      </c>
      <c r="F92" s="2" t="s">
        <v>345</v>
      </c>
      <c r="G92" s="2" t="s">
        <v>77</v>
      </c>
      <c r="H92" s="2" t="s">
        <v>41</v>
      </c>
      <c r="I92" s="2" t="s">
        <v>32</v>
      </c>
      <c r="J92" s="2" t="s">
        <v>51</v>
      </c>
      <c r="K92" s="2" t="s">
        <v>42</v>
      </c>
      <c r="L92" s="2" t="s">
        <v>43</v>
      </c>
      <c r="M92" s="2" t="n">
        <v>2</v>
      </c>
      <c r="N92" s="2" t="s">
        <v>66</v>
      </c>
      <c r="O92" s="2" t="s">
        <v>89</v>
      </c>
      <c r="P92" s="2" t="n">
        <v>1</v>
      </c>
      <c r="Q92" s="2" t="s">
        <v>54</v>
      </c>
      <c r="R92" s="2" t="s">
        <v>34</v>
      </c>
      <c r="S92" s="2" t="s">
        <v>346</v>
      </c>
      <c r="T92" s="2" t="s">
        <v>347</v>
      </c>
      <c r="U92" s="1"/>
      <c r="V92" s="1"/>
      <c r="W92" s="1"/>
      <c r="X92" s="1"/>
      <c r="Y92" s="1"/>
      <c r="Z92" s="1"/>
      <c r="AA92" s="1"/>
      <c r="AB92" s="1"/>
    </row>
    <row r="93" customFormat="false" ht="15.75" hidden="false" customHeight="false" outlineLevel="0" collapsed="false">
      <c r="A93" s="3" t="n">
        <v>43628.7286637269</v>
      </c>
      <c r="B93" s="2" t="s">
        <v>348</v>
      </c>
      <c r="C93" s="2" t="s">
        <v>23</v>
      </c>
      <c r="D93" s="2" t="s">
        <v>24</v>
      </c>
      <c r="E93" s="2" t="n">
        <v>4</v>
      </c>
      <c r="F93" s="2" t="s">
        <v>349</v>
      </c>
      <c r="G93" s="2" t="s">
        <v>350</v>
      </c>
      <c r="H93" s="2" t="s">
        <v>50</v>
      </c>
      <c r="I93" s="2" t="s">
        <v>32</v>
      </c>
      <c r="J93" s="2" t="s">
        <v>65</v>
      </c>
      <c r="K93" s="2" t="s">
        <v>351</v>
      </c>
      <c r="L93" s="2" t="s">
        <v>60</v>
      </c>
      <c r="M93" s="2" t="n">
        <v>6</v>
      </c>
      <c r="N93" s="2" t="s">
        <v>53</v>
      </c>
      <c r="O93" s="2" t="s">
        <v>45</v>
      </c>
      <c r="P93" s="2" t="n">
        <v>1</v>
      </c>
      <c r="Q93" s="2" t="s">
        <v>34</v>
      </c>
      <c r="R93" s="2" t="s">
        <v>34</v>
      </c>
      <c r="S93" s="2" t="s">
        <v>352</v>
      </c>
      <c r="T93" s="2" t="s">
        <v>353</v>
      </c>
      <c r="U93" s="1"/>
      <c r="V93" s="1"/>
      <c r="W93" s="1"/>
      <c r="X93" s="1"/>
      <c r="Y93" s="1"/>
      <c r="Z93" s="1"/>
      <c r="AA93" s="1"/>
      <c r="AB93" s="1"/>
    </row>
    <row r="94" customFormat="false" ht="15.75" hidden="false" customHeight="false" outlineLevel="0" collapsed="false">
      <c r="A94" s="3" t="n">
        <v>43628.732078287</v>
      </c>
      <c r="B94" s="2" t="s">
        <v>354</v>
      </c>
      <c r="C94" s="2" t="s">
        <v>23</v>
      </c>
      <c r="D94" s="2" t="s">
        <v>24</v>
      </c>
      <c r="E94" s="2" t="n">
        <v>4</v>
      </c>
      <c r="F94" s="2" t="s">
        <v>203</v>
      </c>
      <c r="G94" s="2" t="s">
        <v>64</v>
      </c>
      <c r="H94" s="2" t="s">
        <v>50</v>
      </c>
      <c r="I94" s="2" t="s">
        <v>32</v>
      </c>
      <c r="J94" s="2" t="s">
        <v>29</v>
      </c>
      <c r="K94" s="2" t="s">
        <v>355</v>
      </c>
      <c r="L94" s="2" t="s">
        <v>43</v>
      </c>
      <c r="M94" s="2" t="n">
        <v>8</v>
      </c>
      <c r="N94" s="2" t="s">
        <v>53</v>
      </c>
      <c r="O94" s="2" t="s">
        <v>89</v>
      </c>
      <c r="P94" s="2" t="n">
        <v>2</v>
      </c>
      <c r="Q94" s="2" t="s">
        <v>34</v>
      </c>
      <c r="R94" s="2" t="s">
        <v>34</v>
      </c>
      <c r="S94" s="2" t="s">
        <v>352</v>
      </c>
      <c r="T94" s="2" t="s">
        <v>356</v>
      </c>
      <c r="U94" s="1"/>
      <c r="V94" s="1"/>
      <c r="W94" s="1"/>
      <c r="X94" s="1"/>
      <c r="Y94" s="1"/>
      <c r="Z94" s="1"/>
      <c r="AA94" s="1"/>
      <c r="AB94" s="1"/>
    </row>
    <row r="95" customFormat="false" ht="15.75" hidden="false" customHeight="false" outlineLevel="0" collapsed="false">
      <c r="A95" s="3" t="n">
        <v>43628.796846169</v>
      </c>
      <c r="B95" s="2" t="s">
        <v>357</v>
      </c>
      <c r="C95" s="2" t="s">
        <v>99</v>
      </c>
      <c r="D95" s="2" t="s">
        <v>195</v>
      </c>
      <c r="E95" s="2" t="n">
        <v>3</v>
      </c>
      <c r="F95" s="2" t="s">
        <v>358</v>
      </c>
      <c r="G95" s="2" t="s">
        <v>58</v>
      </c>
      <c r="H95" s="2" t="s">
        <v>50</v>
      </c>
      <c r="I95" s="2" t="s">
        <v>32</v>
      </c>
      <c r="J95" s="2" t="s">
        <v>65</v>
      </c>
      <c r="K95" s="2" t="s">
        <v>359</v>
      </c>
      <c r="L95" s="2" t="s">
        <v>60</v>
      </c>
      <c r="M95" s="2" t="n">
        <v>5</v>
      </c>
      <c r="N95" s="2" t="s">
        <v>66</v>
      </c>
      <c r="O95" s="2" t="s">
        <v>89</v>
      </c>
      <c r="P95" s="2" t="n">
        <v>1</v>
      </c>
      <c r="Q95" s="2" t="s">
        <v>54</v>
      </c>
      <c r="R95" s="2" t="s">
        <v>34</v>
      </c>
      <c r="S95" s="2" t="s">
        <v>360</v>
      </c>
      <c r="T95" s="2" t="s">
        <v>361</v>
      </c>
      <c r="U95" s="1"/>
      <c r="V95" s="1"/>
      <c r="W95" s="1"/>
      <c r="X95" s="1"/>
      <c r="Y95" s="1"/>
      <c r="Z95" s="1"/>
      <c r="AA95" s="1"/>
      <c r="AB95" s="1"/>
    </row>
    <row r="96" customFormat="false" ht="15.75" hidden="false" customHeight="false" outlineLevel="0" collapsed="false">
      <c r="A96" s="3" t="n">
        <v>43628.8102261458</v>
      </c>
      <c r="B96" s="2" t="s">
        <v>362</v>
      </c>
      <c r="C96" s="2" t="s">
        <v>23</v>
      </c>
      <c r="D96" s="2" t="s">
        <v>38</v>
      </c>
      <c r="E96" s="2" t="n">
        <v>3</v>
      </c>
      <c r="F96" s="2" t="s">
        <v>363</v>
      </c>
      <c r="G96" s="2" t="s">
        <v>364</v>
      </c>
      <c r="H96" s="2" t="s">
        <v>50</v>
      </c>
      <c r="I96" s="2" t="s">
        <v>53</v>
      </c>
      <c r="J96" s="2" t="s">
        <v>29</v>
      </c>
      <c r="K96" s="2" t="s">
        <v>59</v>
      </c>
      <c r="L96" s="2" t="s">
        <v>31</v>
      </c>
      <c r="M96" s="2" t="n">
        <v>3</v>
      </c>
      <c r="N96" s="2" t="s">
        <v>53</v>
      </c>
      <c r="O96" s="2" t="s">
        <v>45</v>
      </c>
      <c r="P96" s="2" t="n">
        <v>1</v>
      </c>
      <c r="Q96" s="2" t="s">
        <v>34</v>
      </c>
      <c r="R96" s="2" t="s">
        <v>34</v>
      </c>
      <c r="S96" s="2" t="s">
        <v>342</v>
      </c>
      <c r="T96" s="2" t="s">
        <v>365</v>
      </c>
      <c r="U96" s="1"/>
      <c r="V96" s="1"/>
      <c r="W96" s="1"/>
      <c r="X96" s="1"/>
      <c r="Y96" s="1"/>
      <c r="Z96" s="1"/>
      <c r="AA96" s="1"/>
      <c r="AB96" s="1"/>
    </row>
    <row r="97" customFormat="false" ht="15.75" hidden="false" customHeight="false" outlineLevel="0" collapsed="false">
      <c r="A97" s="3" t="n">
        <v>43628.8118695718</v>
      </c>
      <c r="B97" s="2" t="s">
        <v>366</v>
      </c>
      <c r="C97" s="2" t="s">
        <v>23</v>
      </c>
      <c r="D97" s="2" t="s">
        <v>38</v>
      </c>
      <c r="E97" s="2" t="n">
        <v>3</v>
      </c>
      <c r="F97" s="2" t="s">
        <v>367</v>
      </c>
      <c r="G97" s="2" t="s">
        <v>310</v>
      </c>
      <c r="H97" s="2" t="s">
        <v>27</v>
      </c>
      <c r="I97" s="2" t="s">
        <v>32</v>
      </c>
      <c r="J97" s="2" t="s">
        <v>29</v>
      </c>
      <c r="K97" s="2" t="s">
        <v>30</v>
      </c>
      <c r="L97" s="2" t="s">
        <v>43</v>
      </c>
      <c r="M97" s="2" t="n">
        <v>5</v>
      </c>
      <c r="N97" s="2" t="s">
        <v>53</v>
      </c>
      <c r="O97" s="2" t="s">
        <v>89</v>
      </c>
      <c r="P97" s="2" t="n">
        <v>1</v>
      </c>
      <c r="Q97" s="2" t="s">
        <v>54</v>
      </c>
      <c r="R97" s="2" t="s">
        <v>34</v>
      </c>
      <c r="S97" s="2" t="s">
        <v>342</v>
      </c>
      <c r="T97" s="2" t="s">
        <v>368</v>
      </c>
      <c r="U97" s="1"/>
      <c r="V97" s="1"/>
      <c r="W97" s="1"/>
      <c r="X97" s="1"/>
      <c r="Y97" s="1"/>
      <c r="Z97" s="1"/>
      <c r="AA97" s="1"/>
      <c r="AB97" s="1"/>
    </row>
    <row r="98" customFormat="false" ht="15.75" hidden="false" customHeight="false" outlineLevel="0" collapsed="false">
      <c r="A98" s="3" t="n">
        <v>43628.8716775347</v>
      </c>
      <c r="B98" s="2" t="s">
        <v>369</v>
      </c>
      <c r="C98" s="2" t="s">
        <v>23</v>
      </c>
      <c r="D98" s="2" t="s">
        <v>24</v>
      </c>
      <c r="E98" s="2" t="n">
        <v>3</v>
      </c>
      <c r="F98" s="2" t="s">
        <v>370</v>
      </c>
      <c r="G98" s="2" t="s">
        <v>64</v>
      </c>
      <c r="H98" s="2" t="s">
        <v>41</v>
      </c>
      <c r="I98" s="2" t="s">
        <v>32</v>
      </c>
      <c r="J98" s="2" t="s">
        <v>51</v>
      </c>
      <c r="K98" s="2" t="s">
        <v>371</v>
      </c>
      <c r="L98" s="2" t="s">
        <v>31</v>
      </c>
      <c r="M98" s="2" t="n">
        <v>10</v>
      </c>
      <c r="N98" s="2" t="s">
        <v>44</v>
      </c>
      <c r="O98" s="2" t="s">
        <v>45</v>
      </c>
      <c r="P98" s="2" t="n">
        <v>2</v>
      </c>
      <c r="Q98" s="2" t="s">
        <v>34</v>
      </c>
      <c r="R98" s="2" t="s">
        <v>34</v>
      </c>
      <c r="S98" s="2" t="s">
        <v>372</v>
      </c>
      <c r="T98" s="2" t="s">
        <v>373</v>
      </c>
      <c r="U98" s="1"/>
      <c r="V98" s="1"/>
      <c r="W98" s="1"/>
      <c r="X98" s="1"/>
      <c r="Y98" s="1"/>
      <c r="Z98" s="1"/>
      <c r="AA98" s="1"/>
      <c r="AB98" s="1"/>
    </row>
    <row r="99" customFormat="false" ht="15.75" hidden="false" customHeight="false" outlineLevel="0" collapsed="false">
      <c r="A99" s="3" t="n">
        <v>43628.8828891088</v>
      </c>
      <c r="B99" s="2" t="s">
        <v>374</v>
      </c>
      <c r="C99" s="2" t="s">
        <v>23</v>
      </c>
      <c r="D99" s="2" t="s">
        <v>24</v>
      </c>
      <c r="E99" s="2" t="n">
        <v>3</v>
      </c>
      <c r="F99" s="2" t="s">
        <v>375</v>
      </c>
      <c r="G99" s="2" t="s">
        <v>77</v>
      </c>
      <c r="H99" s="2" t="s">
        <v>50</v>
      </c>
      <c r="I99" s="2" t="s">
        <v>32</v>
      </c>
      <c r="J99" s="2" t="s">
        <v>51</v>
      </c>
      <c r="K99" s="2" t="s">
        <v>42</v>
      </c>
      <c r="L99" s="2" t="s">
        <v>60</v>
      </c>
      <c r="M99" s="2" t="n">
        <v>10</v>
      </c>
      <c r="N99" s="2" t="s">
        <v>32</v>
      </c>
      <c r="O99" s="2" t="s">
        <v>33</v>
      </c>
      <c r="P99" s="2" t="n">
        <v>2</v>
      </c>
      <c r="Q99" s="2" t="s">
        <v>34</v>
      </c>
      <c r="R99" s="2" t="s">
        <v>34</v>
      </c>
      <c r="S99" s="2" t="s">
        <v>376</v>
      </c>
      <c r="T99" s="2" t="s">
        <v>377</v>
      </c>
      <c r="U99" s="1"/>
      <c r="V99" s="1"/>
      <c r="W99" s="1"/>
      <c r="X99" s="1"/>
      <c r="Y99" s="1"/>
      <c r="Z99" s="1"/>
      <c r="AA99" s="1"/>
      <c r="AB99" s="1"/>
    </row>
    <row r="100" customFormat="false" ht="15.75" hidden="false" customHeight="false" outlineLevel="0" collapsed="false">
      <c r="A100" s="3" t="n">
        <v>43628.883695787</v>
      </c>
      <c r="B100" s="2" t="s">
        <v>378</v>
      </c>
      <c r="C100" s="2" t="s">
        <v>23</v>
      </c>
      <c r="D100" s="2" t="s">
        <v>24</v>
      </c>
      <c r="E100" s="2" t="n">
        <v>4</v>
      </c>
      <c r="F100" s="2" t="s">
        <v>379</v>
      </c>
      <c r="G100" s="2" t="s">
        <v>26</v>
      </c>
      <c r="H100" s="2" t="s">
        <v>50</v>
      </c>
      <c r="I100" s="2" t="s">
        <v>32</v>
      </c>
      <c r="J100" s="2" t="s">
        <v>51</v>
      </c>
      <c r="K100" s="2" t="s">
        <v>42</v>
      </c>
      <c r="L100" s="2" t="s">
        <v>60</v>
      </c>
      <c r="M100" s="2" t="n">
        <v>10</v>
      </c>
      <c r="N100" s="2" t="s">
        <v>32</v>
      </c>
      <c r="O100" s="2" t="s">
        <v>33</v>
      </c>
      <c r="P100" s="2" t="n">
        <v>1</v>
      </c>
      <c r="Q100" s="2" t="s">
        <v>34</v>
      </c>
      <c r="R100" s="2" t="s">
        <v>34</v>
      </c>
      <c r="S100" s="2" t="s">
        <v>376</v>
      </c>
      <c r="T100" s="2" t="s">
        <v>380</v>
      </c>
      <c r="U100" s="1"/>
      <c r="V100" s="1"/>
      <c r="W100" s="1"/>
      <c r="X100" s="1"/>
      <c r="Y100" s="1"/>
      <c r="Z100" s="1"/>
      <c r="AA100" s="1"/>
      <c r="AB100" s="1"/>
    </row>
    <row r="101" customFormat="false" ht="15.75" hidden="false" customHeight="false" outlineLevel="0" collapsed="false">
      <c r="A101" s="3" t="n">
        <v>43628.8839590741</v>
      </c>
      <c r="B101" s="2" t="s">
        <v>381</v>
      </c>
      <c r="C101" s="2" t="s">
        <v>23</v>
      </c>
      <c r="D101" s="2" t="s">
        <v>24</v>
      </c>
      <c r="E101" s="2" t="n">
        <v>4</v>
      </c>
      <c r="F101" s="2" t="s">
        <v>382</v>
      </c>
      <c r="G101" s="2" t="s">
        <v>26</v>
      </c>
      <c r="H101" s="2" t="s">
        <v>50</v>
      </c>
      <c r="I101" s="2" t="s">
        <v>32</v>
      </c>
      <c r="J101" s="2" t="s">
        <v>51</v>
      </c>
      <c r="K101" s="2" t="s">
        <v>42</v>
      </c>
      <c r="L101" s="2" t="s">
        <v>60</v>
      </c>
      <c r="M101" s="2" t="n">
        <v>10</v>
      </c>
      <c r="N101" s="2" t="s">
        <v>32</v>
      </c>
      <c r="O101" s="2" t="s">
        <v>33</v>
      </c>
      <c r="P101" s="2" t="n">
        <v>3</v>
      </c>
      <c r="Q101" s="2" t="s">
        <v>34</v>
      </c>
      <c r="R101" s="2" t="s">
        <v>34</v>
      </c>
      <c r="S101" s="2" t="s">
        <v>376</v>
      </c>
      <c r="T101" s="2" t="s">
        <v>383</v>
      </c>
      <c r="U101" s="1"/>
      <c r="V101" s="1"/>
      <c r="W101" s="1"/>
      <c r="X101" s="1"/>
      <c r="Y101" s="1"/>
      <c r="Z101" s="1"/>
      <c r="AA101" s="1"/>
      <c r="AB101" s="1"/>
    </row>
    <row r="102" customFormat="false" ht="15.75" hidden="false" customHeight="false" outlineLevel="0" collapsed="false">
      <c r="A102" s="3" t="n">
        <v>43628.883963044</v>
      </c>
      <c r="B102" s="2" t="s">
        <v>384</v>
      </c>
      <c r="C102" s="2" t="s">
        <v>23</v>
      </c>
      <c r="D102" s="2" t="s">
        <v>24</v>
      </c>
      <c r="E102" s="2" t="n">
        <v>5</v>
      </c>
      <c r="F102" s="2" t="s">
        <v>385</v>
      </c>
      <c r="G102" s="2" t="s">
        <v>77</v>
      </c>
      <c r="H102" s="2" t="s">
        <v>50</v>
      </c>
      <c r="I102" s="2" t="s">
        <v>32</v>
      </c>
      <c r="J102" s="2" t="s">
        <v>51</v>
      </c>
      <c r="K102" s="2" t="s">
        <v>42</v>
      </c>
      <c r="L102" s="2" t="s">
        <v>60</v>
      </c>
      <c r="M102" s="2" t="n">
        <v>10</v>
      </c>
      <c r="N102" s="2" t="s">
        <v>32</v>
      </c>
      <c r="O102" s="2" t="s">
        <v>33</v>
      </c>
      <c r="P102" s="2" t="n">
        <v>2</v>
      </c>
      <c r="Q102" s="2" t="s">
        <v>34</v>
      </c>
      <c r="R102" s="2" t="s">
        <v>34</v>
      </c>
      <c r="S102" s="2" t="s">
        <v>376</v>
      </c>
      <c r="T102" s="2" t="s">
        <v>386</v>
      </c>
      <c r="U102" s="1"/>
      <c r="V102" s="1"/>
      <c r="W102" s="1"/>
      <c r="X102" s="1"/>
      <c r="Y102" s="1"/>
      <c r="Z102" s="1"/>
      <c r="AA102" s="1"/>
      <c r="AB102" s="1"/>
    </row>
    <row r="103" customFormat="false" ht="15.75" hidden="false" customHeight="false" outlineLevel="0" collapsed="false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5.75" hidden="false" customHeight="false" outlineLevel="0" collapsed="false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5.75" hidden="false" customHeight="false" outlineLevel="0" collapsed="false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5.75" hidden="false" customHeight="false" outlineLevel="0" collapsed="false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5.75" hidden="false" customHeight="false" outlineLevel="0" collapsed="false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5.75" hidden="false" customHeight="false" outlineLevel="0" collapsed="false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5.75" hidden="false" customHeight="false" outlineLevel="0" collapsed="false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5.75" hidden="false" customHeight="false" outlineLevel="0" collapsed="false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5.75" hidden="false" customHeight="false" outlineLevel="0" collapsed="false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5.75" hidden="false" customHeight="false" outlineLevel="0" collapsed="false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5.75" hidden="false" customHeight="false" outlineLevel="0" collapsed="false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5.75" hidden="false" customHeight="false" outlineLevel="0" collapsed="false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5.75" hidden="false" customHeight="false" outlineLevel="0" collapsed="false">
      <c r="A115" s="3" t="n">
        <v>43628.9275331944</v>
      </c>
      <c r="B115" s="2" t="s">
        <v>387</v>
      </c>
      <c r="C115" s="2" t="s">
        <v>99</v>
      </c>
      <c r="D115" s="2" t="s">
        <v>24</v>
      </c>
      <c r="E115" s="2" t="n">
        <v>5</v>
      </c>
      <c r="F115" s="2" t="s">
        <v>388</v>
      </c>
      <c r="G115" s="2" t="s">
        <v>165</v>
      </c>
      <c r="H115" s="2" t="s">
        <v>50</v>
      </c>
      <c r="I115" s="2" t="s">
        <v>32</v>
      </c>
      <c r="J115" s="2" t="s">
        <v>29</v>
      </c>
      <c r="K115" s="2" t="s">
        <v>389</v>
      </c>
      <c r="L115" s="2" t="s">
        <v>43</v>
      </c>
      <c r="M115" s="2" t="n">
        <v>10</v>
      </c>
      <c r="N115" s="2" t="s">
        <v>32</v>
      </c>
      <c r="O115" s="2" t="s">
        <v>45</v>
      </c>
      <c r="P115" s="2" t="n">
        <v>3</v>
      </c>
      <c r="Q115" s="2" t="s">
        <v>54</v>
      </c>
      <c r="R115" s="2" t="s">
        <v>34</v>
      </c>
      <c r="S115" s="2" t="s">
        <v>390</v>
      </c>
      <c r="T115" s="2" t="s">
        <v>391</v>
      </c>
      <c r="U115" s="1"/>
      <c r="V115" s="1"/>
      <c r="W115" s="1"/>
      <c r="X115" s="1"/>
      <c r="Y115" s="1"/>
      <c r="Z115" s="1"/>
      <c r="AA115" s="1"/>
      <c r="AB115" s="1"/>
    </row>
    <row r="116" customFormat="false" ht="15.75" hidden="false" customHeight="false" outlineLevel="0" collapsed="false">
      <c r="A116" s="3" t="n">
        <v>43628.9234165741</v>
      </c>
      <c r="B116" s="2" t="s">
        <v>392</v>
      </c>
      <c r="C116" s="2" t="s">
        <v>99</v>
      </c>
      <c r="D116" s="2" t="s">
        <v>24</v>
      </c>
      <c r="E116" s="2" t="n">
        <v>3</v>
      </c>
      <c r="F116" s="2" t="s">
        <v>104</v>
      </c>
      <c r="G116" s="2" t="s">
        <v>393</v>
      </c>
      <c r="H116" s="2" t="s">
        <v>27</v>
      </c>
      <c r="I116" s="2" t="s">
        <v>32</v>
      </c>
      <c r="J116" s="2" t="s">
        <v>264</v>
      </c>
      <c r="K116" s="2" t="s">
        <v>389</v>
      </c>
      <c r="L116" s="2" t="s">
        <v>43</v>
      </c>
      <c r="M116" s="2" t="n">
        <v>9</v>
      </c>
      <c r="N116" s="2" t="s">
        <v>32</v>
      </c>
      <c r="O116" s="2" t="s">
        <v>33</v>
      </c>
      <c r="P116" s="2" t="n">
        <v>4</v>
      </c>
      <c r="Q116" s="2" t="s">
        <v>54</v>
      </c>
      <c r="R116" s="2" t="s">
        <v>34</v>
      </c>
      <c r="S116" s="2" t="s">
        <v>390</v>
      </c>
      <c r="T116" s="2" t="s">
        <v>394</v>
      </c>
      <c r="U116" s="1"/>
      <c r="V116" s="1"/>
      <c r="W116" s="1"/>
      <c r="X116" s="1"/>
      <c r="Y116" s="1"/>
      <c r="Z116" s="1"/>
      <c r="AA116" s="1"/>
      <c r="AB116" s="1"/>
    </row>
    <row r="117" customFormat="false" ht="15.75" hidden="false" customHeight="false" outlineLevel="0" collapsed="false">
      <c r="A117" s="3" t="n">
        <v>43628.9289107523</v>
      </c>
      <c r="B117" s="2" t="s">
        <v>395</v>
      </c>
      <c r="C117" s="2" t="s">
        <v>99</v>
      </c>
      <c r="D117" s="2" t="s">
        <v>24</v>
      </c>
      <c r="E117" s="2" t="n">
        <v>2</v>
      </c>
      <c r="F117" s="2" t="s">
        <v>396</v>
      </c>
      <c r="G117" s="2" t="s">
        <v>397</v>
      </c>
      <c r="H117" s="2" t="s">
        <v>27</v>
      </c>
      <c r="I117" s="2" t="s">
        <v>53</v>
      </c>
      <c r="J117" s="2" t="s">
        <v>29</v>
      </c>
      <c r="K117" s="2" t="s">
        <v>398</v>
      </c>
      <c r="L117" s="2" t="s">
        <v>60</v>
      </c>
      <c r="M117" s="2" t="n">
        <v>9</v>
      </c>
      <c r="N117" s="2" t="s">
        <v>32</v>
      </c>
      <c r="O117" s="2" t="s">
        <v>45</v>
      </c>
      <c r="P117" s="2" t="n">
        <v>4</v>
      </c>
      <c r="Q117" s="2" t="s">
        <v>34</v>
      </c>
      <c r="R117" s="2" t="s">
        <v>34</v>
      </c>
      <c r="S117" s="2" t="s">
        <v>390</v>
      </c>
      <c r="T117" s="2" t="s">
        <v>399</v>
      </c>
      <c r="U117" s="1"/>
      <c r="V117" s="1"/>
      <c r="W117" s="1"/>
      <c r="X117" s="1"/>
      <c r="Y117" s="1"/>
      <c r="Z117" s="1"/>
      <c r="AA117" s="1"/>
      <c r="AB117" s="1"/>
    </row>
    <row r="118" customFormat="false" ht="15.75" hidden="false" customHeight="false" outlineLevel="0" collapsed="false">
      <c r="A118" s="3" t="n">
        <v>43628.9298270255</v>
      </c>
      <c r="B118" s="2" t="s">
        <v>400</v>
      </c>
      <c r="C118" s="2" t="s">
        <v>99</v>
      </c>
      <c r="D118" s="2" t="s">
        <v>24</v>
      </c>
      <c r="E118" s="2" t="n">
        <v>4</v>
      </c>
      <c r="F118" s="2" t="s">
        <v>164</v>
      </c>
      <c r="G118" s="2" t="s">
        <v>64</v>
      </c>
      <c r="H118" s="2" t="s">
        <v>50</v>
      </c>
      <c r="I118" s="2" t="s">
        <v>32</v>
      </c>
      <c r="J118" s="2" t="s">
        <v>29</v>
      </c>
      <c r="K118" s="2" t="s">
        <v>389</v>
      </c>
      <c r="L118" s="2" t="s">
        <v>31</v>
      </c>
      <c r="M118" s="2" t="n">
        <v>8</v>
      </c>
      <c r="N118" s="2" t="s">
        <v>32</v>
      </c>
      <c r="O118" s="2" t="s">
        <v>45</v>
      </c>
      <c r="P118" s="2" t="n">
        <v>4</v>
      </c>
      <c r="Q118" s="2" t="s">
        <v>54</v>
      </c>
      <c r="R118" s="2" t="s">
        <v>34</v>
      </c>
      <c r="S118" s="2" t="s">
        <v>390</v>
      </c>
      <c r="T118" s="2" t="s">
        <v>401</v>
      </c>
      <c r="U118" s="1"/>
      <c r="V118" s="1"/>
      <c r="W118" s="1"/>
      <c r="X118" s="1"/>
      <c r="Y118" s="1"/>
      <c r="Z118" s="1"/>
      <c r="AA118" s="1"/>
      <c r="AB118" s="1"/>
    </row>
    <row r="119" customFormat="false" ht="15.75" hidden="false" customHeight="false" outlineLevel="0" collapsed="false">
      <c r="A119" s="3" t="n">
        <v>43629.243998044</v>
      </c>
      <c r="B119" s="2" t="s">
        <v>402</v>
      </c>
      <c r="C119" s="2" t="s">
        <v>23</v>
      </c>
      <c r="D119" s="2" t="s">
        <v>24</v>
      </c>
      <c r="E119" s="2" t="n">
        <v>4</v>
      </c>
      <c r="F119" s="2" t="s">
        <v>403</v>
      </c>
      <c r="G119" s="2" t="s">
        <v>105</v>
      </c>
      <c r="H119" s="2" t="s">
        <v>50</v>
      </c>
      <c r="I119" s="2" t="s">
        <v>32</v>
      </c>
      <c r="J119" s="2" t="s">
        <v>29</v>
      </c>
      <c r="K119" s="2" t="s">
        <v>88</v>
      </c>
      <c r="L119" s="2" t="s">
        <v>43</v>
      </c>
      <c r="M119" s="2" t="n">
        <v>5</v>
      </c>
      <c r="N119" s="2" t="s">
        <v>53</v>
      </c>
      <c r="O119" s="2" t="s">
        <v>89</v>
      </c>
      <c r="P119" s="2" t="n">
        <v>1</v>
      </c>
      <c r="Q119" s="2" t="s">
        <v>34</v>
      </c>
      <c r="R119" s="2" t="s">
        <v>34</v>
      </c>
      <c r="S119" s="2" t="s">
        <v>352</v>
      </c>
      <c r="T119" s="2" t="s">
        <v>404</v>
      </c>
      <c r="U119" s="1"/>
      <c r="V119" s="1"/>
      <c r="W119" s="1"/>
      <c r="X119" s="1"/>
      <c r="Y119" s="1"/>
      <c r="Z119" s="1"/>
      <c r="AA119" s="1"/>
      <c r="AB119" s="1"/>
    </row>
    <row r="120" customFormat="false" ht="15.75" hidden="false" customHeight="false" outlineLevel="0" collapsed="false">
      <c r="A120" s="3" t="n">
        <v>43629.4381162269</v>
      </c>
      <c r="B120" s="2" t="s">
        <v>405</v>
      </c>
      <c r="C120" s="2" t="s">
        <v>75</v>
      </c>
      <c r="D120" s="2" t="s">
        <v>38</v>
      </c>
      <c r="E120" s="2" t="n">
        <v>5</v>
      </c>
      <c r="F120" s="2" t="s">
        <v>406</v>
      </c>
      <c r="G120" s="2" t="s">
        <v>77</v>
      </c>
      <c r="H120" s="2" t="s">
        <v>41</v>
      </c>
      <c r="I120" s="2" t="s">
        <v>32</v>
      </c>
      <c r="J120" s="2" t="s">
        <v>65</v>
      </c>
      <c r="K120" s="2" t="s">
        <v>407</v>
      </c>
      <c r="L120" s="2" t="s">
        <v>31</v>
      </c>
      <c r="M120" s="2" t="n">
        <v>7</v>
      </c>
      <c r="N120" s="2" t="s">
        <v>53</v>
      </c>
      <c r="O120" s="2" t="s">
        <v>45</v>
      </c>
      <c r="P120" s="2" t="n">
        <v>1</v>
      </c>
      <c r="Q120" s="2" t="s">
        <v>54</v>
      </c>
      <c r="R120" s="2" t="s">
        <v>34</v>
      </c>
      <c r="S120" s="2" t="s">
        <v>408</v>
      </c>
      <c r="T120" s="2" t="s">
        <v>409</v>
      </c>
      <c r="U120" s="1"/>
      <c r="V120" s="1"/>
      <c r="W120" s="1"/>
      <c r="X120" s="1"/>
      <c r="Y120" s="1"/>
      <c r="Z120" s="1"/>
      <c r="AA120" s="1"/>
      <c r="AB120" s="1"/>
    </row>
    <row r="121" customFormat="false" ht="15.75" hidden="false" customHeight="false" outlineLevel="0" collapsed="false">
      <c r="A121" s="3" t="n">
        <v>43629.4749547801</v>
      </c>
      <c r="B121" s="2" t="s">
        <v>410</v>
      </c>
      <c r="C121" s="2" t="s">
        <v>75</v>
      </c>
      <c r="D121" s="2" t="s">
        <v>24</v>
      </c>
      <c r="E121" s="2" t="n">
        <v>5</v>
      </c>
      <c r="F121" s="2" t="s">
        <v>211</v>
      </c>
      <c r="G121" s="2" t="s">
        <v>105</v>
      </c>
      <c r="H121" s="2" t="s">
        <v>50</v>
      </c>
      <c r="I121" s="2" t="s">
        <v>94</v>
      </c>
      <c r="J121" s="2" t="s">
        <v>65</v>
      </c>
      <c r="K121" s="2" t="s">
        <v>42</v>
      </c>
      <c r="L121" s="2" t="s">
        <v>31</v>
      </c>
      <c r="M121" s="2" t="n">
        <v>8</v>
      </c>
      <c r="N121" s="2" t="s">
        <v>32</v>
      </c>
      <c r="O121" s="2" t="s">
        <v>45</v>
      </c>
      <c r="P121" s="2" t="n">
        <v>4</v>
      </c>
      <c r="Q121" s="2" t="s">
        <v>34</v>
      </c>
      <c r="R121" s="2" t="s">
        <v>34</v>
      </c>
      <c r="S121" s="2" t="s">
        <v>411</v>
      </c>
      <c r="T121" s="2" t="s">
        <v>412</v>
      </c>
      <c r="U121" s="1"/>
      <c r="V121" s="1"/>
      <c r="W121" s="1"/>
      <c r="X121" s="1"/>
      <c r="Y121" s="1"/>
      <c r="Z121" s="1"/>
      <c r="AA121" s="1"/>
      <c r="AB121" s="1"/>
    </row>
    <row r="122" customFormat="false" ht="15.75" hidden="false" customHeight="false" outlineLevel="0" collapsed="false">
      <c r="A122" s="3" t="n">
        <v>43629.5142367824</v>
      </c>
      <c r="B122" s="2" t="s">
        <v>413</v>
      </c>
      <c r="C122" s="2" t="s">
        <v>23</v>
      </c>
      <c r="D122" s="2" t="s">
        <v>24</v>
      </c>
      <c r="E122" s="2" t="n">
        <v>5</v>
      </c>
      <c r="F122" s="2" t="s">
        <v>385</v>
      </c>
      <c r="G122" s="2" t="s">
        <v>105</v>
      </c>
      <c r="H122" s="2" t="s">
        <v>41</v>
      </c>
      <c r="I122" s="2" t="s">
        <v>94</v>
      </c>
      <c r="J122" s="2" t="s">
        <v>65</v>
      </c>
      <c r="K122" s="2" t="s">
        <v>414</v>
      </c>
      <c r="L122" s="2" t="s">
        <v>60</v>
      </c>
      <c r="M122" s="2" t="n">
        <v>7</v>
      </c>
      <c r="N122" s="2" t="s">
        <v>53</v>
      </c>
      <c r="O122" s="2" t="s">
        <v>89</v>
      </c>
      <c r="P122" s="2" t="n">
        <v>1</v>
      </c>
      <c r="Q122" s="2" t="s">
        <v>34</v>
      </c>
      <c r="R122" s="2" t="s">
        <v>34</v>
      </c>
      <c r="S122" s="2" t="s">
        <v>415</v>
      </c>
      <c r="T122" s="2" t="s">
        <v>416</v>
      </c>
      <c r="U122" s="1"/>
      <c r="V122" s="1"/>
      <c r="W122" s="1"/>
      <c r="X122" s="1"/>
      <c r="Y122" s="1"/>
      <c r="Z122" s="1"/>
      <c r="AA122" s="1"/>
      <c r="AB122" s="1"/>
    </row>
    <row r="123" customFormat="false" ht="15.75" hidden="false" customHeight="false" outlineLevel="0" collapsed="false">
      <c r="A123" s="3" t="n">
        <v>43629.5336180787</v>
      </c>
      <c r="B123" s="2" t="s">
        <v>417</v>
      </c>
      <c r="C123" s="2" t="s">
        <v>23</v>
      </c>
      <c r="D123" s="2" t="s">
        <v>38</v>
      </c>
      <c r="E123" s="2" t="n">
        <v>2</v>
      </c>
      <c r="F123" s="2" t="s">
        <v>104</v>
      </c>
      <c r="G123" s="2" t="s">
        <v>26</v>
      </c>
      <c r="H123" s="2" t="s">
        <v>50</v>
      </c>
      <c r="I123" s="2" t="s">
        <v>32</v>
      </c>
      <c r="J123" s="2" t="s">
        <v>65</v>
      </c>
      <c r="K123" s="2" t="s">
        <v>42</v>
      </c>
      <c r="L123" s="2" t="s">
        <v>72</v>
      </c>
      <c r="M123" s="2" t="n">
        <v>10</v>
      </c>
      <c r="N123" s="2" t="s">
        <v>53</v>
      </c>
      <c r="O123" s="2" t="s">
        <v>45</v>
      </c>
      <c r="P123" s="2" t="n">
        <v>1</v>
      </c>
      <c r="Q123" s="2" t="s">
        <v>34</v>
      </c>
      <c r="R123" s="2" t="s">
        <v>34</v>
      </c>
      <c r="S123" s="2" t="s">
        <v>418</v>
      </c>
      <c r="T123" s="2" t="s">
        <v>419</v>
      </c>
      <c r="U123" s="1"/>
      <c r="V123" s="1"/>
      <c r="W123" s="1"/>
      <c r="X123" s="1"/>
      <c r="Y123" s="1"/>
      <c r="Z123" s="1"/>
      <c r="AA123" s="1"/>
      <c r="AB123" s="1"/>
    </row>
    <row r="124" customFormat="false" ht="15.75" hidden="false" customHeight="false" outlineLevel="0" collapsed="false">
      <c r="A124" s="3" t="n">
        <v>43629.5352911343</v>
      </c>
      <c r="B124" s="2" t="s">
        <v>420</v>
      </c>
      <c r="C124" s="2" t="s">
        <v>75</v>
      </c>
      <c r="D124" s="2" t="s">
        <v>24</v>
      </c>
      <c r="E124" s="2" t="n">
        <v>4</v>
      </c>
      <c r="F124" s="2" t="s">
        <v>388</v>
      </c>
      <c r="G124" s="2" t="s">
        <v>421</v>
      </c>
      <c r="H124" s="2" t="s">
        <v>50</v>
      </c>
      <c r="I124" s="2" t="s">
        <v>94</v>
      </c>
      <c r="J124" s="2" t="s">
        <v>65</v>
      </c>
      <c r="K124" s="2" t="s">
        <v>95</v>
      </c>
      <c r="L124" s="2" t="s">
        <v>31</v>
      </c>
      <c r="M124" s="2" t="n">
        <v>8</v>
      </c>
      <c r="N124" s="2" t="s">
        <v>53</v>
      </c>
      <c r="O124" s="2" t="s">
        <v>89</v>
      </c>
      <c r="P124" s="2" t="n">
        <v>1</v>
      </c>
      <c r="Q124" s="2" t="s">
        <v>54</v>
      </c>
      <c r="R124" s="2" t="s">
        <v>34</v>
      </c>
      <c r="S124" s="2" t="s">
        <v>415</v>
      </c>
      <c r="T124" s="2" t="s">
        <v>422</v>
      </c>
      <c r="U124" s="1"/>
      <c r="V124" s="1"/>
      <c r="W124" s="1"/>
      <c r="X124" s="1"/>
      <c r="Y124" s="1"/>
      <c r="Z124" s="1"/>
      <c r="AA124" s="1"/>
      <c r="AB124" s="1"/>
    </row>
    <row r="125" customFormat="false" ht="15.75" hidden="false" customHeight="false" outlineLevel="0" collapsed="false">
      <c r="A125" s="3" t="n">
        <v>43629.5650817014</v>
      </c>
      <c r="B125" s="2" t="s">
        <v>423</v>
      </c>
      <c r="C125" s="2" t="s">
        <v>23</v>
      </c>
      <c r="D125" s="2" t="s">
        <v>24</v>
      </c>
      <c r="E125" s="2" t="n">
        <v>4</v>
      </c>
      <c r="F125" s="2" t="s">
        <v>93</v>
      </c>
      <c r="G125" s="2" t="s">
        <v>105</v>
      </c>
      <c r="H125" s="2" t="s">
        <v>50</v>
      </c>
      <c r="I125" s="2" t="s">
        <v>32</v>
      </c>
      <c r="J125" s="2" t="s">
        <v>51</v>
      </c>
      <c r="K125" s="2" t="s">
        <v>88</v>
      </c>
      <c r="L125" s="2" t="s">
        <v>31</v>
      </c>
      <c r="M125" s="2" t="n">
        <v>9</v>
      </c>
      <c r="N125" s="2" t="s">
        <v>32</v>
      </c>
      <c r="O125" s="2" t="s">
        <v>45</v>
      </c>
      <c r="P125" s="2" t="n">
        <v>1</v>
      </c>
      <c r="Q125" s="2" t="s">
        <v>34</v>
      </c>
      <c r="R125" s="2" t="s">
        <v>34</v>
      </c>
      <c r="S125" s="2" t="s">
        <v>424</v>
      </c>
      <c r="T125" s="2" t="s">
        <v>425</v>
      </c>
      <c r="U125" s="1"/>
      <c r="V125" s="1"/>
      <c r="W125" s="1"/>
      <c r="X125" s="1"/>
      <c r="Y125" s="1"/>
      <c r="Z125" s="1"/>
      <c r="AA125" s="1"/>
      <c r="AB125" s="1"/>
    </row>
    <row r="126" customFormat="false" ht="15.75" hidden="false" customHeight="false" outlineLevel="0" collapsed="false">
      <c r="A126" s="3" t="n">
        <v>43629.600240787</v>
      </c>
      <c r="B126" s="2" t="s">
        <v>426</v>
      </c>
      <c r="C126" s="2" t="s">
        <v>23</v>
      </c>
      <c r="D126" s="2" t="s">
        <v>24</v>
      </c>
      <c r="E126" s="2" t="n">
        <v>4</v>
      </c>
      <c r="F126" s="2" t="s">
        <v>427</v>
      </c>
      <c r="G126" s="2" t="s">
        <v>165</v>
      </c>
      <c r="H126" s="2" t="s">
        <v>41</v>
      </c>
      <c r="I126" s="2" t="s">
        <v>32</v>
      </c>
      <c r="J126" s="2" t="s">
        <v>51</v>
      </c>
      <c r="K126" s="2" t="s">
        <v>42</v>
      </c>
      <c r="L126" s="2" t="s">
        <v>31</v>
      </c>
      <c r="M126" s="2" t="n">
        <v>7</v>
      </c>
      <c r="N126" s="2" t="s">
        <v>53</v>
      </c>
      <c r="O126" s="2" t="s">
        <v>45</v>
      </c>
      <c r="P126" s="2" t="n">
        <v>2</v>
      </c>
      <c r="Q126" s="2" t="s">
        <v>34</v>
      </c>
      <c r="R126" s="2" t="s">
        <v>34</v>
      </c>
      <c r="S126" s="2" t="s">
        <v>251</v>
      </c>
      <c r="T126" s="2" t="s">
        <v>428</v>
      </c>
      <c r="U126" s="1"/>
      <c r="V126" s="1"/>
      <c r="W126" s="1"/>
      <c r="X126" s="1"/>
      <c r="Y126" s="1"/>
      <c r="Z126" s="1"/>
      <c r="AA126" s="1"/>
      <c r="AB126" s="1"/>
    </row>
    <row r="127" customFormat="false" ht="15.75" hidden="false" customHeight="false" outlineLevel="0" collapsed="false">
      <c r="A127" s="3" t="n">
        <v>43629.7757969329</v>
      </c>
      <c r="B127" s="2" t="s">
        <v>429</v>
      </c>
      <c r="C127" s="2" t="s">
        <v>99</v>
      </c>
      <c r="D127" s="2" t="s">
        <v>24</v>
      </c>
      <c r="E127" s="2" t="n">
        <v>4</v>
      </c>
      <c r="F127" s="2" t="s">
        <v>430</v>
      </c>
      <c r="G127" s="2" t="s">
        <v>77</v>
      </c>
      <c r="H127" s="2" t="s">
        <v>41</v>
      </c>
      <c r="I127" s="2" t="s">
        <v>94</v>
      </c>
      <c r="J127" s="2" t="s">
        <v>51</v>
      </c>
      <c r="K127" s="2" t="s">
        <v>42</v>
      </c>
      <c r="L127" s="2" t="s">
        <v>31</v>
      </c>
      <c r="M127" s="2" t="n">
        <v>8</v>
      </c>
      <c r="N127" s="2" t="s">
        <v>32</v>
      </c>
      <c r="O127" s="2" t="s">
        <v>45</v>
      </c>
      <c r="P127" s="2" t="n">
        <v>1</v>
      </c>
      <c r="Q127" s="2" t="s">
        <v>54</v>
      </c>
      <c r="R127" s="2" t="s">
        <v>34</v>
      </c>
      <c r="S127" s="2" t="s">
        <v>411</v>
      </c>
      <c r="T127" s="2" t="s">
        <v>431</v>
      </c>
      <c r="U127" s="1"/>
      <c r="V127" s="1"/>
      <c r="W127" s="1"/>
      <c r="X127" s="1"/>
      <c r="Y127" s="1"/>
      <c r="Z127" s="1"/>
      <c r="AA127" s="1"/>
      <c r="AB127" s="1"/>
    </row>
    <row r="128" customFormat="false" ht="15.75" hidden="false" customHeight="false" outlineLevel="0" collapsed="false">
      <c r="A128" s="3" t="n">
        <v>43629.7802763426</v>
      </c>
      <c r="B128" s="2" t="s">
        <v>432</v>
      </c>
      <c r="C128" s="2" t="s">
        <v>99</v>
      </c>
      <c r="D128" s="2" t="s">
        <v>433</v>
      </c>
      <c r="E128" s="2" t="n">
        <v>4</v>
      </c>
      <c r="F128" s="2" t="s">
        <v>203</v>
      </c>
      <c r="G128" s="2" t="s">
        <v>77</v>
      </c>
      <c r="H128" s="2" t="s">
        <v>41</v>
      </c>
      <c r="I128" s="2" t="s">
        <v>94</v>
      </c>
      <c r="J128" s="2" t="s">
        <v>65</v>
      </c>
      <c r="K128" s="2" t="s">
        <v>88</v>
      </c>
      <c r="L128" s="2" t="s">
        <v>72</v>
      </c>
      <c r="M128" s="2" t="n">
        <v>9</v>
      </c>
      <c r="N128" s="2" t="s">
        <v>44</v>
      </c>
      <c r="O128" s="2" t="s">
        <v>45</v>
      </c>
      <c r="P128" s="2" t="n">
        <v>1</v>
      </c>
      <c r="Q128" s="2" t="s">
        <v>34</v>
      </c>
      <c r="R128" s="2" t="s">
        <v>34</v>
      </c>
      <c r="S128" s="2" t="s">
        <v>411</v>
      </c>
      <c r="T128" s="2" t="s">
        <v>434</v>
      </c>
      <c r="U128" s="1"/>
      <c r="V128" s="1"/>
      <c r="W128" s="1"/>
      <c r="X128" s="1"/>
      <c r="Y128" s="1"/>
      <c r="Z128" s="1"/>
      <c r="AA128" s="1"/>
      <c r="AB128" s="1"/>
    </row>
    <row r="129" customFormat="false" ht="15.75" hidden="false" customHeight="false" outlineLevel="0" collapsed="false">
      <c r="A129" s="3" t="n">
        <v>43629.7824598495</v>
      </c>
      <c r="B129" s="2" t="s">
        <v>435</v>
      </c>
      <c r="C129" s="2" t="s">
        <v>75</v>
      </c>
      <c r="D129" s="2" t="s">
        <v>24</v>
      </c>
      <c r="E129" s="2" t="n">
        <v>5</v>
      </c>
      <c r="F129" s="2" t="s">
        <v>436</v>
      </c>
      <c r="G129" s="2" t="s">
        <v>77</v>
      </c>
      <c r="H129" s="2" t="s">
        <v>41</v>
      </c>
      <c r="I129" s="2" t="s">
        <v>94</v>
      </c>
      <c r="J129" s="2" t="s">
        <v>51</v>
      </c>
      <c r="K129" s="2" t="s">
        <v>95</v>
      </c>
      <c r="L129" s="2" t="s">
        <v>60</v>
      </c>
      <c r="M129" s="2" t="n">
        <v>9</v>
      </c>
      <c r="N129" s="2" t="s">
        <v>44</v>
      </c>
      <c r="O129" s="2" t="s">
        <v>45</v>
      </c>
      <c r="P129" s="2" t="n">
        <v>2</v>
      </c>
      <c r="Q129" s="2" t="s">
        <v>34</v>
      </c>
      <c r="R129" s="2" t="s">
        <v>34</v>
      </c>
      <c r="S129" s="2" t="s">
        <v>411</v>
      </c>
      <c r="T129" s="2" t="s">
        <v>437</v>
      </c>
      <c r="U129" s="1"/>
      <c r="V129" s="1"/>
      <c r="W129" s="1"/>
      <c r="X129" s="1"/>
      <c r="Y129" s="1"/>
      <c r="Z129" s="1"/>
      <c r="AA129" s="1"/>
      <c r="AB129" s="1"/>
    </row>
    <row r="130" customFormat="false" ht="15.75" hidden="false" customHeight="false" outlineLevel="0" collapsed="false">
      <c r="A130" s="3" t="n">
        <v>43629.8704639699</v>
      </c>
      <c r="B130" s="2" t="s">
        <v>438</v>
      </c>
      <c r="C130" s="2" t="s">
        <v>23</v>
      </c>
      <c r="D130" s="2" t="s">
        <v>24</v>
      </c>
      <c r="E130" s="2" t="n">
        <v>4</v>
      </c>
      <c r="F130" s="2" t="s">
        <v>439</v>
      </c>
      <c r="G130" s="2" t="s">
        <v>40</v>
      </c>
      <c r="H130" s="2" t="s">
        <v>27</v>
      </c>
      <c r="I130" s="2" t="s">
        <v>32</v>
      </c>
      <c r="J130" s="2" t="s">
        <v>29</v>
      </c>
      <c r="K130" s="2" t="s">
        <v>42</v>
      </c>
      <c r="L130" s="2" t="s">
        <v>60</v>
      </c>
      <c r="M130" s="2" t="n">
        <v>8</v>
      </c>
      <c r="N130" s="2" t="s">
        <v>32</v>
      </c>
      <c r="O130" s="2" t="s">
        <v>33</v>
      </c>
      <c r="P130" s="2" t="n">
        <v>5</v>
      </c>
      <c r="Q130" s="2" t="s">
        <v>34</v>
      </c>
      <c r="R130" s="2" t="s">
        <v>34</v>
      </c>
      <c r="S130" s="2" t="s">
        <v>440</v>
      </c>
      <c r="T130" s="2" t="s">
        <v>441</v>
      </c>
      <c r="U130" s="1"/>
      <c r="V130" s="1"/>
      <c r="W130" s="1"/>
      <c r="X130" s="1"/>
      <c r="Y130" s="1"/>
      <c r="Z130" s="1"/>
      <c r="AA130" s="1"/>
      <c r="AB130" s="1"/>
    </row>
    <row r="131" customFormat="false" ht="15.75" hidden="false" customHeight="false" outlineLevel="0" collapsed="false">
      <c r="A131" s="3" t="n">
        <v>43629.8718310069</v>
      </c>
      <c r="B131" s="2" t="s">
        <v>442</v>
      </c>
      <c r="C131" s="2" t="s">
        <v>99</v>
      </c>
      <c r="D131" s="2" t="s">
        <v>38</v>
      </c>
      <c r="E131" s="2" t="n">
        <v>2</v>
      </c>
      <c r="F131" s="2" t="s">
        <v>443</v>
      </c>
      <c r="G131" s="2" t="s">
        <v>64</v>
      </c>
      <c r="H131" s="2" t="s">
        <v>50</v>
      </c>
      <c r="I131" s="2" t="s">
        <v>32</v>
      </c>
      <c r="J131" s="2" t="s">
        <v>29</v>
      </c>
      <c r="K131" s="2" t="s">
        <v>444</v>
      </c>
      <c r="L131" s="2" t="s">
        <v>31</v>
      </c>
      <c r="M131" s="2" t="n">
        <v>8</v>
      </c>
      <c r="N131" s="2" t="s">
        <v>53</v>
      </c>
      <c r="O131" s="2" t="s">
        <v>33</v>
      </c>
      <c r="P131" s="2" t="n">
        <v>4</v>
      </c>
      <c r="Q131" s="2" t="s">
        <v>34</v>
      </c>
      <c r="R131" s="2" t="s">
        <v>34</v>
      </c>
      <c r="S131" s="2" t="s">
        <v>445</v>
      </c>
      <c r="T131" s="2" t="s">
        <v>446</v>
      </c>
      <c r="U131" s="1"/>
      <c r="V131" s="1"/>
      <c r="W131" s="1"/>
      <c r="X131" s="1"/>
      <c r="Y131" s="1"/>
      <c r="Z131" s="1"/>
      <c r="AA131" s="1"/>
      <c r="AB131" s="1"/>
    </row>
    <row r="132" customFormat="false" ht="15.75" hidden="false" customHeight="false" outlineLevel="0" collapsed="false">
      <c r="A132" s="3" t="n">
        <v>43629.8808205324</v>
      </c>
      <c r="B132" s="2" t="s">
        <v>447</v>
      </c>
      <c r="C132" s="2" t="s">
        <v>99</v>
      </c>
      <c r="D132" s="2" t="s">
        <v>24</v>
      </c>
      <c r="E132" s="2" t="n">
        <v>3</v>
      </c>
      <c r="F132" s="2" t="s">
        <v>191</v>
      </c>
      <c r="G132" s="2" t="s">
        <v>64</v>
      </c>
      <c r="H132" s="2" t="s">
        <v>41</v>
      </c>
      <c r="I132" s="2" t="s">
        <v>32</v>
      </c>
      <c r="J132" s="2" t="s">
        <v>29</v>
      </c>
      <c r="K132" s="2" t="s">
        <v>88</v>
      </c>
      <c r="L132" s="2" t="s">
        <v>31</v>
      </c>
      <c r="M132" s="2" t="n">
        <v>10</v>
      </c>
      <c r="N132" s="2" t="s">
        <v>32</v>
      </c>
      <c r="O132" s="2" t="s">
        <v>33</v>
      </c>
      <c r="P132" s="2" t="n">
        <v>3</v>
      </c>
      <c r="Q132" s="2" t="s">
        <v>34</v>
      </c>
      <c r="R132" s="2" t="s">
        <v>34</v>
      </c>
      <c r="S132" s="2" t="s">
        <v>448</v>
      </c>
      <c r="T132" s="2" t="s">
        <v>449</v>
      </c>
      <c r="U132" s="1"/>
      <c r="V132" s="1"/>
      <c r="W132" s="1"/>
      <c r="X132" s="1"/>
      <c r="Y132" s="1"/>
      <c r="Z132" s="1"/>
      <c r="AA132" s="1"/>
      <c r="AB132" s="1"/>
    </row>
    <row r="133" customFormat="false" ht="15.75" hidden="false" customHeight="false" outlineLevel="0" collapsed="false">
      <c r="A133" s="3" t="n">
        <v>43630.5201867824</v>
      </c>
      <c r="B133" s="2" t="s">
        <v>450</v>
      </c>
      <c r="C133" s="2" t="s">
        <v>23</v>
      </c>
      <c r="D133" s="2" t="s">
        <v>24</v>
      </c>
      <c r="E133" s="2" t="n">
        <v>3</v>
      </c>
      <c r="F133" s="2" t="s">
        <v>451</v>
      </c>
      <c r="G133" s="2" t="s">
        <v>77</v>
      </c>
      <c r="H133" s="2" t="s">
        <v>50</v>
      </c>
      <c r="I133" s="2" t="s">
        <v>32</v>
      </c>
      <c r="J133" s="2" t="s">
        <v>65</v>
      </c>
      <c r="K133" s="2" t="s">
        <v>452</v>
      </c>
      <c r="L133" s="2" t="s">
        <v>60</v>
      </c>
      <c r="M133" s="2" t="n">
        <v>8</v>
      </c>
      <c r="N133" s="2" t="s">
        <v>32</v>
      </c>
      <c r="O133" s="2" t="s">
        <v>45</v>
      </c>
      <c r="P133" s="2" t="n">
        <v>2</v>
      </c>
      <c r="Q133" s="2" t="s">
        <v>34</v>
      </c>
      <c r="R133" s="2" t="s">
        <v>34</v>
      </c>
      <c r="S133" s="2" t="s">
        <v>251</v>
      </c>
      <c r="T133" s="2" t="s">
        <v>453</v>
      </c>
      <c r="U133" s="1"/>
      <c r="V133" s="1"/>
      <c r="W133" s="1"/>
      <c r="X133" s="1"/>
      <c r="Y133" s="1"/>
      <c r="Z133" s="1"/>
      <c r="AA133" s="1"/>
      <c r="AB133" s="1"/>
    </row>
    <row r="134" customFormat="false" ht="15.75" hidden="false" customHeight="false" outlineLevel="0" collapsed="false">
      <c r="A134" s="3" t="n">
        <v>43630.7679188426</v>
      </c>
      <c r="B134" s="2" t="s">
        <v>454</v>
      </c>
      <c r="C134" s="2" t="s">
        <v>23</v>
      </c>
      <c r="D134" s="2" t="s">
        <v>218</v>
      </c>
      <c r="E134" s="2" t="n">
        <v>3</v>
      </c>
      <c r="F134" s="2" t="s">
        <v>455</v>
      </c>
      <c r="G134" s="2" t="s">
        <v>64</v>
      </c>
      <c r="H134" s="2" t="s">
        <v>27</v>
      </c>
      <c r="I134" s="2" t="s">
        <v>28</v>
      </c>
      <c r="J134" s="2" t="s">
        <v>264</v>
      </c>
      <c r="K134" s="2" t="s">
        <v>220</v>
      </c>
      <c r="L134" s="2" t="s">
        <v>72</v>
      </c>
      <c r="M134" s="2" t="n">
        <v>8</v>
      </c>
      <c r="N134" s="2" t="s">
        <v>32</v>
      </c>
      <c r="O134" s="2" t="s">
        <v>89</v>
      </c>
      <c r="P134" s="2" t="n">
        <v>1</v>
      </c>
      <c r="Q134" s="2" t="s">
        <v>34</v>
      </c>
      <c r="R134" s="2" t="s">
        <v>34</v>
      </c>
      <c r="S134" s="2" t="s">
        <v>456</v>
      </c>
      <c r="T134" s="2" t="s">
        <v>457</v>
      </c>
      <c r="U134" s="1"/>
      <c r="V134" s="1"/>
      <c r="W134" s="1"/>
      <c r="X134" s="1"/>
      <c r="Y134" s="1"/>
      <c r="Z134" s="1"/>
      <c r="AA134" s="1"/>
      <c r="AB134" s="1"/>
    </row>
    <row r="135" customFormat="false" ht="15.75" hidden="false" customHeight="false" outlineLevel="0" collapsed="false">
      <c r="A135" s="3" t="n">
        <v>43630.7685724884</v>
      </c>
      <c r="B135" s="2" t="s">
        <v>458</v>
      </c>
      <c r="C135" s="2" t="s">
        <v>23</v>
      </c>
      <c r="D135" s="2" t="s">
        <v>218</v>
      </c>
      <c r="E135" s="2" t="n">
        <v>2</v>
      </c>
      <c r="F135" s="2" t="s">
        <v>290</v>
      </c>
      <c r="G135" s="2" t="s">
        <v>77</v>
      </c>
      <c r="H135" s="2" t="s">
        <v>27</v>
      </c>
      <c r="I135" s="2" t="s">
        <v>28</v>
      </c>
      <c r="J135" s="2" t="s">
        <v>29</v>
      </c>
      <c r="K135" s="2" t="s">
        <v>459</v>
      </c>
      <c r="L135" s="2" t="s">
        <v>72</v>
      </c>
      <c r="M135" s="2" t="n">
        <v>8</v>
      </c>
      <c r="N135" s="2" t="s">
        <v>32</v>
      </c>
      <c r="O135" s="2" t="s">
        <v>33</v>
      </c>
      <c r="P135" s="2" t="n">
        <v>1</v>
      </c>
      <c r="Q135" s="2" t="s">
        <v>34</v>
      </c>
      <c r="R135" s="2" t="s">
        <v>34</v>
      </c>
      <c r="S135" s="2" t="s">
        <v>460</v>
      </c>
      <c r="T135" s="2" t="s">
        <v>461</v>
      </c>
      <c r="U135" s="1"/>
      <c r="V135" s="1"/>
      <c r="W135" s="1"/>
      <c r="X135" s="1"/>
      <c r="Y135" s="1"/>
      <c r="Z135" s="1"/>
      <c r="AA135" s="1"/>
      <c r="AB135" s="1"/>
    </row>
    <row r="136" customFormat="false" ht="15.75" hidden="false" customHeight="false" outlineLevel="0" collapsed="false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5.75" hidden="false" customHeight="false" outlineLevel="0" collapsed="false">
      <c r="A137" s="3" t="n">
        <v>43630.7776434375</v>
      </c>
      <c r="B137" s="2" t="s">
        <v>462</v>
      </c>
      <c r="C137" s="2" t="s">
        <v>23</v>
      </c>
      <c r="D137" s="2" t="s">
        <v>218</v>
      </c>
      <c r="E137" s="2" t="n">
        <v>2</v>
      </c>
      <c r="F137" s="2" t="s">
        <v>63</v>
      </c>
      <c r="G137" s="2" t="s">
        <v>463</v>
      </c>
      <c r="H137" s="2" t="s">
        <v>50</v>
      </c>
      <c r="I137" s="2" t="s">
        <v>28</v>
      </c>
      <c r="J137" s="2" t="s">
        <v>264</v>
      </c>
      <c r="K137" s="2" t="s">
        <v>464</v>
      </c>
      <c r="L137" s="2" t="s">
        <v>31</v>
      </c>
      <c r="M137" s="2" t="n">
        <v>6</v>
      </c>
      <c r="N137" s="2" t="s">
        <v>53</v>
      </c>
      <c r="O137" s="2" t="s">
        <v>89</v>
      </c>
      <c r="P137" s="2" t="n">
        <v>1</v>
      </c>
      <c r="Q137" s="2" t="s">
        <v>34</v>
      </c>
      <c r="R137" s="2" t="s">
        <v>34</v>
      </c>
      <c r="S137" s="2" t="s">
        <v>465</v>
      </c>
      <c r="T137" s="2" t="s">
        <v>466</v>
      </c>
      <c r="U137" s="1"/>
      <c r="V137" s="1"/>
      <c r="W137" s="1"/>
      <c r="X137" s="1"/>
      <c r="Y137" s="1"/>
      <c r="Z137" s="1"/>
      <c r="AA137" s="1"/>
      <c r="AB137" s="1"/>
    </row>
    <row r="138" customFormat="false" ht="15.75" hidden="false" customHeight="false" outlineLevel="0" collapsed="false">
      <c r="A138" s="3" t="n">
        <v>43630.8510893403</v>
      </c>
      <c r="B138" s="2" t="s">
        <v>467</v>
      </c>
      <c r="C138" s="2" t="s">
        <v>23</v>
      </c>
      <c r="D138" s="2" t="s">
        <v>24</v>
      </c>
      <c r="E138" s="2" t="n">
        <v>3</v>
      </c>
      <c r="F138" s="2" t="s">
        <v>86</v>
      </c>
      <c r="G138" s="2" t="s">
        <v>77</v>
      </c>
      <c r="H138" s="2" t="s">
        <v>27</v>
      </c>
      <c r="I138" s="2" t="s">
        <v>32</v>
      </c>
      <c r="J138" s="2" t="s">
        <v>29</v>
      </c>
      <c r="K138" s="2" t="s">
        <v>42</v>
      </c>
      <c r="L138" s="2" t="s">
        <v>31</v>
      </c>
      <c r="M138" s="2" t="n">
        <v>7</v>
      </c>
      <c r="N138" s="2" t="s">
        <v>53</v>
      </c>
      <c r="O138" s="2" t="s">
        <v>45</v>
      </c>
      <c r="P138" s="2" t="n">
        <v>1</v>
      </c>
      <c r="Q138" s="2" t="s">
        <v>34</v>
      </c>
      <c r="R138" s="2" t="s">
        <v>34</v>
      </c>
      <c r="S138" s="2" t="s">
        <v>468</v>
      </c>
      <c r="T138" s="2" t="s">
        <v>469</v>
      </c>
      <c r="U138" s="1"/>
      <c r="V138" s="1"/>
      <c r="W138" s="1"/>
      <c r="X138" s="1"/>
      <c r="Y138" s="1"/>
      <c r="Z138" s="1"/>
      <c r="AA138" s="1"/>
      <c r="AB138" s="1"/>
    </row>
    <row r="139" customFormat="false" ht="15.75" hidden="false" customHeight="false" outlineLevel="0" collapsed="false">
      <c r="A139" s="3" t="n">
        <v>43630.8547166088</v>
      </c>
      <c r="B139" s="2" t="s">
        <v>470</v>
      </c>
      <c r="C139" s="2" t="s">
        <v>23</v>
      </c>
      <c r="D139" s="2" t="s">
        <v>24</v>
      </c>
      <c r="E139" s="2" t="n">
        <v>5</v>
      </c>
      <c r="F139" s="2" t="s">
        <v>108</v>
      </c>
      <c r="G139" s="2" t="s">
        <v>64</v>
      </c>
      <c r="H139" s="2" t="s">
        <v>50</v>
      </c>
      <c r="I139" s="2" t="s">
        <v>32</v>
      </c>
      <c r="J139" s="2" t="s">
        <v>51</v>
      </c>
      <c r="K139" s="2" t="s">
        <v>471</v>
      </c>
      <c r="L139" s="2" t="s">
        <v>72</v>
      </c>
      <c r="M139" s="2" t="n">
        <v>10</v>
      </c>
      <c r="N139" s="2" t="s">
        <v>32</v>
      </c>
      <c r="O139" s="2" t="s">
        <v>33</v>
      </c>
      <c r="P139" s="2" t="n">
        <v>3</v>
      </c>
      <c r="Q139" s="2" t="s">
        <v>54</v>
      </c>
      <c r="R139" s="2" t="s">
        <v>34</v>
      </c>
      <c r="S139" s="2" t="s">
        <v>136</v>
      </c>
      <c r="T139" s="2" t="s">
        <v>472</v>
      </c>
      <c r="U139" s="1"/>
      <c r="V139" s="1"/>
      <c r="W139" s="1"/>
      <c r="X139" s="1"/>
      <c r="Y139" s="1"/>
      <c r="Z139" s="1"/>
      <c r="AA139" s="1"/>
      <c r="AB139" s="1"/>
    </row>
    <row r="140" customFormat="false" ht="15.75" hidden="false" customHeight="false" outlineLevel="0" collapsed="false">
      <c r="A140" s="3" t="n">
        <v>43631.3288370255</v>
      </c>
      <c r="B140" s="2" t="s">
        <v>473</v>
      </c>
      <c r="C140" s="2" t="s">
        <v>23</v>
      </c>
      <c r="D140" s="2" t="s">
        <v>218</v>
      </c>
      <c r="E140" s="2" t="n">
        <v>5</v>
      </c>
      <c r="F140" s="2" t="s">
        <v>474</v>
      </c>
      <c r="G140" s="2" t="s">
        <v>475</v>
      </c>
      <c r="H140" s="2" t="s">
        <v>41</v>
      </c>
      <c r="I140" s="2" t="s">
        <v>28</v>
      </c>
      <c r="J140" s="2" t="s">
        <v>264</v>
      </c>
      <c r="K140" s="2" t="s">
        <v>220</v>
      </c>
      <c r="L140" s="2" t="s">
        <v>60</v>
      </c>
      <c r="M140" s="2" t="n">
        <v>2</v>
      </c>
      <c r="N140" s="2" t="s">
        <v>32</v>
      </c>
      <c r="O140" s="2" t="s">
        <v>89</v>
      </c>
      <c r="P140" s="2" t="n">
        <v>1</v>
      </c>
      <c r="Q140" s="2" t="s">
        <v>54</v>
      </c>
      <c r="R140" s="2" t="s">
        <v>34</v>
      </c>
      <c r="S140" s="2" t="s">
        <v>465</v>
      </c>
      <c r="T140" s="2" t="s">
        <v>476</v>
      </c>
      <c r="U140" s="1"/>
      <c r="V140" s="1"/>
      <c r="W140" s="1"/>
      <c r="X140" s="1"/>
      <c r="Y140" s="1"/>
      <c r="Z140" s="1"/>
      <c r="AA140" s="1"/>
      <c r="AB140" s="1"/>
    </row>
    <row r="141" customFormat="false" ht="15.75" hidden="false" customHeight="false" outlineLevel="0" collapsed="false">
      <c r="A141" s="3" t="n">
        <v>43631.6865122454</v>
      </c>
      <c r="B141" s="2" t="s">
        <v>477</v>
      </c>
      <c r="C141" s="2" t="s">
        <v>23</v>
      </c>
      <c r="D141" s="2" t="s">
        <v>38</v>
      </c>
      <c r="E141" s="2" t="n">
        <v>4</v>
      </c>
      <c r="F141" s="2" t="s">
        <v>301</v>
      </c>
      <c r="G141" s="2" t="s">
        <v>64</v>
      </c>
      <c r="H141" s="2" t="s">
        <v>50</v>
      </c>
      <c r="I141" s="2" t="s">
        <v>32</v>
      </c>
      <c r="J141" s="2" t="s">
        <v>65</v>
      </c>
      <c r="K141" s="2" t="s">
        <v>478</v>
      </c>
      <c r="L141" s="2" t="s">
        <v>31</v>
      </c>
      <c r="M141" s="2" t="n">
        <v>8</v>
      </c>
      <c r="N141" s="2" t="s">
        <v>53</v>
      </c>
      <c r="O141" s="2" t="s">
        <v>33</v>
      </c>
      <c r="P141" s="2" t="n">
        <v>3</v>
      </c>
      <c r="Q141" s="2" t="s">
        <v>34</v>
      </c>
      <c r="R141" s="2" t="s">
        <v>34</v>
      </c>
      <c r="S141" s="2" t="s">
        <v>479</v>
      </c>
      <c r="T141" s="2" t="s">
        <v>480</v>
      </c>
      <c r="U141" s="1"/>
      <c r="V141" s="1"/>
      <c r="W141" s="1"/>
      <c r="X141" s="1"/>
      <c r="Y141" s="1"/>
      <c r="Z141" s="1"/>
      <c r="AA141" s="1"/>
      <c r="AB141" s="1"/>
    </row>
    <row r="142" customFormat="false" ht="15.75" hidden="false" customHeight="false" outlineLevel="0" collapsed="false">
      <c r="A142" s="3" t="n">
        <v>43631.71950875</v>
      </c>
      <c r="B142" s="2" t="s">
        <v>481</v>
      </c>
      <c r="C142" s="2" t="s">
        <v>99</v>
      </c>
      <c r="D142" s="2" t="s">
        <v>24</v>
      </c>
      <c r="E142" s="2" t="n">
        <v>3</v>
      </c>
      <c r="F142" s="2" t="s">
        <v>388</v>
      </c>
      <c r="G142" s="2" t="s">
        <v>77</v>
      </c>
      <c r="H142" s="2" t="s">
        <v>41</v>
      </c>
      <c r="I142" s="2" t="s">
        <v>32</v>
      </c>
      <c r="J142" s="2" t="s">
        <v>51</v>
      </c>
      <c r="K142" s="2" t="s">
        <v>52</v>
      </c>
      <c r="L142" s="2" t="s">
        <v>60</v>
      </c>
      <c r="M142" s="2" t="n">
        <v>7</v>
      </c>
      <c r="N142" s="2" t="s">
        <v>53</v>
      </c>
      <c r="O142" s="2" t="s">
        <v>89</v>
      </c>
      <c r="P142" s="2" t="n">
        <v>1</v>
      </c>
      <c r="Q142" s="2" t="s">
        <v>34</v>
      </c>
      <c r="R142" s="2" t="s">
        <v>34</v>
      </c>
      <c r="S142" s="2" t="s">
        <v>482</v>
      </c>
      <c r="T142" s="2" t="s">
        <v>483</v>
      </c>
      <c r="U142" s="1"/>
      <c r="V142" s="1"/>
      <c r="W142" s="1"/>
      <c r="X142" s="1"/>
      <c r="Y142" s="1"/>
      <c r="Z142" s="1"/>
      <c r="AA142" s="1"/>
      <c r="AB142" s="1"/>
    </row>
    <row r="143" customFormat="false" ht="15.75" hidden="false" customHeight="false" outlineLevel="0" collapsed="false">
      <c r="A143" s="3" t="n">
        <v>43631.783523912</v>
      </c>
      <c r="B143" s="2" t="s">
        <v>484</v>
      </c>
      <c r="C143" s="2" t="s">
        <v>99</v>
      </c>
      <c r="D143" s="2" t="s">
        <v>38</v>
      </c>
      <c r="E143" s="2" t="n">
        <v>5</v>
      </c>
      <c r="F143" s="2" t="s">
        <v>139</v>
      </c>
      <c r="G143" s="2" t="s">
        <v>101</v>
      </c>
      <c r="H143" s="2" t="s">
        <v>41</v>
      </c>
      <c r="I143" s="2" t="s">
        <v>53</v>
      </c>
      <c r="J143" s="2" t="s">
        <v>29</v>
      </c>
      <c r="K143" s="2" t="s">
        <v>471</v>
      </c>
      <c r="L143" s="2" t="s">
        <v>31</v>
      </c>
      <c r="M143" s="2" t="n">
        <v>7</v>
      </c>
      <c r="N143" s="2" t="s">
        <v>32</v>
      </c>
      <c r="O143" s="2" t="s">
        <v>45</v>
      </c>
      <c r="P143" s="2" t="n">
        <v>1</v>
      </c>
      <c r="Q143" s="2" t="s">
        <v>54</v>
      </c>
      <c r="R143" s="2" t="s">
        <v>34</v>
      </c>
      <c r="S143" s="2" t="s">
        <v>479</v>
      </c>
      <c r="T143" s="2" t="s">
        <v>485</v>
      </c>
      <c r="U143" s="1"/>
      <c r="V143" s="1"/>
      <c r="W143" s="1"/>
      <c r="X143" s="1"/>
      <c r="Y143" s="1"/>
      <c r="Z143" s="1"/>
      <c r="AA143" s="1"/>
      <c r="AB143" s="1"/>
    </row>
    <row r="144" customFormat="false" ht="15.75" hidden="false" customHeight="false" outlineLevel="0" collapsed="false">
      <c r="A144" s="3" t="n">
        <v>43631.8793780787</v>
      </c>
      <c r="B144" s="2" t="s">
        <v>486</v>
      </c>
      <c r="C144" s="2" t="s">
        <v>23</v>
      </c>
      <c r="D144" s="2" t="s">
        <v>218</v>
      </c>
      <c r="E144" s="2" t="n">
        <v>5</v>
      </c>
      <c r="F144" s="2" t="s">
        <v>487</v>
      </c>
      <c r="G144" s="2" t="s">
        <v>101</v>
      </c>
      <c r="H144" s="2" t="s">
        <v>50</v>
      </c>
      <c r="I144" s="2" t="s">
        <v>53</v>
      </c>
      <c r="J144" s="2" t="s">
        <v>264</v>
      </c>
      <c r="K144" s="2" t="s">
        <v>59</v>
      </c>
      <c r="L144" s="2" t="s">
        <v>31</v>
      </c>
      <c r="M144" s="2" t="n">
        <v>6</v>
      </c>
      <c r="N144" s="2" t="s">
        <v>53</v>
      </c>
      <c r="O144" s="2" t="s">
        <v>89</v>
      </c>
      <c r="P144" s="2" t="n">
        <v>1</v>
      </c>
      <c r="Q144" s="2" t="s">
        <v>34</v>
      </c>
      <c r="R144" s="2" t="s">
        <v>34</v>
      </c>
      <c r="S144" s="2" t="s">
        <v>465</v>
      </c>
      <c r="T144" s="2" t="s">
        <v>488</v>
      </c>
      <c r="U144" s="1"/>
      <c r="V144" s="1"/>
      <c r="W144" s="1"/>
      <c r="X144" s="1"/>
      <c r="Y144" s="1"/>
      <c r="Z144" s="1"/>
      <c r="AA144" s="1"/>
      <c r="AB144" s="1"/>
    </row>
    <row r="145" customFormat="false" ht="15.75" hidden="false" customHeight="false" outlineLevel="0" collapsed="false">
      <c r="A145" s="3" t="n">
        <v>43632.3959545949</v>
      </c>
      <c r="B145" s="2" t="s">
        <v>489</v>
      </c>
      <c r="C145" s="2" t="s">
        <v>23</v>
      </c>
      <c r="D145" s="2" t="s">
        <v>195</v>
      </c>
      <c r="E145" s="2" t="n">
        <v>1</v>
      </c>
      <c r="F145" s="2" t="s">
        <v>63</v>
      </c>
      <c r="G145" s="2" t="s">
        <v>77</v>
      </c>
      <c r="H145" s="2" t="s">
        <v>41</v>
      </c>
      <c r="I145" s="2" t="s">
        <v>32</v>
      </c>
      <c r="J145" s="2" t="s">
        <v>65</v>
      </c>
      <c r="K145" s="2" t="s">
        <v>59</v>
      </c>
      <c r="L145" s="2" t="s">
        <v>31</v>
      </c>
      <c r="M145" s="2" t="n">
        <v>8</v>
      </c>
      <c r="N145" s="2" t="s">
        <v>32</v>
      </c>
      <c r="O145" s="2" t="s">
        <v>45</v>
      </c>
      <c r="P145" s="2" t="n">
        <v>1</v>
      </c>
      <c r="Q145" s="2" t="s">
        <v>54</v>
      </c>
      <c r="R145" s="2" t="s">
        <v>34</v>
      </c>
      <c r="S145" s="2" t="s">
        <v>490</v>
      </c>
      <c r="T145" s="2" t="s">
        <v>491</v>
      </c>
      <c r="U145" s="1"/>
      <c r="V145" s="1"/>
      <c r="W145" s="1"/>
      <c r="X145" s="1"/>
      <c r="Y145" s="1"/>
      <c r="Z145" s="1"/>
      <c r="AA145" s="1"/>
      <c r="AB145" s="1"/>
    </row>
    <row r="146" customFormat="false" ht="15.75" hidden="false" customHeight="false" outlineLevel="0" collapsed="false">
      <c r="A146" s="3" t="n">
        <v>43632.4271573032</v>
      </c>
      <c r="B146" s="2" t="s">
        <v>492</v>
      </c>
      <c r="C146" s="2" t="s">
        <v>23</v>
      </c>
      <c r="D146" s="2" t="s">
        <v>24</v>
      </c>
      <c r="E146" s="2" t="n">
        <v>3</v>
      </c>
      <c r="F146" s="2" t="s">
        <v>493</v>
      </c>
      <c r="G146" s="2" t="s">
        <v>26</v>
      </c>
      <c r="H146" s="2" t="s">
        <v>41</v>
      </c>
      <c r="I146" s="2" t="s">
        <v>53</v>
      </c>
      <c r="J146" s="2" t="s">
        <v>29</v>
      </c>
      <c r="K146" s="2" t="s">
        <v>42</v>
      </c>
      <c r="L146" s="2" t="s">
        <v>43</v>
      </c>
      <c r="M146" s="2" t="n">
        <v>10</v>
      </c>
      <c r="N146" s="2" t="s">
        <v>32</v>
      </c>
      <c r="O146" s="2" t="s">
        <v>89</v>
      </c>
      <c r="P146" s="2" t="n">
        <v>4</v>
      </c>
      <c r="Q146" s="2" t="s">
        <v>34</v>
      </c>
      <c r="R146" s="2" t="s">
        <v>34</v>
      </c>
      <c r="S146" s="2" t="s">
        <v>494</v>
      </c>
      <c r="T146" s="2" t="s">
        <v>495</v>
      </c>
      <c r="U146" s="1"/>
      <c r="V146" s="1"/>
      <c r="W146" s="1"/>
      <c r="X146" s="1"/>
      <c r="Y146" s="1"/>
      <c r="Z146" s="1"/>
      <c r="AA146" s="1"/>
      <c r="AB146" s="1"/>
    </row>
    <row r="147" customFormat="false" ht="15.75" hidden="false" customHeight="false" outlineLevel="0" collapsed="false">
      <c r="A147" s="3" t="n">
        <v>43632.4302902083</v>
      </c>
      <c r="B147" s="2" t="s">
        <v>496</v>
      </c>
      <c r="C147" s="2" t="s">
        <v>23</v>
      </c>
      <c r="D147" s="2" t="s">
        <v>218</v>
      </c>
      <c r="E147" s="2" t="n">
        <v>5</v>
      </c>
      <c r="F147" s="2" t="s">
        <v>497</v>
      </c>
      <c r="G147" s="2" t="s">
        <v>498</v>
      </c>
      <c r="H147" s="2" t="s">
        <v>41</v>
      </c>
      <c r="I147" s="2" t="s">
        <v>53</v>
      </c>
      <c r="J147" s="2" t="s">
        <v>29</v>
      </c>
      <c r="K147" s="2" t="s">
        <v>499</v>
      </c>
      <c r="L147" s="2" t="s">
        <v>31</v>
      </c>
      <c r="M147" s="2" t="n">
        <v>8</v>
      </c>
      <c r="N147" s="2" t="s">
        <v>53</v>
      </c>
      <c r="O147" s="2" t="s">
        <v>89</v>
      </c>
      <c r="P147" s="2" t="n">
        <v>1</v>
      </c>
      <c r="Q147" s="2" t="s">
        <v>34</v>
      </c>
      <c r="R147" s="2" t="s">
        <v>34</v>
      </c>
      <c r="S147" s="2" t="s">
        <v>500</v>
      </c>
      <c r="T147" s="2" t="s">
        <v>79</v>
      </c>
      <c r="U147" s="1"/>
      <c r="V147" s="1"/>
      <c r="W147" s="1"/>
      <c r="X147" s="1"/>
      <c r="Y147" s="1"/>
      <c r="Z147" s="1"/>
      <c r="AA147" s="1"/>
      <c r="AB147" s="1"/>
    </row>
    <row r="148" customFormat="false" ht="15.75" hidden="false" customHeight="false" outlineLevel="0" collapsed="false">
      <c r="A148" s="3" t="n">
        <v>43632.4369135532</v>
      </c>
      <c r="B148" s="2" t="s">
        <v>501</v>
      </c>
      <c r="C148" s="2" t="s">
        <v>23</v>
      </c>
      <c r="D148" s="2" t="s">
        <v>38</v>
      </c>
      <c r="E148" s="2" t="n">
        <v>4</v>
      </c>
      <c r="F148" s="2" t="s">
        <v>502</v>
      </c>
      <c r="G148" s="2" t="s">
        <v>503</v>
      </c>
      <c r="H148" s="2" t="s">
        <v>50</v>
      </c>
      <c r="I148" s="2" t="s">
        <v>94</v>
      </c>
      <c r="J148" s="2" t="s">
        <v>65</v>
      </c>
      <c r="K148" s="2" t="s">
        <v>504</v>
      </c>
      <c r="L148" s="2" t="s">
        <v>43</v>
      </c>
      <c r="M148" s="2" t="n">
        <v>2</v>
      </c>
      <c r="N148" s="2" t="s">
        <v>53</v>
      </c>
      <c r="O148" s="2" t="s">
        <v>89</v>
      </c>
      <c r="P148" s="2" t="n">
        <v>1</v>
      </c>
      <c r="Q148" s="2" t="s">
        <v>54</v>
      </c>
      <c r="R148" s="2" t="s">
        <v>34</v>
      </c>
      <c r="S148" s="2" t="s">
        <v>490</v>
      </c>
      <c r="T148" s="2" t="s">
        <v>505</v>
      </c>
      <c r="U148" s="1"/>
      <c r="V148" s="1"/>
      <c r="W148" s="1"/>
      <c r="X148" s="1"/>
      <c r="Y148" s="1"/>
      <c r="Z148" s="1"/>
      <c r="AA148" s="1"/>
      <c r="AB148" s="1"/>
    </row>
    <row r="149" customFormat="false" ht="15.75" hidden="false" customHeight="false" outlineLevel="0" collapsed="false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5.75" hidden="false" customHeight="false" outlineLevel="0" collapsed="false">
      <c r="A150" s="3" t="n">
        <v>43632.7192488426</v>
      </c>
      <c r="B150" s="2" t="s">
        <v>506</v>
      </c>
      <c r="C150" s="2" t="s">
        <v>23</v>
      </c>
      <c r="D150" s="2" t="s">
        <v>24</v>
      </c>
      <c r="E150" s="2" t="n">
        <v>4</v>
      </c>
      <c r="F150" s="2" t="s">
        <v>507</v>
      </c>
      <c r="G150" s="2" t="s">
        <v>64</v>
      </c>
      <c r="H150" s="2" t="s">
        <v>27</v>
      </c>
      <c r="I150" s="2" t="s">
        <v>32</v>
      </c>
      <c r="J150" s="2" t="s">
        <v>65</v>
      </c>
      <c r="K150" s="2" t="s">
        <v>508</v>
      </c>
      <c r="L150" s="2" t="s">
        <v>31</v>
      </c>
      <c r="M150" s="2" t="n">
        <v>8</v>
      </c>
      <c r="N150" s="2" t="s">
        <v>53</v>
      </c>
      <c r="O150" s="2" t="s">
        <v>33</v>
      </c>
      <c r="P150" s="2" t="n">
        <v>3</v>
      </c>
      <c r="Q150" s="2" t="s">
        <v>34</v>
      </c>
      <c r="R150" s="2" t="s">
        <v>34</v>
      </c>
      <c r="S150" s="2" t="s">
        <v>509</v>
      </c>
      <c r="T150" s="2" t="s">
        <v>510</v>
      </c>
      <c r="U150" s="1"/>
      <c r="V150" s="1"/>
      <c r="W150" s="1"/>
      <c r="X150" s="1"/>
      <c r="Y150" s="1"/>
      <c r="Z150" s="1"/>
      <c r="AA150" s="1"/>
      <c r="AB150" s="1"/>
    </row>
    <row r="151" customFormat="false" ht="15.75" hidden="false" customHeight="false" outlineLevel="0" collapsed="false">
      <c r="A151" s="3" t="n">
        <v>43632.7208927199</v>
      </c>
      <c r="B151" s="2" t="s">
        <v>511</v>
      </c>
      <c r="C151" s="2" t="s">
        <v>23</v>
      </c>
      <c r="D151" s="2" t="s">
        <v>24</v>
      </c>
      <c r="E151" s="2" t="n">
        <v>3</v>
      </c>
      <c r="F151" s="2" t="s">
        <v>512</v>
      </c>
      <c r="G151" s="2" t="s">
        <v>40</v>
      </c>
      <c r="H151" s="2" t="s">
        <v>41</v>
      </c>
      <c r="I151" s="2" t="s">
        <v>53</v>
      </c>
      <c r="J151" s="2" t="s">
        <v>65</v>
      </c>
      <c r="K151" s="2" t="s">
        <v>88</v>
      </c>
      <c r="L151" s="2" t="s">
        <v>43</v>
      </c>
      <c r="M151" s="2" t="n">
        <v>9</v>
      </c>
      <c r="N151" s="2" t="s">
        <v>53</v>
      </c>
      <c r="O151" s="2" t="s">
        <v>33</v>
      </c>
      <c r="P151" s="2" t="n">
        <v>1</v>
      </c>
      <c r="Q151" s="2" t="s">
        <v>34</v>
      </c>
      <c r="R151" s="2" t="s">
        <v>34</v>
      </c>
      <c r="S151" s="2" t="s">
        <v>509</v>
      </c>
      <c r="T151" s="2" t="s">
        <v>513</v>
      </c>
      <c r="U151" s="1"/>
      <c r="V151" s="1"/>
      <c r="W151" s="1"/>
      <c r="X151" s="1"/>
      <c r="Y151" s="1"/>
      <c r="Z151" s="1"/>
      <c r="AA151" s="1"/>
      <c r="AB151" s="1"/>
    </row>
    <row r="152" customFormat="false" ht="15.75" hidden="false" customHeight="false" outlineLevel="0" collapsed="false">
      <c r="A152" s="3" t="n">
        <v>43632.7217650579</v>
      </c>
      <c r="B152" s="2" t="s">
        <v>514</v>
      </c>
      <c r="C152" s="2" t="s">
        <v>23</v>
      </c>
      <c r="D152" s="2" t="s">
        <v>24</v>
      </c>
      <c r="E152" s="2" t="n">
        <v>4</v>
      </c>
      <c r="F152" s="2" t="s">
        <v>515</v>
      </c>
      <c r="G152" s="2" t="s">
        <v>165</v>
      </c>
      <c r="H152" s="2" t="s">
        <v>27</v>
      </c>
      <c r="I152" s="2" t="s">
        <v>53</v>
      </c>
      <c r="J152" s="2" t="s">
        <v>65</v>
      </c>
      <c r="K152" s="2" t="s">
        <v>52</v>
      </c>
      <c r="L152" s="2" t="s">
        <v>31</v>
      </c>
      <c r="M152" s="2" t="n">
        <v>8</v>
      </c>
      <c r="N152" s="2" t="s">
        <v>53</v>
      </c>
      <c r="O152" s="2" t="s">
        <v>33</v>
      </c>
      <c r="P152" s="2" t="n">
        <v>3</v>
      </c>
      <c r="Q152" s="2" t="s">
        <v>34</v>
      </c>
      <c r="R152" s="2" t="s">
        <v>34</v>
      </c>
      <c r="S152" s="2" t="s">
        <v>509</v>
      </c>
      <c r="T152" s="2" t="s">
        <v>516</v>
      </c>
      <c r="U152" s="1"/>
      <c r="V152" s="1"/>
      <c r="W152" s="1"/>
      <c r="X152" s="1"/>
      <c r="Y152" s="1"/>
      <c r="Z152" s="1"/>
      <c r="AA152" s="1"/>
      <c r="AB152" s="1"/>
    </row>
    <row r="153" customFormat="false" ht="15.75" hidden="false" customHeight="false" outlineLevel="0" collapsed="false">
      <c r="A153" s="3" t="n">
        <v>43632.8667936921</v>
      </c>
      <c r="B153" s="2" t="s">
        <v>517</v>
      </c>
      <c r="C153" s="2" t="s">
        <v>23</v>
      </c>
      <c r="D153" s="2" t="s">
        <v>24</v>
      </c>
      <c r="E153" s="2" t="n">
        <v>3</v>
      </c>
      <c r="F153" s="2" t="s">
        <v>518</v>
      </c>
      <c r="G153" s="2" t="s">
        <v>178</v>
      </c>
      <c r="H153" s="2" t="s">
        <v>50</v>
      </c>
      <c r="I153" s="2" t="s">
        <v>32</v>
      </c>
      <c r="J153" s="2" t="s">
        <v>65</v>
      </c>
      <c r="K153" s="2" t="s">
        <v>519</v>
      </c>
      <c r="L153" s="2" t="s">
        <v>31</v>
      </c>
      <c r="M153" s="2" t="n">
        <v>7</v>
      </c>
      <c r="N153" s="2" t="s">
        <v>32</v>
      </c>
      <c r="O153" s="2" t="s">
        <v>45</v>
      </c>
      <c r="P153" s="2" t="n">
        <v>1</v>
      </c>
      <c r="Q153" s="2" t="s">
        <v>54</v>
      </c>
      <c r="R153" s="2" t="s">
        <v>34</v>
      </c>
      <c r="S153" s="2" t="s">
        <v>390</v>
      </c>
      <c r="T153" s="2" t="s">
        <v>520</v>
      </c>
      <c r="U153" s="1"/>
      <c r="V153" s="1"/>
      <c r="W153" s="1"/>
      <c r="X153" s="1"/>
      <c r="Y153" s="1"/>
      <c r="Z153" s="1"/>
      <c r="AA153" s="1"/>
      <c r="AB153" s="1"/>
    </row>
    <row r="154" customFormat="false" ht="15.75" hidden="false" customHeight="false" outlineLevel="0" collapsed="false">
      <c r="A154" s="3" t="n">
        <v>43632.896903588</v>
      </c>
      <c r="B154" s="2" t="s">
        <v>521</v>
      </c>
      <c r="C154" s="2" t="s">
        <v>23</v>
      </c>
      <c r="D154" s="2" t="s">
        <v>24</v>
      </c>
      <c r="E154" s="2" t="n">
        <v>5</v>
      </c>
      <c r="F154" s="2" t="s">
        <v>522</v>
      </c>
      <c r="G154" s="2" t="s">
        <v>523</v>
      </c>
      <c r="H154" s="2" t="s">
        <v>41</v>
      </c>
      <c r="I154" s="2" t="s">
        <v>32</v>
      </c>
      <c r="J154" s="2" t="s">
        <v>65</v>
      </c>
      <c r="K154" s="2" t="s">
        <v>524</v>
      </c>
      <c r="L154" s="2" t="s">
        <v>43</v>
      </c>
      <c r="M154" s="2" t="n">
        <v>9</v>
      </c>
      <c r="N154" s="2" t="s">
        <v>44</v>
      </c>
      <c r="O154" s="2" t="s">
        <v>45</v>
      </c>
      <c r="P154" s="2" t="n">
        <v>3</v>
      </c>
      <c r="Q154" s="2" t="s">
        <v>54</v>
      </c>
      <c r="R154" s="2" t="s">
        <v>34</v>
      </c>
      <c r="S154" s="2" t="s">
        <v>525</v>
      </c>
      <c r="T154" s="2" t="s">
        <v>46</v>
      </c>
      <c r="U154" s="1"/>
      <c r="V154" s="1"/>
      <c r="W154" s="1"/>
      <c r="X154" s="1"/>
      <c r="Y154" s="1"/>
      <c r="Z154" s="1"/>
      <c r="AA154" s="1"/>
      <c r="AB154" s="1"/>
    </row>
    <row r="155" customFormat="false" ht="15.75" hidden="false" customHeight="false" outlineLevel="0" collapsed="false">
      <c r="A155" s="3" t="n">
        <v>43632.9087294213</v>
      </c>
      <c r="B155" s="2" t="s">
        <v>526</v>
      </c>
      <c r="C155" s="2" t="s">
        <v>23</v>
      </c>
      <c r="D155" s="2" t="s">
        <v>24</v>
      </c>
      <c r="E155" s="2" t="n">
        <v>4</v>
      </c>
      <c r="F155" s="2" t="s">
        <v>527</v>
      </c>
      <c r="G155" s="2" t="s">
        <v>310</v>
      </c>
      <c r="H155" s="2" t="s">
        <v>50</v>
      </c>
      <c r="I155" s="2" t="s">
        <v>94</v>
      </c>
      <c r="J155" s="2" t="s">
        <v>65</v>
      </c>
      <c r="K155" s="2" t="s">
        <v>528</v>
      </c>
      <c r="L155" s="2" t="s">
        <v>31</v>
      </c>
      <c r="M155" s="2" t="n">
        <v>10</v>
      </c>
      <c r="N155" s="2" t="s">
        <v>32</v>
      </c>
      <c r="O155" s="2" t="s">
        <v>33</v>
      </c>
      <c r="P155" s="2" t="n">
        <v>5</v>
      </c>
      <c r="Q155" s="2" t="s">
        <v>34</v>
      </c>
      <c r="R155" s="2" t="s">
        <v>34</v>
      </c>
      <c r="S155" s="2" t="s">
        <v>525</v>
      </c>
      <c r="T155" s="2" t="s">
        <v>529</v>
      </c>
      <c r="U155" s="1"/>
      <c r="V155" s="1"/>
      <c r="W155" s="1"/>
      <c r="X155" s="1"/>
      <c r="Y155" s="1"/>
      <c r="Z155" s="1"/>
      <c r="AA155" s="1"/>
      <c r="AB155" s="1"/>
    </row>
    <row r="156" customFormat="false" ht="15.75" hidden="false" customHeight="false" outlineLevel="0" collapsed="false">
      <c r="A156" s="3" t="n">
        <v>43633.2669521759</v>
      </c>
      <c r="B156" s="2" t="s">
        <v>530</v>
      </c>
      <c r="C156" s="2" t="s">
        <v>23</v>
      </c>
      <c r="D156" s="2" t="s">
        <v>24</v>
      </c>
      <c r="E156" s="2" t="n">
        <v>5</v>
      </c>
      <c r="F156" s="2" t="s">
        <v>531</v>
      </c>
      <c r="G156" s="2" t="s">
        <v>532</v>
      </c>
      <c r="H156" s="2" t="s">
        <v>27</v>
      </c>
      <c r="I156" s="2" t="s">
        <v>28</v>
      </c>
      <c r="J156" s="2" t="s">
        <v>29</v>
      </c>
      <c r="K156" s="2" t="s">
        <v>533</v>
      </c>
      <c r="L156" s="2" t="s">
        <v>31</v>
      </c>
      <c r="M156" s="2" t="n">
        <v>7</v>
      </c>
      <c r="N156" s="2" t="s">
        <v>66</v>
      </c>
      <c r="O156" s="2" t="s">
        <v>45</v>
      </c>
      <c r="P156" s="2" t="n">
        <v>1</v>
      </c>
      <c r="Q156" s="2" t="s">
        <v>34</v>
      </c>
      <c r="R156" s="2" t="s">
        <v>34</v>
      </c>
      <c r="S156" s="2" t="s">
        <v>468</v>
      </c>
      <c r="T156" s="2" t="s">
        <v>534</v>
      </c>
      <c r="U156" s="1"/>
      <c r="V156" s="1"/>
      <c r="W156" s="1"/>
      <c r="X156" s="1"/>
      <c r="Y156" s="1"/>
      <c r="Z156" s="1"/>
      <c r="AA156" s="1"/>
      <c r="AB156" s="1"/>
    </row>
    <row r="157" customFormat="false" ht="15.75" hidden="false" customHeight="false" outlineLevel="0" collapsed="false">
      <c r="A157" s="3" t="n">
        <v>43633.4726490509</v>
      </c>
      <c r="B157" s="2" t="s">
        <v>535</v>
      </c>
      <c r="C157" s="2" t="s">
        <v>23</v>
      </c>
      <c r="D157" s="2" t="s">
        <v>24</v>
      </c>
      <c r="E157" s="2" t="n">
        <v>5</v>
      </c>
      <c r="F157" s="2" t="s">
        <v>536</v>
      </c>
      <c r="G157" s="2" t="s">
        <v>537</v>
      </c>
      <c r="H157" s="2" t="s">
        <v>50</v>
      </c>
      <c r="I157" s="2" t="s">
        <v>53</v>
      </c>
      <c r="J157" s="2" t="s">
        <v>29</v>
      </c>
      <c r="K157" s="2" t="s">
        <v>538</v>
      </c>
      <c r="L157" s="2" t="s">
        <v>43</v>
      </c>
      <c r="M157" s="2" t="n">
        <v>7</v>
      </c>
      <c r="N157" s="2" t="s">
        <v>53</v>
      </c>
      <c r="O157" s="2" t="s">
        <v>45</v>
      </c>
      <c r="P157" s="2" t="n">
        <v>1</v>
      </c>
      <c r="Q157" s="2" t="s">
        <v>54</v>
      </c>
      <c r="R157" s="2" t="s">
        <v>34</v>
      </c>
      <c r="S157" s="2" t="s">
        <v>468</v>
      </c>
      <c r="T157" s="2" t="s">
        <v>539</v>
      </c>
      <c r="U157" s="1"/>
      <c r="V157" s="1"/>
      <c r="W157" s="1"/>
      <c r="X157" s="1"/>
      <c r="Y157" s="1"/>
      <c r="Z157" s="1"/>
      <c r="AA157" s="1"/>
      <c r="AB157" s="1"/>
    </row>
    <row r="158" customFormat="false" ht="15.75" hidden="false" customHeight="false" outlineLevel="0" collapsed="false">
      <c r="A158" s="3" t="n">
        <v>43633.5053446875</v>
      </c>
      <c r="B158" s="2" t="s">
        <v>540</v>
      </c>
      <c r="C158" s="2" t="s">
        <v>23</v>
      </c>
      <c r="D158" s="2" t="s">
        <v>218</v>
      </c>
      <c r="E158" s="2" t="n">
        <v>3</v>
      </c>
      <c r="F158" s="2" t="s">
        <v>86</v>
      </c>
      <c r="G158" s="2" t="s">
        <v>541</v>
      </c>
      <c r="H158" s="2" t="s">
        <v>27</v>
      </c>
      <c r="I158" s="2" t="s">
        <v>32</v>
      </c>
      <c r="J158" s="2" t="s">
        <v>29</v>
      </c>
      <c r="K158" s="2" t="s">
        <v>187</v>
      </c>
      <c r="L158" s="2" t="s">
        <v>60</v>
      </c>
      <c r="M158" s="2" t="n">
        <v>7</v>
      </c>
      <c r="N158" s="2" t="s">
        <v>32</v>
      </c>
      <c r="O158" s="2" t="s">
        <v>45</v>
      </c>
      <c r="P158" s="2" t="n">
        <v>2</v>
      </c>
      <c r="Q158" s="2" t="s">
        <v>34</v>
      </c>
      <c r="R158" s="2" t="s">
        <v>34</v>
      </c>
      <c r="S158" s="2" t="s">
        <v>542</v>
      </c>
      <c r="T158" s="2" t="s">
        <v>543</v>
      </c>
      <c r="U158" s="1"/>
      <c r="V158" s="1"/>
      <c r="W158" s="1"/>
      <c r="X158" s="1"/>
      <c r="Y158" s="1"/>
      <c r="Z158" s="1"/>
      <c r="AA158" s="1"/>
      <c r="AB158" s="1"/>
    </row>
    <row r="159" customFormat="false" ht="15.75" hidden="false" customHeight="false" outlineLevel="0" collapsed="false">
      <c r="A159" s="3" t="n">
        <v>43633.5649356134</v>
      </c>
      <c r="B159" s="2" t="s">
        <v>544</v>
      </c>
      <c r="C159" s="2" t="s">
        <v>23</v>
      </c>
      <c r="D159" s="2" t="s">
        <v>218</v>
      </c>
      <c r="E159" s="2" t="n">
        <v>3</v>
      </c>
      <c r="F159" s="2" t="s">
        <v>363</v>
      </c>
      <c r="G159" s="2" t="s">
        <v>545</v>
      </c>
      <c r="H159" s="2" t="s">
        <v>41</v>
      </c>
      <c r="I159" s="2" t="s">
        <v>32</v>
      </c>
      <c r="J159" s="2" t="s">
        <v>65</v>
      </c>
      <c r="K159" s="2" t="s">
        <v>504</v>
      </c>
      <c r="L159" s="2" t="s">
        <v>31</v>
      </c>
      <c r="M159" s="2" t="n">
        <v>7</v>
      </c>
      <c r="N159" s="2" t="s">
        <v>53</v>
      </c>
      <c r="O159" s="2" t="s">
        <v>45</v>
      </c>
      <c r="P159" s="2" t="n">
        <v>1</v>
      </c>
      <c r="Q159" s="2" t="s">
        <v>54</v>
      </c>
      <c r="R159" s="2" t="s">
        <v>34</v>
      </c>
      <c r="S159" s="2" t="s">
        <v>546</v>
      </c>
      <c r="T159" s="2" t="s">
        <v>547</v>
      </c>
      <c r="U159" s="1"/>
      <c r="V159" s="1"/>
      <c r="W159" s="1"/>
      <c r="X159" s="1"/>
      <c r="Y159" s="1"/>
      <c r="Z159" s="1"/>
      <c r="AA159" s="1"/>
      <c r="AB159" s="1"/>
    </row>
    <row r="160" customFormat="false" ht="15.75" hidden="false" customHeight="false" outlineLevel="0" collapsed="false">
      <c r="A160" s="3" t="n">
        <v>43633.7184105208</v>
      </c>
      <c r="B160" s="2" t="s">
        <v>548</v>
      </c>
      <c r="C160" s="2" t="s">
        <v>23</v>
      </c>
      <c r="D160" s="2" t="s">
        <v>218</v>
      </c>
      <c r="E160" s="2" t="n">
        <v>4</v>
      </c>
      <c r="F160" s="2" t="s">
        <v>549</v>
      </c>
      <c r="G160" s="2" t="s">
        <v>40</v>
      </c>
      <c r="H160" s="2" t="s">
        <v>41</v>
      </c>
      <c r="I160" s="2" t="s">
        <v>94</v>
      </c>
      <c r="J160" s="2" t="s">
        <v>65</v>
      </c>
      <c r="K160" s="2" t="s">
        <v>550</v>
      </c>
      <c r="L160" s="2" t="s">
        <v>43</v>
      </c>
      <c r="M160" s="2" t="n">
        <v>7</v>
      </c>
      <c r="N160" s="2" t="s">
        <v>53</v>
      </c>
      <c r="O160" s="2" t="s">
        <v>89</v>
      </c>
      <c r="P160" s="2" t="n">
        <v>2</v>
      </c>
      <c r="Q160" s="2" t="s">
        <v>34</v>
      </c>
      <c r="R160" s="2" t="s">
        <v>34</v>
      </c>
      <c r="S160" s="2" t="s">
        <v>542</v>
      </c>
      <c r="T160" s="2" t="s">
        <v>551</v>
      </c>
      <c r="U160" s="1"/>
      <c r="V160" s="1"/>
      <c r="W160" s="1"/>
      <c r="X160" s="1"/>
      <c r="Y160" s="1"/>
      <c r="Z160" s="1"/>
      <c r="AA160" s="1"/>
      <c r="AB160" s="1"/>
    </row>
    <row r="161" customFormat="false" ht="15.75" hidden="false" customHeight="false" outlineLevel="0" collapsed="false">
      <c r="A161" s="3" t="n">
        <v>43633.7225190278</v>
      </c>
      <c r="B161" s="2" t="s">
        <v>552</v>
      </c>
      <c r="C161" s="2" t="s">
        <v>75</v>
      </c>
      <c r="D161" s="2" t="s">
        <v>218</v>
      </c>
      <c r="E161" s="2" t="n">
        <v>3</v>
      </c>
      <c r="F161" s="2" t="s">
        <v>553</v>
      </c>
      <c r="G161" s="2" t="s">
        <v>64</v>
      </c>
      <c r="H161" s="2" t="s">
        <v>50</v>
      </c>
      <c r="I161" s="2" t="s">
        <v>53</v>
      </c>
      <c r="J161" s="2" t="s">
        <v>29</v>
      </c>
      <c r="K161" s="2" t="s">
        <v>42</v>
      </c>
      <c r="L161" s="2" t="s">
        <v>31</v>
      </c>
      <c r="M161" s="2" t="n">
        <v>8</v>
      </c>
      <c r="N161" s="2" t="s">
        <v>53</v>
      </c>
      <c r="O161" s="2" t="s">
        <v>45</v>
      </c>
      <c r="P161" s="2" t="n">
        <v>2</v>
      </c>
      <c r="Q161" s="2" t="s">
        <v>34</v>
      </c>
      <c r="R161" s="2" t="s">
        <v>34</v>
      </c>
      <c r="S161" s="2" t="s">
        <v>542</v>
      </c>
      <c r="T161" s="2" t="s">
        <v>554</v>
      </c>
      <c r="U161" s="1"/>
      <c r="V161" s="1"/>
      <c r="W161" s="1"/>
      <c r="X161" s="1"/>
      <c r="Y161" s="1"/>
      <c r="Z161" s="1"/>
      <c r="AA161" s="1"/>
      <c r="AB161" s="1"/>
    </row>
    <row r="162" customFormat="false" ht="15.75" hidden="false" customHeight="false" outlineLevel="0" collapsed="false">
      <c r="A162" s="3" t="n">
        <v>43633.8157755556</v>
      </c>
      <c r="B162" s="2" t="s">
        <v>555</v>
      </c>
      <c r="C162" s="2" t="s">
        <v>99</v>
      </c>
      <c r="D162" s="2" t="s">
        <v>24</v>
      </c>
      <c r="E162" s="2" t="n">
        <v>3</v>
      </c>
      <c r="F162" s="2" t="s">
        <v>70</v>
      </c>
      <c r="G162" s="2" t="s">
        <v>556</v>
      </c>
      <c r="H162" s="2" t="s">
        <v>50</v>
      </c>
      <c r="I162" s="2" t="s">
        <v>32</v>
      </c>
      <c r="J162" s="2" t="s">
        <v>51</v>
      </c>
      <c r="K162" s="2" t="s">
        <v>389</v>
      </c>
      <c r="L162" s="2" t="s">
        <v>43</v>
      </c>
      <c r="M162" s="2" t="n">
        <v>8</v>
      </c>
      <c r="N162" s="2" t="s">
        <v>32</v>
      </c>
      <c r="O162" s="2" t="s">
        <v>45</v>
      </c>
      <c r="P162" s="2" t="n">
        <v>2</v>
      </c>
      <c r="Q162" s="2" t="s">
        <v>54</v>
      </c>
      <c r="R162" s="2" t="s">
        <v>34</v>
      </c>
      <c r="S162" s="2" t="s">
        <v>390</v>
      </c>
      <c r="T162" s="2" t="s">
        <v>557</v>
      </c>
      <c r="U162" s="1"/>
      <c r="V162" s="1"/>
      <c r="W162" s="1"/>
      <c r="X162" s="1"/>
      <c r="Y162" s="1"/>
      <c r="Z162" s="1"/>
      <c r="AA162" s="1"/>
      <c r="AB162" s="1"/>
    </row>
    <row r="163" customFormat="false" ht="15.75" hidden="false" customHeight="false" outlineLevel="0" collapsed="false">
      <c r="A163" s="3" t="n">
        <v>43633.8201212037</v>
      </c>
      <c r="B163" s="2" t="s">
        <v>558</v>
      </c>
      <c r="C163" s="2" t="s">
        <v>23</v>
      </c>
      <c r="D163" s="2" t="s">
        <v>24</v>
      </c>
      <c r="E163" s="2" t="n">
        <v>4</v>
      </c>
      <c r="F163" s="2" t="s">
        <v>203</v>
      </c>
      <c r="G163" s="2" t="s">
        <v>77</v>
      </c>
      <c r="H163" s="2" t="s">
        <v>41</v>
      </c>
      <c r="I163" s="2" t="s">
        <v>32</v>
      </c>
      <c r="J163" s="2" t="s">
        <v>51</v>
      </c>
      <c r="K163" s="2" t="s">
        <v>169</v>
      </c>
      <c r="L163" s="2" t="s">
        <v>31</v>
      </c>
      <c r="M163" s="2" t="n">
        <v>8</v>
      </c>
      <c r="N163" s="2" t="s">
        <v>32</v>
      </c>
      <c r="O163" s="2" t="s">
        <v>45</v>
      </c>
      <c r="P163" s="2" t="n">
        <v>3</v>
      </c>
      <c r="Q163" s="2" t="s">
        <v>34</v>
      </c>
      <c r="R163" s="2" t="s">
        <v>34</v>
      </c>
      <c r="S163" s="2" t="s">
        <v>559</v>
      </c>
      <c r="T163" s="2" t="s">
        <v>560</v>
      </c>
      <c r="U163" s="1"/>
      <c r="V163" s="1"/>
      <c r="W163" s="1"/>
      <c r="X163" s="1"/>
      <c r="Y163" s="1"/>
      <c r="Z163" s="1"/>
      <c r="AA163" s="1"/>
      <c r="AB163" s="1"/>
    </row>
    <row r="164" customFormat="false" ht="15.75" hidden="false" customHeight="false" outlineLevel="0" collapsed="false">
      <c r="A164" s="3" t="n">
        <v>43633.8206476505</v>
      </c>
      <c r="B164" s="2" t="s">
        <v>561</v>
      </c>
      <c r="C164" s="2" t="s">
        <v>23</v>
      </c>
      <c r="D164" s="2" t="s">
        <v>24</v>
      </c>
      <c r="E164" s="2" t="n">
        <v>4</v>
      </c>
      <c r="F164" s="2" t="s">
        <v>139</v>
      </c>
      <c r="G164" s="2" t="s">
        <v>64</v>
      </c>
      <c r="H164" s="2" t="s">
        <v>50</v>
      </c>
      <c r="I164" s="2" t="s">
        <v>32</v>
      </c>
      <c r="J164" s="2" t="s">
        <v>29</v>
      </c>
      <c r="K164" s="2" t="s">
        <v>42</v>
      </c>
      <c r="L164" s="2" t="s">
        <v>43</v>
      </c>
      <c r="M164" s="2" t="n">
        <v>8</v>
      </c>
      <c r="N164" s="2" t="s">
        <v>53</v>
      </c>
      <c r="O164" s="2" t="s">
        <v>45</v>
      </c>
      <c r="P164" s="2" t="n">
        <v>1</v>
      </c>
      <c r="Q164" s="2" t="s">
        <v>34</v>
      </c>
      <c r="R164" s="2" t="s">
        <v>34</v>
      </c>
      <c r="S164" s="2" t="s">
        <v>559</v>
      </c>
      <c r="T164" s="2" t="s">
        <v>562</v>
      </c>
      <c r="U164" s="1"/>
      <c r="V164" s="1"/>
      <c r="W164" s="1"/>
      <c r="X164" s="1"/>
      <c r="Y164" s="1"/>
      <c r="Z164" s="1"/>
      <c r="AA164" s="1"/>
      <c r="AB164" s="1"/>
    </row>
    <row r="165" customFormat="false" ht="15.75" hidden="false" customHeight="false" outlineLevel="0" collapsed="false">
      <c r="A165" s="3" t="n">
        <v>43633.8222894907</v>
      </c>
      <c r="B165" s="2" t="s">
        <v>563</v>
      </c>
      <c r="C165" s="2" t="s">
        <v>23</v>
      </c>
      <c r="D165" s="2" t="s">
        <v>24</v>
      </c>
      <c r="E165" s="2" t="n">
        <v>4</v>
      </c>
      <c r="F165" s="2" t="s">
        <v>86</v>
      </c>
      <c r="G165" s="2" t="s">
        <v>40</v>
      </c>
      <c r="H165" s="2" t="s">
        <v>27</v>
      </c>
      <c r="I165" s="2" t="s">
        <v>94</v>
      </c>
      <c r="J165" s="2" t="s">
        <v>51</v>
      </c>
      <c r="K165" s="2" t="s">
        <v>200</v>
      </c>
      <c r="L165" s="2" t="s">
        <v>60</v>
      </c>
      <c r="M165" s="2" t="n">
        <v>7</v>
      </c>
      <c r="N165" s="2" t="s">
        <v>53</v>
      </c>
      <c r="O165" s="2" t="s">
        <v>45</v>
      </c>
      <c r="P165" s="2" t="n">
        <v>1</v>
      </c>
      <c r="Q165" s="2" t="s">
        <v>34</v>
      </c>
      <c r="R165" s="2" t="s">
        <v>34</v>
      </c>
      <c r="S165" s="2" t="s">
        <v>559</v>
      </c>
      <c r="T165" s="2" t="s">
        <v>564</v>
      </c>
      <c r="U165" s="1"/>
      <c r="V165" s="1"/>
      <c r="W165" s="1"/>
      <c r="X165" s="1"/>
      <c r="Y165" s="1"/>
      <c r="Z165" s="1"/>
      <c r="AA165" s="1"/>
      <c r="AB165" s="1"/>
    </row>
    <row r="166" customFormat="false" ht="15.75" hidden="false" customHeight="false" outlineLevel="0" collapsed="false">
      <c r="A166" s="3" t="n">
        <v>43633.8298175231</v>
      </c>
      <c r="B166" s="2" t="s">
        <v>565</v>
      </c>
      <c r="C166" s="2" t="s">
        <v>23</v>
      </c>
      <c r="D166" s="2" t="s">
        <v>24</v>
      </c>
      <c r="E166" s="2" t="n">
        <v>4</v>
      </c>
      <c r="F166" s="2" t="s">
        <v>86</v>
      </c>
      <c r="G166" s="2" t="s">
        <v>26</v>
      </c>
      <c r="H166" s="2" t="s">
        <v>50</v>
      </c>
      <c r="I166" s="2" t="s">
        <v>53</v>
      </c>
      <c r="J166" s="2" t="s">
        <v>29</v>
      </c>
      <c r="K166" s="2" t="s">
        <v>566</v>
      </c>
      <c r="L166" s="2" t="s">
        <v>31</v>
      </c>
      <c r="M166" s="2" t="n">
        <v>8</v>
      </c>
      <c r="N166" s="2" t="s">
        <v>53</v>
      </c>
      <c r="O166" s="2" t="s">
        <v>89</v>
      </c>
      <c r="P166" s="2" t="n">
        <v>1</v>
      </c>
      <c r="Q166" s="2" t="s">
        <v>34</v>
      </c>
      <c r="R166" s="2" t="s">
        <v>34</v>
      </c>
      <c r="S166" s="2" t="s">
        <v>559</v>
      </c>
      <c r="T166" s="2" t="s">
        <v>567</v>
      </c>
      <c r="U166" s="1"/>
      <c r="V166" s="1"/>
      <c r="W166" s="1"/>
      <c r="X166" s="1"/>
      <c r="Y166" s="1"/>
      <c r="Z166" s="1"/>
      <c r="AA166" s="1"/>
      <c r="AB166" s="1"/>
    </row>
    <row r="167" customFormat="false" ht="15.75" hidden="false" customHeight="false" outlineLevel="0" collapsed="false">
      <c r="A167" s="3" t="n">
        <v>43633.8358234259</v>
      </c>
      <c r="B167" s="2" t="s">
        <v>568</v>
      </c>
      <c r="C167" s="2" t="s">
        <v>23</v>
      </c>
      <c r="D167" s="2" t="s">
        <v>24</v>
      </c>
      <c r="E167" s="2" t="n">
        <v>3</v>
      </c>
      <c r="F167" s="2" t="s">
        <v>290</v>
      </c>
      <c r="G167" s="2" t="s">
        <v>77</v>
      </c>
      <c r="H167" s="2" t="s">
        <v>41</v>
      </c>
      <c r="I167" s="2" t="s">
        <v>32</v>
      </c>
      <c r="J167" s="2" t="s">
        <v>65</v>
      </c>
      <c r="K167" s="2" t="s">
        <v>569</v>
      </c>
      <c r="L167" s="2" t="s">
        <v>31</v>
      </c>
      <c r="M167" s="2" t="n">
        <v>7</v>
      </c>
      <c r="N167" s="2" t="s">
        <v>53</v>
      </c>
      <c r="O167" s="2" t="s">
        <v>45</v>
      </c>
      <c r="P167" s="2" t="n">
        <v>2</v>
      </c>
      <c r="Q167" s="2" t="s">
        <v>34</v>
      </c>
      <c r="R167" s="2" t="s">
        <v>34</v>
      </c>
      <c r="S167" s="2" t="s">
        <v>570</v>
      </c>
      <c r="T167" s="2" t="s">
        <v>571</v>
      </c>
      <c r="U167" s="1"/>
      <c r="V167" s="1"/>
      <c r="W167" s="1"/>
      <c r="X167" s="1"/>
      <c r="Y167" s="1"/>
      <c r="Z167" s="1"/>
      <c r="AA167" s="1"/>
      <c r="AB167" s="1"/>
    </row>
    <row r="168" customFormat="false" ht="15.75" hidden="false" customHeight="false" outlineLevel="0" collapsed="false">
      <c r="A168" s="3" t="n">
        <v>43633.9006613773</v>
      </c>
      <c r="B168" s="2" t="s">
        <v>572</v>
      </c>
      <c r="C168" s="2" t="s">
        <v>75</v>
      </c>
      <c r="D168" s="2" t="s">
        <v>24</v>
      </c>
      <c r="E168" s="2" t="n">
        <v>2</v>
      </c>
      <c r="F168" s="2" t="s">
        <v>63</v>
      </c>
      <c r="G168" s="2" t="s">
        <v>64</v>
      </c>
      <c r="H168" s="2" t="s">
        <v>94</v>
      </c>
      <c r="I168" s="2" t="s">
        <v>53</v>
      </c>
      <c r="J168" s="2" t="s">
        <v>65</v>
      </c>
      <c r="K168" s="2" t="s">
        <v>452</v>
      </c>
      <c r="L168" s="2" t="s">
        <v>31</v>
      </c>
      <c r="M168" s="2" t="n">
        <v>3</v>
      </c>
      <c r="N168" s="2" t="s">
        <v>66</v>
      </c>
      <c r="O168" s="2" t="s">
        <v>89</v>
      </c>
      <c r="P168" s="2" t="n">
        <v>1</v>
      </c>
      <c r="Q168" s="2" t="s">
        <v>34</v>
      </c>
      <c r="R168" s="2" t="s">
        <v>34</v>
      </c>
      <c r="S168" s="2" t="s">
        <v>573</v>
      </c>
      <c r="T168" s="2" t="s">
        <v>574</v>
      </c>
      <c r="U168" s="1"/>
      <c r="V168" s="1"/>
      <c r="W168" s="1"/>
      <c r="X168" s="1"/>
      <c r="Y168" s="1"/>
      <c r="Z168" s="1"/>
      <c r="AA168" s="1"/>
      <c r="AB168" s="1"/>
    </row>
    <row r="169" customFormat="false" ht="15.75" hidden="false" customHeight="false" outlineLevel="0" collapsed="false">
      <c r="A169" s="3" t="n">
        <v>43634.4456215856</v>
      </c>
      <c r="B169" s="2" t="s">
        <v>575</v>
      </c>
      <c r="C169" s="2" t="s">
        <v>23</v>
      </c>
      <c r="D169" s="2" t="s">
        <v>24</v>
      </c>
      <c r="E169" s="2" t="n">
        <v>4</v>
      </c>
      <c r="F169" s="2" t="s">
        <v>370</v>
      </c>
      <c r="G169" s="2" t="s">
        <v>105</v>
      </c>
      <c r="H169" s="2" t="s">
        <v>41</v>
      </c>
      <c r="I169" s="2" t="s">
        <v>32</v>
      </c>
      <c r="J169" s="2" t="s">
        <v>65</v>
      </c>
      <c r="K169" s="2" t="s">
        <v>42</v>
      </c>
      <c r="L169" s="2" t="s">
        <v>72</v>
      </c>
      <c r="M169" s="2" t="n">
        <v>6</v>
      </c>
      <c r="N169" s="2" t="s">
        <v>53</v>
      </c>
      <c r="O169" s="2" t="s">
        <v>89</v>
      </c>
      <c r="P169" s="2" t="n">
        <v>2</v>
      </c>
      <c r="Q169" s="2" t="s">
        <v>34</v>
      </c>
      <c r="R169" s="2" t="s">
        <v>34</v>
      </c>
      <c r="S169" s="2" t="s">
        <v>576</v>
      </c>
      <c r="T169" s="2" t="s">
        <v>577</v>
      </c>
      <c r="U169" s="1"/>
      <c r="V169" s="1"/>
      <c r="W169" s="1"/>
      <c r="X169" s="1"/>
      <c r="Y169" s="1"/>
      <c r="Z169" s="1"/>
      <c r="AA169" s="1"/>
      <c r="AB169" s="1"/>
    </row>
    <row r="170" customFormat="false" ht="15.75" hidden="false" customHeight="false" outlineLevel="0" collapsed="false">
      <c r="A170" s="3" t="n">
        <v>43634.4462255556</v>
      </c>
      <c r="B170" s="2" t="s">
        <v>578</v>
      </c>
      <c r="C170" s="2" t="s">
        <v>23</v>
      </c>
      <c r="D170" s="2" t="s">
        <v>24</v>
      </c>
      <c r="E170" s="2" t="n">
        <v>4</v>
      </c>
      <c r="F170" s="2" t="s">
        <v>579</v>
      </c>
      <c r="G170" s="2" t="s">
        <v>26</v>
      </c>
      <c r="H170" s="2" t="s">
        <v>41</v>
      </c>
      <c r="I170" s="2" t="s">
        <v>32</v>
      </c>
      <c r="J170" s="2" t="s">
        <v>65</v>
      </c>
      <c r="K170" s="2" t="s">
        <v>42</v>
      </c>
      <c r="L170" s="2" t="s">
        <v>60</v>
      </c>
      <c r="M170" s="2" t="n">
        <v>7</v>
      </c>
      <c r="N170" s="2" t="s">
        <v>32</v>
      </c>
      <c r="O170" s="2" t="s">
        <v>45</v>
      </c>
      <c r="P170" s="2" t="n">
        <v>1</v>
      </c>
      <c r="Q170" s="2" t="s">
        <v>34</v>
      </c>
      <c r="R170" s="2" t="s">
        <v>34</v>
      </c>
      <c r="S170" s="2" t="s">
        <v>580</v>
      </c>
      <c r="T170" s="2" t="s">
        <v>581</v>
      </c>
      <c r="U170" s="1"/>
      <c r="V170" s="1"/>
      <c r="W170" s="1"/>
      <c r="X170" s="1"/>
      <c r="Y170" s="1"/>
      <c r="Z170" s="1"/>
      <c r="AA170" s="1"/>
      <c r="AB170" s="1"/>
    </row>
    <row r="171" customFormat="false" ht="15.75" hidden="false" customHeight="false" outlineLevel="0" collapsed="false">
      <c r="A171" s="3" t="n">
        <v>43634.4800061921</v>
      </c>
      <c r="B171" s="2" t="s">
        <v>582</v>
      </c>
      <c r="C171" s="2" t="s">
        <v>23</v>
      </c>
      <c r="D171" s="2" t="s">
        <v>24</v>
      </c>
      <c r="E171" s="2" t="n">
        <v>3</v>
      </c>
      <c r="F171" s="2" t="s">
        <v>583</v>
      </c>
      <c r="G171" s="2" t="s">
        <v>541</v>
      </c>
      <c r="H171" s="2" t="s">
        <v>27</v>
      </c>
      <c r="I171" s="2" t="s">
        <v>53</v>
      </c>
      <c r="J171" s="2" t="s">
        <v>29</v>
      </c>
      <c r="K171" s="2" t="s">
        <v>42</v>
      </c>
      <c r="L171" s="2" t="s">
        <v>43</v>
      </c>
      <c r="M171" s="2" t="n">
        <v>8</v>
      </c>
      <c r="N171" s="2" t="s">
        <v>32</v>
      </c>
      <c r="O171" s="2" t="s">
        <v>45</v>
      </c>
      <c r="P171" s="2" t="n">
        <v>2</v>
      </c>
      <c r="Q171" s="2" t="s">
        <v>54</v>
      </c>
      <c r="R171" s="2" t="s">
        <v>34</v>
      </c>
      <c r="S171" s="2" t="s">
        <v>573</v>
      </c>
      <c r="T171" s="2" t="s">
        <v>584</v>
      </c>
      <c r="U171" s="1"/>
      <c r="V171" s="1"/>
      <c r="W171" s="1"/>
      <c r="X171" s="1"/>
      <c r="Y171" s="1"/>
      <c r="Z171" s="1"/>
      <c r="AA171" s="1"/>
      <c r="AB171" s="1"/>
    </row>
    <row r="172" customFormat="false" ht="15.75" hidden="false" customHeight="false" outlineLevel="0" collapsed="false">
      <c r="A172" s="3" t="n">
        <v>43634.4875295718</v>
      </c>
      <c r="B172" s="2" t="s">
        <v>585</v>
      </c>
      <c r="C172" s="2" t="s">
        <v>23</v>
      </c>
      <c r="D172" s="2" t="s">
        <v>24</v>
      </c>
      <c r="E172" s="2" t="n">
        <v>4</v>
      </c>
      <c r="F172" s="2" t="s">
        <v>586</v>
      </c>
      <c r="G172" s="2" t="s">
        <v>77</v>
      </c>
      <c r="H172" s="2" t="s">
        <v>41</v>
      </c>
      <c r="I172" s="2" t="s">
        <v>32</v>
      </c>
      <c r="J172" s="2" t="s">
        <v>29</v>
      </c>
      <c r="K172" s="2" t="s">
        <v>42</v>
      </c>
      <c r="L172" s="2" t="s">
        <v>31</v>
      </c>
      <c r="M172" s="2" t="n">
        <v>8</v>
      </c>
      <c r="N172" s="2" t="s">
        <v>32</v>
      </c>
      <c r="O172" s="2" t="s">
        <v>45</v>
      </c>
      <c r="P172" s="2" t="n">
        <v>1</v>
      </c>
      <c r="Q172" s="2" t="s">
        <v>34</v>
      </c>
      <c r="R172" s="2" t="s">
        <v>34</v>
      </c>
      <c r="S172" s="2" t="s">
        <v>576</v>
      </c>
      <c r="T172" s="2" t="s">
        <v>587</v>
      </c>
      <c r="U172" s="1"/>
      <c r="V172" s="1"/>
      <c r="W172" s="1"/>
      <c r="X172" s="1"/>
      <c r="Y172" s="1"/>
      <c r="Z172" s="1"/>
      <c r="AA172" s="1"/>
      <c r="AB172" s="1"/>
    </row>
    <row r="173" customFormat="false" ht="15.75" hidden="false" customHeight="false" outlineLevel="0" collapsed="false">
      <c r="A173" s="3" t="n">
        <v>43634.5233501042</v>
      </c>
      <c r="B173" s="2" t="s">
        <v>588</v>
      </c>
      <c r="C173" s="2" t="s">
        <v>75</v>
      </c>
      <c r="D173" s="2" t="s">
        <v>24</v>
      </c>
      <c r="E173" s="2" t="n">
        <v>4</v>
      </c>
      <c r="F173" s="2" t="s">
        <v>203</v>
      </c>
      <c r="G173" s="2" t="s">
        <v>589</v>
      </c>
      <c r="H173" s="2" t="s">
        <v>41</v>
      </c>
      <c r="I173" s="2" t="s">
        <v>32</v>
      </c>
      <c r="J173" s="2" t="s">
        <v>65</v>
      </c>
      <c r="K173" s="2" t="s">
        <v>42</v>
      </c>
      <c r="L173" s="2" t="s">
        <v>31</v>
      </c>
      <c r="M173" s="2" t="n">
        <v>9</v>
      </c>
      <c r="N173" s="2" t="s">
        <v>32</v>
      </c>
      <c r="O173" s="2" t="s">
        <v>89</v>
      </c>
      <c r="P173" s="2" t="n">
        <v>3</v>
      </c>
      <c r="Q173" s="2" t="s">
        <v>34</v>
      </c>
      <c r="R173" s="2" t="s">
        <v>34</v>
      </c>
      <c r="S173" s="2" t="s">
        <v>590</v>
      </c>
      <c r="T173" s="2" t="s">
        <v>591</v>
      </c>
      <c r="U173" s="1"/>
      <c r="V173" s="1"/>
      <c r="W173" s="1"/>
      <c r="X173" s="1"/>
      <c r="Y173" s="1"/>
      <c r="Z173" s="1"/>
      <c r="AA173" s="1"/>
      <c r="AB173" s="1"/>
    </row>
    <row r="174" customFormat="false" ht="15.75" hidden="false" customHeight="false" outlineLevel="0" collapsed="false">
      <c r="A174" s="3" t="n">
        <v>43634.5643878704</v>
      </c>
      <c r="B174" s="2" t="s">
        <v>592</v>
      </c>
      <c r="C174" s="2" t="s">
        <v>23</v>
      </c>
      <c r="D174" s="2" t="s">
        <v>24</v>
      </c>
      <c r="E174" s="2" t="n">
        <v>3</v>
      </c>
      <c r="F174" s="2" t="s">
        <v>143</v>
      </c>
      <c r="G174" s="2" t="s">
        <v>123</v>
      </c>
      <c r="H174" s="2" t="s">
        <v>41</v>
      </c>
      <c r="I174" s="2" t="s">
        <v>28</v>
      </c>
      <c r="J174" s="2" t="s">
        <v>29</v>
      </c>
      <c r="K174" s="2" t="s">
        <v>144</v>
      </c>
      <c r="L174" s="2" t="s">
        <v>31</v>
      </c>
      <c r="M174" s="2" t="n">
        <v>7</v>
      </c>
      <c r="N174" s="2" t="s">
        <v>53</v>
      </c>
      <c r="O174" s="2" t="s">
        <v>89</v>
      </c>
      <c r="P174" s="2" t="n">
        <v>3</v>
      </c>
      <c r="Q174" s="2" t="s">
        <v>54</v>
      </c>
      <c r="R174" s="2" t="s">
        <v>34</v>
      </c>
      <c r="S174" s="2" t="s">
        <v>593</v>
      </c>
      <c r="T174" s="2" t="s">
        <v>594</v>
      </c>
      <c r="U174" s="1"/>
      <c r="V174" s="1"/>
      <c r="W174" s="1"/>
      <c r="X174" s="1"/>
      <c r="Y174" s="1"/>
      <c r="Z174" s="1"/>
      <c r="AA174" s="1"/>
      <c r="AB174" s="1"/>
    </row>
    <row r="175" customFormat="false" ht="15.75" hidden="false" customHeight="false" outlineLevel="0" collapsed="false">
      <c r="A175" s="3" t="n">
        <v>43634.5912774421</v>
      </c>
      <c r="B175" s="2" t="s">
        <v>595</v>
      </c>
      <c r="C175" s="2" t="s">
        <v>23</v>
      </c>
      <c r="D175" s="2" t="s">
        <v>232</v>
      </c>
      <c r="E175" s="2" t="n">
        <v>2</v>
      </c>
      <c r="F175" s="2" t="s">
        <v>596</v>
      </c>
      <c r="G175" s="2" t="s">
        <v>165</v>
      </c>
      <c r="H175" s="2" t="s">
        <v>41</v>
      </c>
      <c r="I175" s="2" t="s">
        <v>32</v>
      </c>
      <c r="J175" s="2" t="s">
        <v>29</v>
      </c>
      <c r="K175" s="2" t="s">
        <v>88</v>
      </c>
      <c r="L175" s="2" t="s">
        <v>43</v>
      </c>
      <c r="M175" s="2" t="n">
        <v>1</v>
      </c>
      <c r="N175" s="2" t="s">
        <v>66</v>
      </c>
      <c r="O175" s="2" t="s">
        <v>597</v>
      </c>
      <c r="P175" s="2" t="n">
        <v>1</v>
      </c>
      <c r="Q175" s="2" t="s">
        <v>54</v>
      </c>
      <c r="R175" s="2" t="s">
        <v>34</v>
      </c>
      <c r="S175" s="2" t="s">
        <v>573</v>
      </c>
      <c r="T175" s="2" t="s">
        <v>598</v>
      </c>
      <c r="U175" s="1"/>
      <c r="V175" s="1"/>
      <c r="W175" s="1"/>
      <c r="X175" s="1"/>
      <c r="Y175" s="1"/>
      <c r="Z175" s="1"/>
      <c r="AA175" s="1"/>
      <c r="AB175" s="1"/>
    </row>
    <row r="176" customFormat="false" ht="15.75" hidden="false" customHeight="false" outlineLevel="0" collapsed="false">
      <c r="A176" s="3" t="n">
        <v>43634.773569213</v>
      </c>
      <c r="B176" s="2" t="s">
        <v>599</v>
      </c>
      <c r="C176" s="2" t="s">
        <v>23</v>
      </c>
      <c r="D176" s="2" t="s">
        <v>38</v>
      </c>
      <c r="E176" s="2" t="n">
        <v>2</v>
      </c>
      <c r="F176" s="2" t="s">
        <v>370</v>
      </c>
      <c r="G176" s="2" t="s">
        <v>157</v>
      </c>
      <c r="H176" s="2" t="s">
        <v>41</v>
      </c>
      <c r="I176" s="2" t="s">
        <v>28</v>
      </c>
      <c r="J176" s="2" t="s">
        <v>65</v>
      </c>
      <c r="K176" s="2" t="s">
        <v>59</v>
      </c>
      <c r="L176" s="2" t="s">
        <v>43</v>
      </c>
      <c r="M176" s="2" t="n">
        <v>5</v>
      </c>
      <c r="N176" s="2" t="s">
        <v>53</v>
      </c>
      <c r="O176" s="2" t="s">
        <v>45</v>
      </c>
      <c r="P176" s="2" t="n">
        <v>1</v>
      </c>
      <c r="Q176" s="2" t="s">
        <v>34</v>
      </c>
      <c r="R176" s="2" t="s">
        <v>34</v>
      </c>
      <c r="S176" s="2" t="s">
        <v>600</v>
      </c>
      <c r="T176" s="2" t="s">
        <v>601</v>
      </c>
      <c r="U176" s="1"/>
      <c r="V176" s="1"/>
      <c r="W176" s="1"/>
      <c r="X176" s="1"/>
      <c r="Y176" s="1"/>
      <c r="Z176" s="1"/>
      <c r="AA176" s="1"/>
      <c r="AB176" s="1"/>
    </row>
    <row r="177" customFormat="false" ht="15.75" hidden="false" customHeight="false" outlineLevel="0" collapsed="false">
      <c r="A177" s="3" t="n">
        <v>43634.77729375</v>
      </c>
      <c r="B177" s="2" t="s">
        <v>602</v>
      </c>
      <c r="C177" s="2" t="s">
        <v>23</v>
      </c>
      <c r="D177" s="2" t="s">
        <v>38</v>
      </c>
      <c r="E177" s="2" t="n">
        <v>3</v>
      </c>
      <c r="F177" s="2" t="s">
        <v>39</v>
      </c>
      <c r="G177" s="2" t="s">
        <v>603</v>
      </c>
      <c r="H177" s="2" t="s">
        <v>27</v>
      </c>
      <c r="I177" s="2" t="s">
        <v>53</v>
      </c>
      <c r="J177" s="2" t="s">
        <v>65</v>
      </c>
      <c r="K177" s="2" t="s">
        <v>59</v>
      </c>
      <c r="L177" s="2" t="s">
        <v>31</v>
      </c>
      <c r="M177" s="2" t="n">
        <v>3</v>
      </c>
      <c r="N177" s="2" t="s">
        <v>66</v>
      </c>
      <c r="O177" s="2" t="s">
        <v>45</v>
      </c>
      <c r="P177" s="2" t="n">
        <v>1</v>
      </c>
      <c r="Q177" s="2" t="s">
        <v>34</v>
      </c>
      <c r="R177" s="2" t="s">
        <v>34</v>
      </c>
      <c r="S177" s="2" t="s">
        <v>604</v>
      </c>
      <c r="T177" s="2" t="s">
        <v>605</v>
      </c>
      <c r="U177" s="1"/>
      <c r="V177" s="1"/>
      <c r="W177" s="1"/>
      <c r="X177" s="1"/>
      <c r="Y177" s="1"/>
      <c r="Z177" s="1"/>
      <c r="AA177" s="1"/>
      <c r="AB177" s="1"/>
    </row>
    <row r="178" customFormat="false" ht="15.75" hidden="false" customHeight="false" outlineLevel="0" collapsed="false">
      <c r="A178" s="3" t="n">
        <v>43634.777712882</v>
      </c>
      <c r="B178" s="2" t="s">
        <v>606</v>
      </c>
      <c r="C178" s="2" t="s">
        <v>23</v>
      </c>
      <c r="D178" s="2" t="s">
        <v>38</v>
      </c>
      <c r="E178" s="2" t="n">
        <v>5</v>
      </c>
      <c r="F178" s="2" t="s">
        <v>607</v>
      </c>
      <c r="G178" s="2" t="s">
        <v>608</v>
      </c>
      <c r="H178" s="2" t="s">
        <v>27</v>
      </c>
      <c r="I178" s="2" t="s">
        <v>32</v>
      </c>
      <c r="J178" s="2" t="s">
        <v>65</v>
      </c>
      <c r="K178" s="2" t="s">
        <v>200</v>
      </c>
      <c r="L178" s="2" t="s">
        <v>31</v>
      </c>
      <c r="M178" s="2" t="n">
        <v>6</v>
      </c>
      <c r="N178" s="2" t="s">
        <v>66</v>
      </c>
      <c r="O178" s="2" t="s">
        <v>89</v>
      </c>
      <c r="P178" s="2" t="n">
        <v>1</v>
      </c>
      <c r="Q178" s="2" t="s">
        <v>34</v>
      </c>
      <c r="R178" s="2" t="s">
        <v>34</v>
      </c>
      <c r="S178" s="2" t="s">
        <v>604</v>
      </c>
      <c r="T178" s="2" t="s">
        <v>609</v>
      </c>
      <c r="U178" s="1"/>
      <c r="V178" s="1"/>
      <c r="W178" s="1"/>
      <c r="X178" s="1"/>
      <c r="Y178" s="1"/>
      <c r="Z178" s="1"/>
      <c r="AA178" s="1"/>
      <c r="AB178" s="1"/>
    </row>
    <row r="179" customFormat="false" ht="15.75" hidden="false" customHeight="false" outlineLevel="0" collapsed="false">
      <c r="A179" s="3" t="n">
        <v>43634.7838679051</v>
      </c>
      <c r="B179" s="2" t="s">
        <v>610</v>
      </c>
      <c r="C179" s="2" t="s">
        <v>23</v>
      </c>
      <c r="D179" s="2" t="s">
        <v>232</v>
      </c>
      <c r="E179" s="2" t="n">
        <v>2</v>
      </c>
      <c r="F179" s="2" t="s">
        <v>611</v>
      </c>
      <c r="G179" s="2" t="s">
        <v>64</v>
      </c>
      <c r="H179" s="2" t="s">
        <v>94</v>
      </c>
      <c r="I179" s="2" t="s">
        <v>28</v>
      </c>
      <c r="J179" s="2" t="s">
        <v>65</v>
      </c>
      <c r="K179" s="2" t="s">
        <v>220</v>
      </c>
      <c r="L179" s="2" t="s">
        <v>60</v>
      </c>
      <c r="M179" s="2" t="n">
        <v>2</v>
      </c>
      <c r="N179" s="2" t="s">
        <v>612</v>
      </c>
      <c r="O179" s="2" t="s">
        <v>89</v>
      </c>
      <c r="P179" s="2" t="n">
        <v>1</v>
      </c>
      <c r="Q179" s="2" t="s">
        <v>34</v>
      </c>
      <c r="R179" s="2" t="s">
        <v>34</v>
      </c>
      <c r="S179" s="2" t="s">
        <v>604</v>
      </c>
      <c r="T179" s="2" t="s">
        <v>613</v>
      </c>
      <c r="U179" s="1"/>
      <c r="V179" s="1"/>
      <c r="W179" s="1"/>
      <c r="X179" s="1"/>
      <c r="Y179" s="1"/>
      <c r="Z179" s="1"/>
      <c r="AA179" s="1"/>
      <c r="AB179" s="1"/>
    </row>
    <row r="180" customFormat="false" ht="15.75" hidden="false" customHeight="false" outlineLevel="0" collapsed="false">
      <c r="A180" s="3" t="n">
        <v>43634.9620274537</v>
      </c>
      <c r="B180" s="2" t="s">
        <v>614</v>
      </c>
      <c r="C180" s="2" t="s">
        <v>99</v>
      </c>
      <c r="D180" s="2" t="s">
        <v>38</v>
      </c>
      <c r="E180" s="2" t="n">
        <v>3</v>
      </c>
      <c r="F180" s="2" t="s">
        <v>309</v>
      </c>
      <c r="G180" s="2" t="s">
        <v>615</v>
      </c>
      <c r="H180" s="2" t="s">
        <v>41</v>
      </c>
      <c r="I180" s="2" t="s">
        <v>32</v>
      </c>
      <c r="J180" s="2" t="s">
        <v>65</v>
      </c>
      <c r="K180" s="2" t="s">
        <v>616</v>
      </c>
      <c r="L180" s="2" t="s">
        <v>31</v>
      </c>
      <c r="M180" s="2" t="n">
        <v>8</v>
      </c>
      <c r="N180" s="2" t="s">
        <v>32</v>
      </c>
      <c r="O180" s="2" t="s">
        <v>33</v>
      </c>
      <c r="P180" s="2" t="n">
        <v>3</v>
      </c>
      <c r="Q180" s="2" t="s">
        <v>34</v>
      </c>
      <c r="R180" s="2" t="s">
        <v>34</v>
      </c>
      <c r="S180" s="2" t="s">
        <v>617</v>
      </c>
      <c r="T180" s="2" t="s">
        <v>618</v>
      </c>
      <c r="U180" s="1"/>
      <c r="V180" s="1"/>
      <c r="W180" s="1"/>
      <c r="X180" s="1"/>
      <c r="Y180" s="1"/>
      <c r="Z180" s="1"/>
      <c r="AA180" s="1"/>
      <c r="AB180" s="1"/>
    </row>
    <row r="181" customFormat="false" ht="15.75" hidden="false" customHeight="false" outlineLevel="0" collapsed="false">
      <c r="A181" s="3" t="n">
        <v>43635.5546657523</v>
      </c>
      <c r="B181" s="2" t="s">
        <v>619</v>
      </c>
      <c r="C181" s="2" t="s">
        <v>23</v>
      </c>
      <c r="D181" s="2" t="s">
        <v>38</v>
      </c>
      <c r="E181" s="2" t="n">
        <v>2</v>
      </c>
      <c r="F181" s="2" t="s">
        <v>48</v>
      </c>
      <c r="G181" s="2" t="s">
        <v>77</v>
      </c>
      <c r="H181" s="2" t="s">
        <v>41</v>
      </c>
      <c r="I181" s="2" t="s">
        <v>32</v>
      </c>
      <c r="J181" s="2" t="s">
        <v>65</v>
      </c>
      <c r="K181" s="2" t="s">
        <v>620</v>
      </c>
      <c r="L181" s="2" t="s">
        <v>31</v>
      </c>
      <c r="M181" s="2" t="n">
        <v>9</v>
      </c>
      <c r="N181" s="2" t="s">
        <v>32</v>
      </c>
      <c r="O181" s="2" t="s">
        <v>45</v>
      </c>
      <c r="P181" s="2" t="n">
        <v>2</v>
      </c>
      <c r="Q181" s="2" t="s">
        <v>34</v>
      </c>
      <c r="R181" s="2" t="s">
        <v>34</v>
      </c>
      <c r="S181" s="2" t="s">
        <v>621</v>
      </c>
      <c r="T181" s="2" t="s">
        <v>622</v>
      </c>
      <c r="U181" s="1"/>
      <c r="V181" s="1"/>
      <c r="W181" s="1"/>
      <c r="X181" s="1"/>
      <c r="Y181" s="1"/>
      <c r="Z181" s="1"/>
      <c r="AA181" s="1"/>
      <c r="AB181" s="1"/>
    </row>
    <row r="182" customFormat="false" ht="15.75" hidden="false" customHeight="false" outlineLevel="0" collapsed="false">
      <c r="A182" s="3" t="n">
        <v>43635.5577191551</v>
      </c>
      <c r="B182" s="2" t="s">
        <v>623</v>
      </c>
      <c r="C182" s="2" t="s">
        <v>75</v>
      </c>
      <c r="D182" s="2" t="s">
        <v>38</v>
      </c>
      <c r="E182" s="2" t="n">
        <v>4</v>
      </c>
      <c r="F182" s="2" t="s">
        <v>624</v>
      </c>
      <c r="G182" s="2" t="s">
        <v>589</v>
      </c>
      <c r="H182" s="2" t="s">
        <v>41</v>
      </c>
      <c r="I182" s="2" t="s">
        <v>32</v>
      </c>
      <c r="J182" s="2" t="s">
        <v>65</v>
      </c>
      <c r="K182" s="2" t="s">
        <v>625</v>
      </c>
      <c r="L182" s="2" t="s">
        <v>43</v>
      </c>
      <c r="M182" s="2" t="n">
        <v>8</v>
      </c>
      <c r="N182" s="2" t="s">
        <v>32</v>
      </c>
      <c r="O182" s="2" t="s">
        <v>45</v>
      </c>
      <c r="P182" s="2" t="n">
        <v>1</v>
      </c>
      <c r="Q182" s="2" t="s">
        <v>54</v>
      </c>
      <c r="R182" s="2" t="s">
        <v>34</v>
      </c>
      <c r="S182" s="2" t="s">
        <v>626</v>
      </c>
      <c r="T182" s="2" t="s">
        <v>627</v>
      </c>
      <c r="U182" s="1"/>
      <c r="V182" s="1"/>
      <c r="W182" s="1"/>
      <c r="X182" s="1"/>
      <c r="Y182" s="1"/>
      <c r="Z182" s="1"/>
      <c r="AA182" s="1"/>
      <c r="AB182" s="1"/>
    </row>
    <row r="183" customFormat="false" ht="15.75" hidden="false" customHeight="false" outlineLevel="0" collapsed="false">
      <c r="A183" s="3" t="n">
        <v>43635.5683328241</v>
      </c>
      <c r="B183" s="2" t="s">
        <v>628</v>
      </c>
      <c r="C183" s="2" t="s">
        <v>23</v>
      </c>
      <c r="D183" s="2" t="s">
        <v>38</v>
      </c>
      <c r="E183" s="2" t="n">
        <v>3</v>
      </c>
      <c r="F183" s="2" t="s">
        <v>629</v>
      </c>
      <c r="G183" s="2" t="s">
        <v>105</v>
      </c>
      <c r="H183" s="2" t="s">
        <v>50</v>
      </c>
      <c r="I183" s="2" t="s">
        <v>32</v>
      </c>
      <c r="J183" s="2" t="s">
        <v>29</v>
      </c>
      <c r="K183" s="2" t="s">
        <v>187</v>
      </c>
      <c r="L183" s="2" t="s">
        <v>31</v>
      </c>
      <c r="M183" s="2" t="n">
        <v>10</v>
      </c>
      <c r="N183" s="2" t="s">
        <v>32</v>
      </c>
      <c r="O183" s="2" t="s">
        <v>33</v>
      </c>
      <c r="P183" s="2" t="n">
        <v>5</v>
      </c>
      <c r="Q183" s="2" t="s">
        <v>34</v>
      </c>
      <c r="R183" s="2" t="s">
        <v>34</v>
      </c>
      <c r="S183" s="2" t="s">
        <v>630</v>
      </c>
      <c r="T183" s="2" t="s">
        <v>631</v>
      </c>
      <c r="U183" s="1"/>
      <c r="V183" s="1"/>
      <c r="W183" s="1"/>
      <c r="X183" s="1"/>
      <c r="Y183" s="1"/>
      <c r="Z183" s="1"/>
      <c r="AA183" s="1"/>
      <c r="AB183" s="1"/>
    </row>
    <row r="184" customFormat="false" ht="15.75" hidden="false" customHeight="false" outlineLevel="0" collapsed="false">
      <c r="A184" s="3" t="n">
        <v>43635.6267071412</v>
      </c>
      <c r="B184" s="2" t="s">
        <v>632</v>
      </c>
      <c r="C184" s="2" t="s">
        <v>23</v>
      </c>
      <c r="D184" s="2" t="s">
        <v>24</v>
      </c>
      <c r="E184" s="2" t="n">
        <v>3</v>
      </c>
      <c r="F184" s="2" t="s">
        <v>633</v>
      </c>
      <c r="G184" s="2" t="s">
        <v>634</v>
      </c>
      <c r="H184" s="2" t="s">
        <v>27</v>
      </c>
      <c r="I184" s="2" t="s">
        <v>32</v>
      </c>
      <c r="J184" s="2" t="s">
        <v>29</v>
      </c>
      <c r="K184" s="2" t="s">
        <v>88</v>
      </c>
      <c r="L184" s="2" t="s">
        <v>43</v>
      </c>
      <c r="M184" s="2" t="n">
        <v>7</v>
      </c>
      <c r="N184" s="2" t="s">
        <v>53</v>
      </c>
      <c r="O184" s="2" t="s">
        <v>89</v>
      </c>
      <c r="P184" s="2" t="n">
        <v>4</v>
      </c>
      <c r="Q184" s="2" t="s">
        <v>54</v>
      </c>
      <c r="R184" s="2" t="s">
        <v>34</v>
      </c>
      <c r="S184" s="2" t="s">
        <v>635</v>
      </c>
      <c r="T184" s="2" t="s">
        <v>636</v>
      </c>
      <c r="U184" s="1"/>
      <c r="V184" s="1"/>
      <c r="W184" s="1"/>
      <c r="X184" s="1"/>
      <c r="Y184" s="1"/>
      <c r="Z184" s="1"/>
      <c r="AA184" s="1"/>
      <c r="AB184" s="1"/>
    </row>
    <row r="185" customFormat="false" ht="15.75" hidden="false" customHeight="false" outlineLevel="0" collapsed="false">
      <c r="A185" s="3" t="n">
        <v>43635.7501909259</v>
      </c>
      <c r="B185" s="2" t="s">
        <v>637</v>
      </c>
      <c r="C185" s="2" t="s">
        <v>23</v>
      </c>
      <c r="D185" s="2" t="s">
        <v>24</v>
      </c>
      <c r="E185" s="2" t="n">
        <v>3</v>
      </c>
      <c r="F185" s="2" t="s">
        <v>638</v>
      </c>
      <c r="G185" s="2" t="s">
        <v>165</v>
      </c>
      <c r="H185" s="2" t="s">
        <v>94</v>
      </c>
      <c r="I185" s="2" t="s">
        <v>32</v>
      </c>
      <c r="J185" s="2" t="s">
        <v>65</v>
      </c>
      <c r="K185" s="2" t="s">
        <v>639</v>
      </c>
      <c r="L185" s="2" t="s">
        <v>60</v>
      </c>
      <c r="M185" s="2" t="n">
        <v>5</v>
      </c>
      <c r="N185" s="2" t="s">
        <v>53</v>
      </c>
      <c r="O185" s="2" t="s">
        <v>89</v>
      </c>
      <c r="P185" s="2" t="n">
        <v>4</v>
      </c>
      <c r="Q185" s="2" t="s">
        <v>34</v>
      </c>
      <c r="R185" s="2" t="s">
        <v>34</v>
      </c>
      <c r="S185" s="2" t="s">
        <v>640</v>
      </c>
      <c r="T185" s="2" t="s">
        <v>641</v>
      </c>
      <c r="U185" s="1"/>
      <c r="V185" s="1"/>
      <c r="W185" s="1"/>
      <c r="X185" s="1"/>
      <c r="Y185" s="1"/>
      <c r="Z185" s="1"/>
      <c r="AA185" s="1"/>
      <c r="AB185" s="1"/>
    </row>
    <row r="186" customFormat="false" ht="15.75" hidden="false" customHeight="false" outlineLevel="0" collapsed="false">
      <c r="A186" s="3" t="n">
        <v>43636.4088479745</v>
      </c>
      <c r="B186" s="2" t="s">
        <v>642</v>
      </c>
      <c r="C186" s="2" t="s">
        <v>23</v>
      </c>
      <c r="D186" s="2" t="s">
        <v>24</v>
      </c>
      <c r="E186" s="2" t="n">
        <v>5</v>
      </c>
      <c r="F186" s="2" t="s">
        <v>643</v>
      </c>
      <c r="G186" s="2" t="s">
        <v>644</v>
      </c>
      <c r="H186" s="2" t="s">
        <v>27</v>
      </c>
      <c r="I186" s="2" t="s">
        <v>32</v>
      </c>
      <c r="J186" s="2" t="s">
        <v>65</v>
      </c>
      <c r="K186" s="2" t="s">
        <v>204</v>
      </c>
      <c r="L186" s="2" t="s">
        <v>31</v>
      </c>
      <c r="M186" s="2" t="n">
        <v>5</v>
      </c>
      <c r="N186" s="2" t="s">
        <v>53</v>
      </c>
      <c r="O186" s="2" t="s">
        <v>89</v>
      </c>
      <c r="P186" s="2" t="n">
        <v>1</v>
      </c>
      <c r="Q186" s="2" t="s">
        <v>54</v>
      </c>
      <c r="R186" s="2" t="s">
        <v>34</v>
      </c>
      <c r="S186" s="2" t="s">
        <v>645</v>
      </c>
      <c r="T186" s="2" t="s">
        <v>399</v>
      </c>
      <c r="U186" s="1"/>
      <c r="V186" s="1"/>
      <c r="W186" s="1"/>
      <c r="X186" s="1"/>
      <c r="Y186" s="1"/>
      <c r="Z186" s="1"/>
      <c r="AA186" s="1"/>
      <c r="AB186" s="1"/>
    </row>
    <row r="187" customFormat="false" ht="15.75" hidden="false" customHeight="false" outlineLevel="0" collapsed="false">
      <c r="A187" s="3" t="n">
        <v>43636.4103638889</v>
      </c>
      <c r="B187" s="2" t="s">
        <v>646</v>
      </c>
      <c r="C187" s="2" t="s">
        <v>23</v>
      </c>
      <c r="D187" s="2" t="s">
        <v>24</v>
      </c>
      <c r="E187" s="2" t="n">
        <v>4</v>
      </c>
      <c r="F187" s="2" t="s">
        <v>48</v>
      </c>
      <c r="G187" s="2" t="s">
        <v>242</v>
      </c>
      <c r="H187" s="2" t="s">
        <v>50</v>
      </c>
      <c r="I187" s="2" t="s">
        <v>32</v>
      </c>
      <c r="J187" s="2" t="s">
        <v>51</v>
      </c>
      <c r="K187" s="2" t="s">
        <v>30</v>
      </c>
      <c r="L187" s="2" t="s">
        <v>43</v>
      </c>
      <c r="M187" s="2" t="n">
        <v>5</v>
      </c>
      <c r="N187" s="2" t="s">
        <v>53</v>
      </c>
      <c r="O187" s="2" t="s">
        <v>89</v>
      </c>
      <c r="P187" s="2" t="n">
        <v>1</v>
      </c>
      <c r="Q187" s="2" t="s">
        <v>34</v>
      </c>
      <c r="R187" s="2" t="s">
        <v>34</v>
      </c>
      <c r="S187" s="2" t="s">
        <v>645</v>
      </c>
      <c r="T187" s="2" t="s">
        <v>647</v>
      </c>
      <c r="U187" s="1"/>
      <c r="V187" s="1"/>
      <c r="W187" s="1"/>
      <c r="X187" s="1"/>
      <c r="Y187" s="1"/>
      <c r="Z187" s="1"/>
      <c r="AA187" s="1"/>
      <c r="AB187" s="1"/>
    </row>
    <row r="188" customFormat="false" ht="15.75" hidden="false" customHeight="false" outlineLevel="0" collapsed="false">
      <c r="A188" s="3" t="n">
        <v>43636.4612134028</v>
      </c>
      <c r="B188" s="2" t="s">
        <v>648</v>
      </c>
      <c r="C188" s="2" t="s">
        <v>23</v>
      </c>
      <c r="D188" s="2" t="s">
        <v>24</v>
      </c>
      <c r="E188" s="2" t="n">
        <v>4</v>
      </c>
      <c r="F188" s="2" t="s">
        <v>203</v>
      </c>
      <c r="G188" s="2" t="s">
        <v>77</v>
      </c>
      <c r="H188" s="2" t="s">
        <v>50</v>
      </c>
      <c r="I188" s="2" t="s">
        <v>32</v>
      </c>
      <c r="J188" s="2" t="s">
        <v>65</v>
      </c>
      <c r="K188" s="2" t="s">
        <v>88</v>
      </c>
      <c r="L188" s="2" t="s">
        <v>72</v>
      </c>
      <c r="M188" s="2" t="n">
        <v>8</v>
      </c>
      <c r="N188" s="2" t="s">
        <v>32</v>
      </c>
      <c r="O188" s="2" t="s">
        <v>45</v>
      </c>
      <c r="P188" s="2" t="n">
        <v>1</v>
      </c>
      <c r="Q188" s="2" t="s">
        <v>34</v>
      </c>
      <c r="R188" s="2" t="s">
        <v>34</v>
      </c>
      <c r="S188" s="2" t="s">
        <v>649</v>
      </c>
      <c r="T188" s="2" t="s">
        <v>650</v>
      </c>
      <c r="U188" s="1"/>
      <c r="V188" s="1"/>
      <c r="W188" s="1"/>
      <c r="X188" s="1"/>
      <c r="Y188" s="1"/>
      <c r="Z188" s="1"/>
      <c r="AA188" s="1"/>
      <c r="AB188" s="1"/>
    </row>
    <row r="189" customFormat="false" ht="15.75" hidden="false" customHeight="false" outlineLevel="0" collapsed="false">
      <c r="A189" s="3" t="n">
        <v>43636.4746316435</v>
      </c>
      <c r="B189" s="2" t="s">
        <v>651</v>
      </c>
      <c r="C189" s="2" t="s">
        <v>23</v>
      </c>
      <c r="D189" s="2" t="s">
        <v>24</v>
      </c>
      <c r="E189" s="2" t="n">
        <v>5</v>
      </c>
      <c r="F189" s="2" t="s">
        <v>652</v>
      </c>
      <c r="G189" s="2" t="s">
        <v>523</v>
      </c>
      <c r="H189" s="2" t="s">
        <v>27</v>
      </c>
      <c r="I189" s="2" t="s">
        <v>53</v>
      </c>
      <c r="J189" s="2" t="s">
        <v>29</v>
      </c>
      <c r="K189" s="2" t="s">
        <v>42</v>
      </c>
      <c r="L189" s="2" t="s">
        <v>43</v>
      </c>
      <c r="M189" s="2" t="n">
        <v>7</v>
      </c>
      <c r="N189" s="2" t="s">
        <v>53</v>
      </c>
      <c r="O189" s="2" t="s">
        <v>45</v>
      </c>
      <c r="P189" s="2" t="n">
        <v>1</v>
      </c>
      <c r="Q189" s="2" t="s">
        <v>34</v>
      </c>
      <c r="R189" s="2" t="s">
        <v>34</v>
      </c>
      <c r="S189" s="2" t="s">
        <v>645</v>
      </c>
      <c r="T189" s="2" t="s">
        <v>653</v>
      </c>
      <c r="U189" s="1"/>
      <c r="V189" s="1"/>
      <c r="W189" s="1"/>
      <c r="X189" s="1"/>
      <c r="Y189" s="1"/>
      <c r="Z189" s="1"/>
      <c r="AA189" s="1"/>
      <c r="AB189" s="1"/>
    </row>
    <row r="190" customFormat="false" ht="15.75" hidden="false" customHeight="false" outlineLevel="0" collapsed="false">
      <c r="A190" s="3" t="n">
        <v>43636.4812642245</v>
      </c>
      <c r="B190" s="2" t="s">
        <v>654</v>
      </c>
      <c r="C190" s="2" t="s">
        <v>23</v>
      </c>
      <c r="D190" s="2" t="s">
        <v>24</v>
      </c>
      <c r="E190" s="2" t="n">
        <v>4</v>
      </c>
      <c r="F190" s="2" t="s">
        <v>655</v>
      </c>
      <c r="G190" s="2" t="s">
        <v>105</v>
      </c>
      <c r="H190" s="2" t="s">
        <v>50</v>
      </c>
      <c r="I190" s="2" t="s">
        <v>32</v>
      </c>
      <c r="J190" s="2" t="s">
        <v>29</v>
      </c>
      <c r="K190" s="2" t="s">
        <v>42</v>
      </c>
      <c r="L190" s="2" t="s">
        <v>31</v>
      </c>
      <c r="M190" s="2" t="n">
        <v>7</v>
      </c>
      <c r="N190" s="2" t="s">
        <v>53</v>
      </c>
      <c r="O190" s="2" t="s">
        <v>89</v>
      </c>
      <c r="P190" s="2" t="n">
        <v>1</v>
      </c>
      <c r="Q190" s="2" t="s">
        <v>34</v>
      </c>
      <c r="R190" s="2" t="s">
        <v>34</v>
      </c>
      <c r="S190" s="2" t="s">
        <v>645</v>
      </c>
      <c r="T190" s="2" t="s">
        <v>656</v>
      </c>
      <c r="U190" s="1"/>
      <c r="V190" s="1"/>
      <c r="W190" s="1"/>
      <c r="X190" s="1"/>
      <c r="Y190" s="1"/>
      <c r="Z190" s="1"/>
      <c r="AA190" s="1"/>
      <c r="AB190" s="1"/>
    </row>
    <row r="191" customFormat="false" ht="15.75" hidden="false" customHeight="false" outlineLevel="0" collapsed="false">
      <c r="A191" s="3" t="n">
        <v>43636.6328167824</v>
      </c>
      <c r="B191" s="2" t="s">
        <v>657</v>
      </c>
      <c r="C191" s="2" t="s">
        <v>23</v>
      </c>
      <c r="D191" s="2" t="s">
        <v>176</v>
      </c>
      <c r="E191" s="2" t="n">
        <v>5</v>
      </c>
      <c r="F191" s="2" t="s">
        <v>382</v>
      </c>
      <c r="G191" s="2" t="s">
        <v>178</v>
      </c>
      <c r="H191" s="2" t="s">
        <v>50</v>
      </c>
      <c r="I191" s="2" t="s">
        <v>28</v>
      </c>
      <c r="J191" s="2" t="s">
        <v>29</v>
      </c>
      <c r="K191" s="2" t="s">
        <v>658</v>
      </c>
      <c r="L191" s="2" t="s">
        <v>43</v>
      </c>
      <c r="M191" s="2" t="n">
        <v>7</v>
      </c>
      <c r="N191" s="2" t="s">
        <v>66</v>
      </c>
      <c r="O191" s="2" t="s">
        <v>89</v>
      </c>
      <c r="P191" s="2" t="n">
        <v>1</v>
      </c>
      <c r="Q191" s="2" t="s">
        <v>34</v>
      </c>
      <c r="R191" s="2" t="s">
        <v>34</v>
      </c>
      <c r="S191" s="2" t="s">
        <v>546</v>
      </c>
      <c r="T191" s="2" t="s">
        <v>659</v>
      </c>
      <c r="U191" s="1"/>
      <c r="V191" s="1"/>
      <c r="W191" s="1"/>
      <c r="X191" s="1"/>
      <c r="Y191" s="1"/>
      <c r="Z191" s="1"/>
      <c r="AA191" s="1"/>
      <c r="AB191" s="1"/>
    </row>
    <row r="192" customFormat="false" ht="15.75" hidden="false" customHeight="false" outlineLevel="0" collapsed="false">
      <c r="A192" s="3" t="n">
        <v>43636.6373899074</v>
      </c>
      <c r="B192" s="2" t="s">
        <v>660</v>
      </c>
      <c r="C192" s="2" t="s">
        <v>23</v>
      </c>
      <c r="D192" s="2" t="s">
        <v>38</v>
      </c>
      <c r="E192" s="2" t="n">
        <v>5</v>
      </c>
      <c r="F192" s="2" t="s">
        <v>661</v>
      </c>
      <c r="G192" s="2" t="s">
        <v>178</v>
      </c>
      <c r="H192" s="2" t="s">
        <v>41</v>
      </c>
      <c r="I192" s="2" t="s">
        <v>32</v>
      </c>
      <c r="J192" s="2" t="s">
        <v>29</v>
      </c>
      <c r="K192" s="2" t="s">
        <v>78</v>
      </c>
      <c r="L192" s="2" t="s">
        <v>31</v>
      </c>
      <c r="M192" s="2" t="n">
        <v>1</v>
      </c>
      <c r="N192" s="2" t="s">
        <v>32</v>
      </c>
      <c r="O192" s="2" t="s">
        <v>45</v>
      </c>
      <c r="P192" s="2" t="n">
        <v>1</v>
      </c>
      <c r="Q192" s="2" t="s">
        <v>54</v>
      </c>
      <c r="R192" s="2" t="s">
        <v>34</v>
      </c>
      <c r="S192" s="2" t="s">
        <v>546</v>
      </c>
      <c r="T192" s="2" t="s">
        <v>662</v>
      </c>
      <c r="U192" s="1"/>
      <c r="V192" s="1"/>
      <c r="W192" s="1"/>
      <c r="X192" s="1"/>
      <c r="Y192" s="1"/>
      <c r="Z192" s="1"/>
      <c r="AA192" s="1"/>
      <c r="AB192" s="1"/>
    </row>
    <row r="193" customFormat="false" ht="15.75" hidden="false" customHeight="false" outlineLevel="0" collapsed="false">
      <c r="A193" s="3" t="n">
        <v>43636.6450725463</v>
      </c>
      <c r="B193" s="2" t="s">
        <v>663</v>
      </c>
      <c r="C193" s="2" t="s">
        <v>23</v>
      </c>
      <c r="D193" s="2" t="s">
        <v>24</v>
      </c>
      <c r="E193" s="2" t="n">
        <v>2</v>
      </c>
      <c r="F193" s="2" t="s">
        <v>203</v>
      </c>
      <c r="G193" s="2" t="s">
        <v>77</v>
      </c>
      <c r="H193" s="2" t="s">
        <v>41</v>
      </c>
      <c r="I193" s="2" t="s">
        <v>53</v>
      </c>
      <c r="J193" s="2" t="s">
        <v>29</v>
      </c>
      <c r="K193" s="2" t="s">
        <v>414</v>
      </c>
      <c r="L193" s="2" t="s">
        <v>60</v>
      </c>
      <c r="M193" s="2" t="n">
        <v>7</v>
      </c>
      <c r="N193" s="2" t="s">
        <v>32</v>
      </c>
      <c r="O193" s="2" t="s">
        <v>45</v>
      </c>
      <c r="P193" s="2" t="n">
        <v>1</v>
      </c>
      <c r="Q193" s="2" t="s">
        <v>34</v>
      </c>
      <c r="R193" s="2" t="s">
        <v>34</v>
      </c>
      <c r="S193" s="2" t="s">
        <v>664</v>
      </c>
      <c r="T193" s="2" t="s">
        <v>665</v>
      </c>
      <c r="U193" s="1"/>
      <c r="V193" s="1"/>
      <c r="W193" s="1"/>
      <c r="X193" s="1"/>
      <c r="Y193" s="1"/>
      <c r="Z193" s="1"/>
      <c r="AA193" s="1"/>
      <c r="AB193" s="1"/>
    </row>
    <row r="194" customFormat="false" ht="15.75" hidden="false" customHeight="false" outlineLevel="0" collapsed="false">
      <c r="A194" s="3" t="n">
        <v>43636.6804567824</v>
      </c>
      <c r="B194" s="2" t="s">
        <v>666</v>
      </c>
      <c r="C194" s="2" t="s">
        <v>75</v>
      </c>
      <c r="D194" s="2" t="s">
        <v>24</v>
      </c>
      <c r="E194" s="2" t="n">
        <v>2</v>
      </c>
      <c r="F194" s="2" t="s">
        <v>81</v>
      </c>
      <c r="G194" s="2" t="s">
        <v>105</v>
      </c>
      <c r="H194" s="2" t="s">
        <v>50</v>
      </c>
      <c r="I194" s="2" t="s">
        <v>32</v>
      </c>
      <c r="J194" s="2" t="s">
        <v>51</v>
      </c>
      <c r="K194" s="2" t="s">
        <v>42</v>
      </c>
      <c r="L194" s="2" t="s">
        <v>31</v>
      </c>
      <c r="M194" s="2" t="n">
        <v>4</v>
      </c>
      <c r="N194" s="2" t="s">
        <v>53</v>
      </c>
      <c r="O194" s="2" t="s">
        <v>89</v>
      </c>
      <c r="P194" s="2" t="n">
        <v>1</v>
      </c>
      <c r="Q194" s="2" t="s">
        <v>34</v>
      </c>
      <c r="R194" s="2" t="s">
        <v>34</v>
      </c>
      <c r="S194" s="2" t="s">
        <v>667</v>
      </c>
      <c r="T194" s="2" t="s">
        <v>668</v>
      </c>
      <c r="U194" s="1"/>
      <c r="V194" s="1"/>
      <c r="W194" s="1"/>
      <c r="X194" s="1"/>
      <c r="Y194" s="1"/>
      <c r="Z194" s="1"/>
      <c r="AA194" s="1"/>
      <c r="AB194" s="1"/>
    </row>
    <row r="195" customFormat="false" ht="15.75" hidden="false" customHeight="false" outlineLevel="0" collapsed="false">
      <c r="A195" s="3" t="n">
        <v>43636.7190929167</v>
      </c>
      <c r="B195" s="2" t="s">
        <v>669</v>
      </c>
      <c r="C195" s="2" t="s">
        <v>99</v>
      </c>
      <c r="D195" s="2" t="s">
        <v>24</v>
      </c>
      <c r="E195" s="2" t="n">
        <v>3</v>
      </c>
      <c r="F195" s="2" t="s">
        <v>385</v>
      </c>
      <c r="G195" s="2" t="s">
        <v>77</v>
      </c>
      <c r="H195" s="2" t="s">
        <v>50</v>
      </c>
      <c r="I195" s="2" t="s">
        <v>94</v>
      </c>
      <c r="J195" s="2" t="s">
        <v>51</v>
      </c>
      <c r="K195" s="2" t="s">
        <v>52</v>
      </c>
      <c r="L195" s="2" t="s">
        <v>43</v>
      </c>
      <c r="M195" s="2" t="n">
        <v>7</v>
      </c>
      <c r="N195" s="2" t="s">
        <v>53</v>
      </c>
      <c r="O195" s="2" t="s">
        <v>33</v>
      </c>
      <c r="P195" s="2" t="n">
        <v>1</v>
      </c>
      <c r="Q195" s="2" t="s">
        <v>34</v>
      </c>
      <c r="R195" s="2" t="s">
        <v>34</v>
      </c>
      <c r="S195" s="2" t="s">
        <v>670</v>
      </c>
      <c r="T195" s="2" t="s">
        <v>671</v>
      </c>
      <c r="U195" s="1"/>
      <c r="V195" s="1"/>
      <c r="W195" s="1"/>
      <c r="X195" s="1"/>
      <c r="Y195" s="1"/>
      <c r="Z195" s="1"/>
      <c r="AA195" s="1"/>
      <c r="AB195" s="1"/>
    </row>
    <row r="196" customFormat="false" ht="15.75" hidden="false" customHeight="false" outlineLevel="0" collapsed="false">
      <c r="A196" s="3" t="n">
        <v>43636.7192978704</v>
      </c>
      <c r="B196" s="2" t="s">
        <v>672</v>
      </c>
      <c r="C196" s="2" t="s">
        <v>23</v>
      </c>
      <c r="D196" s="2" t="s">
        <v>24</v>
      </c>
      <c r="E196" s="2" t="n">
        <v>4</v>
      </c>
      <c r="F196" s="2" t="s">
        <v>385</v>
      </c>
      <c r="G196" s="2" t="s">
        <v>77</v>
      </c>
      <c r="H196" s="2" t="s">
        <v>41</v>
      </c>
      <c r="I196" s="2" t="s">
        <v>32</v>
      </c>
      <c r="J196" s="2" t="s">
        <v>29</v>
      </c>
      <c r="K196" s="2" t="s">
        <v>389</v>
      </c>
      <c r="L196" s="2" t="s">
        <v>43</v>
      </c>
      <c r="M196" s="2" t="n">
        <v>5</v>
      </c>
      <c r="N196" s="2" t="s">
        <v>53</v>
      </c>
      <c r="O196" s="2" t="s">
        <v>45</v>
      </c>
      <c r="P196" s="2" t="n">
        <v>1</v>
      </c>
      <c r="Q196" s="2" t="s">
        <v>34</v>
      </c>
      <c r="R196" s="2" t="s">
        <v>34</v>
      </c>
      <c r="S196" s="2" t="s">
        <v>673</v>
      </c>
      <c r="T196" s="2" t="s">
        <v>674</v>
      </c>
      <c r="U196" s="1"/>
      <c r="V196" s="1"/>
      <c r="W196" s="1"/>
      <c r="X196" s="1"/>
      <c r="Y196" s="1"/>
      <c r="Z196" s="1"/>
      <c r="AA196" s="1"/>
      <c r="AB196" s="1"/>
    </row>
    <row r="197" customFormat="false" ht="15.75" hidden="false" customHeight="false" outlineLevel="0" collapsed="false">
      <c r="A197" s="3" t="n">
        <v>43636.7206226852</v>
      </c>
      <c r="B197" s="2" t="s">
        <v>675</v>
      </c>
      <c r="C197" s="2" t="s">
        <v>75</v>
      </c>
      <c r="D197" s="2" t="s">
        <v>38</v>
      </c>
      <c r="E197" s="2" t="n">
        <v>5</v>
      </c>
      <c r="F197" s="2" t="s">
        <v>676</v>
      </c>
      <c r="G197" s="2" t="s">
        <v>677</v>
      </c>
      <c r="H197" s="2" t="s">
        <v>27</v>
      </c>
      <c r="I197" s="2" t="s">
        <v>32</v>
      </c>
      <c r="J197" s="2" t="s">
        <v>65</v>
      </c>
      <c r="K197" s="2" t="s">
        <v>678</v>
      </c>
      <c r="L197" s="2" t="s">
        <v>31</v>
      </c>
      <c r="M197" s="2" t="n">
        <v>10</v>
      </c>
      <c r="N197" s="2" t="s">
        <v>44</v>
      </c>
      <c r="O197" s="2" t="s">
        <v>33</v>
      </c>
      <c r="P197" s="2" t="n">
        <v>3</v>
      </c>
      <c r="Q197" s="2" t="s">
        <v>34</v>
      </c>
      <c r="R197" s="2" t="s">
        <v>34</v>
      </c>
      <c r="S197" s="2" t="s">
        <v>679</v>
      </c>
      <c r="T197" s="2" t="s">
        <v>680</v>
      </c>
      <c r="U197" s="1"/>
      <c r="V197" s="1"/>
      <c r="W197" s="1"/>
      <c r="X197" s="1"/>
      <c r="Y197" s="1"/>
      <c r="Z197" s="1"/>
      <c r="AA197" s="1"/>
      <c r="AB197" s="1"/>
    </row>
    <row r="198" customFormat="false" ht="15.75" hidden="false" customHeight="false" outlineLevel="0" collapsed="false">
      <c r="A198" s="3" t="n">
        <v>43636.7769742593</v>
      </c>
      <c r="B198" s="2" t="s">
        <v>681</v>
      </c>
      <c r="C198" s="2" t="s">
        <v>23</v>
      </c>
      <c r="D198" s="2" t="s">
        <v>38</v>
      </c>
      <c r="E198" s="2" t="n">
        <v>3</v>
      </c>
      <c r="F198" s="2" t="s">
        <v>682</v>
      </c>
      <c r="G198" s="2" t="s">
        <v>64</v>
      </c>
      <c r="H198" s="2" t="s">
        <v>41</v>
      </c>
      <c r="I198" s="2" t="s">
        <v>32</v>
      </c>
      <c r="J198" s="2" t="s">
        <v>29</v>
      </c>
      <c r="K198" s="2" t="s">
        <v>30</v>
      </c>
      <c r="L198" s="2" t="s">
        <v>31</v>
      </c>
      <c r="M198" s="2" t="n">
        <v>8</v>
      </c>
      <c r="N198" s="2" t="s">
        <v>53</v>
      </c>
      <c r="O198" s="2" t="s">
        <v>33</v>
      </c>
      <c r="P198" s="2" t="n">
        <v>2</v>
      </c>
      <c r="Q198" s="2" t="s">
        <v>54</v>
      </c>
      <c r="R198" s="2" t="s">
        <v>34</v>
      </c>
      <c r="S198" s="2" t="s">
        <v>683</v>
      </c>
      <c r="T198" s="2" t="s">
        <v>684</v>
      </c>
      <c r="U198" s="1"/>
      <c r="V198" s="1"/>
      <c r="W198" s="1"/>
      <c r="X198" s="1"/>
      <c r="Y198" s="1"/>
      <c r="Z198" s="1"/>
      <c r="AA198" s="1"/>
      <c r="AB198" s="1"/>
    </row>
    <row r="199" customFormat="false" ht="15.75" hidden="false" customHeight="false" outlineLevel="0" collapsed="false">
      <c r="A199" s="3" t="n">
        <v>43636.7956720833</v>
      </c>
      <c r="B199" s="2" t="s">
        <v>685</v>
      </c>
      <c r="C199" s="2" t="s">
        <v>99</v>
      </c>
      <c r="D199" s="2" t="s">
        <v>38</v>
      </c>
      <c r="E199" s="2" t="n">
        <v>5</v>
      </c>
      <c r="F199" s="2" t="s">
        <v>363</v>
      </c>
      <c r="G199" s="2" t="s">
        <v>686</v>
      </c>
      <c r="H199" s="2" t="s">
        <v>27</v>
      </c>
      <c r="I199" s="2" t="s">
        <v>53</v>
      </c>
      <c r="J199" s="2" t="s">
        <v>29</v>
      </c>
      <c r="K199" s="2" t="s">
        <v>42</v>
      </c>
      <c r="L199" s="2" t="s">
        <v>31</v>
      </c>
      <c r="M199" s="2" t="n">
        <v>7</v>
      </c>
      <c r="N199" s="2" t="s">
        <v>53</v>
      </c>
      <c r="O199" s="2" t="s">
        <v>45</v>
      </c>
      <c r="P199" s="2" t="n">
        <v>2</v>
      </c>
      <c r="Q199" s="2" t="s">
        <v>54</v>
      </c>
      <c r="R199" s="2" t="s">
        <v>34</v>
      </c>
      <c r="S199" s="2" t="s">
        <v>687</v>
      </c>
      <c r="T199" s="2" t="s">
        <v>688</v>
      </c>
      <c r="U199" s="1"/>
      <c r="V199" s="1"/>
      <c r="W199" s="1"/>
      <c r="X199" s="1"/>
      <c r="Y199" s="1"/>
      <c r="Z199" s="1"/>
      <c r="AA199" s="1"/>
      <c r="AB199" s="1"/>
    </row>
    <row r="200" customFormat="false" ht="15.75" hidden="false" customHeight="false" outlineLevel="0" collapsed="false">
      <c r="A200" s="3" t="n">
        <v>43636.8506979051</v>
      </c>
      <c r="B200" s="2" t="s">
        <v>689</v>
      </c>
      <c r="C200" s="2" t="s">
        <v>23</v>
      </c>
      <c r="D200" s="2" t="s">
        <v>38</v>
      </c>
      <c r="E200" s="2" t="n">
        <v>1</v>
      </c>
      <c r="F200" s="2" t="s">
        <v>301</v>
      </c>
      <c r="G200" s="2" t="s">
        <v>105</v>
      </c>
      <c r="H200" s="2" t="s">
        <v>94</v>
      </c>
      <c r="I200" s="2" t="s">
        <v>53</v>
      </c>
      <c r="J200" s="2" t="s">
        <v>29</v>
      </c>
      <c r="K200" s="2" t="s">
        <v>42</v>
      </c>
      <c r="L200" s="2" t="s">
        <v>60</v>
      </c>
      <c r="M200" s="2" t="n">
        <v>7</v>
      </c>
      <c r="N200" s="2" t="s">
        <v>66</v>
      </c>
      <c r="O200" s="2" t="s">
        <v>89</v>
      </c>
      <c r="P200" s="2" t="n">
        <v>2</v>
      </c>
      <c r="Q200" s="2" t="s">
        <v>34</v>
      </c>
      <c r="R200" s="2" t="s">
        <v>34</v>
      </c>
      <c r="S200" s="2" t="s">
        <v>687</v>
      </c>
      <c r="T200" s="2" t="s">
        <v>690</v>
      </c>
      <c r="U200" s="1"/>
      <c r="V200" s="1"/>
      <c r="W200" s="1"/>
      <c r="X200" s="1"/>
      <c r="Y200" s="1"/>
      <c r="Z200" s="1"/>
      <c r="AA200" s="1"/>
      <c r="AB200" s="1"/>
    </row>
    <row r="201" customFormat="false" ht="15.75" hidden="false" customHeight="false" outlineLevel="0" collapsed="false">
      <c r="A201" s="3" t="n">
        <v>43636.8550290162</v>
      </c>
      <c r="B201" s="2" t="s">
        <v>691</v>
      </c>
      <c r="C201" s="2" t="s">
        <v>75</v>
      </c>
      <c r="D201" s="2" t="s">
        <v>24</v>
      </c>
      <c r="E201" s="2" t="n">
        <v>3</v>
      </c>
      <c r="F201" s="2" t="s">
        <v>583</v>
      </c>
      <c r="G201" s="2" t="s">
        <v>692</v>
      </c>
      <c r="H201" s="2" t="s">
        <v>94</v>
      </c>
      <c r="I201" s="2" t="s">
        <v>32</v>
      </c>
      <c r="J201" s="2" t="s">
        <v>65</v>
      </c>
      <c r="K201" s="2" t="s">
        <v>693</v>
      </c>
      <c r="L201" s="2" t="s">
        <v>43</v>
      </c>
      <c r="M201" s="2" t="n">
        <v>9</v>
      </c>
      <c r="N201" s="2" t="s">
        <v>32</v>
      </c>
      <c r="O201" s="2" t="s">
        <v>45</v>
      </c>
      <c r="P201" s="2" t="n">
        <v>5</v>
      </c>
      <c r="Q201" s="2" t="s">
        <v>34</v>
      </c>
      <c r="R201" s="2" t="s">
        <v>34</v>
      </c>
      <c r="S201" s="2" t="s">
        <v>694</v>
      </c>
      <c r="T201" s="2" t="s">
        <v>695</v>
      </c>
      <c r="U201" s="1"/>
      <c r="V201" s="1"/>
      <c r="W201" s="1"/>
      <c r="X201" s="1"/>
      <c r="Y201" s="1"/>
      <c r="Z201" s="1"/>
      <c r="AA201" s="1"/>
      <c r="AB201" s="1"/>
    </row>
    <row r="202" customFormat="false" ht="15.75" hidden="false" customHeight="false" outlineLevel="0" collapsed="false">
      <c r="A202" s="3" t="n">
        <v>43636.855053669</v>
      </c>
      <c r="B202" s="2" t="s">
        <v>696</v>
      </c>
      <c r="C202" s="2" t="s">
        <v>99</v>
      </c>
      <c r="D202" s="2" t="s">
        <v>232</v>
      </c>
      <c r="E202" s="2" t="n">
        <v>1</v>
      </c>
      <c r="F202" s="2" t="s">
        <v>697</v>
      </c>
      <c r="G202" s="2" t="s">
        <v>698</v>
      </c>
      <c r="H202" s="2" t="s">
        <v>41</v>
      </c>
      <c r="I202" s="2" t="s">
        <v>28</v>
      </c>
      <c r="J202" s="2" t="s">
        <v>29</v>
      </c>
      <c r="K202" s="2" t="s">
        <v>699</v>
      </c>
      <c r="L202" s="2" t="s">
        <v>60</v>
      </c>
      <c r="M202" s="2" t="n">
        <v>10</v>
      </c>
      <c r="N202" s="2" t="s">
        <v>53</v>
      </c>
      <c r="O202" s="2" t="s">
        <v>45</v>
      </c>
      <c r="P202" s="2" t="n">
        <v>2</v>
      </c>
      <c r="Q202" s="2" t="s">
        <v>34</v>
      </c>
      <c r="R202" s="2" t="s">
        <v>34</v>
      </c>
      <c r="S202" s="2" t="s">
        <v>694</v>
      </c>
      <c r="T202" s="2" t="s">
        <v>700</v>
      </c>
      <c r="U202" s="1"/>
      <c r="V202" s="1"/>
      <c r="W202" s="1"/>
      <c r="X202" s="1"/>
      <c r="Y202" s="1"/>
      <c r="Z202" s="1"/>
      <c r="AA202" s="1"/>
      <c r="AB202" s="1"/>
    </row>
    <row r="203" customFormat="false" ht="15.75" hidden="false" customHeight="false" outlineLevel="0" collapsed="false">
      <c r="A203" s="3" t="n">
        <v>43636.8566892014</v>
      </c>
      <c r="B203" s="2" t="s">
        <v>701</v>
      </c>
      <c r="C203" s="2" t="s">
        <v>99</v>
      </c>
      <c r="D203" s="2" t="s">
        <v>232</v>
      </c>
      <c r="E203" s="2" t="n">
        <v>5</v>
      </c>
      <c r="F203" s="2" t="s">
        <v>702</v>
      </c>
      <c r="G203" s="2" t="s">
        <v>703</v>
      </c>
      <c r="H203" s="2" t="s">
        <v>41</v>
      </c>
      <c r="I203" s="2" t="s">
        <v>53</v>
      </c>
      <c r="J203" s="2" t="s">
        <v>29</v>
      </c>
      <c r="K203" s="2" t="s">
        <v>59</v>
      </c>
      <c r="L203" s="2" t="s">
        <v>31</v>
      </c>
      <c r="M203" s="2" t="n">
        <v>10</v>
      </c>
      <c r="N203" s="2" t="s">
        <v>53</v>
      </c>
      <c r="O203" s="2" t="s">
        <v>45</v>
      </c>
      <c r="P203" s="2" t="n">
        <v>2</v>
      </c>
      <c r="Q203" s="2" t="s">
        <v>34</v>
      </c>
      <c r="R203" s="2" t="s">
        <v>34</v>
      </c>
      <c r="S203" s="2" t="s">
        <v>704</v>
      </c>
      <c r="T203" s="2" t="s">
        <v>705</v>
      </c>
      <c r="U203" s="1"/>
      <c r="V203" s="1"/>
      <c r="W203" s="1"/>
      <c r="X203" s="1"/>
      <c r="Y203" s="1"/>
      <c r="Z203" s="1"/>
      <c r="AA203" s="1"/>
      <c r="AB203" s="1"/>
    </row>
    <row r="204" customFormat="false" ht="15.75" hidden="false" customHeight="false" outlineLevel="0" collapsed="false">
      <c r="A204" s="3" t="n">
        <v>43636.858680463</v>
      </c>
      <c r="B204" s="2" t="s">
        <v>706</v>
      </c>
      <c r="C204" s="2" t="s">
        <v>23</v>
      </c>
      <c r="D204" s="2" t="s">
        <v>195</v>
      </c>
      <c r="E204" s="2" t="n">
        <v>5</v>
      </c>
      <c r="F204" s="2" t="s">
        <v>249</v>
      </c>
      <c r="G204" s="2" t="s">
        <v>707</v>
      </c>
      <c r="H204" s="2" t="s">
        <v>50</v>
      </c>
      <c r="I204" s="2" t="s">
        <v>32</v>
      </c>
      <c r="J204" s="2" t="s">
        <v>29</v>
      </c>
      <c r="K204" s="2" t="s">
        <v>708</v>
      </c>
      <c r="L204" s="2" t="s">
        <v>60</v>
      </c>
      <c r="M204" s="2" t="n">
        <v>7</v>
      </c>
      <c r="N204" s="2" t="s">
        <v>53</v>
      </c>
      <c r="O204" s="2" t="s">
        <v>45</v>
      </c>
      <c r="P204" s="2" t="n">
        <v>3</v>
      </c>
      <c r="Q204" s="2" t="s">
        <v>34</v>
      </c>
      <c r="R204" s="2" t="s">
        <v>34</v>
      </c>
      <c r="S204" s="2" t="s">
        <v>704</v>
      </c>
      <c r="T204" s="2" t="s">
        <v>709</v>
      </c>
      <c r="U204" s="1"/>
      <c r="V204" s="1"/>
      <c r="W204" s="1"/>
      <c r="X204" s="1"/>
      <c r="Y204" s="1"/>
      <c r="Z204" s="1"/>
      <c r="AA204" s="1"/>
      <c r="AB204" s="1"/>
    </row>
    <row r="205" customFormat="false" ht="15.75" hidden="false" customHeight="false" outlineLevel="0" collapsed="false">
      <c r="A205" s="3" t="n">
        <v>43636.8690104861</v>
      </c>
      <c r="B205" s="2" t="s">
        <v>710</v>
      </c>
      <c r="C205" s="2" t="s">
        <v>99</v>
      </c>
      <c r="D205" s="2" t="s">
        <v>232</v>
      </c>
      <c r="E205" s="2" t="n">
        <v>1</v>
      </c>
      <c r="F205" s="2" t="s">
        <v>711</v>
      </c>
      <c r="G205" s="2" t="s">
        <v>698</v>
      </c>
      <c r="H205" s="2" t="s">
        <v>41</v>
      </c>
      <c r="I205" s="2" t="s">
        <v>28</v>
      </c>
      <c r="J205" s="2" t="s">
        <v>264</v>
      </c>
      <c r="K205" s="2" t="s">
        <v>59</v>
      </c>
      <c r="L205" s="2" t="s">
        <v>31</v>
      </c>
      <c r="M205" s="2" t="n">
        <v>7</v>
      </c>
      <c r="N205" s="2" t="s">
        <v>32</v>
      </c>
      <c r="O205" s="2" t="s">
        <v>89</v>
      </c>
      <c r="P205" s="2" t="n">
        <v>1</v>
      </c>
      <c r="Q205" s="2" t="s">
        <v>34</v>
      </c>
      <c r="R205" s="2" t="s">
        <v>34</v>
      </c>
      <c r="S205" s="2" t="s">
        <v>573</v>
      </c>
      <c r="T205" s="2" t="s">
        <v>712</v>
      </c>
      <c r="U205" s="1"/>
      <c r="V205" s="1"/>
      <c r="W205" s="1"/>
      <c r="X205" s="1"/>
      <c r="Y205" s="1"/>
      <c r="Z205" s="1"/>
      <c r="AA205" s="1"/>
      <c r="AB205" s="1"/>
    </row>
    <row r="206" customFormat="false" ht="15.75" hidden="false" customHeight="false" outlineLevel="0" collapsed="false">
      <c r="A206" s="3" t="n">
        <v>43636.950237419</v>
      </c>
      <c r="B206" s="2" t="s">
        <v>713</v>
      </c>
      <c r="C206" s="2" t="s">
        <v>23</v>
      </c>
      <c r="D206" s="2" t="s">
        <v>218</v>
      </c>
      <c r="E206" s="2" t="n">
        <v>3</v>
      </c>
      <c r="F206" s="2" t="s">
        <v>714</v>
      </c>
      <c r="G206" s="2" t="s">
        <v>589</v>
      </c>
      <c r="H206" s="2" t="s">
        <v>50</v>
      </c>
      <c r="I206" s="2" t="s">
        <v>28</v>
      </c>
      <c r="J206" s="2" t="s">
        <v>264</v>
      </c>
      <c r="K206" s="2" t="s">
        <v>220</v>
      </c>
      <c r="L206" s="2" t="s">
        <v>31</v>
      </c>
      <c r="M206" s="2" t="n">
        <v>6</v>
      </c>
      <c r="N206" s="2" t="s">
        <v>53</v>
      </c>
      <c r="O206" s="2" t="s">
        <v>89</v>
      </c>
      <c r="P206" s="2" t="n">
        <v>1</v>
      </c>
      <c r="Q206" s="2" t="s">
        <v>34</v>
      </c>
      <c r="R206" s="2" t="s">
        <v>34</v>
      </c>
      <c r="S206" s="2" t="s">
        <v>715</v>
      </c>
      <c r="T206" s="2" t="s">
        <v>716</v>
      </c>
      <c r="U206" s="1"/>
      <c r="V206" s="1"/>
      <c r="W206" s="1"/>
      <c r="X206" s="1"/>
      <c r="Y206" s="1"/>
      <c r="Z206" s="1"/>
      <c r="AA206" s="1"/>
      <c r="AB206" s="1"/>
    </row>
    <row r="207" customFormat="false" ht="15.75" hidden="false" customHeight="false" outlineLevel="0" collapsed="false">
      <c r="A207" s="3" t="n">
        <v>43637.249897882</v>
      </c>
      <c r="B207" s="2" t="s">
        <v>717</v>
      </c>
      <c r="C207" s="2" t="s">
        <v>23</v>
      </c>
      <c r="D207" s="2" t="s">
        <v>176</v>
      </c>
      <c r="E207" s="2" t="n">
        <v>5</v>
      </c>
      <c r="F207" s="2" t="s">
        <v>586</v>
      </c>
      <c r="G207" s="2" t="s">
        <v>157</v>
      </c>
      <c r="H207" s="2" t="s">
        <v>50</v>
      </c>
      <c r="I207" s="2" t="s">
        <v>32</v>
      </c>
      <c r="J207" s="2" t="s">
        <v>29</v>
      </c>
      <c r="K207" s="2" t="s">
        <v>452</v>
      </c>
      <c r="L207" s="2" t="s">
        <v>31</v>
      </c>
      <c r="M207" s="2" t="n">
        <v>4</v>
      </c>
      <c r="N207" s="2" t="s">
        <v>32</v>
      </c>
      <c r="O207" s="2" t="s">
        <v>45</v>
      </c>
      <c r="P207" s="2" t="n">
        <v>1</v>
      </c>
      <c r="Q207" s="2" t="s">
        <v>54</v>
      </c>
      <c r="R207" s="2" t="s">
        <v>34</v>
      </c>
      <c r="S207" s="2" t="s">
        <v>718</v>
      </c>
      <c r="T207" s="2" t="s">
        <v>719</v>
      </c>
      <c r="U207" s="1"/>
      <c r="V207" s="1"/>
      <c r="W207" s="1"/>
      <c r="X207" s="1"/>
      <c r="Y207" s="1"/>
      <c r="Z207" s="1"/>
      <c r="AA207" s="1"/>
      <c r="AB207" s="1"/>
    </row>
    <row r="208" customFormat="false" ht="15.75" hidden="false" customHeight="false" outlineLevel="0" collapsed="false">
      <c r="A208" s="3" t="n">
        <v>43637.3542986921</v>
      </c>
      <c r="B208" s="2" t="s">
        <v>720</v>
      </c>
      <c r="C208" s="2" t="s">
        <v>75</v>
      </c>
      <c r="D208" s="2" t="s">
        <v>232</v>
      </c>
      <c r="E208" s="2" t="n">
        <v>2</v>
      </c>
      <c r="F208" s="2" t="s">
        <v>59</v>
      </c>
      <c r="G208" s="2" t="s">
        <v>71</v>
      </c>
      <c r="H208" s="2" t="s">
        <v>41</v>
      </c>
      <c r="I208" s="2" t="s">
        <v>32</v>
      </c>
      <c r="J208" s="2" t="s">
        <v>264</v>
      </c>
      <c r="K208" s="2" t="s">
        <v>325</v>
      </c>
      <c r="L208" s="2" t="s">
        <v>31</v>
      </c>
      <c r="M208" s="2" t="n">
        <v>10</v>
      </c>
      <c r="N208" s="2" t="s">
        <v>53</v>
      </c>
      <c r="O208" s="2" t="s">
        <v>45</v>
      </c>
      <c r="P208" s="2" t="n">
        <v>1</v>
      </c>
      <c r="Q208" s="2" t="s">
        <v>34</v>
      </c>
      <c r="R208" s="2" t="s">
        <v>34</v>
      </c>
      <c r="S208" s="2" t="s">
        <v>694</v>
      </c>
      <c r="T208" s="2" t="s">
        <v>721</v>
      </c>
      <c r="U208" s="1"/>
      <c r="V208" s="1"/>
      <c r="W208" s="1"/>
      <c r="X208" s="1"/>
      <c r="Y208" s="1"/>
      <c r="Z208" s="1"/>
      <c r="AA208" s="1"/>
      <c r="AB208" s="1"/>
    </row>
    <row r="209" customFormat="false" ht="15.75" hidden="false" customHeight="false" outlineLevel="0" collapsed="false">
      <c r="A209" s="3" t="n">
        <v>43637.4949411227</v>
      </c>
      <c r="B209" s="2" t="s">
        <v>722</v>
      </c>
      <c r="C209" s="2" t="s">
        <v>99</v>
      </c>
      <c r="D209" s="2" t="s">
        <v>218</v>
      </c>
      <c r="E209" s="2" t="n">
        <v>3</v>
      </c>
      <c r="F209" s="2" t="s">
        <v>723</v>
      </c>
      <c r="G209" s="2" t="s">
        <v>123</v>
      </c>
      <c r="H209" s="2" t="s">
        <v>50</v>
      </c>
      <c r="I209" s="2" t="s">
        <v>53</v>
      </c>
      <c r="J209" s="2" t="s">
        <v>65</v>
      </c>
      <c r="K209" s="2" t="s">
        <v>59</v>
      </c>
      <c r="L209" s="2" t="s">
        <v>31</v>
      </c>
      <c r="M209" s="2" t="n">
        <v>5</v>
      </c>
      <c r="N209" s="2" t="s">
        <v>53</v>
      </c>
      <c r="O209" s="2" t="s">
        <v>89</v>
      </c>
      <c r="P209" s="2" t="n">
        <v>2</v>
      </c>
      <c r="Q209" s="2" t="s">
        <v>54</v>
      </c>
      <c r="R209" s="2" t="s">
        <v>34</v>
      </c>
      <c r="S209" s="2" t="s">
        <v>465</v>
      </c>
      <c r="T209" s="2" t="s">
        <v>724</v>
      </c>
      <c r="U209" s="1"/>
      <c r="V209" s="1"/>
      <c r="W209" s="1"/>
      <c r="X209" s="1"/>
      <c r="Y209" s="1"/>
      <c r="Z209" s="1"/>
      <c r="AA209" s="1"/>
      <c r="AB209" s="1"/>
    </row>
    <row r="210" customFormat="false" ht="15.75" hidden="false" customHeight="false" outlineLevel="0" collapsed="false">
      <c r="A210" s="3" t="n">
        <v>43637.4964358912</v>
      </c>
      <c r="B210" s="2" t="s">
        <v>725</v>
      </c>
      <c r="C210" s="2" t="s">
        <v>75</v>
      </c>
      <c r="D210" s="2" t="s">
        <v>232</v>
      </c>
      <c r="E210" s="2" t="n">
        <v>2</v>
      </c>
      <c r="F210" s="2" t="s">
        <v>726</v>
      </c>
      <c r="G210" s="2" t="s">
        <v>634</v>
      </c>
      <c r="H210" s="2" t="s">
        <v>50</v>
      </c>
      <c r="I210" s="2" t="s">
        <v>28</v>
      </c>
      <c r="J210" s="2" t="s">
        <v>65</v>
      </c>
      <c r="K210" s="2" t="s">
        <v>727</v>
      </c>
      <c r="L210" s="2" t="s">
        <v>31</v>
      </c>
      <c r="M210" s="2" t="n">
        <v>8</v>
      </c>
      <c r="N210" s="2" t="s">
        <v>32</v>
      </c>
      <c r="O210" s="2" t="s">
        <v>33</v>
      </c>
      <c r="P210" s="2" t="n">
        <v>3</v>
      </c>
      <c r="Q210" s="2" t="s">
        <v>54</v>
      </c>
      <c r="R210" s="2" t="s">
        <v>34</v>
      </c>
      <c r="S210" s="2" t="s">
        <v>694</v>
      </c>
      <c r="T210" s="2" t="s">
        <v>728</v>
      </c>
      <c r="U210" s="1"/>
      <c r="V210" s="1"/>
      <c r="W210" s="1"/>
      <c r="X210" s="1"/>
      <c r="Y210" s="1"/>
      <c r="Z210" s="1"/>
      <c r="AA210" s="1"/>
      <c r="AB210" s="1"/>
    </row>
    <row r="211" customFormat="false" ht="15.75" hidden="false" customHeight="false" outlineLevel="0" collapsed="false">
      <c r="A211" s="3" t="n">
        <v>43637.5573260995</v>
      </c>
      <c r="B211" s="2" t="s">
        <v>729</v>
      </c>
      <c r="C211" s="2" t="s">
        <v>75</v>
      </c>
      <c r="D211" s="2" t="s">
        <v>218</v>
      </c>
      <c r="E211" s="2" t="n">
        <v>5</v>
      </c>
      <c r="F211" s="2" t="s">
        <v>156</v>
      </c>
      <c r="G211" s="2" t="s">
        <v>730</v>
      </c>
      <c r="H211" s="2" t="s">
        <v>41</v>
      </c>
      <c r="I211" s="2" t="s">
        <v>28</v>
      </c>
      <c r="J211" s="2" t="s">
        <v>264</v>
      </c>
      <c r="K211" s="2" t="s">
        <v>220</v>
      </c>
      <c r="L211" s="2" t="s">
        <v>31</v>
      </c>
      <c r="M211" s="2" t="n">
        <v>4</v>
      </c>
      <c r="N211" s="2" t="s">
        <v>66</v>
      </c>
      <c r="O211" s="2" t="s">
        <v>89</v>
      </c>
      <c r="P211" s="2" t="n">
        <v>1</v>
      </c>
      <c r="Q211" s="2" t="s">
        <v>54</v>
      </c>
      <c r="R211" s="2" t="s">
        <v>34</v>
      </c>
      <c r="S211" s="2" t="s">
        <v>731</v>
      </c>
      <c r="T211" s="2" t="s">
        <v>732</v>
      </c>
      <c r="U211" s="1"/>
      <c r="V211" s="1"/>
      <c r="W211" s="1"/>
      <c r="X211" s="1"/>
      <c r="Y211" s="1"/>
      <c r="Z211" s="1"/>
      <c r="AA211" s="1"/>
      <c r="AB211" s="1"/>
    </row>
    <row r="212" customFormat="false" ht="15.75" hidden="false" customHeight="false" outlineLevel="0" collapsed="false">
      <c r="A212" s="3" t="n">
        <v>43637.7323620139</v>
      </c>
      <c r="B212" s="2" t="s">
        <v>733</v>
      </c>
      <c r="C212" s="2" t="s">
        <v>23</v>
      </c>
      <c r="D212" s="2" t="s">
        <v>38</v>
      </c>
      <c r="E212" s="2" t="n">
        <v>3</v>
      </c>
      <c r="F212" s="2" t="s">
        <v>443</v>
      </c>
      <c r="G212" s="2" t="s">
        <v>64</v>
      </c>
      <c r="H212" s="2" t="s">
        <v>50</v>
      </c>
      <c r="I212" s="2" t="s">
        <v>53</v>
      </c>
      <c r="J212" s="2" t="s">
        <v>65</v>
      </c>
      <c r="K212" s="2" t="s">
        <v>325</v>
      </c>
      <c r="L212" s="2" t="s">
        <v>43</v>
      </c>
      <c r="M212" s="2" t="n">
        <v>10</v>
      </c>
      <c r="N212" s="2" t="s">
        <v>32</v>
      </c>
      <c r="O212" s="2" t="s">
        <v>89</v>
      </c>
      <c r="P212" s="2" t="n">
        <v>5</v>
      </c>
      <c r="Q212" s="2" t="s">
        <v>34</v>
      </c>
      <c r="R212" s="2" t="s">
        <v>34</v>
      </c>
      <c r="S212" s="2" t="s">
        <v>734</v>
      </c>
      <c r="T212" s="2" t="s">
        <v>735</v>
      </c>
      <c r="U212" s="1"/>
      <c r="V212" s="1"/>
      <c r="W212" s="1"/>
      <c r="X212" s="1"/>
      <c r="Y212" s="1"/>
      <c r="Z212" s="1"/>
      <c r="AA212" s="1"/>
      <c r="AB212" s="1"/>
    </row>
    <row r="213" customFormat="false" ht="15.75" hidden="false" customHeight="false" outlineLevel="0" collapsed="false">
      <c r="A213" s="3" t="n">
        <v>43637.8378921065</v>
      </c>
      <c r="B213" s="2" t="s">
        <v>736</v>
      </c>
      <c r="C213" s="2" t="s">
        <v>23</v>
      </c>
      <c r="D213" s="2" t="s">
        <v>218</v>
      </c>
      <c r="E213" s="2" t="n">
        <v>3</v>
      </c>
      <c r="F213" s="2" t="s">
        <v>737</v>
      </c>
      <c r="G213" s="2" t="s">
        <v>738</v>
      </c>
      <c r="H213" s="2" t="s">
        <v>41</v>
      </c>
      <c r="I213" s="2" t="s">
        <v>53</v>
      </c>
      <c r="J213" s="2" t="s">
        <v>29</v>
      </c>
      <c r="K213" s="2" t="s">
        <v>452</v>
      </c>
      <c r="L213" s="2" t="s">
        <v>43</v>
      </c>
      <c r="M213" s="2" t="n">
        <v>7</v>
      </c>
      <c r="N213" s="2" t="s">
        <v>53</v>
      </c>
      <c r="O213" s="2" t="s">
        <v>89</v>
      </c>
      <c r="P213" s="2" t="n">
        <v>1</v>
      </c>
      <c r="Q213" s="2" t="s">
        <v>34</v>
      </c>
      <c r="R213" s="2" t="s">
        <v>34</v>
      </c>
      <c r="S213" s="2" t="s">
        <v>739</v>
      </c>
      <c r="T213" s="2" t="s">
        <v>740</v>
      </c>
      <c r="U213" s="1"/>
      <c r="V213" s="1"/>
      <c r="W213" s="1"/>
      <c r="X213" s="1"/>
      <c r="Y213" s="1"/>
      <c r="Z213" s="1"/>
      <c r="AA213" s="1"/>
      <c r="AB213" s="1"/>
    </row>
    <row r="214" customFormat="false" ht="15.75" hidden="false" customHeight="false" outlineLevel="0" collapsed="false">
      <c r="A214" s="3" t="n">
        <v>43637.9321578241</v>
      </c>
      <c r="B214" s="2" t="s">
        <v>741</v>
      </c>
      <c r="C214" s="2" t="s">
        <v>23</v>
      </c>
      <c r="D214" s="2" t="s">
        <v>38</v>
      </c>
      <c r="E214" s="2" t="n">
        <v>5</v>
      </c>
      <c r="F214" s="2" t="s">
        <v>579</v>
      </c>
      <c r="G214" s="2" t="s">
        <v>105</v>
      </c>
      <c r="H214" s="2" t="s">
        <v>27</v>
      </c>
      <c r="I214" s="2" t="s">
        <v>32</v>
      </c>
      <c r="J214" s="2" t="s">
        <v>65</v>
      </c>
      <c r="K214" s="2" t="s">
        <v>30</v>
      </c>
      <c r="L214" s="2" t="s">
        <v>43</v>
      </c>
      <c r="M214" s="2" t="n">
        <v>9</v>
      </c>
      <c r="N214" s="2" t="s">
        <v>32</v>
      </c>
      <c r="O214" s="2" t="s">
        <v>33</v>
      </c>
      <c r="P214" s="2" t="n">
        <v>2</v>
      </c>
      <c r="Q214" s="2" t="s">
        <v>34</v>
      </c>
      <c r="R214" s="2" t="s">
        <v>34</v>
      </c>
      <c r="S214" s="2" t="s">
        <v>645</v>
      </c>
      <c r="T214" s="2" t="s">
        <v>742</v>
      </c>
      <c r="U214" s="1"/>
      <c r="V214" s="1"/>
      <c r="W214" s="1"/>
      <c r="X214" s="1"/>
      <c r="Y214" s="1"/>
      <c r="Z214" s="1"/>
      <c r="AA214" s="1"/>
      <c r="AB214" s="1"/>
    </row>
    <row r="215" customFormat="false" ht="15.75" hidden="false" customHeight="false" outlineLevel="0" collapsed="false">
      <c r="A215" s="3" t="n">
        <v>43637.9386971065</v>
      </c>
      <c r="B215" s="2" t="s">
        <v>743</v>
      </c>
      <c r="C215" s="2" t="s">
        <v>23</v>
      </c>
      <c r="D215" s="2" t="s">
        <v>24</v>
      </c>
      <c r="E215" s="2" t="n">
        <v>5</v>
      </c>
      <c r="F215" s="2" t="s">
        <v>744</v>
      </c>
      <c r="G215" s="2" t="s">
        <v>745</v>
      </c>
      <c r="H215" s="2" t="s">
        <v>27</v>
      </c>
      <c r="I215" s="2" t="s">
        <v>32</v>
      </c>
      <c r="J215" s="2" t="s">
        <v>65</v>
      </c>
      <c r="K215" s="2" t="s">
        <v>746</v>
      </c>
      <c r="L215" s="2" t="s">
        <v>31</v>
      </c>
      <c r="M215" s="2" t="n">
        <v>6</v>
      </c>
      <c r="N215" s="2" t="s">
        <v>53</v>
      </c>
      <c r="O215" s="2" t="s">
        <v>89</v>
      </c>
      <c r="P215" s="2" t="n">
        <v>1</v>
      </c>
      <c r="Q215" s="2" t="s">
        <v>34</v>
      </c>
      <c r="R215" s="2" t="s">
        <v>34</v>
      </c>
      <c r="S215" s="2" t="s">
        <v>747</v>
      </c>
      <c r="T215" s="2" t="s">
        <v>622</v>
      </c>
      <c r="U215" s="1"/>
      <c r="V215" s="1"/>
      <c r="W215" s="1"/>
      <c r="X215" s="1"/>
      <c r="Y215" s="1"/>
      <c r="Z215" s="1"/>
      <c r="AA215" s="1"/>
      <c r="AB215" s="1"/>
    </row>
    <row r="216" customFormat="false" ht="15.75" hidden="false" customHeight="false" outlineLevel="0" collapsed="false">
      <c r="A216" s="3" t="n">
        <v>43637.9389054514</v>
      </c>
      <c r="B216" s="2" t="s">
        <v>748</v>
      </c>
      <c r="C216" s="2" t="s">
        <v>23</v>
      </c>
      <c r="D216" s="2" t="s">
        <v>232</v>
      </c>
      <c r="E216" s="2" t="n">
        <v>3</v>
      </c>
      <c r="F216" s="2" t="s">
        <v>143</v>
      </c>
      <c r="G216" s="2" t="s">
        <v>463</v>
      </c>
      <c r="H216" s="2" t="s">
        <v>27</v>
      </c>
      <c r="I216" s="2" t="s">
        <v>32</v>
      </c>
      <c r="J216" s="2" t="s">
        <v>29</v>
      </c>
      <c r="K216" s="2" t="s">
        <v>140</v>
      </c>
      <c r="L216" s="2" t="s">
        <v>60</v>
      </c>
      <c r="M216" s="2" t="n">
        <v>3</v>
      </c>
      <c r="N216" s="2" t="s">
        <v>53</v>
      </c>
      <c r="O216" s="2" t="s">
        <v>597</v>
      </c>
      <c r="P216" s="2" t="n">
        <v>1</v>
      </c>
      <c r="Q216" s="2" t="s">
        <v>34</v>
      </c>
      <c r="R216" s="2" t="s">
        <v>34</v>
      </c>
      <c r="S216" s="2" t="s">
        <v>747</v>
      </c>
      <c r="T216" s="2" t="s">
        <v>749</v>
      </c>
      <c r="U216" s="1"/>
      <c r="V216" s="1"/>
      <c r="W216" s="1"/>
      <c r="X216" s="1"/>
      <c r="Y216" s="1"/>
      <c r="Z216" s="1"/>
      <c r="AA216" s="1"/>
      <c r="AB216" s="1"/>
    </row>
    <row r="217" customFormat="false" ht="15.75" hidden="false" customHeight="false" outlineLevel="0" collapsed="false">
      <c r="A217" s="3" t="n">
        <v>43637.939225162</v>
      </c>
      <c r="B217" s="2" t="s">
        <v>750</v>
      </c>
      <c r="C217" s="2" t="s">
        <v>23</v>
      </c>
      <c r="D217" s="2" t="s">
        <v>218</v>
      </c>
      <c r="E217" s="2" t="n">
        <v>1</v>
      </c>
      <c r="F217" s="2" t="s">
        <v>751</v>
      </c>
      <c r="G217" s="2" t="s">
        <v>752</v>
      </c>
      <c r="H217" s="2" t="s">
        <v>27</v>
      </c>
      <c r="I217" s="2" t="s">
        <v>28</v>
      </c>
      <c r="J217" s="2" t="s">
        <v>29</v>
      </c>
      <c r="K217" s="2" t="s">
        <v>220</v>
      </c>
      <c r="L217" s="2" t="s">
        <v>60</v>
      </c>
      <c r="M217" s="2" t="n">
        <v>1</v>
      </c>
      <c r="N217" s="2" t="s">
        <v>612</v>
      </c>
      <c r="O217" s="2" t="s">
        <v>597</v>
      </c>
      <c r="P217" s="2" t="n">
        <v>1</v>
      </c>
      <c r="Q217" s="2" t="s">
        <v>34</v>
      </c>
      <c r="R217" s="2" t="s">
        <v>34</v>
      </c>
      <c r="S217" s="2" t="s">
        <v>747</v>
      </c>
      <c r="T217" s="2" t="s">
        <v>680</v>
      </c>
      <c r="U217" s="1"/>
      <c r="V217" s="1"/>
      <c r="W217" s="1"/>
      <c r="X217" s="1"/>
      <c r="Y217" s="1"/>
      <c r="Z217" s="1"/>
      <c r="AA217" s="1"/>
      <c r="AB217" s="1"/>
    </row>
    <row r="218" customFormat="false" ht="15.75" hidden="false" customHeight="false" outlineLevel="0" collapsed="false">
      <c r="A218" s="3" t="n">
        <v>43637.9396856597</v>
      </c>
      <c r="B218" s="2" t="s">
        <v>753</v>
      </c>
      <c r="C218" s="2" t="s">
        <v>23</v>
      </c>
      <c r="D218" s="2" t="s">
        <v>232</v>
      </c>
      <c r="E218" s="2" t="n">
        <v>3</v>
      </c>
      <c r="F218" s="2" t="s">
        <v>754</v>
      </c>
      <c r="G218" s="2" t="s">
        <v>421</v>
      </c>
      <c r="H218" s="2" t="s">
        <v>27</v>
      </c>
      <c r="I218" s="2" t="s">
        <v>53</v>
      </c>
      <c r="J218" s="2" t="s">
        <v>29</v>
      </c>
      <c r="K218" s="2" t="s">
        <v>42</v>
      </c>
      <c r="L218" s="2" t="s">
        <v>60</v>
      </c>
      <c r="M218" s="2" t="n">
        <v>4</v>
      </c>
      <c r="N218" s="2" t="s">
        <v>53</v>
      </c>
      <c r="O218" s="2" t="s">
        <v>89</v>
      </c>
      <c r="P218" s="2" t="n">
        <v>1</v>
      </c>
      <c r="Q218" s="2" t="s">
        <v>34</v>
      </c>
      <c r="R218" s="2" t="s">
        <v>34</v>
      </c>
      <c r="S218" s="2" t="s">
        <v>747</v>
      </c>
      <c r="T218" s="2" t="s">
        <v>622</v>
      </c>
      <c r="U218" s="1"/>
      <c r="V218" s="1"/>
      <c r="W218" s="1"/>
      <c r="X218" s="1"/>
      <c r="Y218" s="1"/>
      <c r="Z218" s="1"/>
      <c r="AA218" s="1"/>
      <c r="AB218" s="1"/>
    </row>
    <row r="219" customFormat="false" ht="15.75" hidden="false" customHeight="false" outlineLevel="0" collapsed="false">
      <c r="A219" s="3" t="n">
        <v>43637.9398479514</v>
      </c>
      <c r="B219" s="2" t="s">
        <v>755</v>
      </c>
      <c r="C219" s="2" t="s">
        <v>23</v>
      </c>
      <c r="D219" s="2" t="s">
        <v>232</v>
      </c>
      <c r="E219" s="2" t="n">
        <v>2</v>
      </c>
      <c r="F219" s="2" t="s">
        <v>756</v>
      </c>
      <c r="G219" s="2" t="s">
        <v>686</v>
      </c>
      <c r="H219" s="2" t="s">
        <v>27</v>
      </c>
      <c r="I219" s="2" t="s">
        <v>53</v>
      </c>
      <c r="J219" s="2" t="s">
        <v>65</v>
      </c>
      <c r="K219" s="2" t="s">
        <v>389</v>
      </c>
      <c r="L219" s="2" t="s">
        <v>60</v>
      </c>
      <c r="M219" s="2" t="n">
        <v>1</v>
      </c>
      <c r="N219" s="2" t="s">
        <v>66</v>
      </c>
      <c r="O219" s="2" t="s">
        <v>89</v>
      </c>
      <c r="P219" s="2" t="n">
        <v>1</v>
      </c>
      <c r="Q219" s="2" t="s">
        <v>34</v>
      </c>
      <c r="R219" s="2" t="s">
        <v>34</v>
      </c>
      <c r="S219" s="2" t="s">
        <v>747</v>
      </c>
      <c r="T219" s="2" t="s">
        <v>757</v>
      </c>
      <c r="U219" s="1"/>
      <c r="V219" s="1"/>
      <c r="W219" s="1"/>
      <c r="X219" s="1"/>
      <c r="Y219" s="1"/>
      <c r="Z219" s="1"/>
      <c r="AA219" s="1"/>
      <c r="AB219" s="1"/>
    </row>
    <row r="220" customFormat="false" ht="15.75" hidden="false" customHeight="false" outlineLevel="0" collapsed="false">
      <c r="A220" s="3" t="n">
        <v>43638.6400508796</v>
      </c>
      <c r="B220" s="2" t="s">
        <v>758</v>
      </c>
      <c r="C220" s="2" t="s">
        <v>23</v>
      </c>
      <c r="D220" s="2" t="s">
        <v>176</v>
      </c>
      <c r="E220" s="2" t="n">
        <v>5</v>
      </c>
      <c r="F220" s="2" t="s">
        <v>759</v>
      </c>
      <c r="G220" s="2" t="s">
        <v>760</v>
      </c>
      <c r="H220" s="2" t="s">
        <v>27</v>
      </c>
      <c r="I220" s="2" t="s">
        <v>28</v>
      </c>
      <c r="J220" s="2" t="s">
        <v>29</v>
      </c>
      <c r="K220" s="2" t="s">
        <v>761</v>
      </c>
      <c r="L220" s="2" t="s">
        <v>72</v>
      </c>
      <c r="M220" s="2" t="n">
        <v>6</v>
      </c>
      <c r="N220" s="2" t="s">
        <v>32</v>
      </c>
      <c r="O220" s="2" t="s">
        <v>89</v>
      </c>
      <c r="P220" s="2" t="n">
        <v>1</v>
      </c>
      <c r="Q220" s="2" t="s">
        <v>34</v>
      </c>
      <c r="R220" s="2" t="s">
        <v>34</v>
      </c>
      <c r="S220" s="2" t="s">
        <v>460</v>
      </c>
      <c r="T220" s="2" t="s">
        <v>762</v>
      </c>
      <c r="U220" s="1"/>
      <c r="V220" s="1"/>
      <c r="W220" s="1"/>
      <c r="X220" s="1"/>
      <c r="Y220" s="1"/>
      <c r="Z220" s="1"/>
      <c r="AA220" s="1"/>
      <c r="AB220" s="1"/>
    </row>
    <row r="221" customFormat="false" ht="15.75" hidden="false" customHeight="false" outlineLevel="0" collapsed="false">
      <c r="A221" s="3" t="n">
        <v>43638.6645203009</v>
      </c>
      <c r="B221" s="2" t="s">
        <v>763</v>
      </c>
      <c r="C221" s="2" t="s">
        <v>23</v>
      </c>
      <c r="D221" s="2" t="s">
        <v>218</v>
      </c>
      <c r="E221" s="2" t="n">
        <v>3</v>
      </c>
      <c r="F221" s="2" t="s">
        <v>764</v>
      </c>
      <c r="G221" s="2" t="s">
        <v>541</v>
      </c>
      <c r="H221" s="2" t="s">
        <v>27</v>
      </c>
      <c r="I221" s="2" t="s">
        <v>28</v>
      </c>
      <c r="J221" s="2" t="s">
        <v>264</v>
      </c>
      <c r="K221" s="2" t="s">
        <v>59</v>
      </c>
      <c r="L221" s="2" t="s">
        <v>43</v>
      </c>
      <c r="M221" s="2" t="n">
        <v>1</v>
      </c>
      <c r="N221" s="2" t="s">
        <v>53</v>
      </c>
      <c r="O221" s="2" t="s">
        <v>89</v>
      </c>
      <c r="P221" s="2" t="n">
        <v>1</v>
      </c>
      <c r="Q221" s="2" t="s">
        <v>34</v>
      </c>
      <c r="R221" s="2" t="s">
        <v>34</v>
      </c>
      <c r="S221" s="2" t="s">
        <v>765</v>
      </c>
      <c r="T221" s="2" t="s">
        <v>766</v>
      </c>
      <c r="U221" s="1"/>
      <c r="V221" s="1"/>
      <c r="W221" s="1"/>
      <c r="X221" s="1"/>
      <c r="Y221" s="1"/>
      <c r="Z221" s="1"/>
      <c r="AA221" s="1"/>
      <c r="AB221" s="1"/>
    </row>
    <row r="222" customFormat="false" ht="15.75" hidden="false" customHeight="false" outlineLevel="0" collapsed="false">
      <c r="A222" s="3" t="n">
        <v>43638.6928370718</v>
      </c>
      <c r="B222" s="2" t="s">
        <v>767</v>
      </c>
      <c r="C222" s="2" t="s">
        <v>99</v>
      </c>
      <c r="D222" s="2" t="s">
        <v>218</v>
      </c>
      <c r="E222" s="2" t="n">
        <v>3</v>
      </c>
      <c r="F222" s="2" t="s">
        <v>436</v>
      </c>
      <c r="G222" s="2" t="s">
        <v>768</v>
      </c>
      <c r="H222" s="2" t="s">
        <v>41</v>
      </c>
      <c r="I222" s="2" t="s">
        <v>94</v>
      </c>
      <c r="J222" s="2" t="s">
        <v>65</v>
      </c>
      <c r="K222" s="2" t="s">
        <v>59</v>
      </c>
      <c r="L222" s="2" t="s">
        <v>43</v>
      </c>
      <c r="M222" s="2" t="n">
        <v>8</v>
      </c>
      <c r="N222" s="2" t="s">
        <v>53</v>
      </c>
      <c r="O222" s="2" t="s">
        <v>89</v>
      </c>
      <c r="P222" s="2" t="n">
        <v>2</v>
      </c>
      <c r="Q222" s="2" t="s">
        <v>54</v>
      </c>
      <c r="R222" s="2" t="s">
        <v>34</v>
      </c>
      <c r="S222" s="2" t="s">
        <v>731</v>
      </c>
      <c r="T222" s="2" t="s">
        <v>769</v>
      </c>
      <c r="U222" s="1"/>
      <c r="V222" s="1"/>
      <c r="W222" s="1"/>
      <c r="X222" s="1"/>
      <c r="Y222" s="1"/>
      <c r="Z222" s="1"/>
      <c r="AA222" s="1"/>
      <c r="AB222" s="1"/>
    </row>
    <row r="223" customFormat="false" ht="15.75" hidden="false" customHeight="false" outlineLevel="0" collapsed="false">
      <c r="A223" s="3" t="n">
        <v>43638.7200367361</v>
      </c>
      <c r="B223" s="2" t="s">
        <v>770</v>
      </c>
      <c r="C223" s="2" t="s">
        <v>75</v>
      </c>
      <c r="D223" s="2" t="s">
        <v>38</v>
      </c>
      <c r="E223" s="2" t="n">
        <v>3</v>
      </c>
      <c r="F223" s="2" t="s">
        <v>643</v>
      </c>
      <c r="G223" s="2" t="s">
        <v>287</v>
      </c>
      <c r="H223" s="2" t="s">
        <v>41</v>
      </c>
      <c r="I223" s="2" t="s">
        <v>53</v>
      </c>
      <c r="J223" s="2" t="s">
        <v>29</v>
      </c>
      <c r="K223" s="2" t="s">
        <v>42</v>
      </c>
      <c r="L223" s="2" t="s">
        <v>72</v>
      </c>
      <c r="M223" s="2" t="n">
        <v>7</v>
      </c>
      <c r="N223" s="2" t="s">
        <v>32</v>
      </c>
      <c r="O223" s="2" t="s">
        <v>45</v>
      </c>
      <c r="P223" s="2" t="n">
        <v>2</v>
      </c>
      <c r="Q223" s="2" t="s">
        <v>34</v>
      </c>
      <c r="R223" s="2" t="s">
        <v>34</v>
      </c>
      <c r="S223" s="2" t="s">
        <v>479</v>
      </c>
      <c r="T223" s="2" t="s">
        <v>55</v>
      </c>
      <c r="U223" s="1"/>
      <c r="V223" s="1"/>
      <c r="W223" s="1"/>
      <c r="X223" s="1"/>
      <c r="Y223" s="1"/>
      <c r="Z223" s="1"/>
      <c r="AA223" s="1"/>
      <c r="AB223" s="1"/>
    </row>
    <row r="224" customFormat="false" ht="15.75" hidden="false" customHeight="false" outlineLevel="0" collapsed="false">
      <c r="A224" s="3" t="n">
        <v>43638.816961794</v>
      </c>
      <c r="B224" s="2" t="s">
        <v>771</v>
      </c>
      <c r="C224" s="2" t="s">
        <v>23</v>
      </c>
      <c r="D224" s="2" t="s">
        <v>218</v>
      </c>
      <c r="E224" s="2" t="n">
        <v>4</v>
      </c>
      <c r="F224" s="2" t="s">
        <v>772</v>
      </c>
      <c r="G224" s="2" t="s">
        <v>64</v>
      </c>
      <c r="H224" s="2" t="s">
        <v>50</v>
      </c>
      <c r="I224" s="2" t="s">
        <v>94</v>
      </c>
      <c r="J224" s="2" t="s">
        <v>29</v>
      </c>
      <c r="K224" s="2" t="s">
        <v>88</v>
      </c>
      <c r="L224" s="2" t="s">
        <v>72</v>
      </c>
      <c r="M224" s="2" t="n">
        <v>2</v>
      </c>
      <c r="N224" s="2" t="s">
        <v>66</v>
      </c>
      <c r="O224" s="2" t="s">
        <v>89</v>
      </c>
      <c r="P224" s="2" t="n">
        <v>1</v>
      </c>
      <c r="Q224" s="2" t="s">
        <v>54</v>
      </c>
      <c r="R224" s="2" t="s">
        <v>34</v>
      </c>
      <c r="S224" s="2" t="s">
        <v>773</v>
      </c>
      <c r="T224" s="2" t="s">
        <v>774</v>
      </c>
      <c r="U224" s="1"/>
      <c r="V224" s="1"/>
      <c r="W224" s="1"/>
      <c r="X224" s="1"/>
      <c r="Y224" s="1"/>
      <c r="Z224" s="1"/>
      <c r="AA224" s="1"/>
      <c r="AB224" s="1"/>
    </row>
    <row r="225" customFormat="false" ht="15.75" hidden="false" customHeight="false" outlineLevel="0" collapsed="false">
      <c r="A225" s="3" t="n">
        <v>43638.832439537</v>
      </c>
      <c r="B225" s="2" t="s">
        <v>775</v>
      </c>
      <c r="C225" s="2" t="s">
        <v>23</v>
      </c>
      <c r="D225" s="2" t="s">
        <v>38</v>
      </c>
      <c r="E225" s="2" t="n">
        <v>5</v>
      </c>
      <c r="F225" s="2" t="s">
        <v>451</v>
      </c>
      <c r="G225" s="2" t="s">
        <v>152</v>
      </c>
      <c r="H225" s="2" t="s">
        <v>50</v>
      </c>
      <c r="I225" s="2" t="s">
        <v>32</v>
      </c>
      <c r="J225" s="2" t="s">
        <v>29</v>
      </c>
      <c r="K225" s="2" t="s">
        <v>42</v>
      </c>
      <c r="L225" s="2" t="s">
        <v>31</v>
      </c>
      <c r="M225" s="2" t="n">
        <v>8</v>
      </c>
      <c r="N225" s="2" t="s">
        <v>32</v>
      </c>
      <c r="O225" s="2" t="s">
        <v>45</v>
      </c>
      <c r="P225" s="2" t="n">
        <v>3</v>
      </c>
      <c r="Q225" s="2" t="s">
        <v>54</v>
      </c>
      <c r="R225" s="2" t="s">
        <v>34</v>
      </c>
      <c r="S225" s="2" t="s">
        <v>776</v>
      </c>
      <c r="T225" s="2" t="s">
        <v>777</v>
      </c>
      <c r="U225" s="1"/>
      <c r="V225" s="1"/>
      <c r="W225" s="1"/>
      <c r="X225" s="1"/>
      <c r="Y225" s="1"/>
      <c r="Z225" s="1"/>
      <c r="AA225" s="1"/>
      <c r="AB225" s="1"/>
    </row>
    <row r="226" customFormat="false" ht="15.75" hidden="false" customHeight="false" outlineLevel="0" collapsed="false">
      <c r="A226" s="3" t="n">
        <v>43638.833346412</v>
      </c>
      <c r="B226" s="2" t="s">
        <v>778</v>
      </c>
      <c r="C226" s="2" t="s">
        <v>99</v>
      </c>
      <c r="D226" s="2" t="s">
        <v>38</v>
      </c>
      <c r="E226" s="2" t="n">
        <v>5</v>
      </c>
      <c r="F226" s="2" t="s">
        <v>451</v>
      </c>
      <c r="G226" s="2" t="s">
        <v>101</v>
      </c>
      <c r="H226" s="2" t="s">
        <v>50</v>
      </c>
      <c r="I226" s="2" t="s">
        <v>28</v>
      </c>
      <c r="J226" s="2" t="s">
        <v>29</v>
      </c>
      <c r="K226" s="2" t="s">
        <v>220</v>
      </c>
      <c r="L226" s="2" t="s">
        <v>31</v>
      </c>
      <c r="M226" s="2" t="n">
        <v>8</v>
      </c>
      <c r="N226" s="2" t="s">
        <v>32</v>
      </c>
      <c r="O226" s="2" t="s">
        <v>45</v>
      </c>
      <c r="P226" s="2" t="n">
        <v>1</v>
      </c>
      <c r="Q226" s="2" t="s">
        <v>54</v>
      </c>
      <c r="R226" s="2" t="s">
        <v>34</v>
      </c>
      <c r="S226" s="2" t="s">
        <v>776</v>
      </c>
      <c r="T226" s="2" t="s">
        <v>779</v>
      </c>
      <c r="U226" s="1"/>
      <c r="V226" s="1"/>
      <c r="W226" s="1"/>
      <c r="X226" s="1"/>
      <c r="Y226" s="1"/>
      <c r="Z226" s="1"/>
      <c r="AA226" s="1"/>
      <c r="AB226" s="1"/>
    </row>
    <row r="227" customFormat="false" ht="15.75" hidden="false" customHeight="false" outlineLevel="0" collapsed="false">
      <c r="A227" s="3" t="n">
        <v>43638.8524869792</v>
      </c>
      <c r="B227" s="2" t="s">
        <v>780</v>
      </c>
      <c r="C227" s="2" t="s">
        <v>23</v>
      </c>
      <c r="D227" s="2" t="s">
        <v>38</v>
      </c>
      <c r="E227" s="2" t="n">
        <v>5</v>
      </c>
      <c r="F227" s="2" t="s">
        <v>301</v>
      </c>
      <c r="G227" s="2" t="s">
        <v>26</v>
      </c>
      <c r="H227" s="2" t="s">
        <v>50</v>
      </c>
      <c r="I227" s="2" t="s">
        <v>53</v>
      </c>
      <c r="J227" s="2" t="s">
        <v>29</v>
      </c>
      <c r="K227" s="2" t="s">
        <v>781</v>
      </c>
      <c r="L227" s="2" t="s">
        <v>60</v>
      </c>
      <c r="M227" s="2" t="n">
        <v>2</v>
      </c>
      <c r="N227" s="2" t="s">
        <v>32</v>
      </c>
      <c r="O227" s="2" t="s">
        <v>89</v>
      </c>
      <c r="P227" s="2" t="n">
        <v>1</v>
      </c>
      <c r="Q227" s="2" t="s">
        <v>54</v>
      </c>
      <c r="R227" s="2" t="s">
        <v>34</v>
      </c>
      <c r="S227" s="2" t="s">
        <v>782</v>
      </c>
      <c r="T227" s="2" t="s">
        <v>783</v>
      </c>
      <c r="U227" s="1"/>
      <c r="V227" s="1"/>
      <c r="W227" s="1"/>
      <c r="X227" s="1"/>
      <c r="Y227" s="1"/>
      <c r="Z227" s="1"/>
      <c r="AA227" s="1"/>
      <c r="AB227" s="1"/>
    </row>
    <row r="228" customFormat="false" ht="15.75" hidden="false" customHeight="false" outlineLevel="0" collapsed="false">
      <c r="A228" s="3" t="n">
        <v>43638.9089748032</v>
      </c>
      <c r="B228" s="2" t="s">
        <v>784</v>
      </c>
      <c r="C228" s="2" t="s">
        <v>23</v>
      </c>
      <c r="D228" s="2" t="s">
        <v>218</v>
      </c>
      <c r="E228" s="2" t="n">
        <v>3</v>
      </c>
      <c r="F228" s="2" t="s">
        <v>785</v>
      </c>
      <c r="G228" s="2" t="s">
        <v>786</v>
      </c>
      <c r="H228" s="2" t="s">
        <v>41</v>
      </c>
      <c r="I228" s="2" t="s">
        <v>53</v>
      </c>
      <c r="J228" s="2" t="s">
        <v>264</v>
      </c>
      <c r="K228" s="2" t="s">
        <v>787</v>
      </c>
      <c r="L228" s="2" t="s">
        <v>31</v>
      </c>
      <c r="M228" s="2" t="n">
        <v>6</v>
      </c>
      <c r="N228" s="2" t="s">
        <v>53</v>
      </c>
      <c r="O228" s="2" t="s">
        <v>45</v>
      </c>
      <c r="P228" s="2" t="n">
        <v>1</v>
      </c>
      <c r="Q228" s="2" t="s">
        <v>54</v>
      </c>
      <c r="R228" s="2" t="s">
        <v>54</v>
      </c>
      <c r="S228" s="2" t="s">
        <v>542</v>
      </c>
      <c r="T228" s="2" t="s">
        <v>788</v>
      </c>
      <c r="U228" s="1"/>
      <c r="V228" s="1"/>
      <c r="W228" s="1"/>
      <c r="X228" s="1"/>
      <c r="Y228" s="1"/>
      <c r="Z228" s="1"/>
      <c r="AA228" s="1"/>
      <c r="AB228" s="1"/>
    </row>
    <row r="229" customFormat="false" ht="15.75" hidden="false" customHeight="false" outlineLevel="0" collapsed="false">
      <c r="A229" s="3" t="n">
        <v>43638.9512883681</v>
      </c>
      <c r="B229" s="2" t="s">
        <v>789</v>
      </c>
      <c r="C229" s="2" t="s">
        <v>23</v>
      </c>
      <c r="D229" s="2" t="s">
        <v>218</v>
      </c>
      <c r="E229" s="2" t="n">
        <v>3</v>
      </c>
      <c r="F229" s="2" t="s">
        <v>790</v>
      </c>
      <c r="G229" s="2" t="s">
        <v>26</v>
      </c>
      <c r="H229" s="2" t="s">
        <v>41</v>
      </c>
      <c r="I229" s="2" t="s">
        <v>32</v>
      </c>
      <c r="J229" s="2" t="s">
        <v>29</v>
      </c>
      <c r="K229" s="2" t="s">
        <v>42</v>
      </c>
      <c r="L229" s="2" t="s">
        <v>72</v>
      </c>
      <c r="M229" s="2" t="n">
        <v>5</v>
      </c>
      <c r="N229" s="2" t="s">
        <v>66</v>
      </c>
      <c r="O229" s="2" t="s">
        <v>89</v>
      </c>
      <c r="P229" s="2" t="n">
        <v>1</v>
      </c>
      <c r="Q229" s="2" t="s">
        <v>54</v>
      </c>
      <c r="R229" s="2" t="s">
        <v>34</v>
      </c>
      <c r="S229" s="2" t="s">
        <v>791</v>
      </c>
      <c r="T229" s="2" t="s">
        <v>792</v>
      </c>
      <c r="U229" s="1"/>
      <c r="V229" s="1"/>
      <c r="W229" s="1"/>
      <c r="X229" s="1"/>
      <c r="Y229" s="1"/>
      <c r="Z229" s="1"/>
      <c r="AA229" s="1"/>
      <c r="AB229" s="1"/>
    </row>
    <row r="230" customFormat="false" ht="15.75" hidden="false" customHeight="false" outlineLevel="0" collapsed="false">
      <c r="A230" s="3" t="n">
        <v>43639.4453492593</v>
      </c>
      <c r="B230" s="2" t="s">
        <v>793</v>
      </c>
      <c r="C230" s="2" t="s">
        <v>23</v>
      </c>
      <c r="D230" s="2" t="s">
        <v>38</v>
      </c>
      <c r="E230" s="2" t="n">
        <v>3</v>
      </c>
      <c r="F230" s="2" t="s">
        <v>794</v>
      </c>
      <c r="G230" s="2" t="s">
        <v>523</v>
      </c>
      <c r="H230" s="2" t="s">
        <v>94</v>
      </c>
      <c r="I230" s="2" t="s">
        <v>32</v>
      </c>
      <c r="J230" s="2" t="s">
        <v>29</v>
      </c>
      <c r="K230" s="2" t="s">
        <v>59</v>
      </c>
      <c r="L230" s="2" t="s">
        <v>60</v>
      </c>
      <c r="M230" s="2" t="n">
        <v>7</v>
      </c>
      <c r="N230" s="2" t="s">
        <v>32</v>
      </c>
      <c r="O230" s="2" t="s">
        <v>33</v>
      </c>
      <c r="P230" s="2" t="n">
        <v>2</v>
      </c>
      <c r="Q230" s="2" t="s">
        <v>54</v>
      </c>
      <c r="R230" s="2" t="s">
        <v>34</v>
      </c>
      <c r="S230" s="2" t="s">
        <v>795</v>
      </c>
      <c r="T230" s="2" t="s">
        <v>796</v>
      </c>
      <c r="U230" s="1"/>
      <c r="V230" s="1"/>
      <c r="W230" s="1"/>
      <c r="X230" s="1"/>
      <c r="Y230" s="1"/>
      <c r="Z230" s="1"/>
      <c r="AA230" s="1"/>
      <c r="AB230" s="1"/>
    </row>
    <row r="231" customFormat="false" ht="15.75" hidden="false" customHeight="false" outlineLevel="0" collapsed="false">
      <c r="A231" s="3" t="n">
        <v>43639.4501057176</v>
      </c>
      <c r="B231" s="2" t="s">
        <v>797</v>
      </c>
      <c r="C231" s="2" t="s">
        <v>23</v>
      </c>
      <c r="D231" s="2" t="s">
        <v>24</v>
      </c>
      <c r="E231" s="2" t="n">
        <v>3</v>
      </c>
      <c r="F231" s="2" t="s">
        <v>349</v>
      </c>
      <c r="G231" s="2" t="s">
        <v>463</v>
      </c>
      <c r="H231" s="2" t="s">
        <v>27</v>
      </c>
      <c r="I231" s="2" t="s">
        <v>28</v>
      </c>
      <c r="J231" s="2" t="s">
        <v>65</v>
      </c>
      <c r="K231" s="2" t="s">
        <v>220</v>
      </c>
      <c r="L231" s="2" t="s">
        <v>72</v>
      </c>
      <c r="M231" s="2" t="n">
        <v>2</v>
      </c>
      <c r="N231" s="2" t="s">
        <v>66</v>
      </c>
      <c r="O231" s="2" t="s">
        <v>597</v>
      </c>
      <c r="P231" s="2" t="n">
        <v>1</v>
      </c>
      <c r="Q231" s="2" t="s">
        <v>54</v>
      </c>
      <c r="R231" s="2" t="s">
        <v>34</v>
      </c>
      <c r="S231" s="2" t="s">
        <v>795</v>
      </c>
      <c r="T231" s="2" t="s">
        <v>798</v>
      </c>
      <c r="U231" s="1"/>
      <c r="V231" s="1"/>
      <c r="W231" s="1"/>
      <c r="X231" s="1"/>
      <c r="Y231" s="1"/>
      <c r="Z231" s="1"/>
      <c r="AA231" s="1"/>
      <c r="AB231" s="1"/>
    </row>
    <row r="232" customFormat="false" ht="15.75" hidden="false" customHeight="false" outlineLevel="0" collapsed="false">
      <c r="A232" s="3" t="n">
        <v>43639.4515565741</v>
      </c>
      <c r="B232" s="2" t="s">
        <v>799</v>
      </c>
      <c r="C232" s="2" t="s">
        <v>23</v>
      </c>
      <c r="D232" s="2" t="s">
        <v>38</v>
      </c>
      <c r="E232" s="2" t="n">
        <v>1</v>
      </c>
      <c r="F232" s="2" t="s">
        <v>800</v>
      </c>
      <c r="G232" s="2" t="s">
        <v>77</v>
      </c>
      <c r="H232" s="2" t="s">
        <v>41</v>
      </c>
      <c r="I232" s="2" t="s">
        <v>28</v>
      </c>
      <c r="J232" s="2" t="s">
        <v>264</v>
      </c>
      <c r="K232" s="2" t="s">
        <v>30</v>
      </c>
      <c r="L232" s="2" t="s">
        <v>60</v>
      </c>
      <c r="M232" s="2" t="n">
        <v>10</v>
      </c>
      <c r="N232" s="2" t="s">
        <v>32</v>
      </c>
      <c r="O232" s="2" t="s">
        <v>33</v>
      </c>
      <c r="P232" s="2" t="n">
        <v>5</v>
      </c>
      <c r="Q232" s="2" t="s">
        <v>54</v>
      </c>
      <c r="R232" s="2" t="s">
        <v>34</v>
      </c>
      <c r="S232" s="2" t="s">
        <v>801</v>
      </c>
      <c r="T232" s="2" t="s">
        <v>802</v>
      </c>
      <c r="U232" s="1"/>
      <c r="V232" s="1"/>
      <c r="W232" s="1"/>
      <c r="X232" s="1"/>
      <c r="Y232" s="1"/>
      <c r="Z232" s="1"/>
      <c r="AA232" s="1"/>
      <c r="AB232" s="1"/>
    </row>
    <row r="233" customFormat="false" ht="15.75" hidden="false" customHeight="false" outlineLevel="0" collapsed="false">
      <c r="A233" s="3" t="n">
        <v>43639.4566401157</v>
      </c>
      <c r="B233" s="2" t="s">
        <v>803</v>
      </c>
      <c r="C233" s="2" t="s">
        <v>23</v>
      </c>
      <c r="D233" s="2" t="s">
        <v>24</v>
      </c>
      <c r="E233" s="2" t="n">
        <v>4</v>
      </c>
      <c r="F233" s="2" t="s">
        <v>804</v>
      </c>
      <c r="G233" s="2" t="s">
        <v>805</v>
      </c>
      <c r="H233" s="2" t="s">
        <v>27</v>
      </c>
      <c r="I233" s="2" t="s">
        <v>53</v>
      </c>
      <c r="J233" s="2" t="s">
        <v>65</v>
      </c>
      <c r="K233" s="2" t="s">
        <v>118</v>
      </c>
      <c r="L233" s="2" t="s">
        <v>31</v>
      </c>
      <c r="M233" s="2" t="n">
        <v>10</v>
      </c>
      <c r="N233" s="2" t="s">
        <v>32</v>
      </c>
      <c r="O233" s="2" t="s">
        <v>89</v>
      </c>
      <c r="P233" s="2" t="n">
        <v>1</v>
      </c>
      <c r="Q233" s="2" t="s">
        <v>54</v>
      </c>
      <c r="R233" s="2" t="s">
        <v>34</v>
      </c>
      <c r="S233" s="2" t="s">
        <v>806</v>
      </c>
      <c r="T233" s="2" t="s">
        <v>807</v>
      </c>
      <c r="U233" s="1"/>
      <c r="V233" s="1"/>
      <c r="W233" s="1"/>
      <c r="X233" s="1"/>
      <c r="Y233" s="1"/>
      <c r="Z233" s="1"/>
      <c r="AA233" s="1"/>
      <c r="AB233" s="1"/>
    </row>
    <row r="234" customFormat="false" ht="15.75" hidden="false" customHeight="false" outlineLevel="0" collapsed="false">
      <c r="A234" s="3" t="n">
        <v>43639.5840618981</v>
      </c>
      <c r="B234" s="2" t="s">
        <v>808</v>
      </c>
      <c r="C234" s="2" t="s">
        <v>75</v>
      </c>
      <c r="D234" s="2" t="s">
        <v>38</v>
      </c>
      <c r="E234" s="2" t="n">
        <v>1</v>
      </c>
      <c r="F234" s="2" t="s">
        <v>301</v>
      </c>
      <c r="G234" s="2" t="s">
        <v>77</v>
      </c>
      <c r="H234" s="2" t="s">
        <v>50</v>
      </c>
      <c r="I234" s="2" t="s">
        <v>53</v>
      </c>
      <c r="J234" s="2" t="s">
        <v>65</v>
      </c>
      <c r="K234" s="2" t="s">
        <v>59</v>
      </c>
      <c r="L234" s="2" t="s">
        <v>72</v>
      </c>
      <c r="M234" s="2" t="n">
        <v>8</v>
      </c>
      <c r="N234" s="2" t="s">
        <v>53</v>
      </c>
      <c r="O234" s="2" t="s">
        <v>89</v>
      </c>
      <c r="P234" s="2" t="n">
        <v>3</v>
      </c>
      <c r="Q234" s="2" t="s">
        <v>34</v>
      </c>
      <c r="R234" s="2" t="s">
        <v>34</v>
      </c>
      <c r="S234" s="2" t="s">
        <v>809</v>
      </c>
      <c r="T234" s="2" t="s">
        <v>810</v>
      </c>
      <c r="U234" s="1"/>
      <c r="V234" s="1"/>
      <c r="W234" s="1"/>
      <c r="X234" s="1"/>
      <c r="Y234" s="1"/>
      <c r="Z234" s="1"/>
      <c r="AA234" s="1"/>
      <c r="AB234" s="1"/>
    </row>
    <row r="235" customFormat="false" ht="15.75" hidden="false" customHeight="false" outlineLevel="0" collapsed="false">
      <c r="A235" s="3" t="n">
        <v>43639.5897317824</v>
      </c>
      <c r="B235" s="2" t="s">
        <v>811</v>
      </c>
      <c r="C235" s="2" t="s">
        <v>23</v>
      </c>
      <c r="D235" s="2" t="s">
        <v>38</v>
      </c>
      <c r="E235" s="2" t="n">
        <v>3</v>
      </c>
      <c r="F235" s="2" t="s">
        <v>794</v>
      </c>
      <c r="G235" s="2" t="s">
        <v>77</v>
      </c>
      <c r="H235" s="2" t="s">
        <v>27</v>
      </c>
      <c r="I235" s="2" t="s">
        <v>32</v>
      </c>
      <c r="J235" s="2" t="s">
        <v>51</v>
      </c>
      <c r="K235" s="2" t="s">
        <v>42</v>
      </c>
      <c r="L235" s="2" t="s">
        <v>72</v>
      </c>
      <c r="M235" s="2" t="n">
        <v>7</v>
      </c>
      <c r="N235" s="2" t="s">
        <v>53</v>
      </c>
      <c r="O235" s="2" t="s">
        <v>89</v>
      </c>
      <c r="P235" s="2" t="n">
        <v>5</v>
      </c>
      <c r="Q235" s="2" t="s">
        <v>54</v>
      </c>
      <c r="R235" s="2" t="s">
        <v>34</v>
      </c>
      <c r="S235" s="2" t="s">
        <v>801</v>
      </c>
      <c r="T235" s="2" t="s">
        <v>812</v>
      </c>
      <c r="U235" s="1"/>
      <c r="V235" s="1"/>
      <c r="W235" s="1"/>
      <c r="X235" s="1"/>
      <c r="Y235" s="1"/>
      <c r="Z235" s="1"/>
      <c r="AA235" s="1"/>
      <c r="AB235" s="1"/>
    </row>
    <row r="236" customFormat="false" ht="15.75" hidden="false" customHeight="false" outlineLevel="0" collapsed="false">
      <c r="A236" s="3" t="n">
        <v>43639.6050166667</v>
      </c>
      <c r="B236" s="2" t="s">
        <v>813</v>
      </c>
      <c r="C236" s="2" t="s">
        <v>23</v>
      </c>
      <c r="D236" s="2" t="s">
        <v>24</v>
      </c>
      <c r="E236" s="2" t="n">
        <v>5</v>
      </c>
      <c r="F236" s="2" t="s">
        <v>81</v>
      </c>
      <c r="G236" s="2" t="s">
        <v>105</v>
      </c>
      <c r="H236" s="2" t="s">
        <v>50</v>
      </c>
      <c r="I236" s="2" t="s">
        <v>32</v>
      </c>
      <c r="J236" s="2" t="s">
        <v>65</v>
      </c>
      <c r="K236" s="2" t="s">
        <v>471</v>
      </c>
      <c r="L236" s="2" t="s">
        <v>31</v>
      </c>
      <c r="M236" s="2" t="n">
        <v>6</v>
      </c>
      <c r="N236" s="2" t="s">
        <v>53</v>
      </c>
      <c r="O236" s="2" t="s">
        <v>45</v>
      </c>
      <c r="P236" s="2" t="n">
        <v>1</v>
      </c>
      <c r="Q236" s="2" t="s">
        <v>54</v>
      </c>
      <c r="R236" s="2" t="s">
        <v>34</v>
      </c>
      <c r="S236" s="2" t="s">
        <v>795</v>
      </c>
      <c r="T236" s="2" t="s">
        <v>814</v>
      </c>
      <c r="U236" s="1"/>
      <c r="V236" s="1"/>
      <c r="W236" s="1"/>
      <c r="X236" s="1"/>
      <c r="Y236" s="1"/>
      <c r="Z236" s="1"/>
      <c r="AA236" s="1"/>
      <c r="AB236" s="1"/>
    </row>
    <row r="237" customFormat="false" ht="15.75" hidden="false" customHeight="false" outlineLevel="0" collapsed="false">
      <c r="A237" s="3" t="n">
        <v>43639.643611875</v>
      </c>
      <c r="B237" s="2" t="s">
        <v>815</v>
      </c>
      <c r="C237" s="2" t="s">
        <v>23</v>
      </c>
      <c r="D237" s="2" t="s">
        <v>38</v>
      </c>
      <c r="E237" s="2" t="n">
        <v>5</v>
      </c>
      <c r="F237" s="2" t="s">
        <v>764</v>
      </c>
      <c r="G237" s="2" t="s">
        <v>178</v>
      </c>
      <c r="H237" s="2" t="s">
        <v>50</v>
      </c>
      <c r="I237" s="2" t="s">
        <v>53</v>
      </c>
      <c r="J237" s="2" t="s">
        <v>65</v>
      </c>
      <c r="K237" s="2" t="s">
        <v>42</v>
      </c>
      <c r="L237" s="2" t="s">
        <v>31</v>
      </c>
      <c r="M237" s="2" t="n">
        <v>3</v>
      </c>
      <c r="N237" s="2" t="s">
        <v>53</v>
      </c>
      <c r="O237" s="2" t="s">
        <v>45</v>
      </c>
      <c r="P237" s="2" t="n">
        <v>1</v>
      </c>
      <c r="Q237" s="2" t="s">
        <v>54</v>
      </c>
      <c r="R237" s="2" t="s">
        <v>34</v>
      </c>
      <c r="S237" s="2" t="s">
        <v>776</v>
      </c>
      <c r="T237" s="2" t="s">
        <v>816</v>
      </c>
      <c r="U237" s="1"/>
      <c r="V237" s="1"/>
      <c r="W237" s="1"/>
      <c r="X237" s="1"/>
      <c r="Y237" s="1"/>
      <c r="Z237" s="1"/>
      <c r="AA237" s="1"/>
      <c r="AB237" s="1"/>
    </row>
    <row r="238" customFormat="false" ht="15.75" hidden="false" customHeight="false" outlineLevel="0" collapsed="false">
      <c r="A238" s="3" t="n">
        <v>43639.7056537037</v>
      </c>
      <c r="B238" s="2" t="s">
        <v>817</v>
      </c>
      <c r="C238" s="2" t="s">
        <v>23</v>
      </c>
      <c r="D238" s="2" t="s">
        <v>38</v>
      </c>
      <c r="E238" s="2" t="n">
        <v>3</v>
      </c>
      <c r="F238" s="2" t="s">
        <v>345</v>
      </c>
      <c r="G238" s="2" t="s">
        <v>40</v>
      </c>
      <c r="H238" s="2" t="s">
        <v>27</v>
      </c>
      <c r="I238" s="2" t="s">
        <v>32</v>
      </c>
      <c r="J238" s="2" t="s">
        <v>29</v>
      </c>
      <c r="K238" s="2" t="s">
        <v>88</v>
      </c>
      <c r="L238" s="2" t="s">
        <v>60</v>
      </c>
      <c r="M238" s="2" t="n">
        <v>7</v>
      </c>
      <c r="N238" s="2" t="s">
        <v>32</v>
      </c>
      <c r="O238" s="2" t="s">
        <v>89</v>
      </c>
      <c r="P238" s="2" t="n">
        <v>2</v>
      </c>
      <c r="Q238" s="2" t="s">
        <v>34</v>
      </c>
      <c r="R238" s="2" t="s">
        <v>34</v>
      </c>
      <c r="S238" s="2" t="s">
        <v>683</v>
      </c>
      <c r="T238" s="2" t="s">
        <v>818</v>
      </c>
      <c r="U238" s="1"/>
      <c r="V238" s="1"/>
      <c r="W238" s="1"/>
      <c r="X238" s="1"/>
      <c r="Y238" s="1"/>
      <c r="Z238" s="1"/>
      <c r="AA238" s="1"/>
      <c r="AB238" s="1"/>
    </row>
    <row r="239" customFormat="false" ht="15.75" hidden="false" customHeight="false" outlineLevel="0" collapsed="false">
      <c r="A239" s="3" t="n">
        <v>43639.7455236574</v>
      </c>
      <c r="B239" s="2" t="s">
        <v>819</v>
      </c>
      <c r="C239" s="2" t="s">
        <v>23</v>
      </c>
      <c r="D239" s="2" t="s">
        <v>24</v>
      </c>
      <c r="E239" s="2" t="n">
        <v>4</v>
      </c>
      <c r="F239" s="2" t="s">
        <v>59</v>
      </c>
      <c r="G239" s="2" t="s">
        <v>820</v>
      </c>
      <c r="H239" s="2" t="s">
        <v>50</v>
      </c>
      <c r="I239" s="2" t="s">
        <v>32</v>
      </c>
      <c r="J239" s="2" t="s">
        <v>29</v>
      </c>
      <c r="K239" s="2" t="s">
        <v>639</v>
      </c>
      <c r="L239" s="2" t="s">
        <v>43</v>
      </c>
      <c r="M239" s="2" t="n">
        <v>7</v>
      </c>
      <c r="N239" s="2" t="s">
        <v>53</v>
      </c>
      <c r="O239" s="2" t="s">
        <v>89</v>
      </c>
      <c r="P239" s="2" t="n">
        <v>3</v>
      </c>
      <c r="Q239" s="2" t="s">
        <v>34</v>
      </c>
      <c r="R239" s="2" t="s">
        <v>34</v>
      </c>
      <c r="S239" s="2" t="s">
        <v>821</v>
      </c>
      <c r="T239" s="2" t="s">
        <v>822</v>
      </c>
      <c r="U239" s="1"/>
      <c r="V239" s="1"/>
      <c r="W239" s="1"/>
      <c r="X239" s="1"/>
      <c r="Y239" s="1"/>
      <c r="Z239" s="1"/>
      <c r="AA239" s="1"/>
      <c r="AB239" s="1"/>
    </row>
    <row r="240" customFormat="false" ht="15.75" hidden="false" customHeight="false" outlineLevel="0" collapsed="false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5.75" hidden="false" customHeight="false" outlineLevel="0" collapsed="false">
      <c r="A241" s="3" t="n">
        <v>43639.7479303935</v>
      </c>
      <c r="B241" s="2" t="s">
        <v>823</v>
      </c>
      <c r="C241" s="2" t="s">
        <v>23</v>
      </c>
      <c r="D241" s="2" t="s">
        <v>232</v>
      </c>
      <c r="E241" s="2" t="n">
        <v>4</v>
      </c>
      <c r="F241" s="2" t="s">
        <v>824</v>
      </c>
      <c r="G241" s="2" t="s">
        <v>26</v>
      </c>
      <c r="H241" s="2" t="s">
        <v>41</v>
      </c>
      <c r="I241" s="2" t="s">
        <v>28</v>
      </c>
      <c r="J241" s="2" t="s">
        <v>29</v>
      </c>
      <c r="K241" s="2" t="s">
        <v>59</v>
      </c>
      <c r="L241" s="2" t="s">
        <v>31</v>
      </c>
      <c r="M241" s="2" t="n">
        <v>6</v>
      </c>
      <c r="N241" s="2" t="s">
        <v>32</v>
      </c>
      <c r="O241" s="2" t="s">
        <v>89</v>
      </c>
      <c r="P241" s="2" t="n">
        <v>4</v>
      </c>
      <c r="Q241" s="2" t="s">
        <v>34</v>
      </c>
      <c r="R241" s="2" t="s">
        <v>34</v>
      </c>
      <c r="S241" s="2" t="s">
        <v>821</v>
      </c>
      <c r="T241" s="2" t="s">
        <v>825</v>
      </c>
      <c r="U241" s="1"/>
      <c r="V241" s="1"/>
      <c r="W241" s="1"/>
      <c r="X241" s="1"/>
      <c r="Y241" s="1"/>
      <c r="Z241" s="1"/>
      <c r="AA241" s="1"/>
      <c r="AB241" s="1"/>
    </row>
    <row r="242" customFormat="false" ht="15.75" hidden="false" customHeight="false" outlineLevel="0" collapsed="false">
      <c r="A242" s="3" t="n">
        <v>43639.7548133333</v>
      </c>
      <c r="B242" s="2" t="s">
        <v>826</v>
      </c>
      <c r="C242" s="2" t="s">
        <v>23</v>
      </c>
      <c r="D242" s="2" t="s">
        <v>24</v>
      </c>
      <c r="E242" s="2" t="n">
        <v>5</v>
      </c>
      <c r="F242" s="2" t="s">
        <v>827</v>
      </c>
      <c r="G242" s="2" t="s">
        <v>828</v>
      </c>
      <c r="H242" s="2" t="s">
        <v>27</v>
      </c>
      <c r="I242" s="2" t="s">
        <v>32</v>
      </c>
      <c r="J242" s="2" t="s">
        <v>29</v>
      </c>
      <c r="K242" s="2" t="s">
        <v>42</v>
      </c>
      <c r="L242" s="2" t="s">
        <v>31</v>
      </c>
      <c r="M242" s="2" t="n">
        <v>7</v>
      </c>
      <c r="N242" s="2" t="s">
        <v>53</v>
      </c>
      <c r="O242" s="2" t="s">
        <v>89</v>
      </c>
      <c r="P242" s="2" t="n">
        <v>1</v>
      </c>
      <c r="Q242" s="2" t="s">
        <v>34</v>
      </c>
      <c r="R242" s="2" t="s">
        <v>34</v>
      </c>
      <c r="S242" s="2" t="s">
        <v>821</v>
      </c>
      <c r="T242" s="2" t="s">
        <v>829</v>
      </c>
      <c r="U242" s="1"/>
      <c r="V242" s="1"/>
      <c r="W242" s="1"/>
      <c r="X242" s="1"/>
      <c r="Y242" s="1"/>
      <c r="Z242" s="1"/>
      <c r="AA242" s="1"/>
      <c r="AB242" s="1"/>
    </row>
    <row r="243" customFormat="false" ht="15.75" hidden="false" customHeight="false" outlineLevel="0" collapsed="false">
      <c r="A243" s="3" t="n">
        <v>43639.7585134491</v>
      </c>
      <c r="B243" s="2" t="s">
        <v>830</v>
      </c>
      <c r="C243" s="2" t="s">
        <v>23</v>
      </c>
      <c r="D243" s="2" t="s">
        <v>24</v>
      </c>
      <c r="E243" s="2" t="n">
        <v>1</v>
      </c>
      <c r="F243" s="2" t="s">
        <v>831</v>
      </c>
      <c r="G243" s="2" t="s">
        <v>832</v>
      </c>
      <c r="H243" s="2" t="s">
        <v>94</v>
      </c>
      <c r="I243" s="2" t="s">
        <v>94</v>
      </c>
      <c r="J243" s="2" t="s">
        <v>51</v>
      </c>
      <c r="K243" s="2" t="s">
        <v>833</v>
      </c>
      <c r="L243" s="2" t="s">
        <v>31</v>
      </c>
      <c r="M243" s="2" t="n">
        <v>9</v>
      </c>
      <c r="N243" s="2" t="s">
        <v>32</v>
      </c>
      <c r="O243" s="2" t="s">
        <v>45</v>
      </c>
      <c r="P243" s="2" t="n">
        <v>4</v>
      </c>
      <c r="Q243" s="2" t="s">
        <v>54</v>
      </c>
      <c r="R243" s="2" t="s">
        <v>34</v>
      </c>
      <c r="S243" s="2" t="s">
        <v>834</v>
      </c>
      <c r="T243" s="2" t="s">
        <v>835</v>
      </c>
      <c r="U243" s="1"/>
      <c r="V243" s="1"/>
      <c r="W243" s="1"/>
      <c r="X243" s="1"/>
      <c r="Y243" s="1"/>
      <c r="Z243" s="1"/>
      <c r="AA243" s="1"/>
      <c r="AB243" s="1"/>
    </row>
    <row r="244" customFormat="false" ht="15.75" hidden="false" customHeight="false" outlineLevel="0" collapsed="false">
      <c r="A244" s="3" t="n">
        <v>43639.7613859375</v>
      </c>
      <c r="B244" s="2" t="s">
        <v>836</v>
      </c>
      <c r="C244" s="2" t="s">
        <v>75</v>
      </c>
      <c r="D244" s="2" t="s">
        <v>24</v>
      </c>
      <c r="E244" s="2" t="n">
        <v>2</v>
      </c>
      <c r="F244" s="2" t="s">
        <v>363</v>
      </c>
      <c r="G244" s="2" t="s">
        <v>40</v>
      </c>
      <c r="H244" s="2" t="s">
        <v>27</v>
      </c>
      <c r="I244" s="2" t="s">
        <v>32</v>
      </c>
      <c r="J244" s="2" t="s">
        <v>51</v>
      </c>
      <c r="K244" s="2" t="s">
        <v>88</v>
      </c>
      <c r="L244" s="2" t="s">
        <v>60</v>
      </c>
      <c r="M244" s="2" t="n">
        <v>8</v>
      </c>
      <c r="N244" s="2" t="s">
        <v>32</v>
      </c>
      <c r="O244" s="2" t="s">
        <v>45</v>
      </c>
      <c r="P244" s="2" t="n">
        <v>3</v>
      </c>
      <c r="Q244" s="2" t="s">
        <v>34</v>
      </c>
      <c r="R244" s="2" t="s">
        <v>34</v>
      </c>
      <c r="S244" s="2" t="s">
        <v>837</v>
      </c>
      <c r="T244" s="2" t="s">
        <v>838</v>
      </c>
      <c r="U244" s="1"/>
      <c r="V244" s="1"/>
      <c r="W244" s="1"/>
      <c r="X244" s="1"/>
      <c r="Y244" s="1"/>
      <c r="Z244" s="1"/>
      <c r="AA244" s="1"/>
      <c r="AB244" s="1"/>
    </row>
    <row r="245" customFormat="false" ht="15.75" hidden="false" customHeight="false" outlineLevel="0" collapsed="false">
      <c r="A245" s="3" t="n">
        <v>43639.8191709722</v>
      </c>
      <c r="B245" s="2" t="s">
        <v>839</v>
      </c>
      <c r="C245" s="2" t="s">
        <v>23</v>
      </c>
      <c r="D245" s="2" t="s">
        <v>38</v>
      </c>
      <c r="E245" s="2" t="n">
        <v>4</v>
      </c>
      <c r="F245" s="2" t="s">
        <v>586</v>
      </c>
      <c r="G245" s="2" t="s">
        <v>397</v>
      </c>
      <c r="H245" s="2" t="s">
        <v>41</v>
      </c>
      <c r="I245" s="2" t="s">
        <v>53</v>
      </c>
      <c r="J245" s="2" t="s">
        <v>29</v>
      </c>
      <c r="K245" s="2" t="s">
        <v>840</v>
      </c>
      <c r="L245" s="2" t="s">
        <v>31</v>
      </c>
      <c r="M245" s="2" t="n">
        <v>5</v>
      </c>
      <c r="N245" s="2" t="s">
        <v>53</v>
      </c>
      <c r="O245" s="2" t="s">
        <v>89</v>
      </c>
      <c r="P245" s="2" t="n">
        <v>1</v>
      </c>
      <c r="Q245" s="2" t="s">
        <v>34</v>
      </c>
      <c r="R245" s="2" t="s">
        <v>34</v>
      </c>
      <c r="S245" s="2" t="s">
        <v>841</v>
      </c>
      <c r="T245" s="2" t="s">
        <v>842</v>
      </c>
      <c r="U245" s="1"/>
      <c r="V245" s="1"/>
      <c r="W245" s="1"/>
      <c r="X245" s="1"/>
      <c r="Y245" s="1"/>
      <c r="Z245" s="1"/>
      <c r="AA245" s="1"/>
      <c r="AB245" s="1"/>
    </row>
    <row r="246" customFormat="false" ht="15.75" hidden="false" customHeight="false" outlineLevel="0" collapsed="false">
      <c r="A246" s="3" t="n">
        <v>43639.8457947222</v>
      </c>
      <c r="B246" s="2" t="s">
        <v>843</v>
      </c>
      <c r="C246" s="2" t="s">
        <v>75</v>
      </c>
      <c r="D246" s="2" t="s">
        <v>38</v>
      </c>
      <c r="E246" s="2" t="n">
        <v>4</v>
      </c>
      <c r="F246" s="2" t="s">
        <v>844</v>
      </c>
      <c r="G246" s="2" t="s">
        <v>845</v>
      </c>
      <c r="H246" s="2" t="s">
        <v>50</v>
      </c>
      <c r="I246" s="2" t="s">
        <v>32</v>
      </c>
      <c r="J246" s="2" t="s">
        <v>29</v>
      </c>
      <c r="K246" s="2" t="s">
        <v>846</v>
      </c>
      <c r="L246" s="2" t="s">
        <v>43</v>
      </c>
      <c r="M246" s="2" t="n">
        <v>8</v>
      </c>
      <c r="N246" s="2" t="s">
        <v>53</v>
      </c>
      <c r="O246" s="2" t="s">
        <v>45</v>
      </c>
      <c r="P246" s="2" t="n">
        <v>4</v>
      </c>
      <c r="Q246" s="2" t="s">
        <v>54</v>
      </c>
      <c r="R246" s="2" t="s">
        <v>34</v>
      </c>
      <c r="S246" s="2" t="s">
        <v>847</v>
      </c>
      <c r="T246" s="2" t="s">
        <v>848</v>
      </c>
      <c r="U246" s="1"/>
      <c r="V246" s="1"/>
      <c r="W246" s="1"/>
      <c r="X246" s="1"/>
      <c r="Y246" s="1"/>
      <c r="Z246" s="1"/>
      <c r="AA246" s="1"/>
      <c r="AB246" s="1"/>
    </row>
    <row r="247" customFormat="false" ht="15.75" hidden="false" customHeight="false" outlineLevel="0" collapsed="false">
      <c r="A247" s="3" t="n">
        <v>43639.8588382639</v>
      </c>
      <c r="B247" s="2" t="s">
        <v>849</v>
      </c>
      <c r="C247" s="2" t="s">
        <v>23</v>
      </c>
      <c r="D247" s="2" t="s">
        <v>218</v>
      </c>
      <c r="E247" s="2" t="n">
        <v>3</v>
      </c>
      <c r="F247" s="2" t="s">
        <v>850</v>
      </c>
      <c r="G247" s="2" t="s">
        <v>26</v>
      </c>
      <c r="H247" s="2" t="s">
        <v>27</v>
      </c>
      <c r="I247" s="2" t="s">
        <v>32</v>
      </c>
      <c r="J247" s="2" t="s">
        <v>65</v>
      </c>
      <c r="K247" s="2" t="s">
        <v>42</v>
      </c>
      <c r="L247" s="2" t="s">
        <v>72</v>
      </c>
      <c r="M247" s="2" t="n">
        <v>1</v>
      </c>
      <c r="N247" s="2" t="s">
        <v>53</v>
      </c>
      <c r="O247" s="2" t="s">
        <v>89</v>
      </c>
      <c r="P247" s="2" t="n">
        <v>3</v>
      </c>
      <c r="Q247" s="2" t="s">
        <v>34</v>
      </c>
      <c r="R247" s="2" t="s">
        <v>34</v>
      </c>
      <c r="S247" s="2" t="s">
        <v>851</v>
      </c>
      <c r="T247" s="2" t="s">
        <v>79</v>
      </c>
      <c r="U247" s="1"/>
      <c r="V247" s="1"/>
      <c r="W247" s="1"/>
      <c r="X247" s="1"/>
      <c r="Y247" s="1"/>
      <c r="Z247" s="1"/>
      <c r="AA247" s="1"/>
      <c r="AB247" s="1"/>
    </row>
    <row r="248" customFormat="false" ht="15.75" hidden="false" customHeight="false" outlineLevel="0" collapsed="false">
      <c r="A248" s="3" t="n">
        <v>43639.8625072801</v>
      </c>
      <c r="B248" s="2" t="s">
        <v>852</v>
      </c>
      <c r="C248" s="2" t="s">
        <v>75</v>
      </c>
      <c r="D248" s="2" t="s">
        <v>38</v>
      </c>
      <c r="E248" s="2" t="n">
        <v>4</v>
      </c>
      <c r="F248" s="2" t="s">
        <v>853</v>
      </c>
      <c r="G248" s="2" t="s">
        <v>58</v>
      </c>
      <c r="H248" s="2" t="s">
        <v>41</v>
      </c>
      <c r="I248" s="2" t="s">
        <v>32</v>
      </c>
      <c r="J248" s="2" t="s">
        <v>51</v>
      </c>
      <c r="K248" s="2" t="s">
        <v>840</v>
      </c>
      <c r="L248" s="2" t="s">
        <v>60</v>
      </c>
      <c r="M248" s="2" t="n">
        <v>3</v>
      </c>
      <c r="N248" s="2" t="s">
        <v>66</v>
      </c>
      <c r="O248" s="2" t="s">
        <v>89</v>
      </c>
      <c r="P248" s="2" t="n">
        <v>1</v>
      </c>
      <c r="Q248" s="2" t="s">
        <v>34</v>
      </c>
      <c r="R248" s="2" t="s">
        <v>34</v>
      </c>
      <c r="S248" s="2" t="s">
        <v>854</v>
      </c>
      <c r="T248" s="2" t="s">
        <v>855</v>
      </c>
      <c r="U248" s="1"/>
      <c r="V248" s="1"/>
      <c r="W248" s="1"/>
      <c r="X248" s="1"/>
      <c r="Y248" s="1"/>
      <c r="Z248" s="1"/>
      <c r="AA248" s="1"/>
      <c r="AB248" s="1"/>
    </row>
    <row r="249" customFormat="false" ht="15.75" hidden="false" customHeight="false" outlineLevel="0" collapsed="false">
      <c r="A249" s="3" t="n">
        <v>43639.8673620023</v>
      </c>
      <c r="B249" s="2" t="s">
        <v>856</v>
      </c>
      <c r="C249" s="2" t="s">
        <v>75</v>
      </c>
      <c r="D249" s="2" t="s">
        <v>24</v>
      </c>
      <c r="E249" s="2" t="n">
        <v>4</v>
      </c>
      <c r="F249" s="2" t="s">
        <v>857</v>
      </c>
      <c r="G249" s="2" t="s">
        <v>269</v>
      </c>
      <c r="H249" s="2" t="s">
        <v>41</v>
      </c>
      <c r="I249" s="2" t="s">
        <v>32</v>
      </c>
      <c r="J249" s="2" t="s">
        <v>51</v>
      </c>
      <c r="K249" s="2" t="s">
        <v>858</v>
      </c>
      <c r="L249" s="2" t="s">
        <v>31</v>
      </c>
      <c r="M249" s="2" t="n">
        <v>10</v>
      </c>
      <c r="N249" s="2" t="s">
        <v>44</v>
      </c>
      <c r="O249" s="2" t="s">
        <v>33</v>
      </c>
      <c r="P249" s="2" t="n">
        <v>2</v>
      </c>
      <c r="Q249" s="2" t="s">
        <v>34</v>
      </c>
      <c r="R249" s="2" t="s">
        <v>34</v>
      </c>
      <c r="S249" s="2" t="s">
        <v>859</v>
      </c>
      <c r="T249" s="2" t="s">
        <v>860</v>
      </c>
      <c r="U249" s="1"/>
      <c r="V249" s="1"/>
      <c r="W249" s="1"/>
      <c r="X249" s="1"/>
      <c r="Y249" s="1"/>
      <c r="Z249" s="1"/>
      <c r="AA249" s="1"/>
      <c r="AB249" s="1"/>
    </row>
    <row r="250" customFormat="false" ht="15.75" hidden="false" customHeight="false" outlineLevel="0" collapsed="false">
      <c r="A250" s="3" t="n">
        <v>43639.870946412</v>
      </c>
      <c r="B250" s="2" t="s">
        <v>861</v>
      </c>
      <c r="C250" s="2" t="s">
        <v>99</v>
      </c>
      <c r="D250" s="2" t="s">
        <v>24</v>
      </c>
      <c r="E250" s="2" t="n">
        <v>5</v>
      </c>
      <c r="F250" s="2" t="s">
        <v>512</v>
      </c>
      <c r="G250" s="2" t="s">
        <v>862</v>
      </c>
      <c r="H250" s="2" t="s">
        <v>41</v>
      </c>
      <c r="I250" s="2" t="s">
        <v>32</v>
      </c>
      <c r="J250" s="2" t="s">
        <v>65</v>
      </c>
      <c r="K250" s="2" t="s">
        <v>863</v>
      </c>
      <c r="L250" s="2" t="s">
        <v>43</v>
      </c>
      <c r="M250" s="2" t="n">
        <v>10</v>
      </c>
      <c r="N250" s="2" t="s">
        <v>32</v>
      </c>
      <c r="O250" s="2" t="s">
        <v>33</v>
      </c>
      <c r="P250" s="2" t="n">
        <v>1</v>
      </c>
      <c r="Q250" s="2" t="s">
        <v>34</v>
      </c>
      <c r="R250" s="2" t="s">
        <v>34</v>
      </c>
      <c r="S250" s="2" t="s">
        <v>859</v>
      </c>
      <c r="T250" s="2" t="s">
        <v>864</v>
      </c>
      <c r="U250" s="1"/>
      <c r="V250" s="1"/>
      <c r="W250" s="1"/>
      <c r="X250" s="1"/>
      <c r="Y250" s="1"/>
      <c r="Z250" s="1"/>
      <c r="AA250" s="1"/>
      <c r="AB250" s="1"/>
    </row>
    <row r="251" customFormat="false" ht="15.75" hidden="false" customHeight="false" outlineLevel="0" collapsed="false">
      <c r="A251" s="3" t="n">
        <v>43639.8751150347</v>
      </c>
      <c r="B251" s="2" t="s">
        <v>865</v>
      </c>
      <c r="C251" s="2" t="s">
        <v>99</v>
      </c>
      <c r="D251" s="2" t="s">
        <v>218</v>
      </c>
      <c r="E251" s="2" t="n">
        <v>5</v>
      </c>
      <c r="F251" s="2" t="s">
        <v>177</v>
      </c>
      <c r="G251" s="2" t="s">
        <v>64</v>
      </c>
      <c r="H251" s="2" t="s">
        <v>27</v>
      </c>
      <c r="I251" s="2" t="s">
        <v>53</v>
      </c>
      <c r="J251" s="2" t="s">
        <v>29</v>
      </c>
      <c r="K251" s="2" t="s">
        <v>59</v>
      </c>
      <c r="L251" s="2" t="s">
        <v>72</v>
      </c>
      <c r="M251" s="2" t="n">
        <v>10</v>
      </c>
      <c r="N251" s="2" t="s">
        <v>32</v>
      </c>
      <c r="O251" s="2" t="s">
        <v>89</v>
      </c>
      <c r="P251" s="2" t="n">
        <v>2</v>
      </c>
      <c r="Q251" s="2" t="s">
        <v>34</v>
      </c>
      <c r="R251" s="2" t="s">
        <v>34</v>
      </c>
      <c r="S251" s="2" t="s">
        <v>859</v>
      </c>
      <c r="T251" s="2" t="s">
        <v>866</v>
      </c>
      <c r="U251" s="1"/>
      <c r="V251" s="1"/>
      <c r="W251" s="1"/>
      <c r="X251" s="1"/>
      <c r="Y251" s="1"/>
      <c r="Z251" s="1"/>
      <c r="AA251" s="1"/>
      <c r="AB251" s="1"/>
    </row>
    <row r="252" customFormat="false" ht="15.75" hidden="false" customHeight="false" outlineLevel="0" collapsed="false">
      <c r="A252" s="3" t="n">
        <v>43639.877032963</v>
      </c>
      <c r="B252" s="2" t="s">
        <v>867</v>
      </c>
      <c r="C252" s="2" t="s">
        <v>23</v>
      </c>
      <c r="D252" s="2" t="s">
        <v>38</v>
      </c>
      <c r="E252" s="2" t="n">
        <v>3</v>
      </c>
      <c r="F252" s="2" t="s">
        <v>868</v>
      </c>
      <c r="G252" s="2" t="s">
        <v>64</v>
      </c>
      <c r="H252" s="2" t="s">
        <v>50</v>
      </c>
      <c r="I252" s="2" t="s">
        <v>32</v>
      </c>
      <c r="J252" s="2" t="s">
        <v>65</v>
      </c>
      <c r="K252" s="2" t="s">
        <v>42</v>
      </c>
      <c r="L252" s="2" t="s">
        <v>31</v>
      </c>
      <c r="M252" s="2" t="n">
        <v>7</v>
      </c>
      <c r="N252" s="2" t="s">
        <v>32</v>
      </c>
      <c r="O252" s="2" t="s">
        <v>45</v>
      </c>
      <c r="P252" s="2" t="n">
        <v>1</v>
      </c>
      <c r="Q252" s="2" t="s">
        <v>54</v>
      </c>
      <c r="R252" s="2" t="s">
        <v>34</v>
      </c>
      <c r="S252" s="2" t="s">
        <v>869</v>
      </c>
      <c r="T252" s="2" t="s">
        <v>870</v>
      </c>
      <c r="U252" s="1"/>
      <c r="V252" s="1"/>
      <c r="W252" s="1"/>
      <c r="X252" s="1"/>
      <c r="Y252" s="1"/>
      <c r="Z252" s="1"/>
      <c r="AA252" s="1"/>
      <c r="AB252" s="1"/>
    </row>
    <row r="253" customFormat="false" ht="15.75" hidden="false" customHeight="false" outlineLevel="0" collapsed="false">
      <c r="A253" s="3" t="n">
        <v>43639.8786335301</v>
      </c>
      <c r="B253" s="2" t="s">
        <v>871</v>
      </c>
      <c r="C253" s="2" t="s">
        <v>23</v>
      </c>
      <c r="D253" s="2" t="s">
        <v>218</v>
      </c>
      <c r="E253" s="2" t="n">
        <v>5</v>
      </c>
      <c r="F253" s="2" t="s">
        <v>872</v>
      </c>
      <c r="G253" s="2" t="s">
        <v>862</v>
      </c>
      <c r="H253" s="2" t="s">
        <v>27</v>
      </c>
      <c r="I253" s="2" t="s">
        <v>32</v>
      </c>
      <c r="J253" s="2" t="s">
        <v>65</v>
      </c>
      <c r="K253" s="2" t="s">
        <v>873</v>
      </c>
      <c r="L253" s="2" t="s">
        <v>43</v>
      </c>
      <c r="M253" s="2" t="n">
        <v>10</v>
      </c>
      <c r="N253" s="2" t="s">
        <v>32</v>
      </c>
      <c r="O253" s="2" t="s">
        <v>45</v>
      </c>
      <c r="P253" s="2" t="n">
        <v>1</v>
      </c>
      <c r="Q253" s="2" t="s">
        <v>34</v>
      </c>
      <c r="R253" s="2" t="s">
        <v>34</v>
      </c>
      <c r="S253" s="2" t="s">
        <v>851</v>
      </c>
      <c r="T253" s="2" t="s">
        <v>874</v>
      </c>
      <c r="U253" s="1"/>
      <c r="V253" s="1"/>
      <c r="W253" s="1"/>
      <c r="X253" s="1"/>
      <c r="Y253" s="1"/>
      <c r="Z253" s="1"/>
      <c r="AA253" s="1"/>
      <c r="AB253" s="1"/>
    </row>
    <row r="254" customFormat="false" ht="15.75" hidden="false" customHeight="false" outlineLevel="0" collapsed="false">
      <c r="A254" s="3" t="n">
        <v>43639.8837949074</v>
      </c>
      <c r="B254" s="2" t="s">
        <v>875</v>
      </c>
      <c r="C254" s="2" t="s">
        <v>23</v>
      </c>
      <c r="D254" s="2" t="s">
        <v>38</v>
      </c>
      <c r="E254" s="2" t="n">
        <v>5</v>
      </c>
      <c r="F254" s="2" t="s">
        <v>586</v>
      </c>
      <c r="G254" s="2" t="s">
        <v>828</v>
      </c>
      <c r="H254" s="2" t="s">
        <v>50</v>
      </c>
      <c r="I254" s="2" t="s">
        <v>32</v>
      </c>
      <c r="J254" s="2" t="s">
        <v>65</v>
      </c>
      <c r="K254" s="2" t="s">
        <v>88</v>
      </c>
      <c r="L254" s="2" t="s">
        <v>31</v>
      </c>
      <c r="M254" s="2" t="n">
        <v>7</v>
      </c>
      <c r="N254" s="2" t="s">
        <v>53</v>
      </c>
      <c r="O254" s="2" t="s">
        <v>89</v>
      </c>
      <c r="P254" s="2" t="n">
        <v>1</v>
      </c>
      <c r="Q254" s="2" t="s">
        <v>54</v>
      </c>
      <c r="R254" s="2" t="s">
        <v>34</v>
      </c>
      <c r="S254" s="2" t="s">
        <v>847</v>
      </c>
      <c r="T254" s="2" t="s">
        <v>876</v>
      </c>
      <c r="U254" s="1"/>
      <c r="V254" s="1"/>
      <c r="W254" s="1"/>
      <c r="X254" s="1"/>
      <c r="Y254" s="1"/>
      <c r="Z254" s="1"/>
      <c r="AA254" s="1"/>
      <c r="AB254" s="1"/>
    </row>
    <row r="255" customFormat="false" ht="15.75" hidden="false" customHeight="false" outlineLevel="0" collapsed="false">
      <c r="A255" s="3" t="n">
        <v>43639.8847463194</v>
      </c>
      <c r="B255" s="2" t="s">
        <v>877</v>
      </c>
      <c r="C255" s="2" t="s">
        <v>23</v>
      </c>
      <c r="D255" s="2" t="s">
        <v>38</v>
      </c>
      <c r="E255" s="2" t="n">
        <v>3</v>
      </c>
      <c r="F255" s="2" t="s">
        <v>878</v>
      </c>
      <c r="G255" s="2" t="s">
        <v>77</v>
      </c>
      <c r="H255" s="2" t="s">
        <v>41</v>
      </c>
      <c r="I255" s="2" t="s">
        <v>32</v>
      </c>
      <c r="J255" s="2" t="s">
        <v>65</v>
      </c>
      <c r="K255" s="2" t="s">
        <v>879</v>
      </c>
      <c r="L255" s="2" t="s">
        <v>31</v>
      </c>
      <c r="M255" s="2" t="n">
        <v>3</v>
      </c>
      <c r="N255" s="2" t="s">
        <v>66</v>
      </c>
      <c r="O255" s="2" t="s">
        <v>89</v>
      </c>
      <c r="P255" s="2" t="n">
        <v>1</v>
      </c>
      <c r="Q255" s="2" t="s">
        <v>34</v>
      </c>
      <c r="R255" s="2" t="s">
        <v>34</v>
      </c>
      <c r="S255" s="2" t="s">
        <v>854</v>
      </c>
      <c r="T255" s="2" t="s">
        <v>880</v>
      </c>
      <c r="U255" s="1"/>
      <c r="V255" s="1"/>
      <c r="W255" s="1"/>
      <c r="X255" s="1"/>
      <c r="Y255" s="1"/>
      <c r="Z255" s="1"/>
      <c r="AA255" s="1"/>
      <c r="AB255" s="1"/>
    </row>
    <row r="256" customFormat="false" ht="15.75" hidden="false" customHeight="false" outlineLevel="0" collapsed="false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5.75" hidden="false" customHeight="false" outlineLevel="0" collapsed="false">
      <c r="A257" s="3" t="n">
        <v>43639.8928028125</v>
      </c>
      <c r="B257" s="2" t="s">
        <v>881</v>
      </c>
      <c r="C257" s="2" t="s">
        <v>23</v>
      </c>
      <c r="D257" s="2" t="s">
        <v>218</v>
      </c>
      <c r="E257" s="2" t="n">
        <v>2</v>
      </c>
      <c r="F257" s="2" t="s">
        <v>882</v>
      </c>
      <c r="G257" s="2" t="s">
        <v>242</v>
      </c>
      <c r="H257" s="2" t="s">
        <v>27</v>
      </c>
      <c r="I257" s="2" t="s">
        <v>94</v>
      </c>
      <c r="J257" s="2" t="s">
        <v>51</v>
      </c>
      <c r="K257" s="2" t="s">
        <v>42</v>
      </c>
      <c r="L257" s="2" t="s">
        <v>72</v>
      </c>
      <c r="M257" s="2" t="n">
        <v>7</v>
      </c>
      <c r="N257" s="2" t="s">
        <v>53</v>
      </c>
      <c r="O257" s="2" t="s">
        <v>89</v>
      </c>
      <c r="P257" s="2" t="n">
        <v>4</v>
      </c>
      <c r="Q257" s="2" t="s">
        <v>54</v>
      </c>
      <c r="R257" s="2" t="s">
        <v>34</v>
      </c>
      <c r="S257" s="2" t="s">
        <v>883</v>
      </c>
      <c r="T257" s="2" t="s">
        <v>884</v>
      </c>
      <c r="U257" s="1"/>
      <c r="V257" s="1"/>
      <c r="W257" s="1"/>
      <c r="X257" s="1"/>
      <c r="Y257" s="1"/>
      <c r="Z257" s="1"/>
      <c r="AA257" s="1"/>
      <c r="AB257" s="1"/>
    </row>
    <row r="258" customFormat="false" ht="15.75" hidden="false" customHeight="false" outlineLevel="0" collapsed="false">
      <c r="A258" s="3" t="n">
        <v>43639.8934057176</v>
      </c>
      <c r="B258" s="2" t="s">
        <v>885</v>
      </c>
      <c r="C258" s="2" t="s">
        <v>23</v>
      </c>
      <c r="D258" s="2" t="s">
        <v>38</v>
      </c>
      <c r="E258" s="2" t="n">
        <v>3</v>
      </c>
      <c r="F258" s="2" t="s">
        <v>363</v>
      </c>
      <c r="G258" s="2" t="s">
        <v>26</v>
      </c>
      <c r="H258" s="2" t="s">
        <v>41</v>
      </c>
      <c r="I258" s="2" t="s">
        <v>32</v>
      </c>
      <c r="J258" s="2" t="s">
        <v>51</v>
      </c>
      <c r="K258" s="2" t="s">
        <v>840</v>
      </c>
      <c r="L258" s="2" t="s">
        <v>31</v>
      </c>
      <c r="M258" s="2" t="n">
        <v>4</v>
      </c>
      <c r="N258" s="2" t="s">
        <v>53</v>
      </c>
      <c r="O258" s="2" t="s">
        <v>89</v>
      </c>
      <c r="P258" s="2" t="n">
        <v>1</v>
      </c>
      <c r="Q258" s="2" t="s">
        <v>34</v>
      </c>
      <c r="R258" s="2" t="s">
        <v>34</v>
      </c>
      <c r="S258" s="2" t="s">
        <v>841</v>
      </c>
      <c r="T258" s="2" t="s">
        <v>886</v>
      </c>
      <c r="U258" s="1"/>
      <c r="V258" s="1"/>
      <c r="W258" s="1"/>
      <c r="X258" s="1"/>
      <c r="Y258" s="1"/>
      <c r="Z258" s="1"/>
      <c r="AA258" s="1"/>
      <c r="AB258" s="1"/>
    </row>
    <row r="259" customFormat="false" ht="15.75" hidden="false" customHeight="false" outlineLevel="0" collapsed="false">
      <c r="A259" s="3" t="n">
        <v>43639.9058432755</v>
      </c>
      <c r="B259" s="2" t="s">
        <v>887</v>
      </c>
      <c r="C259" s="2" t="s">
        <v>23</v>
      </c>
      <c r="D259" s="2" t="s">
        <v>38</v>
      </c>
      <c r="E259" s="2" t="n">
        <v>3</v>
      </c>
      <c r="F259" s="2" t="s">
        <v>385</v>
      </c>
      <c r="G259" s="2" t="s">
        <v>242</v>
      </c>
      <c r="H259" s="2" t="s">
        <v>50</v>
      </c>
      <c r="I259" s="2" t="s">
        <v>32</v>
      </c>
      <c r="J259" s="2" t="s">
        <v>65</v>
      </c>
      <c r="K259" s="2" t="s">
        <v>42</v>
      </c>
      <c r="L259" s="2" t="s">
        <v>72</v>
      </c>
      <c r="M259" s="2" t="n">
        <v>9</v>
      </c>
      <c r="N259" s="2" t="s">
        <v>53</v>
      </c>
      <c r="O259" s="2" t="s">
        <v>45</v>
      </c>
      <c r="P259" s="2" t="n">
        <v>5</v>
      </c>
      <c r="Q259" s="2" t="s">
        <v>54</v>
      </c>
      <c r="R259" s="2" t="s">
        <v>34</v>
      </c>
      <c r="S259" s="2" t="s">
        <v>888</v>
      </c>
      <c r="T259" s="2" t="s">
        <v>889</v>
      </c>
      <c r="U259" s="1"/>
      <c r="V259" s="1"/>
      <c r="W259" s="1"/>
      <c r="X259" s="1"/>
      <c r="Y259" s="1"/>
      <c r="Z259" s="1"/>
      <c r="AA259" s="1"/>
      <c r="AB259" s="1"/>
    </row>
    <row r="260" customFormat="false" ht="15.75" hidden="false" customHeight="false" outlineLevel="0" collapsed="false">
      <c r="A260" s="3" t="n">
        <v>43639.9341598148</v>
      </c>
      <c r="B260" s="2" t="s">
        <v>890</v>
      </c>
      <c r="C260" s="2" t="s">
        <v>23</v>
      </c>
      <c r="D260" s="2" t="s">
        <v>38</v>
      </c>
      <c r="E260" s="2" t="n">
        <v>5</v>
      </c>
      <c r="F260" s="2" t="s">
        <v>76</v>
      </c>
      <c r="G260" s="2" t="s">
        <v>152</v>
      </c>
      <c r="H260" s="2" t="s">
        <v>50</v>
      </c>
      <c r="I260" s="2" t="s">
        <v>32</v>
      </c>
      <c r="J260" s="2" t="s">
        <v>65</v>
      </c>
      <c r="K260" s="2" t="s">
        <v>42</v>
      </c>
      <c r="L260" s="2" t="s">
        <v>31</v>
      </c>
      <c r="M260" s="2" t="n">
        <v>1</v>
      </c>
      <c r="N260" s="2" t="s">
        <v>32</v>
      </c>
      <c r="O260" s="2" t="s">
        <v>45</v>
      </c>
      <c r="P260" s="2" t="n">
        <v>1</v>
      </c>
      <c r="Q260" s="2" t="s">
        <v>54</v>
      </c>
      <c r="R260" s="2" t="s">
        <v>34</v>
      </c>
      <c r="S260" s="2" t="s">
        <v>891</v>
      </c>
      <c r="T260" s="2" t="s">
        <v>680</v>
      </c>
      <c r="U260" s="1"/>
      <c r="V260" s="1"/>
      <c r="W260" s="1"/>
      <c r="X260" s="1"/>
      <c r="Y260" s="1"/>
      <c r="Z260" s="1"/>
      <c r="AA260" s="1"/>
      <c r="AB260" s="1"/>
    </row>
    <row r="261" customFormat="false" ht="15.75" hidden="false" customHeight="false" outlineLevel="0" collapsed="false">
      <c r="A261" s="3" t="n">
        <v>43639.9501689236</v>
      </c>
      <c r="B261" s="2" t="s">
        <v>892</v>
      </c>
      <c r="C261" s="2" t="s">
        <v>23</v>
      </c>
      <c r="D261" s="2" t="s">
        <v>24</v>
      </c>
      <c r="E261" s="2" t="n">
        <v>3</v>
      </c>
      <c r="F261" s="2" t="s">
        <v>794</v>
      </c>
      <c r="G261" s="2" t="s">
        <v>165</v>
      </c>
      <c r="H261" s="2" t="s">
        <v>41</v>
      </c>
      <c r="I261" s="2" t="s">
        <v>53</v>
      </c>
      <c r="J261" s="2" t="s">
        <v>29</v>
      </c>
      <c r="K261" s="2" t="s">
        <v>893</v>
      </c>
      <c r="L261" s="2" t="s">
        <v>31</v>
      </c>
      <c r="M261" s="2" t="n">
        <v>6</v>
      </c>
      <c r="N261" s="2" t="s">
        <v>53</v>
      </c>
      <c r="O261" s="2" t="s">
        <v>33</v>
      </c>
      <c r="P261" s="2" t="n">
        <v>1</v>
      </c>
      <c r="Q261" s="2" t="s">
        <v>34</v>
      </c>
      <c r="R261" s="2" t="s">
        <v>34</v>
      </c>
      <c r="S261" s="2" t="s">
        <v>821</v>
      </c>
      <c r="T261" s="2" t="s">
        <v>894</v>
      </c>
      <c r="U261" s="1"/>
      <c r="V261" s="1"/>
      <c r="W261" s="1"/>
      <c r="X261" s="1"/>
      <c r="Y261" s="1"/>
      <c r="Z261" s="1"/>
      <c r="AA261" s="1"/>
      <c r="AB261" s="1"/>
    </row>
    <row r="262" customFormat="false" ht="15.75" hidden="false" customHeight="false" outlineLevel="0" collapsed="false">
      <c r="A262" s="3" t="n">
        <v>43640.2222334722</v>
      </c>
      <c r="B262" s="2" t="s">
        <v>895</v>
      </c>
      <c r="C262" s="2" t="s">
        <v>23</v>
      </c>
      <c r="D262" s="2" t="s">
        <v>218</v>
      </c>
      <c r="E262" s="2" t="n">
        <v>5</v>
      </c>
      <c r="F262" s="2" t="s">
        <v>896</v>
      </c>
      <c r="G262" s="2" t="s">
        <v>603</v>
      </c>
      <c r="H262" s="2" t="s">
        <v>50</v>
      </c>
      <c r="I262" s="2" t="s">
        <v>53</v>
      </c>
      <c r="J262" s="2" t="s">
        <v>29</v>
      </c>
      <c r="K262" s="2" t="s">
        <v>355</v>
      </c>
      <c r="L262" s="2" t="s">
        <v>31</v>
      </c>
      <c r="M262" s="2" t="n">
        <v>8</v>
      </c>
      <c r="N262" s="2" t="s">
        <v>32</v>
      </c>
      <c r="O262" s="2" t="s">
        <v>89</v>
      </c>
      <c r="P262" s="2" t="n">
        <v>2</v>
      </c>
      <c r="Q262" s="2" t="s">
        <v>54</v>
      </c>
      <c r="R262" s="2" t="s">
        <v>34</v>
      </c>
      <c r="S262" s="2" t="s">
        <v>897</v>
      </c>
      <c r="T262" s="2" t="s">
        <v>898</v>
      </c>
      <c r="U262" s="1"/>
      <c r="V262" s="1"/>
      <c r="W262" s="1"/>
      <c r="X262" s="1"/>
      <c r="Y262" s="1"/>
      <c r="Z262" s="1"/>
      <c r="AA262" s="1"/>
      <c r="AB262" s="1"/>
    </row>
    <row r="263" customFormat="false" ht="15.75" hidden="false" customHeight="false" outlineLevel="0" collapsed="false">
      <c r="A263" s="3" t="n">
        <v>43640.243552581</v>
      </c>
      <c r="B263" s="2" t="s">
        <v>899</v>
      </c>
      <c r="C263" s="2" t="s">
        <v>75</v>
      </c>
      <c r="D263" s="2" t="s">
        <v>218</v>
      </c>
      <c r="E263" s="2" t="n">
        <v>4</v>
      </c>
      <c r="F263" s="2" t="s">
        <v>900</v>
      </c>
      <c r="G263" s="2" t="s">
        <v>901</v>
      </c>
      <c r="H263" s="2" t="s">
        <v>50</v>
      </c>
      <c r="I263" s="2" t="s">
        <v>53</v>
      </c>
      <c r="J263" s="2" t="s">
        <v>65</v>
      </c>
      <c r="K263" s="2" t="s">
        <v>414</v>
      </c>
      <c r="L263" s="2" t="s">
        <v>31</v>
      </c>
      <c r="M263" s="2" t="n">
        <v>4</v>
      </c>
      <c r="N263" s="2" t="s">
        <v>53</v>
      </c>
      <c r="O263" s="2" t="s">
        <v>89</v>
      </c>
      <c r="P263" s="2" t="n">
        <v>1</v>
      </c>
      <c r="Q263" s="2" t="s">
        <v>34</v>
      </c>
      <c r="R263" s="2" t="s">
        <v>34</v>
      </c>
      <c r="S263" s="2" t="s">
        <v>902</v>
      </c>
      <c r="T263" s="2" t="s">
        <v>903</v>
      </c>
      <c r="U263" s="1"/>
      <c r="V263" s="1"/>
      <c r="W263" s="1"/>
      <c r="X263" s="1"/>
      <c r="Y263" s="1"/>
      <c r="Z263" s="1"/>
      <c r="AA263" s="1"/>
      <c r="AB263" s="1"/>
    </row>
    <row r="264" customFormat="false" ht="15.75" hidden="false" customHeight="false" outlineLevel="0" collapsed="false">
      <c r="A264" s="3" t="n">
        <v>43640.3424198611</v>
      </c>
      <c r="B264" s="2" t="s">
        <v>904</v>
      </c>
      <c r="C264" s="2" t="s">
        <v>23</v>
      </c>
      <c r="D264" s="2" t="s">
        <v>38</v>
      </c>
      <c r="E264" s="2" t="n">
        <v>3</v>
      </c>
      <c r="F264" s="2" t="s">
        <v>81</v>
      </c>
      <c r="G264" s="2" t="s">
        <v>905</v>
      </c>
      <c r="H264" s="2" t="s">
        <v>27</v>
      </c>
      <c r="I264" s="2" t="s">
        <v>53</v>
      </c>
      <c r="J264" s="2" t="s">
        <v>29</v>
      </c>
      <c r="K264" s="2" t="s">
        <v>30</v>
      </c>
      <c r="L264" s="2" t="s">
        <v>60</v>
      </c>
      <c r="M264" s="2" t="n">
        <v>5</v>
      </c>
      <c r="N264" s="2" t="s">
        <v>53</v>
      </c>
      <c r="O264" s="2" t="s">
        <v>33</v>
      </c>
      <c r="P264" s="2" t="n">
        <v>2</v>
      </c>
      <c r="Q264" s="2" t="s">
        <v>54</v>
      </c>
      <c r="R264" s="2" t="s">
        <v>34</v>
      </c>
      <c r="S264" s="2" t="s">
        <v>906</v>
      </c>
      <c r="T264" s="2" t="s">
        <v>907</v>
      </c>
      <c r="U264" s="1"/>
      <c r="V264" s="1"/>
      <c r="W264" s="1"/>
      <c r="X264" s="1"/>
      <c r="Y264" s="1"/>
      <c r="Z264" s="1"/>
      <c r="AA264" s="1"/>
      <c r="AB264" s="1"/>
    </row>
    <row r="265" customFormat="false" ht="15.75" hidden="false" customHeight="false" outlineLevel="0" collapsed="false">
      <c r="A265" s="3" t="n">
        <v>43640.3427582523</v>
      </c>
      <c r="B265" s="2" t="s">
        <v>908</v>
      </c>
      <c r="C265" s="2" t="s">
        <v>23</v>
      </c>
      <c r="D265" s="2" t="s">
        <v>218</v>
      </c>
      <c r="E265" s="2" t="n">
        <v>3</v>
      </c>
      <c r="F265" s="2" t="s">
        <v>909</v>
      </c>
      <c r="G265" s="2" t="s">
        <v>87</v>
      </c>
      <c r="H265" s="2" t="s">
        <v>27</v>
      </c>
      <c r="I265" s="2" t="s">
        <v>28</v>
      </c>
      <c r="J265" s="2" t="s">
        <v>29</v>
      </c>
      <c r="K265" s="2" t="s">
        <v>220</v>
      </c>
      <c r="L265" s="2" t="s">
        <v>31</v>
      </c>
      <c r="M265" s="2" t="n">
        <v>7</v>
      </c>
      <c r="N265" s="2" t="s">
        <v>53</v>
      </c>
      <c r="O265" s="2" t="s">
        <v>89</v>
      </c>
      <c r="P265" s="2" t="n">
        <v>2</v>
      </c>
      <c r="Q265" s="2" t="s">
        <v>54</v>
      </c>
      <c r="R265" s="2" t="s">
        <v>34</v>
      </c>
      <c r="S265" s="2" t="s">
        <v>910</v>
      </c>
      <c r="T265" s="2" t="s">
        <v>911</v>
      </c>
      <c r="U265" s="1"/>
      <c r="V265" s="1"/>
      <c r="W265" s="1"/>
      <c r="X265" s="1"/>
      <c r="Y265" s="1"/>
      <c r="Z265" s="1"/>
      <c r="AA265" s="1"/>
      <c r="AB265" s="1"/>
    </row>
    <row r="266" customFormat="false" ht="15.75" hidden="false" customHeight="false" outlineLevel="0" collapsed="false">
      <c r="A266" s="3" t="n">
        <v>43640.3435074421</v>
      </c>
      <c r="B266" s="2" t="s">
        <v>912</v>
      </c>
      <c r="C266" s="2" t="s">
        <v>23</v>
      </c>
      <c r="D266" s="2" t="s">
        <v>232</v>
      </c>
      <c r="E266" s="2" t="n">
        <v>3</v>
      </c>
      <c r="F266" s="2" t="s">
        <v>70</v>
      </c>
      <c r="G266" s="2" t="s">
        <v>350</v>
      </c>
      <c r="H266" s="2" t="s">
        <v>27</v>
      </c>
      <c r="I266" s="2" t="s">
        <v>53</v>
      </c>
      <c r="J266" s="2" t="s">
        <v>29</v>
      </c>
      <c r="K266" s="2" t="s">
        <v>30</v>
      </c>
      <c r="L266" s="2" t="s">
        <v>31</v>
      </c>
      <c r="M266" s="2" t="n">
        <v>4</v>
      </c>
      <c r="N266" s="2" t="s">
        <v>66</v>
      </c>
      <c r="O266" s="2" t="s">
        <v>89</v>
      </c>
      <c r="P266" s="2" t="n">
        <v>1</v>
      </c>
      <c r="Q266" s="2" t="s">
        <v>34</v>
      </c>
      <c r="R266" s="2" t="s">
        <v>34</v>
      </c>
      <c r="S266" s="2" t="s">
        <v>897</v>
      </c>
      <c r="T266" s="2" t="s">
        <v>913</v>
      </c>
      <c r="U266" s="1"/>
      <c r="V266" s="1"/>
      <c r="W266" s="1"/>
      <c r="X266" s="1"/>
      <c r="Y266" s="1"/>
      <c r="Z266" s="1"/>
      <c r="AA266" s="1"/>
      <c r="AB266" s="1"/>
    </row>
    <row r="267" customFormat="false" ht="15.75" hidden="false" customHeight="false" outlineLevel="0" collapsed="false">
      <c r="A267" s="3" t="n">
        <v>43640.3482767708</v>
      </c>
      <c r="B267" s="2" t="s">
        <v>914</v>
      </c>
      <c r="C267" s="2" t="s">
        <v>99</v>
      </c>
      <c r="D267" s="2" t="s">
        <v>38</v>
      </c>
      <c r="E267" s="2" t="n">
        <v>2</v>
      </c>
      <c r="F267" s="2" t="s">
        <v>915</v>
      </c>
      <c r="G267" s="2" t="s">
        <v>40</v>
      </c>
      <c r="H267" s="2" t="s">
        <v>41</v>
      </c>
      <c r="I267" s="2" t="s">
        <v>28</v>
      </c>
      <c r="J267" s="2" t="s">
        <v>65</v>
      </c>
      <c r="K267" s="2" t="s">
        <v>444</v>
      </c>
      <c r="L267" s="2" t="s">
        <v>31</v>
      </c>
      <c r="M267" s="2" t="n">
        <v>6</v>
      </c>
      <c r="N267" s="2" t="s">
        <v>32</v>
      </c>
      <c r="O267" s="2" t="s">
        <v>89</v>
      </c>
      <c r="P267" s="2" t="n">
        <v>2</v>
      </c>
      <c r="Q267" s="2" t="s">
        <v>54</v>
      </c>
      <c r="R267" s="2" t="s">
        <v>34</v>
      </c>
      <c r="S267" s="2" t="s">
        <v>916</v>
      </c>
      <c r="T267" s="2" t="s">
        <v>917</v>
      </c>
      <c r="U267" s="1"/>
      <c r="V267" s="1"/>
      <c r="W267" s="1"/>
      <c r="X267" s="1"/>
      <c r="Y267" s="1"/>
      <c r="Z267" s="1"/>
      <c r="AA267" s="1"/>
      <c r="AB267" s="1"/>
    </row>
    <row r="268" customFormat="false" ht="15.75" hidden="false" customHeight="false" outlineLevel="0" collapsed="false">
      <c r="A268" s="3" t="n">
        <v>43640.3518975116</v>
      </c>
      <c r="B268" s="2" t="s">
        <v>918</v>
      </c>
      <c r="C268" s="2" t="s">
        <v>23</v>
      </c>
      <c r="D268" s="2" t="s">
        <v>218</v>
      </c>
      <c r="E268" s="2" t="n">
        <v>3</v>
      </c>
      <c r="F268" s="2" t="s">
        <v>579</v>
      </c>
      <c r="G268" s="2" t="s">
        <v>64</v>
      </c>
      <c r="H268" s="2" t="s">
        <v>41</v>
      </c>
      <c r="I268" s="2" t="s">
        <v>94</v>
      </c>
      <c r="J268" s="2" t="s">
        <v>65</v>
      </c>
      <c r="K268" s="2" t="s">
        <v>59</v>
      </c>
      <c r="L268" s="2" t="s">
        <v>43</v>
      </c>
      <c r="M268" s="2" t="n">
        <v>3</v>
      </c>
      <c r="N268" s="2" t="s">
        <v>53</v>
      </c>
      <c r="O268" s="2" t="s">
        <v>89</v>
      </c>
      <c r="P268" s="2" t="n">
        <v>1</v>
      </c>
      <c r="Q268" s="2" t="s">
        <v>54</v>
      </c>
      <c r="R268" s="2" t="s">
        <v>34</v>
      </c>
      <c r="S268" s="2" t="s">
        <v>919</v>
      </c>
      <c r="T268" s="2" t="s">
        <v>920</v>
      </c>
      <c r="U268" s="1"/>
      <c r="V268" s="1"/>
      <c r="W268" s="1"/>
      <c r="X268" s="1"/>
      <c r="Y268" s="1"/>
      <c r="Z268" s="1"/>
      <c r="AA268" s="1"/>
      <c r="AB268" s="1"/>
    </row>
    <row r="269" customFormat="false" ht="15.75" hidden="false" customHeight="false" outlineLevel="0" collapsed="false">
      <c r="A269" s="3" t="n">
        <v>43640.3546000232</v>
      </c>
      <c r="B269" s="2" t="s">
        <v>921</v>
      </c>
      <c r="C269" s="2" t="s">
        <v>99</v>
      </c>
      <c r="D269" s="2" t="s">
        <v>38</v>
      </c>
      <c r="E269" s="2" t="n">
        <v>2</v>
      </c>
      <c r="F269" s="2" t="s">
        <v>922</v>
      </c>
      <c r="G269" s="2" t="s">
        <v>923</v>
      </c>
      <c r="H269" s="2" t="s">
        <v>50</v>
      </c>
      <c r="I269" s="2" t="s">
        <v>53</v>
      </c>
      <c r="J269" s="2" t="s">
        <v>264</v>
      </c>
      <c r="K269" s="2" t="s">
        <v>200</v>
      </c>
      <c r="L269" s="2" t="s">
        <v>31</v>
      </c>
      <c r="M269" s="2" t="n">
        <v>7</v>
      </c>
      <c r="N269" s="2" t="s">
        <v>53</v>
      </c>
      <c r="O269" s="2" t="s">
        <v>45</v>
      </c>
      <c r="P269" s="2" t="n">
        <v>1</v>
      </c>
      <c r="Q269" s="2" t="s">
        <v>54</v>
      </c>
      <c r="R269" s="2" t="s">
        <v>34</v>
      </c>
      <c r="S269" s="2" t="s">
        <v>906</v>
      </c>
      <c r="T269" s="2" t="s">
        <v>924</v>
      </c>
      <c r="U269" s="1"/>
      <c r="V269" s="1"/>
      <c r="W269" s="1"/>
      <c r="X269" s="1"/>
      <c r="Y269" s="1"/>
      <c r="Z269" s="1"/>
      <c r="AA269" s="1"/>
      <c r="AB269" s="1"/>
    </row>
    <row r="270" customFormat="false" ht="15.75" hidden="false" customHeight="false" outlineLevel="0" collapsed="false">
      <c r="A270" s="3" t="n">
        <v>43640.3701968171</v>
      </c>
      <c r="B270" s="2" t="s">
        <v>925</v>
      </c>
      <c r="C270" s="2" t="s">
        <v>23</v>
      </c>
      <c r="D270" s="2" t="s">
        <v>24</v>
      </c>
      <c r="E270" s="2" t="n">
        <v>3</v>
      </c>
      <c r="F270" s="2" t="s">
        <v>104</v>
      </c>
      <c r="G270" s="2" t="s">
        <v>105</v>
      </c>
      <c r="H270" s="2" t="s">
        <v>27</v>
      </c>
      <c r="I270" s="2" t="s">
        <v>32</v>
      </c>
      <c r="J270" s="2" t="s">
        <v>29</v>
      </c>
      <c r="K270" s="2" t="s">
        <v>42</v>
      </c>
      <c r="L270" s="2" t="s">
        <v>72</v>
      </c>
      <c r="M270" s="2" t="n">
        <v>7</v>
      </c>
      <c r="N270" s="2" t="s">
        <v>53</v>
      </c>
      <c r="O270" s="2" t="s">
        <v>45</v>
      </c>
      <c r="P270" s="2" t="n">
        <v>1</v>
      </c>
      <c r="Q270" s="2" t="s">
        <v>34</v>
      </c>
      <c r="R270" s="2" t="s">
        <v>34</v>
      </c>
      <c r="S270" s="2" t="s">
        <v>926</v>
      </c>
      <c r="T270" s="2" t="s">
        <v>927</v>
      </c>
      <c r="U270" s="1"/>
      <c r="V270" s="1"/>
      <c r="W270" s="1"/>
      <c r="X270" s="1"/>
      <c r="Y270" s="1"/>
      <c r="Z270" s="1"/>
      <c r="AA270" s="1"/>
      <c r="AB270" s="1"/>
    </row>
    <row r="271" customFormat="false" ht="15.75" hidden="false" customHeight="false" outlineLevel="0" collapsed="false">
      <c r="A271" s="3" t="n">
        <v>43640.3825268287</v>
      </c>
      <c r="B271" s="2" t="s">
        <v>928</v>
      </c>
      <c r="C271" s="2" t="s">
        <v>23</v>
      </c>
      <c r="D271" s="2" t="s">
        <v>24</v>
      </c>
      <c r="E271" s="2" t="n">
        <v>3</v>
      </c>
      <c r="F271" s="2" t="s">
        <v>929</v>
      </c>
      <c r="G271" s="2" t="s">
        <v>930</v>
      </c>
      <c r="H271" s="2" t="s">
        <v>50</v>
      </c>
      <c r="I271" s="2" t="s">
        <v>53</v>
      </c>
      <c r="J271" s="2" t="s">
        <v>29</v>
      </c>
      <c r="K271" s="2" t="s">
        <v>471</v>
      </c>
      <c r="L271" s="2" t="s">
        <v>60</v>
      </c>
      <c r="M271" s="2" t="n">
        <v>8</v>
      </c>
      <c r="N271" s="2" t="s">
        <v>32</v>
      </c>
      <c r="O271" s="2" t="s">
        <v>45</v>
      </c>
      <c r="P271" s="2" t="n">
        <v>4</v>
      </c>
      <c r="Q271" s="2" t="s">
        <v>54</v>
      </c>
      <c r="R271" s="2" t="s">
        <v>34</v>
      </c>
      <c r="S271" s="2" t="s">
        <v>931</v>
      </c>
      <c r="T271" s="2" t="s">
        <v>932</v>
      </c>
      <c r="U271" s="1"/>
      <c r="V271" s="1"/>
      <c r="W271" s="1"/>
      <c r="X271" s="1"/>
      <c r="Y271" s="1"/>
      <c r="Z271" s="1"/>
      <c r="AA271" s="1"/>
      <c r="AB271" s="1"/>
    </row>
    <row r="272" customFormat="false" ht="15.75" hidden="false" customHeight="false" outlineLevel="0" collapsed="false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5.75" hidden="false" customHeight="false" outlineLevel="0" collapsed="false">
      <c r="A273" s="3" t="n">
        <v>43640.4271621412</v>
      </c>
      <c r="B273" s="2" t="s">
        <v>933</v>
      </c>
      <c r="C273" s="2" t="s">
        <v>23</v>
      </c>
      <c r="D273" s="2" t="s">
        <v>24</v>
      </c>
      <c r="E273" s="2" t="n">
        <v>2</v>
      </c>
      <c r="F273" s="2" t="s">
        <v>363</v>
      </c>
      <c r="G273" s="2" t="s">
        <v>930</v>
      </c>
      <c r="H273" s="2" t="s">
        <v>41</v>
      </c>
      <c r="I273" s="2" t="s">
        <v>32</v>
      </c>
      <c r="J273" s="2" t="s">
        <v>65</v>
      </c>
      <c r="K273" s="2" t="s">
        <v>524</v>
      </c>
      <c r="L273" s="2" t="s">
        <v>43</v>
      </c>
      <c r="M273" s="2" t="n">
        <v>6</v>
      </c>
      <c r="N273" s="2" t="s">
        <v>53</v>
      </c>
      <c r="O273" s="2" t="s">
        <v>45</v>
      </c>
      <c r="P273" s="2" t="n">
        <v>1</v>
      </c>
      <c r="Q273" s="2" t="s">
        <v>54</v>
      </c>
      <c r="R273" s="2" t="s">
        <v>34</v>
      </c>
      <c r="S273" s="2" t="s">
        <v>931</v>
      </c>
      <c r="T273" s="2" t="s">
        <v>934</v>
      </c>
      <c r="U273" s="1"/>
      <c r="V273" s="1"/>
      <c r="W273" s="1"/>
      <c r="X273" s="1"/>
      <c r="Y273" s="1"/>
      <c r="Z273" s="1"/>
      <c r="AA273" s="1"/>
      <c r="AB273" s="1"/>
    </row>
    <row r="274" customFormat="false" ht="15.75" hidden="false" customHeight="false" outlineLevel="0" collapsed="false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5.75" hidden="false" customHeight="false" outlineLevel="0" collapsed="false">
      <c r="A275" s="3" t="n">
        <v>43640.4810371528</v>
      </c>
      <c r="B275" s="2" t="s">
        <v>935</v>
      </c>
      <c r="C275" s="2" t="s">
        <v>23</v>
      </c>
      <c r="D275" s="2" t="s">
        <v>218</v>
      </c>
      <c r="E275" s="2" t="n">
        <v>3</v>
      </c>
      <c r="F275" s="2" t="s">
        <v>804</v>
      </c>
      <c r="G275" s="2" t="s">
        <v>936</v>
      </c>
      <c r="H275" s="2" t="s">
        <v>94</v>
      </c>
      <c r="I275" s="2" t="s">
        <v>28</v>
      </c>
      <c r="J275" s="2" t="s">
        <v>29</v>
      </c>
      <c r="K275" s="2" t="s">
        <v>937</v>
      </c>
      <c r="L275" s="2" t="s">
        <v>31</v>
      </c>
      <c r="M275" s="2" t="n">
        <v>10</v>
      </c>
      <c r="N275" s="2" t="s">
        <v>32</v>
      </c>
      <c r="O275" s="2" t="s">
        <v>89</v>
      </c>
      <c r="P275" s="2" t="n">
        <v>1</v>
      </c>
      <c r="Q275" s="2" t="s">
        <v>34</v>
      </c>
      <c r="R275" s="2" t="s">
        <v>34</v>
      </c>
      <c r="S275" s="2" t="s">
        <v>938</v>
      </c>
      <c r="T275" s="2" t="s">
        <v>939</v>
      </c>
      <c r="U275" s="1"/>
      <c r="V275" s="1"/>
      <c r="W275" s="1"/>
      <c r="X275" s="1"/>
      <c r="Y275" s="1"/>
      <c r="Z275" s="1"/>
      <c r="AA275" s="1"/>
      <c r="AB275" s="1"/>
    </row>
    <row r="276" customFormat="false" ht="15.75" hidden="false" customHeight="false" outlineLevel="0" collapsed="false">
      <c r="A276" s="3" t="n">
        <v>43640.5139039699</v>
      </c>
      <c r="B276" s="2" t="s">
        <v>940</v>
      </c>
      <c r="C276" s="2" t="s">
        <v>23</v>
      </c>
      <c r="D276" s="2" t="s">
        <v>941</v>
      </c>
      <c r="E276" s="2" t="n">
        <v>5</v>
      </c>
      <c r="F276" s="2" t="s">
        <v>301</v>
      </c>
      <c r="G276" s="2" t="s">
        <v>828</v>
      </c>
      <c r="H276" s="2" t="s">
        <v>50</v>
      </c>
      <c r="I276" s="2" t="s">
        <v>32</v>
      </c>
      <c r="J276" s="2" t="s">
        <v>51</v>
      </c>
      <c r="K276" s="2" t="s">
        <v>140</v>
      </c>
      <c r="L276" s="2" t="s">
        <v>43</v>
      </c>
      <c r="M276" s="2" t="n">
        <v>8</v>
      </c>
      <c r="N276" s="2" t="s">
        <v>32</v>
      </c>
      <c r="O276" s="2" t="s">
        <v>89</v>
      </c>
      <c r="P276" s="2" t="n">
        <v>3</v>
      </c>
      <c r="Q276" s="2" t="s">
        <v>34</v>
      </c>
      <c r="R276" s="2" t="s">
        <v>34</v>
      </c>
      <c r="S276" s="2" t="s">
        <v>897</v>
      </c>
      <c r="T276" s="2" t="s">
        <v>185</v>
      </c>
      <c r="U276" s="1"/>
      <c r="V276" s="1"/>
      <c r="W276" s="1"/>
      <c r="X276" s="1"/>
      <c r="Y276" s="1"/>
      <c r="Z276" s="1"/>
      <c r="AA276" s="1"/>
      <c r="AB276" s="1"/>
    </row>
    <row r="277" customFormat="false" ht="15.75" hidden="false" customHeight="false" outlineLevel="0" collapsed="false">
      <c r="A277" s="3" t="n">
        <v>43640.6086070602</v>
      </c>
      <c r="B277" s="2" t="s">
        <v>942</v>
      </c>
      <c r="C277" s="2" t="s">
        <v>75</v>
      </c>
      <c r="D277" s="2" t="s">
        <v>232</v>
      </c>
      <c r="E277" s="2" t="n">
        <v>3</v>
      </c>
      <c r="F277" s="2" t="s">
        <v>943</v>
      </c>
      <c r="G277" s="2" t="s">
        <v>944</v>
      </c>
      <c r="H277" s="2" t="s">
        <v>41</v>
      </c>
      <c r="I277" s="2" t="s">
        <v>28</v>
      </c>
      <c r="J277" s="2" t="s">
        <v>65</v>
      </c>
      <c r="K277" s="2" t="s">
        <v>220</v>
      </c>
      <c r="L277" s="2" t="s">
        <v>43</v>
      </c>
      <c r="M277" s="2" t="n">
        <v>3</v>
      </c>
      <c r="N277" s="2" t="s">
        <v>53</v>
      </c>
      <c r="O277" s="2" t="s">
        <v>597</v>
      </c>
      <c r="P277" s="2" t="n">
        <v>1</v>
      </c>
      <c r="Q277" s="2" t="s">
        <v>54</v>
      </c>
      <c r="R277" s="2" t="s">
        <v>54</v>
      </c>
      <c r="S277" s="2" t="s">
        <v>945</v>
      </c>
      <c r="T277" s="2" t="s">
        <v>946</v>
      </c>
      <c r="U277" s="1"/>
      <c r="V277" s="1"/>
      <c r="W277" s="1"/>
      <c r="X277" s="1"/>
      <c r="Y277" s="1"/>
      <c r="Z277" s="1"/>
      <c r="AA277" s="1"/>
      <c r="AB277" s="1"/>
    </row>
    <row r="278" customFormat="false" ht="15.75" hidden="false" customHeight="false" outlineLevel="0" collapsed="false">
      <c r="A278" s="3" t="n">
        <v>43640.6565635185</v>
      </c>
      <c r="B278" s="2" t="s">
        <v>947</v>
      </c>
      <c r="C278" s="2" t="s">
        <v>23</v>
      </c>
      <c r="D278" s="2" t="s">
        <v>38</v>
      </c>
      <c r="E278" s="2" t="n">
        <v>2</v>
      </c>
      <c r="F278" s="2" t="s">
        <v>948</v>
      </c>
      <c r="G278" s="2" t="s">
        <v>603</v>
      </c>
      <c r="H278" s="2" t="s">
        <v>50</v>
      </c>
      <c r="I278" s="2" t="s">
        <v>32</v>
      </c>
      <c r="J278" s="2" t="s">
        <v>29</v>
      </c>
      <c r="K278" s="2" t="s">
        <v>414</v>
      </c>
      <c r="L278" s="2" t="s">
        <v>31</v>
      </c>
      <c r="M278" s="2" t="n">
        <v>7</v>
      </c>
      <c r="N278" s="2" t="s">
        <v>44</v>
      </c>
      <c r="O278" s="2" t="s">
        <v>45</v>
      </c>
      <c r="P278" s="2" t="n">
        <v>2</v>
      </c>
      <c r="Q278" s="2" t="s">
        <v>54</v>
      </c>
      <c r="R278" s="2" t="s">
        <v>34</v>
      </c>
      <c r="S278" s="2" t="s">
        <v>949</v>
      </c>
      <c r="T278" s="2" t="s">
        <v>622</v>
      </c>
      <c r="U278" s="1"/>
      <c r="V278" s="1"/>
      <c r="W278" s="1"/>
      <c r="X278" s="1"/>
      <c r="Y278" s="1"/>
      <c r="Z278" s="1"/>
      <c r="AA278" s="1"/>
      <c r="AB278" s="1"/>
    </row>
    <row r="279" customFormat="false" ht="15.75" hidden="false" customHeight="false" outlineLevel="0" collapsed="false">
      <c r="A279" s="3" t="n">
        <v>43640.6896556482</v>
      </c>
      <c r="B279" s="2" t="s">
        <v>950</v>
      </c>
      <c r="C279" s="2" t="s">
        <v>23</v>
      </c>
      <c r="D279" s="2" t="s">
        <v>218</v>
      </c>
      <c r="E279" s="2" t="n">
        <v>3</v>
      </c>
      <c r="F279" s="2" t="s">
        <v>951</v>
      </c>
      <c r="G279" s="2" t="s">
        <v>930</v>
      </c>
      <c r="H279" s="2" t="s">
        <v>27</v>
      </c>
      <c r="I279" s="2" t="s">
        <v>53</v>
      </c>
      <c r="J279" s="2" t="s">
        <v>29</v>
      </c>
      <c r="K279" s="2" t="s">
        <v>444</v>
      </c>
      <c r="L279" s="2" t="s">
        <v>31</v>
      </c>
      <c r="M279" s="2" t="n">
        <v>5</v>
      </c>
      <c r="N279" s="2" t="s">
        <v>53</v>
      </c>
      <c r="O279" s="2" t="s">
        <v>89</v>
      </c>
      <c r="P279" s="2" t="n">
        <v>1</v>
      </c>
      <c r="Q279" s="2" t="s">
        <v>54</v>
      </c>
      <c r="R279" s="2" t="s">
        <v>34</v>
      </c>
      <c r="S279" s="2" t="s">
        <v>952</v>
      </c>
      <c r="T279" s="2" t="s">
        <v>953</v>
      </c>
      <c r="U279" s="1"/>
      <c r="V279" s="1"/>
      <c r="W279" s="1"/>
      <c r="X279" s="1"/>
      <c r="Y279" s="1"/>
      <c r="Z279" s="1"/>
      <c r="AA279" s="1"/>
      <c r="AB279" s="1"/>
    </row>
    <row r="280" customFormat="false" ht="15.75" hidden="false" customHeight="false" outlineLevel="0" collapsed="false">
      <c r="A280" s="3" t="n">
        <v>43640.7996201157</v>
      </c>
      <c r="B280" s="2" t="s">
        <v>954</v>
      </c>
      <c r="C280" s="2" t="s">
        <v>23</v>
      </c>
      <c r="D280" s="2" t="s">
        <v>38</v>
      </c>
      <c r="E280" s="2" t="n">
        <v>2</v>
      </c>
      <c r="F280" s="2" t="s">
        <v>63</v>
      </c>
      <c r="G280" s="2" t="s">
        <v>165</v>
      </c>
      <c r="H280" s="2" t="s">
        <v>41</v>
      </c>
      <c r="I280" s="2" t="s">
        <v>32</v>
      </c>
      <c r="J280" s="2" t="s">
        <v>29</v>
      </c>
      <c r="K280" s="2" t="s">
        <v>955</v>
      </c>
      <c r="L280" s="2" t="s">
        <v>31</v>
      </c>
      <c r="M280" s="2" t="n">
        <v>5</v>
      </c>
      <c r="N280" s="2" t="s">
        <v>66</v>
      </c>
      <c r="O280" s="2" t="s">
        <v>89</v>
      </c>
      <c r="P280" s="2" t="n">
        <v>1</v>
      </c>
      <c r="Q280" s="2" t="s">
        <v>34</v>
      </c>
      <c r="R280" s="2" t="s">
        <v>34</v>
      </c>
      <c r="S280" s="2" t="s">
        <v>956</v>
      </c>
      <c r="T280" s="2" t="s">
        <v>957</v>
      </c>
      <c r="U280" s="1"/>
      <c r="V280" s="1"/>
      <c r="W280" s="1"/>
      <c r="X280" s="1"/>
      <c r="Y280" s="1"/>
      <c r="Z280" s="1"/>
      <c r="AA280" s="1"/>
      <c r="AB280" s="1"/>
    </row>
    <row r="281" customFormat="false" ht="15.75" hidden="false" customHeight="false" outlineLevel="0" collapsed="false">
      <c r="A281" s="3" t="n">
        <v>43640.8007604977</v>
      </c>
      <c r="B281" s="2" t="s">
        <v>958</v>
      </c>
      <c r="C281" s="2" t="s">
        <v>23</v>
      </c>
      <c r="D281" s="2" t="s">
        <v>232</v>
      </c>
      <c r="E281" s="2" t="n">
        <v>1</v>
      </c>
      <c r="F281" s="2" t="s">
        <v>959</v>
      </c>
      <c r="G281" s="2" t="s">
        <v>77</v>
      </c>
      <c r="H281" s="2" t="s">
        <v>41</v>
      </c>
      <c r="I281" s="2" t="s">
        <v>94</v>
      </c>
      <c r="J281" s="2" t="s">
        <v>65</v>
      </c>
      <c r="K281" s="2" t="s">
        <v>200</v>
      </c>
      <c r="L281" s="2" t="s">
        <v>60</v>
      </c>
      <c r="M281" s="2" t="n">
        <v>7</v>
      </c>
      <c r="N281" s="2" t="s">
        <v>66</v>
      </c>
      <c r="O281" s="2" t="s">
        <v>89</v>
      </c>
      <c r="P281" s="2" t="n">
        <v>1</v>
      </c>
      <c r="Q281" s="2" t="s">
        <v>34</v>
      </c>
      <c r="R281" s="2" t="s">
        <v>34</v>
      </c>
      <c r="S281" s="2" t="s">
        <v>956</v>
      </c>
      <c r="T281" s="2" t="s">
        <v>960</v>
      </c>
      <c r="U281" s="1"/>
      <c r="V281" s="1"/>
      <c r="W281" s="1"/>
      <c r="X281" s="1"/>
      <c r="Y281" s="1"/>
      <c r="Z281" s="1"/>
      <c r="AA281" s="1"/>
      <c r="AB281" s="1"/>
    </row>
    <row r="282" customFormat="false" ht="15.75" hidden="false" customHeight="false" outlineLevel="0" collapsed="false">
      <c r="A282" s="3" t="n">
        <v>43640.8017898958</v>
      </c>
      <c r="B282" s="2" t="s">
        <v>961</v>
      </c>
      <c r="C282" s="2" t="s">
        <v>23</v>
      </c>
      <c r="D282" s="2" t="s">
        <v>232</v>
      </c>
      <c r="E282" s="2" t="n">
        <v>1</v>
      </c>
      <c r="F282" s="2" t="s">
        <v>63</v>
      </c>
      <c r="G282" s="2" t="s">
        <v>698</v>
      </c>
      <c r="H282" s="2" t="s">
        <v>41</v>
      </c>
      <c r="I282" s="2" t="s">
        <v>32</v>
      </c>
      <c r="J282" s="2" t="s">
        <v>29</v>
      </c>
      <c r="K282" s="2" t="s">
        <v>42</v>
      </c>
      <c r="L282" s="2" t="s">
        <v>31</v>
      </c>
      <c r="M282" s="2" t="n">
        <v>6</v>
      </c>
      <c r="N282" s="2" t="s">
        <v>66</v>
      </c>
      <c r="O282" s="2" t="s">
        <v>45</v>
      </c>
      <c r="P282" s="2" t="n">
        <v>1</v>
      </c>
      <c r="Q282" s="2" t="s">
        <v>34</v>
      </c>
      <c r="R282" s="2" t="s">
        <v>34</v>
      </c>
      <c r="S282" s="2" t="s">
        <v>956</v>
      </c>
      <c r="T282" s="2" t="s">
        <v>962</v>
      </c>
      <c r="U282" s="1"/>
      <c r="V282" s="1"/>
      <c r="W282" s="1"/>
      <c r="X282" s="1"/>
      <c r="Y282" s="1"/>
      <c r="Z282" s="1"/>
      <c r="AA282" s="1"/>
      <c r="AB282" s="1"/>
    </row>
    <row r="283" customFormat="false" ht="15.75" hidden="false" customHeight="false" outlineLevel="0" collapsed="false">
      <c r="A283" s="3" t="n">
        <v>43640.8124751157</v>
      </c>
      <c r="B283" s="2" t="s">
        <v>963</v>
      </c>
      <c r="C283" s="2" t="s">
        <v>75</v>
      </c>
      <c r="D283" s="2" t="s">
        <v>38</v>
      </c>
      <c r="E283" s="2" t="n">
        <v>2</v>
      </c>
      <c r="F283" s="2" t="s">
        <v>964</v>
      </c>
      <c r="G283" s="2" t="s">
        <v>77</v>
      </c>
      <c r="H283" s="2" t="s">
        <v>41</v>
      </c>
      <c r="I283" s="2" t="s">
        <v>32</v>
      </c>
      <c r="J283" s="2" t="s">
        <v>65</v>
      </c>
      <c r="K283" s="2" t="s">
        <v>204</v>
      </c>
      <c r="L283" s="2" t="s">
        <v>43</v>
      </c>
      <c r="M283" s="2" t="n">
        <v>3</v>
      </c>
      <c r="N283" s="2" t="s">
        <v>53</v>
      </c>
      <c r="O283" s="2" t="s">
        <v>597</v>
      </c>
      <c r="P283" s="2" t="n">
        <v>1</v>
      </c>
      <c r="Q283" s="2" t="s">
        <v>34</v>
      </c>
      <c r="R283" s="2" t="s">
        <v>34</v>
      </c>
      <c r="S283" s="2" t="s">
        <v>965</v>
      </c>
      <c r="T283" s="2" t="s">
        <v>966</v>
      </c>
      <c r="U283" s="1"/>
      <c r="V283" s="1"/>
      <c r="W283" s="1"/>
      <c r="X283" s="1"/>
      <c r="Y283" s="1"/>
      <c r="Z283" s="1"/>
      <c r="AA283" s="1"/>
      <c r="AB283" s="1"/>
    </row>
    <row r="284" customFormat="false" ht="15.75" hidden="false" customHeight="false" outlineLevel="0" collapsed="false">
      <c r="A284" s="3" t="n">
        <v>43640.8630268171</v>
      </c>
      <c r="B284" s="2" t="s">
        <v>967</v>
      </c>
      <c r="C284" s="2" t="s">
        <v>23</v>
      </c>
      <c r="D284" s="2" t="s">
        <v>218</v>
      </c>
      <c r="E284" s="2" t="n">
        <v>3</v>
      </c>
      <c r="F284" s="2" t="s">
        <v>59</v>
      </c>
      <c r="G284" s="2" t="s">
        <v>968</v>
      </c>
      <c r="H284" s="2" t="s">
        <v>27</v>
      </c>
      <c r="I284" s="2" t="s">
        <v>32</v>
      </c>
      <c r="J284" s="2" t="s">
        <v>65</v>
      </c>
      <c r="K284" s="2" t="s">
        <v>59</v>
      </c>
      <c r="L284" s="2" t="s">
        <v>43</v>
      </c>
      <c r="M284" s="2" t="n">
        <v>2</v>
      </c>
      <c r="N284" s="2" t="s">
        <v>66</v>
      </c>
      <c r="O284" s="2" t="s">
        <v>89</v>
      </c>
      <c r="P284" s="2" t="n">
        <v>1</v>
      </c>
      <c r="Q284" s="2" t="s">
        <v>34</v>
      </c>
      <c r="R284" s="2" t="s">
        <v>34</v>
      </c>
      <c r="S284" s="2" t="s">
        <v>969</v>
      </c>
      <c r="T284" s="2" t="s">
        <v>46</v>
      </c>
      <c r="U284" s="1"/>
      <c r="V284" s="1"/>
      <c r="W284" s="1"/>
      <c r="X284" s="1"/>
      <c r="Y284" s="1"/>
      <c r="Z284" s="1"/>
      <c r="AA284" s="1"/>
      <c r="AB284" s="1"/>
    </row>
    <row r="285" customFormat="false" ht="15.75" hidden="false" customHeight="false" outlineLevel="0" collapsed="false">
      <c r="A285" s="3" t="n">
        <v>43640.8783159838</v>
      </c>
      <c r="B285" s="2" t="s">
        <v>970</v>
      </c>
      <c r="C285" s="2" t="s">
        <v>75</v>
      </c>
      <c r="D285" s="2" t="s">
        <v>232</v>
      </c>
      <c r="E285" s="2" t="n">
        <v>4</v>
      </c>
      <c r="F285" s="2" t="s">
        <v>676</v>
      </c>
      <c r="G285" s="2" t="s">
        <v>971</v>
      </c>
      <c r="H285" s="2" t="s">
        <v>27</v>
      </c>
      <c r="I285" s="2" t="s">
        <v>28</v>
      </c>
      <c r="J285" s="2" t="s">
        <v>65</v>
      </c>
      <c r="K285" s="2" t="s">
        <v>200</v>
      </c>
      <c r="L285" s="2" t="s">
        <v>60</v>
      </c>
      <c r="M285" s="2" t="n">
        <v>8</v>
      </c>
      <c r="N285" s="2" t="s">
        <v>66</v>
      </c>
      <c r="O285" s="2" t="s">
        <v>89</v>
      </c>
      <c r="P285" s="2" t="n">
        <v>1</v>
      </c>
      <c r="Q285" s="2" t="s">
        <v>34</v>
      </c>
      <c r="R285" s="2" t="s">
        <v>34</v>
      </c>
      <c r="S285" s="2" t="s">
        <v>972</v>
      </c>
      <c r="T285" s="2" t="s">
        <v>973</v>
      </c>
      <c r="U285" s="1"/>
      <c r="V285" s="1"/>
      <c r="W285" s="1"/>
      <c r="X285" s="1"/>
      <c r="Y285" s="1"/>
      <c r="Z285" s="1"/>
      <c r="AA285" s="1"/>
      <c r="AB285" s="1"/>
    </row>
    <row r="286" customFormat="false" ht="15.75" hidden="false" customHeight="false" outlineLevel="0" collapsed="false">
      <c r="A286" s="3" t="n">
        <v>43640.9061110069</v>
      </c>
      <c r="B286" s="2" t="s">
        <v>974</v>
      </c>
      <c r="C286" s="2" t="s">
        <v>23</v>
      </c>
      <c r="D286" s="2" t="s">
        <v>232</v>
      </c>
      <c r="E286" s="2" t="n">
        <v>1</v>
      </c>
      <c r="F286" s="2" t="s">
        <v>975</v>
      </c>
      <c r="G286" s="2" t="s">
        <v>976</v>
      </c>
      <c r="H286" s="2" t="s">
        <v>41</v>
      </c>
      <c r="I286" s="2" t="s">
        <v>53</v>
      </c>
      <c r="J286" s="2" t="s">
        <v>65</v>
      </c>
      <c r="K286" s="2" t="s">
        <v>59</v>
      </c>
      <c r="L286" s="2" t="s">
        <v>43</v>
      </c>
      <c r="M286" s="2" t="n">
        <v>4</v>
      </c>
      <c r="N286" s="2" t="s">
        <v>53</v>
      </c>
      <c r="O286" s="2" t="s">
        <v>45</v>
      </c>
      <c r="P286" s="2" t="n">
        <v>1</v>
      </c>
      <c r="Q286" s="2" t="s">
        <v>34</v>
      </c>
      <c r="R286" s="2" t="s">
        <v>34</v>
      </c>
      <c r="S286" s="2" t="s">
        <v>977</v>
      </c>
      <c r="T286" s="2" t="s">
        <v>978</v>
      </c>
      <c r="U286" s="1"/>
      <c r="V286" s="1"/>
      <c r="W286" s="1"/>
      <c r="X286" s="1"/>
      <c r="Y286" s="1"/>
      <c r="Z286" s="1"/>
      <c r="AA286" s="1"/>
      <c r="AB286" s="1"/>
    </row>
    <row r="287" customFormat="false" ht="15.75" hidden="false" customHeight="false" outlineLevel="0" collapsed="false">
      <c r="A287" s="3" t="n">
        <v>43641.2413149884</v>
      </c>
      <c r="B287" s="2" t="s">
        <v>979</v>
      </c>
      <c r="C287" s="2" t="s">
        <v>23</v>
      </c>
      <c r="D287" s="2" t="s">
        <v>218</v>
      </c>
      <c r="E287" s="2" t="n">
        <v>2</v>
      </c>
      <c r="F287" s="2" t="s">
        <v>980</v>
      </c>
      <c r="G287" s="2" t="s">
        <v>498</v>
      </c>
      <c r="H287" s="2" t="s">
        <v>41</v>
      </c>
      <c r="I287" s="2" t="s">
        <v>53</v>
      </c>
      <c r="J287" s="2" t="s">
        <v>264</v>
      </c>
      <c r="K287" s="2" t="s">
        <v>118</v>
      </c>
      <c r="L287" s="2" t="s">
        <v>31</v>
      </c>
      <c r="M287" s="2" t="n">
        <v>3</v>
      </c>
      <c r="N287" s="2" t="s">
        <v>66</v>
      </c>
      <c r="O287" s="2" t="s">
        <v>89</v>
      </c>
      <c r="P287" s="2" t="n">
        <v>1</v>
      </c>
      <c r="Q287" s="2" t="s">
        <v>54</v>
      </c>
      <c r="R287" s="2" t="s">
        <v>34</v>
      </c>
      <c r="S287" s="2" t="s">
        <v>981</v>
      </c>
      <c r="T287" s="2" t="s">
        <v>982</v>
      </c>
      <c r="U287" s="1"/>
      <c r="V287" s="1"/>
      <c r="W287" s="1"/>
      <c r="X287" s="1"/>
      <c r="Y287" s="1"/>
      <c r="Z287" s="1"/>
      <c r="AA287" s="1"/>
      <c r="AB287" s="1"/>
    </row>
    <row r="288" customFormat="false" ht="15.75" hidden="false" customHeight="false" outlineLevel="0" collapsed="false">
      <c r="A288" s="3" t="n">
        <v>43641.2791123727</v>
      </c>
      <c r="B288" s="2" t="s">
        <v>983</v>
      </c>
      <c r="C288" s="2" t="s">
        <v>99</v>
      </c>
      <c r="D288" s="2" t="s">
        <v>38</v>
      </c>
      <c r="E288" s="2" t="n">
        <v>2</v>
      </c>
      <c r="F288" s="2" t="s">
        <v>984</v>
      </c>
      <c r="G288" s="2" t="s">
        <v>26</v>
      </c>
      <c r="H288" s="2" t="s">
        <v>50</v>
      </c>
      <c r="I288" s="2" t="s">
        <v>94</v>
      </c>
      <c r="J288" s="2" t="s">
        <v>65</v>
      </c>
      <c r="K288" s="2" t="s">
        <v>985</v>
      </c>
      <c r="L288" s="2" t="s">
        <v>60</v>
      </c>
      <c r="M288" s="2" t="n">
        <v>8</v>
      </c>
      <c r="N288" s="2" t="s">
        <v>53</v>
      </c>
      <c r="O288" s="2" t="s">
        <v>45</v>
      </c>
      <c r="P288" s="2" t="n">
        <v>2</v>
      </c>
      <c r="Q288" s="2" t="s">
        <v>34</v>
      </c>
      <c r="R288" s="2" t="s">
        <v>34</v>
      </c>
      <c r="S288" s="2" t="s">
        <v>424</v>
      </c>
      <c r="T288" s="2" t="s">
        <v>986</v>
      </c>
      <c r="U288" s="1"/>
      <c r="V288" s="1"/>
      <c r="W288" s="1"/>
      <c r="X288" s="1"/>
      <c r="Y288" s="1"/>
      <c r="Z288" s="1"/>
      <c r="AA288" s="1"/>
      <c r="AB288" s="1"/>
    </row>
    <row r="289" customFormat="false" ht="15.75" hidden="false" customHeight="false" outlineLevel="0" collapsed="false">
      <c r="A289" s="3" t="n">
        <v>43641.33044</v>
      </c>
      <c r="B289" s="2" t="s">
        <v>987</v>
      </c>
      <c r="C289" s="2" t="s">
        <v>23</v>
      </c>
      <c r="D289" s="2" t="s">
        <v>24</v>
      </c>
      <c r="E289" s="2" t="n">
        <v>3</v>
      </c>
      <c r="F289" s="2" t="s">
        <v>403</v>
      </c>
      <c r="G289" s="2" t="s">
        <v>988</v>
      </c>
      <c r="H289" s="2" t="s">
        <v>50</v>
      </c>
      <c r="I289" s="2" t="s">
        <v>32</v>
      </c>
      <c r="J289" s="2" t="s">
        <v>29</v>
      </c>
      <c r="K289" s="2" t="s">
        <v>42</v>
      </c>
      <c r="L289" s="2" t="s">
        <v>60</v>
      </c>
      <c r="M289" s="2" t="n">
        <v>8</v>
      </c>
      <c r="N289" s="2" t="s">
        <v>32</v>
      </c>
      <c r="O289" s="2" t="s">
        <v>89</v>
      </c>
      <c r="P289" s="2" t="n">
        <v>2</v>
      </c>
      <c r="Q289" s="2" t="s">
        <v>54</v>
      </c>
      <c r="R289" s="2" t="s">
        <v>34</v>
      </c>
      <c r="S289" s="2" t="s">
        <v>989</v>
      </c>
      <c r="T289" s="2" t="s">
        <v>990</v>
      </c>
      <c r="U289" s="1"/>
      <c r="V289" s="1"/>
      <c r="W289" s="1"/>
      <c r="X289" s="1"/>
      <c r="Y289" s="1"/>
      <c r="Z289" s="1"/>
      <c r="AA289" s="1"/>
      <c r="AB289" s="1"/>
    </row>
    <row r="290" customFormat="false" ht="15.75" hidden="false" customHeight="false" outlineLevel="0" collapsed="false">
      <c r="A290" s="3" t="n">
        <v>43641.6062071412</v>
      </c>
      <c r="B290" s="2" t="s">
        <v>991</v>
      </c>
      <c r="C290" s="2" t="s">
        <v>75</v>
      </c>
      <c r="D290" s="2" t="s">
        <v>24</v>
      </c>
      <c r="E290" s="2" t="n">
        <v>1</v>
      </c>
      <c r="F290" s="2" t="s">
        <v>992</v>
      </c>
      <c r="G290" s="2" t="s">
        <v>993</v>
      </c>
      <c r="H290" s="2" t="s">
        <v>94</v>
      </c>
      <c r="I290" s="2" t="s">
        <v>53</v>
      </c>
      <c r="J290" s="2" t="s">
        <v>29</v>
      </c>
      <c r="K290" s="2" t="s">
        <v>30</v>
      </c>
      <c r="L290" s="2" t="s">
        <v>31</v>
      </c>
      <c r="M290" s="2" t="n">
        <v>3</v>
      </c>
      <c r="N290" s="2" t="s">
        <v>53</v>
      </c>
      <c r="O290" s="2" t="s">
        <v>89</v>
      </c>
      <c r="P290" s="2" t="n">
        <v>2</v>
      </c>
      <c r="Q290" s="2" t="s">
        <v>34</v>
      </c>
      <c r="R290" s="2" t="s">
        <v>34</v>
      </c>
      <c r="S290" s="2" t="s">
        <v>994</v>
      </c>
      <c r="T290" s="2" t="s">
        <v>995</v>
      </c>
      <c r="U290" s="1"/>
      <c r="V290" s="1"/>
      <c r="W290" s="1"/>
      <c r="X290" s="1"/>
      <c r="Y290" s="1"/>
      <c r="Z290" s="1"/>
      <c r="AA290" s="1"/>
      <c r="AB290" s="1"/>
    </row>
    <row r="291" customFormat="false" ht="15.75" hidden="false" customHeight="false" outlineLevel="0" collapsed="false">
      <c r="A291" s="3" t="n">
        <v>43641.6102805556</v>
      </c>
      <c r="B291" s="2" t="s">
        <v>996</v>
      </c>
      <c r="C291" s="2" t="s">
        <v>99</v>
      </c>
      <c r="D291" s="2" t="s">
        <v>218</v>
      </c>
      <c r="E291" s="2" t="n">
        <v>4</v>
      </c>
      <c r="F291" s="2" t="s">
        <v>156</v>
      </c>
      <c r="G291" s="2" t="s">
        <v>997</v>
      </c>
      <c r="H291" s="2" t="s">
        <v>94</v>
      </c>
      <c r="I291" s="2" t="s">
        <v>28</v>
      </c>
      <c r="J291" s="2" t="s">
        <v>264</v>
      </c>
      <c r="K291" s="2" t="s">
        <v>220</v>
      </c>
      <c r="L291" s="2" t="s">
        <v>60</v>
      </c>
      <c r="M291" s="2" t="n">
        <v>7</v>
      </c>
      <c r="N291" s="2" t="s">
        <v>53</v>
      </c>
      <c r="O291" s="2" t="s">
        <v>89</v>
      </c>
      <c r="P291" s="2" t="n">
        <v>3</v>
      </c>
      <c r="Q291" s="2" t="s">
        <v>54</v>
      </c>
      <c r="R291" s="2" t="s">
        <v>34</v>
      </c>
      <c r="S291" s="2" t="s">
        <v>460</v>
      </c>
      <c r="T291" s="2" t="s">
        <v>998</v>
      </c>
      <c r="U291" s="1"/>
      <c r="V291" s="1"/>
      <c r="W291" s="1"/>
      <c r="X291" s="1"/>
      <c r="Y291" s="1"/>
      <c r="Z291" s="1"/>
      <c r="AA291" s="1"/>
      <c r="AB291" s="1"/>
    </row>
    <row r="292" customFormat="false" ht="15.75" hidden="false" customHeight="false" outlineLevel="0" collapsed="false">
      <c r="A292" s="3" t="n">
        <v>43641.9032175579</v>
      </c>
      <c r="B292" s="2" t="s">
        <v>999</v>
      </c>
      <c r="C292" s="2" t="s">
        <v>23</v>
      </c>
      <c r="D292" s="2" t="s">
        <v>24</v>
      </c>
      <c r="E292" s="2" t="n">
        <v>3</v>
      </c>
      <c r="F292" s="2" t="s">
        <v>301</v>
      </c>
      <c r="G292" s="2" t="s">
        <v>105</v>
      </c>
      <c r="H292" s="2" t="s">
        <v>50</v>
      </c>
      <c r="I292" s="2" t="s">
        <v>32</v>
      </c>
      <c r="J292" s="2" t="s">
        <v>29</v>
      </c>
      <c r="K292" s="2" t="s">
        <v>42</v>
      </c>
      <c r="L292" s="2" t="s">
        <v>72</v>
      </c>
      <c r="M292" s="2" t="n">
        <v>6</v>
      </c>
      <c r="N292" s="2" t="s">
        <v>53</v>
      </c>
      <c r="O292" s="2" t="s">
        <v>89</v>
      </c>
      <c r="P292" s="2" t="n">
        <v>1</v>
      </c>
      <c r="Q292" s="2" t="s">
        <v>54</v>
      </c>
      <c r="R292" s="2" t="s">
        <v>34</v>
      </c>
      <c r="S292" s="2" t="s">
        <v>989</v>
      </c>
      <c r="T292" s="2" t="s">
        <v>1000</v>
      </c>
      <c r="U292" s="1"/>
      <c r="V292" s="1"/>
      <c r="W292" s="1"/>
      <c r="X292" s="1"/>
      <c r="Y292" s="1"/>
      <c r="Z292" s="1"/>
      <c r="AA292" s="1"/>
      <c r="AB292" s="1"/>
    </row>
    <row r="293" customFormat="false" ht="15.75" hidden="false" customHeight="false" outlineLevel="0" collapsed="false">
      <c r="A293" s="3" t="n">
        <v>43642.3708256945</v>
      </c>
      <c r="B293" s="2" t="s">
        <v>1001</v>
      </c>
      <c r="C293" s="2" t="s">
        <v>23</v>
      </c>
      <c r="D293" s="2" t="s">
        <v>38</v>
      </c>
      <c r="E293" s="2" t="n">
        <v>2</v>
      </c>
      <c r="F293" s="2" t="s">
        <v>579</v>
      </c>
      <c r="G293" s="2" t="s">
        <v>397</v>
      </c>
      <c r="H293" s="2" t="s">
        <v>41</v>
      </c>
      <c r="I293" s="2" t="s">
        <v>32</v>
      </c>
      <c r="J293" s="2" t="s">
        <v>29</v>
      </c>
      <c r="K293" s="2" t="s">
        <v>59</v>
      </c>
      <c r="L293" s="2" t="s">
        <v>43</v>
      </c>
      <c r="M293" s="2" t="n">
        <v>5</v>
      </c>
      <c r="N293" s="2" t="s">
        <v>53</v>
      </c>
      <c r="O293" s="2" t="s">
        <v>45</v>
      </c>
      <c r="P293" s="2" t="n">
        <v>1</v>
      </c>
      <c r="Q293" s="2" t="s">
        <v>34</v>
      </c>
      <c r="R293" s="2" t="s">
        <v>34</v>
      </c>
      <c r="S293" s="2" t="s">
        <v>989</v>
      </c>
      <c r="T293" s="2" t="s">
        <v>1002</v>
      </c>
      <c r="U293" s="1"/>
      <c r="V293" s="1"/>
      <c r="W293" s="1"/>
      <c r="X293" s="1"/>
      <c r="Y293" s="1"/>
      <c r="Z293" s="1"/>
      <c r="AA293" s="1"/>
      <c r="AB293" s="1"/>
    </row>
    <row r="294" customFormat="false" ht="15.75" hidden="false" customHeight="false" outlineLevel="0" collapsed="false">
      <c r="A294" s="3" t="n">
        <v>43642.9126212037</v>
      </c>
      <c r="B294" s="2" t="s">
        <v>1003</v>
      </c>
      <c r="C294" s="2" t="s">
        <v>75</v>
      </c>
      <c r="D294" s="2" t="s">
        <v>38</v>
      </c>
      <c r="E294" s="2" t="n">
        <v>5</v>
      </c>
      <c r="F294" s="2" t="s">
        <v>1004</v>
      </c>
      <c r="G294" s="2" t="s">
        <v>1005</v>
      </c>
      <c r="H294" s="2" t="s">
        <v>50</v>
      </c>
      <c r="I294" s="2" t="s">
        <v>53</v>
      </c>
      <c r="J294" s="2" t="s">
        <v>29</v>
      </c>
      <c r="K294" s="2" t="s">
        <v>1006</v>
      </c>
      <c r="L294" s="2" t="s">
        <v>72</v>
      </c>
      <c r="M294" s="2" t="n">
        <v>10</v>
      </c>
      <c r="N294" s="2" t="s">
        <v>32</v>
      </c>
      <c r="O294" s="2" t="s">
        <v>45</v>
      </c>
      <c r="P294" s="2" t="n">
        <v>2</v>
      </c>
      <c r="Q294" s="2" t="s">
        <v>54</v>
      </c>
      <c r="R294" s="2" t="s">
        <v>34</v>
      </c>
      <c r="S294" s="2" t="s">
        <v>989</v>
      </c>
      <c r="T294" s="2" t="s">
        <v>1007</v>
      </c>
      <c r="U294" s="1"/>
      <c r="V294" s="1"/>
      <c r="W294" s="1"/>
      <c r="X294" s="1"/>
      <c r="Y294" s="1"/>
      <c r="Z294" s="1"/>
      <c r="AA294" s="1"/>
      <c r="AB294" s="1"/>
    </row>
    <row r="295" customFormat="false" ht="15.75" hidden="false" customHeight="false" outlineLevel="0" collapsed="false">
      <c r="A295" s="3" t="n">
        <v>43643.2750428588</v>
      </c>
      <c r="B295" s="2" t="s">
        <v>1008</v>
      </c>
      <c r="C295" s="2" t="s">
        <v>23</v>
      </c>
      <c r="D295" s="2" t="s">
        <v>24</v>
      </c>
      <c r="E295" s="2" t="n">
        <v>5</v>
      </c>
      <c r="F295" s="2" t="s">
        <v>1009</v>
      </c>
      <c r="G295" s="2" t="s">
        <v>1010</v>
      </c>
      <c r="H295" s="2" t="s">
        <v>41</v>
      </c>
      <c r="I295" s="2" t="s">
        <v>32</v>
      </c>
      <c r="J295" s="2" t="s">
        <v>65</v>
      </c>
      <c r="K295" s="2" t="s">
        <v>1011</v>
      </c>
      <c r="L295" s="2" t="s">
        <v>43</v>
      </c>
      <c r="M295" s="2" t="n">
        <v>4</v>
      </c>
      <c r="N295" s="2" t="s">
        <v>53</v>
      </c>
      <c r="O295" s="2" t="s">
        <v>45</v>
      </c>
      <c r="P295" s="2" t="n">
        <v>3</v>
      </c>
      <c r="Q295" s="2" t="s">
        <v>54</v>
      </c>
      <c r="R295" s="2" t="s">
        <v>34</v>
      </c>
      <c r="S295" s="2" t="s">
        <v>718</v>
      </c>
      <c r="T295" s="2" t="s">
        <v>1012</v>
      </c>
      <c r="U295" s="1"/>
      <c r="V295" s="1"/>
      <c r="W295" s="1"/>
      <c r="X295" s="1"/>
      <c r="Y295" s="1"/>
      <c r="Z295" s="1"/>
      <c r="AA295" s="1"/>
      <c r="AB295" s="1"/>
    </row>
    <row r="296" customFormat="false" ht="15.75" hidden="false" customHeight="false" outlineLevel="0" collapsed="false">
      <c r="A296" s="3" t="n">
        <v>43647.8517620139</v>
      </c>
      <c r="B296" s="2" t="s">
        <v>1013</v>
      </c>
      <c r="C296" s="2" t="s">
        <v>75</v>
      </c>
      <c r="D296" s="2" t="s">
        <v>38</v>
      </c>
      <c r="E296" s="2" t="n">
        <v>5</v>
      </c>
      <c r="F296" s="2" t="s">
        <v>139</v>
      </c>
      <c r="G296" s="2" t="s">
        <v>77</v>
      </c>
      <c r="H296" s="2" t="s">
        <v>41</v>
      </c>
      <c r="I296" s="2" t="s">
        <v>32</v>
      </c>
      <c r="J296" s="2" t="s">
        <v>29</v>
      </c>
      <c r="K296" s="2" t="s">
        <v>42</v>
      </c>
      <c r="L296" s="2" t="s">
        <v>31</v>
      </c>
      <c r="M296" s="2" t="n">
        <v>7</v>
      </c>
      <c r="N296" s="2" t="s">
        <v>53</v>
      </c>
      <c r="O296" s="2" t="s">
        <v>45</v>
      </c>
      <c r="P296" s="2" t="n">
        <v>1</v>
      </c>
      <c r="Q296" s="2" t="s">
        <v>54</v>
      </c>
      <c r="R296" s="2" t="s">
        <v>34</v>
      </c>
      <c r="S296" s="2" t="s">
        <v>1014</v>
      </c>
      <c r="T296" s="2" t="s">
        <v>1015</v>
      </c>
      <c r="U296" s="1"/>
      <c r="V296" s="1"/>
      <c r="W296" s="1"/>
      <c r="X296" s="1"/>
      <c r="Y296" s="1"/>
      <c r="Z296" s="1"/>
      <c r="AA296" s="1"/>
      <c r="AB296" s="1"/>
    </row>
    <row r="297" customFormat="false" ht="15.75" hidden="false" customHeight="false" outlineLevel="0" collapsed="false">
      <c r="A297" s="3" t="n">
        <v>43647.8791618866</v>
      </c>
      <c r="B297" s="2" t="s">
        <v>1016</v>
      </c>
      <c r="C297" s="2" t="s">
        <v>23</v>
      </c>
      <c r="D297" s="2" t="s">
        <v>38</v>
      </c>
      <c r="E297" s="2" t="n">
        <v>1</v>
      </c>
      <c r="F297" s="2" t="s">
        <v>1017</v>
      </c>
      <c r="G297" s="2" t="s">
        <v>26</v>
      </c>
      <c r="H297" s="2" t="s">
        <v>50</v>
      </c>
      <c r="I297" s="2" t="s">
        <v>53</v>
      </c>
      <c r="J297" s="2" t="s">
        <v>29</v>
      </c>
      <c r="K297" s="2" t="s">
        <v>1018</v>
      </c>
      <c r="L297" s="2" t="s">
        <v>43</v>
      </c>
      <c r="M297" s="2" t="n">
        <v>4</v>
      </c>
      <c r="N297" s="2" t="s">
        <v>53</v>
      </c>
      <c r="O297" s="2" t="s">
        <v>89</v>
      </c>
      <c r="P297" s="2" t="n">
        <v>1</v>
      </c>
      <c r="Q297" s="2" t="s">
        <v>34</v>
      </c>
      <c r="R297" s="2" t="s">
        <v>34</v>
      </c>
      <c r="S297" s="2" t="s">
        <v>1014</v>
      </c>
      <c r="T297" s="2" t="s">
        <v>1019</v>
      </c>
      <c r="U297" s="1"/>
      <c r="V297" s="1"/>
      <c r="W297" s="1"/>
      <c r="X297" s="1"/>
      <c r="Y297" s="1"/>
      <c r="Z297" s="1"/>
      <c r="AA297" s="1"/>
      <c r="AB297" s="1"/>
    </row>
    <row r="298" customFormat="false" ht="15.75" hidden="false" customHeight="false" outlineLevel="0" collapsed="false">
      <c r="A298" s="3" t="n">
        <v>43647.8838785301</v>
      </c>
      <c r="B298" s="2" t="s">
        <v>1020</v>
      </c>
      <c r="C298" s="2" t="s">
        <v>23</v>
      </c>
      <c r="D298" s="2" t="s">
        <v>38</v>
      </c>
      <c r="E298" s="2" t="n">
        <v>5</v>
      </c>
      <c r="F298" s="2" t="s">
        <v>59</v>
      </c>
      <c r="G298" s="2" t="s">
        <v>242</v>
      </c>
      <c r="H298" s="2" t="s">
        <v>41</v>
      </c>
      <c r="I298" s="2" t="s">
        <v>94</v>
      </c>
      <c r="J298" s="2" t="s">
        <v>65</v>
      </c>
      <c r="K298" s="2" t="s">
        <v>88</v>
      </c>
      <c r="L298" s="2" t="s">
        <v>31</v>
      </c>
      <c r="M298" s="2" t="n">
        <v>7</v>
      </c>
      <c r="N298" s="2" t="s">
        <v>32</v>
      </c>
      <c r="O298" s="2" t="s">
        <v>89</v>
      </c>
      <c r="P298" s="2" t="n">
        <v>2</v>
      </c>
      <c r="Q298" s="2" t="s">
        <v>34</v>
      </c>
      <c r="R298" s="2" t="s">
        <v>34</v>
      </c>
      <c r="S298" s="2" t="s">
        <v>1021</v>
      </c>
      <c r="T298" s="2" t="s">
        <v>1022</v>
      </c>
      <c r="U298" s="1"/>
      <c r="V298" s="1"/>
      <c r="W298" s="1"/>
      <c r="X298" s="1"/>
      <c r="Y298" s="1"/>
      <c r="Z298" s="1"/>
      <c r="AA298" s="1"/>
      <c r="AB298" s="1"/>
    </row>
    <row r="299" customFormat="false" ht="15.75" hidden="false" customHeight="false" outlineLevel="0" collapsed="false">
      <c r="A299" s="3" t="n">
        <v>43647.9690765394</v>
      </c>
      <c r="B299" s="2" t="s">
        <v>1023</v>
      </c>
      <c r="C299" s="2" t="s">
        <v>75</v>
      </c>
      <c r="D299" s="2" t="s">
        <v>38</v>
      </c>
      <c r="E299" s="2" t="n">
        <v>5</v>
      </c>
      <c r="F299" s="2" t="s">
        <v>1024</v>
      </c>
      <c r="G299" s="2" t="s">
        <v>1025</v>
      </c>
      <c r="H299" s="2" t="s">
        <v>41</v>
      </c>
      <c r="I299" s="2" t="s">
        <v>94</v>
      </c>
      <c r="J299" s="2" t="s">
        <v>29</v>
      </c>
      <c r="K299" s="2" t="s">
        <v>1026</v>
      </c>
      <c r="L299" s="2" t="s">
        <v>60</v>
      </c>
      <c r="M299" s="2" t="n">
        <v>7</v>
      </c>
      <c r="N299" s="2" t="s">
        <v>53</v>
      </c>
      <c r="O299" s="2" t="s">
        <v>45</v>
      </c>
      <c r="P299" s="2" t="n">
        <v>3</v>
      </c>
      <c r="Q299" s="2" t="s">
        <v>34</v>
      </c>
      <c r="R299" s="2" t="s">
        <v>34</v>
      </c>
      <c r="S299" s="2" t="s">
        <v>1027</v>
      </c>
      <c r="T299" s="2" t="s">
        <v>1028</v>
      </c>
      <c r="U299" s="1"/>
      <c r="V299" s="1"/>
      <c r="W299" s="1"/>
      <c r="X299" s="1"/>
      <c r="Y299" s="1"/>
      <c r="Z299" s="1"/>
      <c r="AA299" s="1"/>
      <c r="AB299" s="1"/>
    </row>
    <row r="300" customFormat="false" ht="15.75" hidden="false" customHeight="false" outlineLevel="0" collapsed="false">
      <c r="A300" s="3" t="n">
        <v>43650.6859524884</v>
      </c>
      <c r="B300" s="2" t="s">
        <v>1029</v>
      </c>
      <c r="C300" s="2" t="s">
        <v>23</v>
      </c>
      <c r="D300" s="2" t="s">
        <v>38</v>
      </c>
      <c r="E300" s="2" t="n">
        <v>3</v>
      </c>
      <c r="F300" s="2" t="s">
        <v>1030</v>
      </c>
      <c r="G300" s="2" t="s">
        <v>523</v>
      </c>
      <c r="H300" s="2" t="s">
        <v>41</v>
      </c>
      <c r="I300" s="2" t="s">
        <v>32</v>
      </c>
      <c r="J300" s="2" t="s">
        <v>29</v>
      </c>
      <c r="K300" s="2" t="s">
        <v>1031</v>
      </c>
      <c r="L300" s="2" t="s">
        <v>43</v>
      </c>
      <c r="M300" s="2" t="n">
        <v>7</v>
      </c>
      <c r="N300" s="2" t="s">
        <v>53</v>
      </c>
      <c r="O300" s="2" t="s">
        <v>45</v>
      </c>
      <c r="P300" s="2" t="n">
        <v>3</v>
      </c>
      <c r="Q300" s="2" t="s">
        <v>54</v>
      </c>
      <c r="R300" s="2" t="s">
        <v>34</v>
      </c>
      <c r="S300" s="2" t="s">
        <v>630</v>
      </c>
      <c r="T300" s="2" t="s">
        <v>1032</v>
      </c>
      <c r="U300" s="1"/>
      <c r="V300" s="1"/>
      <c r="W300" s="1"/>
      <c r="X300" s="1"/>
      <c r="Y300" s="1"/>
      <c r="Z300" s="1"/>
      <c r="AA300" s="1"/>
      <c r="AB300" s="1"/>
    </row>
    <row r="301" customFormat="false" ht="15.75" hidden="false" customHeight="false" outlineLevel="0" collapsed="false">
      <c r="A301" s="3" t="n">
        <v>43661.5232694329</v>
      </c>
      <c r="B301" s="2" t="s">
        <v>1033</v>
      </c>
      <c r="C301" s="2" t="s">
        <v>23</v>
      </c>
      <c r="D301" s="2" t="s">
        <v>232</v>
      </c>
      <c r="E301" s="2" t="n">
        <v>3</v>
      </c>
      <c r="F301" s="2" t="s">
        <v>1034</v>
      </c>
      <c r="G301" s="2" t="s">
        <v>1035</v>
      </c>
      <c r="H301" s="2" t="s">
        <v>50</v>
      </c>
      <c r="I301" s="2" t="s">
        <v>28</v>
      </c>
      <c r="J301" s="2" t="s">
        <v>65</v>
      </c>
      <c r="K301" s="2" t="s">
        <v>59</v>
      </c>
      <c r="L301" s="2" t="s">
        <v>43</v>
      </c>
      <c r="M301" s="2" t="n">
        <v>8</v>
      </c>
      <c r="N301" s="2" t="s">
        <v>32</v>
      </c>
      <c r="O301" s="2" t="s">
        <v>45</v>
      </c>
      <c r="P301" s="2" t="n">
        <v>4</v>
      </c>
      <c r="Q301" s="2" t="s">
        <v>54</v>
      </c>
      <c r="R301" s="2" t="s">
        <v>54</v>
      </c>
      <c r="S301" s="2" t="s">
        <v>1036</v>
      </c>
      <c r="T301" s="2" t="s">
        <v>1037</v>
      </c>
      <c r="U301" s="1"/>
      <c r="V301" s="1"/>
      <c r="W301" s="1"/>
      <c r="X301" s="1"/>
      <c r="Y301" s="1"/>
      <c r="Z301" s="1"/>
      <c r="AA301" s="1"/>
      <c r="AB301" s="1"/>
    </row>
    <row r="302" customFormat="false" ht="15.75" hidden="false" customHeight="false" outlineLevel="0" collapsed="false">
      <c r="A302" s="3" t="n">
        <v>43673.7527962847</v>
      </c>
      <c r="B302" s="2" t="s">
        <v>1038</v>
      </c>
      <c r="C302" s="2" t="s">
        <v>23</v>
      </c>
      <c r="D302" s="2" t="s">
        <v>218</v>
      </c>
      <c r="E302" s="2" t="n">
        <v>3</v>
      </c>
      <c r="F302" s="2" t="s">
        <v>1039</v>
      </c>
      <c r="G302" s="2" t="s">
        <v>105</v>
      </c>
      <c r="H302" s="2" t="s">
        <v>50</v>
      </c>
      <c r="I302" s="2" t="s">
        <v>32</v>
      </c>
      <c r="J302" s="2" t="s">
        <v>65</v>
      </c>
      <c r="K302" s="2" t="s">
        <v>1040</v>
      </c>
      <c r="L302" s="2" t="s">
        <v>72</v>
      </c>
      <c r="M302" s="2" t="n">
        <v>6</v>
      </c>
      <c r="N302" s="2" t="s">
        <v>32</v>
      </c>
      <c r="O302" s="2" t="s">
        <v>89</v>
      </c>
      <c r="P302" s="2" t="n">
        <v>1</v>
      </c>
      <c r="Q302" s="2" t="s">
        <v>54</v>
      </c>
      <c r="R302" s="2" t="s">
        <v>34</v>
      </c>
      <c r="S302" s="2" t="s">
        <v>1041</v>
      </c>
      <c r="T302" s="2" t="s">
        <v>1042</v>
      </c>
      <c r="U302" s="1"/>
      <c r="V302" s="1"/>
      <c r="W302" s="1"/>
      <c r="X302" s="1"/>
      <c r="Y302" s="1"/>
      <c r="Z302" s="1"/>
      <c r="AA302" s="1"/>
      <c r="AB302" s="1"/>
    </row>
    <row r="303" customFormat="false" ht="15.75" hidden="false" customHeight="false" outlineLevel="0" collapsed="false">
      <c r="A303" s="3" t="n">
        <v>43673.7576137616</v>
      </c>
      <c r="B303" s="2" t="s">
        <v>1043</v>
      </c>
      <c r="C303" s="2" t="s">
        <v>75</v>
      </c>
      <c r="D303" s="2" t="s">
        <v>38</v>
      </c>
      <c r="E303" s="2" t="n">
        <v>5</v>
      </c>
      <c r="F303" s="2" t="s">
        <v>182</v>
      </c>
      <c r="G303" s="2" t="s">
        <v>523</v>
      </c>
      <c r="H303" s="2" t="s">
        <v>50</v>
      </c>
      <c r="I303" s="2" t="s">
        <v>53</v>
      </c>
      <c r="J303" s="2" t="s">
        <v>29</v>
      </c>
      <c r="K303" s="2" t="s">
        <v>550</v>
      </c>
      <c r="L303" s="2" t="s">
        <v>31</v>
      </c>
      <c r="M303" s="2" t="n">
        <v>6</v>
      </c>
      <c r="N303" s="2" t="s">
        <v>32</v>
      </c>
      <c r="O303" s="2" t="s">
        <v>89</v>
      </c>
      <c r="P303" s="2" t="n">
        <v>1</v>
      </c>
      <c r="Q303" s="2" t="s">
        <v>34</v>
      </c>
      <c r="R303" s="2" t="s">
        <v>34</v>
      </c>
      <c r="S303" s="2" t="s">
        <v>1044</v>
      </c>
      <c r="T303" s="2" t="s">
        <v>1045</v>
      </c>
      <c r="U303" s="1"/>
      <c r="V303" s="1"/>
      <c r="W303" s="1"/>
      <c r="X303" s="1"/>
      <c r="Y303" s="1"/>
      <c r="Z303" s="1"/>
      <c r="AA303" s="1"/>
      <c r="AB303" s="1"/>
    </row>
    <row r="304" customFormat="false" ht="15.75" hidden="false" customHeight="false" outlineLevel="0" collapsed="false">
      <c r="A304" s="3" t="n">
        <v>43673.7641297917</v>
      </c>
      <c r="B304" s="2" t="s">
        <v>1046</v>
      </c>
      <c r="C304" s="2" t="s">
        <v>23</v>
      </c>
      <c r="D304" s="2" t="s">
        <v>218</v>
      </c>
      <c r="E304" s="2" t="n">
        <v>4</v>
      </c>
      <c r="F304" s="2" t="s">
        <v>39</v>
      </c>
      <c r="G304" s="2" t="s">
        <v>105</v>
      </c>
      <c r="H304" s="2" t="s">
        <v>27</v>
      </c>
      <c r="I304" s="2" t="s">
        <v>53</v>
      </c>
      <c r="J304" s="2" t="s">
        <v>29</v>
      </c>
      <c r="K304" s="2" t="s">
        <v>329</v>
      </c>
      <c r="L304" s="2" t="s">
        <v>31</v>
      </c>
      <c r="M304" s="2" t="n">
        <v>10</v>
      </c>
      <c r="N304" s="2" t="s">
        <v>53</v>
      </c>
      <c r="O304" s="2" t="s">
        <v>89</v>
      </c>
      <c r="P304" s="2" t="n">
        <v>1</v>
      </c>
      <c r="Q304" s="2" t="s">
        <v>34</v>
      </c>
      <c r="R304" s="2" t="s">
        <v>34</v>
      </c>
      <c r="S304" s="2" t="s">
        <v>1044</v>
      </c>
      <c r="T304" s="2" t="s">
        <v>1047</v>
      </c>
      <c r="U304" s="1"/>
      <c r="V304" s="1"/>
      <c r="W304" s="1"/>
      <c r="X304" s="1"/>
      <c r="Y304" s="1"/>
      <c r="Z304" s="1"/>
      <c r="AA304" s="1"/>
      <c r="AB304" s="1"/>
    </row>
    <row r="305" customFormat="false" ht="15.75" hidden="false" customHeight="false" outlineLevel="0" collapsed="false">
      <c r="A305" s="3" t="n">
        <v>43673.778571794</v>
      </c>
      <c r="B305" s="2" t="s">
        <v>1048</v>
      </c>
      <c r="C305" s="2" t="s">
        <v>23</v>
      </c>
      <c r="D305" s="2" t="s">
        <v>38</v>
      </c>
      <c r="E305" s="2" t="n">
        <v>4</v>
      </c>
      <c r="F305" s="2" t="s">
        <v>1049</v>
      </c>
      <c r="G305" s="2" t="s">
        <v>634</v>
      </c>
      <c r="H305" s="2" t="s">
        <v>94</v>
      </c>
      <c r="I305" s="2" t="s">
        <v>32</v>
      </c>
      <c r="J305" s="2" t="s">
        <v>65</v>
      </c>
      <c r="K305" s="2" t="s">
        <v>1050</v>
      </c>
      <c r="L305" s="2" t="s">
        <v>60</v>
      </c>
      <c r="M305" s="2" t="n">
        <v>8</v>
      </c>
      <c r="N305" s="2" t="s">
        <v>53</v>
      </c>
      <c r="O305" s="2" t="s">
        <v>89</v>
      </c>
      <c r="P305" s="2" t="n">
        <v>1</v>
      </c>
      <c r="Q305" s="2" t="s">
        <v>34</v>
      </c>
      <c r="R305" s="2" t="s">
        <v>34</v>
      </c>
      <c r="S305" s="2" t="s">
        <v>1044</v>
      </c>
      <c r="T305" s="2" t="s">
        <v>1051</v>
      </c>
      <c r="U305" s="1"/>
      <c r="V305" s="1"/>
      <c r="W305" s="1"/>
      <c r="X305" s="1"/>
      <c r="Y305" s="1"/>
      <c r="Z305" s="1"/>
      <c r="AA305" s="1"/>
      <c r="AB305" s="1"/>
    </row>
    <row r="306" customFormat="false" ht="15.75" hidden="false" customHeight="false" outlineLevel="0" collapsed="false">
      <c r="A306" s="3" t="n">
        <v>43674.462233669</v>
      </c>
      <c r="B306" s="2" t="s">
        <v>1052</v>
      </c>
      <c r="C306" s="2" t="s">
        <v>23</v>
      </c>
      <c r="D306" s="2" t="s">
        <v>38</v>
      </c>
      <c r="E306" s="2" t="n">
        <v>2</v>
      </c>
      <c r="F306" s="2" t="s">
        <v>379</v>
      </c>
      <c r="G306" s="2" t="s">
        <v>589</v>
      </c>
      <c r="H306" s="2" t="s">
        <v>50</v>
      </c>
      <c r="I306" s="2" t="s">
        <v>28</v>
      </c>
      <c r="J306" s="2" t="s">
        <v>264</v>
      </c>
      <c r="K306" s="2" t="s">
        <v>118</v>
      </c>
      <c r="L306" s="2" t="s">
        <v>72</v>
      </c>
      <c r="M306" s="2" t="n">
        <v>6</v>
      </c>
      <c r="N306" s="2" t="s">
        <v>53</v>
      </c>
      <c r="O306" s="2" t="s">
        <v>45</v>
      </c>
      <c r="P306" s="2" t="n">
        <v>1</v>
      </c>
      <c r="Q306" s="2" t="s">
        <v>34</v>
      </c>
      <c r="R306" s="2" t="s">
        <v>34</v>
      </c>
      <c r="S306" s="2" t="s">
        <v>1053</v>
      </c>
      <c r="T306" s="2" t="s">
        <v>1054</v>
      </c>
      <c r="U306" s="1"/>
      <c r="V306" s="1"/>
      <c r="W306" s="1"/>
      <c r="X306" s="1"/>
      <c r="Y306" s="1"/>
      <c r="Z306" s="1"/>
      <c r="AA306" s="1"/>
      <c r="AB306" s="1"/>
    </row>
    <row r="307" customFormat="false" ht="15.75" hidden="false" customHeight="false" outlineLevel="0" collapsed="false">
      <c r="A307" s="3" t="n">
        <v>43682.4080797801</v>
      </c>
      <c r="B307" s="2" t="s">
        <v>1055</v>
      </c>
      <c r="C307" s="2" t="s">
        <v>99</v>
      </c>
      <c r="D307" s="2" t="s">
        <v>38</v>
      </c>
      <c r="E307" s="2" t="n">
        <v>2</v>
      </c>
      <c r="F307" s="2" t="s">
        <v>301</v>
      </c>
      <c r="G307" s="2" t="s">
        <v>77</v>
      </c>
      <c r="H307" s="2" t="s">
        <v>27</v>
      </c>
      <c r="I307" s="2" t="s">
        <v>32</v>
      </c>
      <c r="J307" s="2" t="s">
        <v>29</v>
      </c>
      <c r="K307" s="2" t="s">
        <v>200</v>
      </c>
      <c r="L307" s="2" t="s">
        <v>72</v>
      </c>
      <c r="M307" s="2" t="n">
        <v>10</v>
      </c>
      <c r="N307" s="2" t="s">
        <v>32</v>
      </c>
      <c r="O307" s="2" t="s">
        <v>89</v>
      </c>
      <c r="P307" s="2" t="n">
        <v>1</v>
      </c>
      <c r="Q307" s="2" t="s">
        <v>54</v>
      </c>
      <c r="R307" s="2" t="s">
        <v>34</v>
      </c>
      <c r="S307" s="2" t="s">
        <v>782</v>
      </c>
      <c r="T307" s="2" t="s">
        <v>1056</v>
      </c>
      <c r="U307" s="1"/>
      <c r="V307" s="1"/>
      <c r="W307" s="1"/>
      <c r="X307" s="1"/>
      <c r="Y307" s="1"/>
      <c r="Z307" s="1"/>
      <c r="AA307" s="1"/>
      <c r="AB307" s="1"/>
    </row>
    <row r="308" customFormat="false" ht="15.75" hidden="false" customHeight="false" outlineLevel="0" collapsed="false">
      <c r="A308" s="3" t="n">
        <v>43705.855070162</v>
      </c>
      <c r="B308" s="2" t="s">
        <v>1057</v>
      </c>
      <c r="C308" s="2" t="s">
        <v>23</v>
      </c>
      <c r="D308" s="2" t="s">
        <v>38</v>
      </c>
      <c r="E308" s="2" t="n">
        <v>4</v>
      </c>
      <c r="F308" s="2" t="s">
        <v>1058</v>
      </c>
      <c r="G308" s="2" t="s">
        <v>905</v>
      </c>
      <c r="H308" s="2" t="s">
        <v>27</v>
      </c>
      <c r="I308" s="2" t="s">
        <v>32</v>
      </c>
      <c r="J308" s="2" t="s">
        <v>29</v>
      </c>
      <c r="K308" s="2" t="s">
        <v>452</v>
      </c>
      <c r="L308" s="2" t="s">
        <v>31</v>
      </c>
      <c r="M308" s="2" t="n">
        <v>7</v>
      </c>
      <c r="N308" s="2" t="s">
        <v>66</v>
      </c>
      <c r="O308" s="2" t="s">
        <v>89</v>
      </c>
      <c r="P308" s="2" t="n">
        <v>1</v>
      </c>
      <c r="Q308" s="2" t="s">
        <v>54</v>
      </c>
      <c r="R308" s="2" t="s">
        <v>34</v>
      </c>
      <c r="S308" s="2" t="s">
        <v>1059</v>
      </c>
      <c r="T308" s="2" t="s">
        <v>1060</v>
      </c>
      <c r="U308" s="1"/>
      <c r="V308" s="1"/>
      <c r="W308" s="1"/>
      <c r="X308" s="1"/>
      <c r="Y308" s="1"/>
      <c r="Z308" s="1"/>
      <c r="AA308" s="1"/>
      <c r="AB308" s="1"/>
    </row>
    <row r="309" customFormat="false" ht="15.75" hidden="false" customHeight="false" outlineLevel="0" collapsed="false">
      <c r="A309" s="3" t="n">
        <v>43705.8697238426</v>
      </c>
      <c r="B309" s="2" t="s">
        <v>1061</v>
      </c>
      <c r="C309" s="2" t="s">
        <v>23</v>
      </c>
      <c r="D309" s="2" t="s">
        <v>232</v>
      </c>
      <c r="E309" s="2" t="n">
        <v>2</v>
      </c>
      <c r="F309" s="2" t="s">
        <v>1062</v>
      </c>
      <c r="G309" s="2" t="s">
        <v>64</v>
      </c>
      <c r="H309" s="2" t="s">
        <v>50</v>
      </c>
      <c r="I309" s="2" t="s">
        <v>53</v>
      </c>
      <c r="J309" s="2" t="s">
        <v>65</v>
      </c>
      <c r="K309" s="2" t="s">
        <v>42</v>
      </c>
      <c r="L309" s="2" t="s">
        <v>31</v>
      </c>
      <c r="M309" s="2" t="n">
        <v>2</v>
      </c>
      <c r="N309" s="2" t="s">
        <v>53</v>
      </c>
      <c r="O309" s="2" t="s">
        <v>89</v>
      </c>
      <c r="P309" s="2" t="n">
        <v>1</v>
      </c>
      <c r="Q309" s="2" t="s">
        <v>54</v>
      </c>
      <c r="R309" s="2" t="s">
        <v>34</v>
      </c>
      <c r="S309" s="2" t="s">
        <v>1063</v>
      </c>
      <c r="T309" s="2" t="s">
        <v>1064</v>
      </c>
      <c r="U309" s="1"/>
      <c r="V309" s="1"/>
      <c r="W309" s="1"/>
      <c r="X309" s="1"/>
      <c r="Y309" s="1"/>
      <c r="Z309" s="1"/>
      <c r="AA309" s="1"/>
      <c r="AB309" s="1"/>
    </row>
    <row r="310" customFormat="false" ht="15.75" hidden="false" customHeight="false" outlineLevel="0" collapsed="false">
      <c r="A310" s="3" t="n">
        <v>43709.8398779977</v>
      </c>
      <c r="B310" s="2" t="s">
        <v>1065</v>
      </c>
      <c r="C310" s="2" t="s">
        <v>23</v>
      </c>
      <c r="D310" s="2" t="s">
        <v>38</v>
      </c>
      <c r="E310" s="2" t="n">
        <v>5</v>
      </c>
      <c r="F310" s="2" t="s">
        <v>301</v>
      </c>
      <c r="G310" s="2" t="s">
        <v>77</v>
      </c>
      <c r="H310" s="2" t="s">
        <v>50</v>
      </c>
      <c r="I310" s="2" t="s">
        <v>32</v>
      </c>
      <c r="J310" s="2" t="s">
        <v>65</v>
      </c>
      <c r="K310" s="2" t="s">
        <v>59</v>
      </c>
      <c r="L310" s="2" t="s">
        <v>43</v>
      </c>
      <c r="M310" s="2" t="n">
        <v>6</v>
      </c>
      <c r="N310" s="2" t="s">
        <v>53</v>
      </c>
      <c r="O310" s="2" t="s">
        <v>89</v>
      </c>
      <c r="P310" s="2" t="n">
        <v>1</v>
      </c>
      <c r="Q310" s="2" t="s">
        <v>54</v>
      </c>
      <c r="R310" s="2" t="s">
        <v>34</v>
      </c>
      <c r="S310" s="2" t="s">
        <v>1066</v>
      </c>
      <c r="T310" s="2" t="s">
        <v>1067</v>
      </c>
      <c r="U310" s="1"/>
      <c r="V310" s="1"/>
      <c r="W310" s="1"/>
      <c r="X310" s="1"/>
      <c r="Y310" s="1"/>
      <c r="Z310" s="1"/>
      <c r="AA310" s="1"/>
      <c r="AB310" s="1"/>
    </row>
    <row r="311" customFormat="false" ht="15.75" hidden="false" customHeight="false" outlineLevel="0" collapsed="false">
      <c r="A311" s="3" t="n">
        <v>43709.8781225694</v>
      </c>
      <c r="B311" s="2" t="s">
        <v>1068</v>
      </c>
      <c r="C311" s="2" t="s">
        <v>23</v>
      </c>
      <c r="D311" s="2" t="s">
        <v>38</v>
      </c>
      <c r="E311" s="2" t="n">
        <v>3</v>
      </c>
      <c r="F311" s="2" t="s">
        <v>370</v>
      </c>
      <c r="G311" s="2" t="s">
        <v>105</v>
      </c>
      <c r="H311" s="2" t="s">
        <v>50</v>
      </c>
      <c r="I311" s="2" t="s">
        <v>32</v>
      </c>
      <c r="J311" s="2" t="s">
        <v>51</v>
      </c>
      <c r="K311" s="2" t="s">
        <v>30</v>
      </c>
      <c r="L311" s="2" t="s">
        <v>60</v>
      </c>
      <c r="M311" s="2" t="n">
        <v>8</v>
      </c>
      <c r="N311" s="2" t="s">
        <v>32</v>
      </c>
      <c r="O311" s="2" t="s">
        <v>89</v>
      </c>
      <c r="P311" s="2" t="n">
        <v>2</v>
      </c>
      <c r="Q311" s="2" t="s">
        <v>34</v>
      </c>
      <c r="R311" s="2" t="s">
        <v>34</v>
      </c>
      <c r="S311" s="2" t="s">
        <v>372</v>
      </c>
      <c r="T311" s="2" t="s">
        <v>1069</v>
      </c>
      <c r="U311" s="1"/>
      <c r="V311" s="1"/>
      <c r="W311" s="1"/>
      <c r="X311" s="1"/>
      <c r="Y311" s="1"/>
      <c r="Z311" s="1"/>
      <c r="AA311" s="1"/>
      <c r="AB311" s="1"/>
    </row>
    <row r="312" customFormat="false" ht="15.75" hidden="false" customHeight="false" outlineLevel="0" collapsed="false">
      <c r="A312" s="3" t="n">
        <v>43710.0615695023</v>
      </c>
      <c r="B312" s="2" t="s">
        <v>1070</v>
      </c>
      <c r="C312" s="2" t="s">
        <v>99</v>
      </c>
      <c r="D312" s="2" t="s">
        <v>38</v>
      </c>
      <c r="E312" s="2" t="n">
        <v>2</v>
      </c>
      <c r="F312" s="2" t="s">
        <v>139</v>
      </c>
      <c r="G312" s="2" t="s">
        <v>64</v>
      </c>
      <c r="H312" s="2" t="s">
        <v>41</v>
      </c>
      <c r="I312" s="2" t="s">
        <v>32</v>
      </c>
      <c r="J312" s="2" t="s">
        <v>29</v>
      </c>
      <c r="K312" s="2" t="s">
        <v>452</v>
      </c>
      <c r="L312" s="2" t="s">
        <v>43</v>
      </c>
      <c r="M312" s="2" t="n">
        <v>7</v>
      </c>
      <c r="N312" s="2" t="s">
        <v>32</v>
      </c>
      <c r="O312" s="2" t="s">
        <v>45</v>
      </c>
      <c r="P312" s="2" t="n">
        <v>2</v>
      </c>
      <c r="Q312" s="2" t="s">
        <v>34</v>
      </c>
      <c r="R312" s="2" t="s">
        <v>34</v>
      </c>
      <c r="S312" s="2" t="s">
        <v>298</v>
      </c>
      <c r="T312" s="2" t="s">
        <v>1071</v>
      </c>
      <c r="U312" s="1"/>
      <c r="V312" s="1"/>
      <c r="W312" s="1"/>
      <c r="X312" s="1"/>
      <c r="Y312" s="1"/>
      <c r="Z312" s="1"/>
      <c r="AA312" s="1"/>
      <c r="AB312" s="1"/>
    </row>
    <row r="313" customFormat="false" ht="15.75" hidden="false" customHeight="false" outlineLevel="0" collapsed="false">
      <c r="A313" s="3" t="n">
        <v>43710.2409630324</v>
      </c>
      <c r="B313" s="2" t="s">
        <v>1072</v>
      </c>
      <c r="C313" s="2" t="s">
        <v>99</v>
      </c>
      <c r="D313" s="2" t="s">
        <v>38</v>
      </c>
      <c r="E313" s="2" t="n">
        <v>4</v>
      </c>
      <c r="F313" s="2" t="s">
        <v>1073</v>
      </c>
      <c r="G313" s="2" t="s">
        <v>77</v>
      </c>
      <c r="H313" s="2" t="s">
        <v>50</v>
      </c>
      <c r="I313" s="2" t="s">
        <v>28</v>
      </c>
      <c r="J313" s="2" t="s">
        <v>29</v>
      </c>
      <c r="K313" s="2" t="s">
        <v>30</v>
      </c>
      <c r="L313" s="2" t="s">
        <v>60</v>
      </c>
      <c r="M313" s="2" t="n">
        <v>9</v>
      </c>
      <c r="N313" s="2" t="s">
        <v>44</v>
      </c>
      <c r="O313" s="2" t="s">
        <v>45</v>
      </c>
      <c r="P313" s="2" t="n">
        <v>3</v>
      </c>
      <c r="Q313" s="2" t="s">
        <v>34</v>
      </c>
      <c r="R313" s="2" t="s">
        <v>34</v>
      </c>
      <c r="S313" s="2" t="s">
        <v>298</v>
      </c>
      <c r="T313" s="2" t="s">
        <v>1074</v>
      </c>
      <c r="U313" s="1"/>
      <c r="V313" s="1"/>
      <c r="W313" s="1"/>
      <c r="X313" s="1"/>
      <c r="Y313" s="1"/>
      <c r="Z313" s="1"/>
      <c r="AA313" s="1"/>
      <c r="AB313" s="1"/>
    </row>
    <row r="314" customFormat="false" ht="15.75" hidden="false" customHeight="false" outlineLevel="0" collapsed="false">
      <c r="A314" s="3" t="n">
        <v>43710.441701007</v>
      </c>
      <c r="B314" s="2" t="s">
        <v>1075</v>
      </c>
      <c r="C314" s="2" t="s">
        <v>23</v>
      </c>
      <c r="D314" s="2" t="s">
        <v>24</v>
      </c>
      <c r="E314" s="2" t="n">
        <v>2</v>
      </c>
      <c r="F314" s="2" t="s">
        <v>1076</v>
      </c>
      <c r="G314" s="2" t="s">
        <v>40</v>
      </c>
      <c r="H314" s="2" t="s">
        <v>27</v>
      </c>
      <c r="I314" s="2" t="s">
        <v>32</v>
      </c>
      <c r="J314" s="2" t="s">
        <v>65</v>
      </c>
      <c r="K314" s="2" t="s">
        <v>1077</v>
      </c>
      <c r="L314" s="2" t="s">
        <v>43</v>
      </c>
      <c r="M314" s="2" t="n">
        <v>6</v>
      </c>
      <c r="N314" s="2" t="s">
        <v>53</v>
      </c>
      <c r="O314" s="2" t="s">
        <v>45</v>
      </c>
      <c r="P314" s="2" t="n">
        <v>3</v>
      </c>
      <c r="Q314" s="2" t="s">
        <v>34</v>
      </c>
      <c r="R314" s="2" t="s">
        <v>34</v>
      </c>
      <c r="S314" s="2" t="s">
        <v>1078</v>
      </c>
      <c r="T314" s="2" t="s">
        <v>1079</v>
      </c>
      <c r="U314" s="1"/>
      <c r="V314" s="1"/>
      <c r="W314" s="1"/>
      <c r="X314" s="1"/>
      <c r="Y314" s="1"/>
      <c r="Z314" s="1"/>
      <c r="AA314" s="1"/>
      <c r="AB314" s="1"/>
    </row>
    <row r="315" customFormat="false" ht="15.75" hidden="false" customHeight="false" outlineLevel="0" collapsed="false">
      <c r="A315" s="3" t="n">
        <v>43710.7268560185</v>
      </c>
      <c r="B315" s="2" t="s">
        <v>1080</v>
      </c>
      <c r="C315" s="2" t="s">
        <v>23</v>
      </c>
      <c r="D315" s="2" t="s">
        <v>232</v>
      </c>
      <c r="E315" s="2" t="n">
        <v>3</v>
      </c>
      <c r="F315" s="2" t="s">
        <v>853</v>
      </c>
      <c r="G315" s="2" t="s">
        <v>64</v>
      </c>
      <c r="H315" s="2" t="s">
        <v>94</v>
      </c>
      <c r="I315" s="2" t="s">
        <v>32</v>
      </c>
      <c r="J315" s="2" t="s">
        <v>65</v>
      </c>
      <c r="K315" s="2" t="s">
        <v>444</v>
      </c>
      <c r="L315" s="2" t="s">
        <v>31</v>
      </c>
      <c r="M315" s="2" t="n">
        <v>3</v>
      </c>
      <c r="N315" s="2" t="s">
        <v>66</v>
      </c>
      <c r="O315" s="2" t="s">
        <v>597</v>
      </c>
      <c r="P315" s="2" t="n">
        <v>1</v>
      </c>
      <c r="Q315" s="2" t="s">
        <v>34</v>
      </c>
      <c r="R315" s="2" t="s">
        <v>34</v>
      </c>
      <c r="S315" s="2" t="s">
        <v>1059</v>
      </c>
      <c r="T315" s="2" t="s">
        <v>653</v>
      </c>
      <c r="U315" s="1"/>
      <c r="V315" s="1"/>
      <c r="W315" s="1"/>
      <c r="X315" s="1"/>
      <c r="Y315" s="1"/>
      <c r="Z315" s="1"/>
      <c r="AA315" s="1"/>
      <c r="AB315" s="1"/>
    </row>
    <row r="316" customFormat="false" ht="15.75" hidden="false" customHeight="false" outlineLevel="0" collapsed="false">
      <c r="A316" s="3" t="n">
        <v>43711.6139424537</v>
      </c>
      <c r="B316" s="2" t="s">
        <v>1081</v>
      </c>
      <c r="C316" s="2" t="s">
        <v>75</v>
      </c>
      <c r="D316" s="2" t="s">
        <v>38</v>
      </c>
      <c r="E316" s="2" t="n">
        <v>1</v>
      </c>
      <c r="F316" s="2" t="s">
        <v>104</v>
      </c>
      <c r="G316" s="2" t="s">
        <v>77</v>
      </c>
      <c r="H316" s="2" t="s">
        <v>50</v>
      </c>
      <c r="I316" s="2" t="s">
        <v>94</v>
      </c>
      <c r="J316" s="2" t="s">
        <v>51</v>
      </c>
      <c r="K316" s="2" t="s">
        <v>42</v>
      </c>
      <c r="L316" s="2" t="s">
        <v>43</v>
      </c>
      <c r="M316" s="2" t="n">
        <v>7</v>
      </c>
      <c r="N316" s="2" t="s">
        <v>53</v>
      </c>
      <c r="O316" s="2" t="s">
        <v>45</v>
      </c>
      <c r="P316" s="2" t="n">
        <v>1</v>
      </c>
      <c r="Q316" s="2" t="s">
        <v>54</v>
      </c>
      <c r="R316" s="2" t="s">
        <v>34</v>
      </c>
      <c r="S316" s="2" t="s">
        <v>1082</v>
      </c>
      <c r="T316" s="2" t="s">
        <v>1083</v>
      </c>
      <c r="U316" s="1"/>
      <c r="V316" s="1"/>
      <c r="W316" s="1"/>
      <c r="X316" s="1"/>
      <c r="Y316" s="1"/>
      <c r="Z316" s="1"/>
      <c r="AA316" s="1"/>
      <c r="AB316" s="1"/>
    </row>
    <row r="317" customFormat="false" ht="15.75" hidden="false" customHeight="false" outlineLevel="0" collapsed="false">
      <c r="A317" s="3" t="n">
        <v>43711.7528366319</v>
      </c>
      <c r="B317" s="2" t="s">
        <v>1084</v>
      </c>
      <c r="C317" s="2" t="s">
        <v>23</v>
      </c>
      <c r="D317" s="2" t="s">
        <v>218</v>
      </c>
      <c r="E317" s="2" t="n">
        <v>1</v>
      </c>
      <c r="F317" s="2" t="s">
        <v>63</v>
      </c>
      <c r="G317" s="2" t="s">
        <v>165</v>
      </c>
      <c r="H317" s="2" t="s">
        <v>94</v>
      </c>
      <c r="I317" s="2" t="s">
        <v>32</v>
      </c>
      <c r="J317" s="2" t="s">
        <v>29</v>
      </c>
      <c r="K317" s="2" t="s">
        <v>325</v>
      </c>
      <c r="L317" s="2" t="s">
        <v>31</v>
      </c>
      <c r="M317" s="2" t="n">
        <v>6</v>
      </c>
      <c r="N317" s="2" t="s">
        <v>32</v>
      </c>
      <c r="O317" s="2" t="s">
        <v>89</v>
      </c>
      <c r="P317" s="2" t="n">
        <v>1</v>
      </c>
      <c r="Q317" s="2" t="s">
        <v>54</v>
      </c>
      <c r="R317" s="2" t="s">
        <v>34</v>
      </c>
      <c r="S317" s="2" t="s">
        <v>229</v>
      </c>
      <c r="T317" s="2" t="s">
        <v>1085</v>
      </c>
      <c r="U317" s="1"/>
      <c r="V317" s="1"/>
      <c r="W317" s="1"/>
      <c r="X317" s="1"/>
      <c r="Y317" s="1"/>
      <c r="Z317" s="1"/>
      <c r="AA317" s="1"/>
      <c r="AB317" s="1"/>
    </row>
    <row r="318" customFormat="false" ht="15.75" hidden="false" customHeight="false" outlineLevel="0" collapsed="false">
      <c r="A318" s="3" t="n">
        <v>43711.7539138194</v>
      </c>
      <c r="B318" s="2" t="s">
        <v>1086</v>
      </c>
      <c r="C318" s="2" t="s">
        <v>23</v>
      </c>
      <c r="D318" s="2" t="s">
        <v>24</v>
      </c>
      <c r="E318" s="2" t="n">
        <v>4</v>
      </c>
      <c r="F318" s="2" t="s">
        <v>984</v>
      </c>
      <c r="G318" s="2" t="s">
        <v>77</v>
      </c>
      <c r="H318" s="2" t="s">
        <v>27</v>
      </c>
      <c r="I318" s="2" t="s">
        <v>53</v>
      </c>
      <c r="J318" s="2" t="s">
        <v>51</v>
      </c>
      <c r="K318" s="2" t="s">
        <v>1087</v>
      </c>
      <c r="L318" s="2" t="s">
        <v>31</v>
      </c>
      <c r="M318" s="2" t="n">
        <v>8</v>
      </c>
      <c r="N318" s="2" t="s">
        <v>32</v>
      </c>
      <c r="O318" s="2" t="s">
        <v>89</v>
      </c>
      <c r="P318" s="2" t="n">
        <v>1</v>
      </c>
      <c r="Q318" s="2" t="s">
        <v>34</v>
      </c>
      <c r="R318" s="2" t="s">
        <v>34</v>
      </c>
      <c r="S318" s="2" t="s">
        <v>1088</v>
      </c>
      <c r="T318" s="2" t="s">
        <v>1089</v>
      </c>
      <c r="U318" s="1"/>
      <c r="V318" s="1"/>
      <c r="W318" s="1"/>
      <c r="X318" s="1"/>
      <c r="Y318" s="1"/>
      <c r="Z318" s="1"/>
      <c r="AA318" s="1"/>
      <c r="AB318" s="1"/>
    </row>
    <row r="319" customFormat="false" ht="15.75" hidden="false" customHeight="false" outlineLevel="0" collapsed="false">
      <c r="A319" s="3" t="n">
        <v>43711.7550134954</v>
      </c>
      <c r="B319" s="2" t="s">
        <v>1090</v>
      </c>
      <c r="C319" s="2" t="s">
        <v>23</v>
      </c>
      <c r="D319" s="2" t="s">
        <v>24</v>
      </c>
      <c r="E319" s="2" t="n">
        <v>4</v>
      </c>
      <c r="F319" s="2" t="s">
        <v>451</v>
      </c>
      <c r="G319" s="2" t="s">
        <v>1091</v>
      </c>
      <c r="H319" s="2" t="s">
        <v>50</v>
      </c>
      <c r="I319" s="2" t="s">
        <v>32</v>
      </c>
      <c r="J319" s="2" t="s">
        <v>65</v>
      </c>
      <c r="K319" s="2" t="s">
        <v>52</v>
      </c>
      <c r="L319" s="2" t="s">
        <v>43</v>
      </c>
      <c r="M319" s="2" t="n">
        <v>9</v>
      </c>
      <c r="N319" s="2" t="s">
        <v>32</v>
      </c>
      <c r="O319" s="2" t="s">
        <v>89</v>
      </c>
      <c r="P319" s="2" t="n">
        <v>4</v>
      </c>
      <c r="Q319" s="2" t="s">
        <v>34</v>
      </c>
      <c r="R319" s="2" t="s">
        <v>34</v>
      </c>
      <c r="S319" s="2" t="s">
        <v>468</v>
      </c>
      <c r="T319" s="2" t="s">
        <v>1092</v>
      </c>
      <c r="U319" s="1"/>
      <c r="V319" s="1"/>
      <c r="W319" s="1"/>
      <c r="X319" s="1"/>
      <c r="Y319" s="1"/>
      <c r="Z319" s="1"/>
      <c r="AA319" s="1"/>
      <c r="AB319" s="1"/>
    </row>
    <row r="320" customFormat="false" ht="15.75" hidden="false" customHeight="false" outlineLevel="0" collapsed="false">
      <c r="A320" s="3" t="n">
        <v>43711.7655147454</v>
      </c>
      <c r="B320" s="2" t="s">
        <v>1093</v>
      </c>
      <c r="C320" s="2" t="s">
        <v>23</v>
      </c>
      <c r="D320" s="2" t="s">
        <v>24</v>
      </c>
      <c r="E320" s="2" t="n">
        <v>4</v>
      </c>
      <c r="F320" s="2" t="s">
        <v>1094</v>
      </c>
      <c r="G320" s="2" t="s">
        <v>87</v>
      </c>
      <c r="H320" s="2" t="s">
        <v>27</v>
      </c>
      <c r="I320" s="2" t="s">
        <v>32</v>
      </c>
      <c r="J320" s="2" t="s">
        <v>65</v>
      </c>
      <c r="K320" s="2" t="s">
        <v>1095</v>
      </c>
      <c r="L320" s="2" t="s">
        <v>43</v>
      </c>
      <c r="M320" s="2" t="n">
        <v>8</v>
      </c>
      <c r="N320" s="2" t="s">
        <v>32</v>
      </c>
      <c r="O320" s="2" t="s">
        <v>89</v>
      </c>
      <c r="P320" s="2" t="n">
        <v>5</v>
      </c>
      <c r="Q320" s="2" t="s">
        <v>54</v>
      </c>
      <c r="R320" s="2" t="s">
        <v>34</v>
      </c>
      <c r="S320" s="2" t="s">
        <v>1096</v>
      </c>
      <c r="T320" s="2" t="s">
        <v>1097</v>
      </c>
      <c r="U320" s="1"/>
      <c r="V320" s="1"/>
      <c r="W320" s="1"/>
      <c r="X320" s="1"/>
      <c r="Y320" s="1"/>
      <c r="Z320" s="1"/>
      <c r="AA320" s="1"/>
      <c r="AB320" s="1"/>
    </row>
    <row r="321" customFormat="false" ht="15.75" hidden="false" customHeight="false" outlineLevel="0" collapsed="false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5.75" hidden="false" customHeight="false" outlineLevel="0" collapsed="false">
      <c r="A322" s="3" t="n">
        <v>43711.7691300694</v>
      </c>
      <c r="B322" s="2" t="s">
        <v>1098</v>
      </c>
      <c r="C322" s="2" t="s">
        <v>75</v>
      </c>
      <c r="D322" s="2" t="s">
        <v>38</v>
      </c>
      <c r="E322" s="2" t="n">
        <v>4</v>
      </c>
      <c r="F322" s="2" t="s">
        <v>1099</v>
      </c>
      <c r="G322" s="2" t="s">
        <v>603</v>
      </c>
      <c r="H322" s="2" t="s">
        <v>50</v>
      </c>
      <c r="I322" s="2" t="s">
        <v>94</v>
      </c>
      <c r="J322" s="2" t="s">
        <v>51</v>
      </c>
      <c r="K322" s="2" t="s">
        <v>1100</v>
      </c>
      <c r="L322" s="2" t="s">
        <v>31</v>
      </c>
      <c r="M322" s="2" t="n">
        <v>1</v>
      </c>
      <c r="N322" s="2" t="s">
        <v>32</v>
      </c>
      <c r="O322" s="2" t="s">
        <v>45</v>
      </c>
      <c r="P322" s="2" t="n">
        <v>1</v>
      </c>
      <c r="Q322" s="2" t="s">
        <v>34</v>
      </c>
      <c r="R322" s="2" t="s">
        <v>34</v>
      </c>
      <c r="S322" s="2" t="s">
        <v>1101</v>
      </c>
      <c r="T322" s="2" t="s">
        <v>1102</v>
      </c>
      <c r="U322" s="1"/>
      <c r="V322" s="1"/>
      <c r="W322" s="1"/>
      <c r="X322" s="1"/>
      <c r="Y322" s="1"/>
      <c r="Z322" s="1"/>
      <c r="AA322" s="1"/>
      <c r="AB322" s="1"/>
    </row>
    <row r="323" customFormat="false" ht="15.75" hidden="false" customHeight="false" outlineLevel="0" collapsed="false">
      <c r="A323" s="3" t="n">
        <v>43711.7754531134</v>
      </c>
      <c r="B323" s="2" t="s">
        <v>1103</v>
      </c>
      <c r="C323" s="2" t="s">
        <v>75</v>
      </c>
      <c r="D323" s="2" t="s">
        <v>38</v>
      </c>
      <c r="E323" s="2" t="n">
        <v>2</v>
      </c>
      <c r="F323" s="2" t="s">
        <v>59</v>
      </c>
      <c r="G323" s="2" t="s">
        <v>745</v>
      </c>
      <c r="H323" s="2" t="s">
        <v>27</v>
      </c>
      <c r="I323" s="2" t="s">
        <v>32</v>
      </c>
      <c r="J323" s="2" t="s">
        <v>29</v>
      </c>
      <c r="K323" s="2" t="s">
        <v>42</v>
      </c>
      <c r="L323" s="2" t="s">
        <v>31</v>
      </c>
      <c r="M323" s="2" t="n">
        <v>7</v>
      </c>
      <c r="N323" s="2" t="s">
        <v>53</v>
      </c>
      <c r="O323" s="2" t="s">
        <v>45</v>
      </c>
      <c r="P323" s="2" t="n">
        <v>2</v>
      </c>
      <c r="Q323" s="2" t="s">
        <v>34</v>
      </c>
      <c r="R323" s="2" t="s">
        <v>34</v>
      </c>
      <c r="S323" s="2" t="s">
        <v>683</v>
      </c>
      <c r="T323" s="2" t="s">
        <v>1104</v>
      </c>
      <c r="U323" s="1"/>
      <c r="V323" s="1"/>
      <c r="W323" s="1"/>
      <c r="X323" s="1"/>
      <c r="Y323" s="1"/>
      <c r="Z323" s="1"/>
      <c r="AA323" s="1"/>
      <c r="AB323" s="1"/>
    </row>
    <row r="324" customFormat="false" ht="15.75" hidden="false" customHeight="false" outlineLevel="0" collapsed="false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5.75" hidden="false" customHeight="false" outlineLevel="0" collapsed="false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5.75" hidden="false" customHeight="false" outlineLevel="0" collapsed="false">
      <c r="A326" s="3" t="n">
        <v>43711.8514629398</v>
      </c>
      <c r="B326" s="2" t="s">
        <v>1105</v>
      </c>
      <c r="C326" s="2" t="s">
        <v>23</v>
      </c>
      <c r="D326" s="2" t="s">
        <v>24</v>
      </c>
      <c r="E326" s="2" t="n">
        <v>3</v>
      </c>
      <c r="F326" s="2" t="s">
        <v>203</v>
      </c>
      <c r="G326" s="2" t="s">
        <v>1106</v>
      </c>
      <c r="H326" s="2" t="s">
        <v>41</v>
      </c>
      <c r="I326" s="2" t="s">
        <v>53</v>
      </c>
      <c r="J326" s="2" t="s">
        <v>65</v>
      </c>
      <c r="K326" s="2" t="s">
        <v>699</v>
      </c>
      <c r="L326" s="2" t="s">
        <v>43</v>
      </c>
      <c r="M326" s="2" t="n">
        <v>6</v>
      </c>
      <c r="N326" s="2" t="s">
        <v>32</v>
      </c>
      <c r="O326" s="2" t="s">
        <v>45</v>
      </c>
      <c r="P326" s="2" t="n">
        <v>2</v>
      </c>
      <c r="Q326" s="2" t="s">
        <v>34</v>
      </c>
      <c r="R326" s="2" t="s">
        <v>34</v>
      </c>
      <c r="S326" s="2" t="s">
        <v>482</v>
      </c>
      <c r="T326" s="2" t="s">
        <v>1107</v>
      </c>
      <c r="U326" s="1"/>
      <c r="V326" s="1"/>
      <c r="W326" s="1"/>
      <c r="X326" s="1"/>
      <c r="Y326" s="1"/>
      <c r="Z326" s="1"/>
      <c r="AA326" s="1"/>
      <c r="AB326" s="1"/>
    </row>
    <row r="327" customFormat="false" ht="15.75" hidden="false" customHeight="false" outlineLevel="0" collapsed="false">
      <c r="A327" s="3" t="n">
        <v>43711.8902769213</v>
      </c>
      <c r="B327" s="2" t="s">
        <v>1108</v>
      </c>
      <c r="C327" s="2" t="s">
        <v>23</v>
      </c>
      <c r="D327" s="2" t="s">
        <v>24</v>
      </c>
      <c r="E327" s="2" t="n">
        <v>3</v>
      </c>
      <c r="F327" s="2" t="s">
        <v>280</v>
      </c>
      <c r="G327" s="2" t="s">
        <v>77</v>
      </c>
      <c r="H327" s="2" t="s">
        <v>41</v>
      </c>
      <c r="I327" s="2" t="s">
        <v>32</v>
      </c>
      <c r="J327" s="2" t="s">
        <v>29</v>
      </c>
      <c r="K327" s="2" t="s">
        <v>30</v>
      </c>
      <c r="L327" s="2" t="s">
        <v>60</v>
      </c>
      <c r="M327" s="2" t="n">
        <v>8</v>
      </c>
      <c r="N327" s="2" t="s">
        <v>32</v>
      </c>
      <c r="O327" s="2" t="s">
        <v>89</v>
      </c>
      <c r="P327" s="2" t="n">
        <v>1</v>
      </c>
      <c r="Q327" s="2" t="s">
        <v>54</v>
      </c>
      <c r="R327" s="2" t="s">
        <v>34</v>
      </c>
      <c r="S327" s="2" t="s">
        <v>989</v>
      </c>
      <c r="T327" s="2" t="s">
        <v>1109</v>
      </c>
      <c r="U327" s="1"/>
      <c r="V327" s="1"/>
      <c r="W327" s="1"/>
      <c r="X327" s="1"/>
      <c r="Y327" s="1"/>
      <c r="Z327" s="1"/>
      <c r="AA327" s="1"/>
      <c r="AB327" s="1"/>
    </row>
    <row r="328" customFormat="false" ht="15.75" hidden="false" customHeight="false" outlineLevel="0" collapsed="false">
      <c r="A328" s="3" t="n">
        <v>43711.9136613889</v>
      </c>
      <c r="B328" s="2" t="s">
        <v>1110</v>
      </c>
      <c r="C328" s="2" t="s">
        <v>99</v>
      </c>
      <c r="D328" s="2" t="s">
        <v>24</v>
      </c>
      <c r="E328" s="2" t="n">
        <v>1</v>
      </c>
      <c r="F328" s="2" t="s">
        <v>1111</v>
      </c>
      <c r="G328" s="2" t="s">
        <v>1112</v>
      </c>
      <c r="H328" s="2" t="s">
        <v>41</v>
      </c>
      <c r="I328" s="2" t="s">
        <v>28</v>
      </c>
      <c r="J328" s="2" t="s">
        <v>264</v>
      </c>
      <c r="K328" s="2" t="s">
        <v>504</v>
      </c>
      <c r="L328" s="2" t="s">
        <v>72</v>
      </c>
      <c r="M328" s="2" t="n">
        <v>1</v>
      </c>
      <c r="N328" s="2" t="s">
        <v>44</v>
      </c>
      <c r="O328" s="2" t="s">
        <v>33</v>
      </c>
      <c r="P328" s="2" t="n">
        <v>1</v>
      </c>
      <c r="Q328" s="2" t="s">
        <v>34</v>
      </c>
      <c r="R328" s="2" t="s">
        <v>34</v>
      </c>
      <c r="S328" s="2" t="s">
        <v>931</v>
      </c>
      <c r="T328" s="2" t="s">
        <v>1113</v>
      </c>
      <c r="U328" s="1"/>
      <c r="V328" s="1"/>
      <c r="W328" s="1"/>
      <c r="X328" s="1"/>
      <c r="Y328" s="1"/>
      <c r="Z328" s="1"/>
      <c r="AA328" s="1"/>
      <c r="AB328" s="1"/>
    </row>
    <row r="329" customFormat="false" ht="15.75" hidden="false" customHeight="false" outlineLevel="0" collapsed="false">
      <c r="A329" s="3" t="n">
        <v>43712.2401880787</v>
      </c>
      <c r="B329" s="2" t="s">
        <v>1114</v>
      </c>
      <c r="C329" s="2" t="s">
        <v>99</v>
      </c>
      <c r="D329" s="2" t="s">
        <v>24</v>
      </c>
      <c r="E329" s="2" t="n">
        <v>2</v>
      </c>
      <c r="F329" s="2" t="s">
        <v>1115</v>
      </c>
      <c r="G329" s="2" t="s">
        <v>1116</v>
      </c>
      <c r="H329" s="2" t="s">
        <v>27</v>
      </c>
      <c r="I329" s="2" t="s">
        <v>32</v>
      </c>
      <c r="J329" s="2" t="s">
        <v>65</v>
      </c>
      <c r="K329" s="2" t="s">
        <v>52</v>
      </c>
      <c r="L329" s="2" t="s">
        <v>43</v>
      </c>
      <c r="M329" s="2" t="n">
        <v>7</v>
      </c>
      <c r="N329" s="2" t="s">
        <v>53</v>
      </c>
      <c r="O329" s="2" t="s">
        <v>89</v>
      </c>
      <c r="P329" s="2" t="n">
        <v>2</v>
      </c>
      <c r="Q329" s="2" t="s">
        <v>54</v>
      </c>
      <c r="R329" s="2" t="s">
        <v>34</v>
      </c>
      <c r="S329" s="2" t="s">
        <v>1117</v>
      </c>
      <c r="T329" s="2" t="s">
        <v>1118</v>
      </c>
      <c r="U329" s="1"/>
      <c r="V329" s="1"/>
      <c r="W329" s="1"/>
      <c r="X329" s="1"/>
      <c r="Y329" s="1"/>
      <c r="Z329" s="1"/>
      <c r="AA329" s="1"/>
      <c r="AB329" s="1"/>
    </row>
    <row r="330" customFormat="false" ht="15.75" hidden="false" customHeight="false" outlineLevel="0" collapsed="false">
      <c r="A330" s="3" t="n">
        <v>43712.4835673264</v>
      </c>
      <c r="B330" s="2" t="s">
        <v>1119</v>
      </c>
      <c r="C330" s="2" t="s">
        <v>23</v>
      </c>
      <c r="D330" s="2" t="s">
        <v>24</v>
      </c>
      <c r="E330" s="2" t="n">
        <v>4</v>
      </c>
      <c r="F330" s="2" t="s">
        <v>76</v>
      </c>
      <c r="G330" s="2" t="s">
        <v>1120</v>
      </c>
      <c r="H330" s="2" t="s">
        <v>50</v>
      </c>
      <c r="I330" s="2" t="s">
        <v>32</v>
      </c>
      <c r="J330" s="2" t="s">
        <v>65</v>
      </c>
      <c r="K330" s="2" t="s">
        <v>42</v>
      </c>
      <c r="L330" s="2" t="s">
        <v>31</v>
      </c>
      <c r="M330" s="2" t="n">
        <v>3</v>
      </c>
      <c r="N330" s="2" t="s">
        <v>53</v>
      </c>
      <c r="O330" s="2" t="s">
        <v>89</v>
      </c>
      <c r="P330" s="2" t="n">
        <v>1</v>
      </c>
      <c r="Q330" s="2" t="s">
        <v>34</v>
      </c>
      <c r="R330" s="2" t="s">
        <v>34</v>
      </c>
      <c r="S330" s="2" t="s">
        <v>841</v>
      </c>
      <c r="T330" s="2" t="s">
        <v>1121</v>
      </c>
      <c r="U330" s="1"/>
      <c r="V330" s="1"/>
      <c r="W330" s="1"/>
      <c r="X330" s="1"/>
      <c r="Y330" s="1"/>
      <c r="Z330" s="1"/>
      <c r="AA330" s="1"/>
      <c r="AB330" s="1"/>
    </row>
    <row r="331" customFormat="false" ht="15.75" hidden="false" customHeight="false" outlineLevel="0" collapsed="false">
      <c r="A331" s="3" t="n">
        <v>43712.8114884259</v>
      </c>
      <c r="B331" s="2" t="s">
        <v>1122</v>
      </c>
      <c r="C331" s="2" t="s">
        <v>75</v>
      </c>
      <c r="D331" s="2" t="s">
        <v>24</v>
      </c>
      <c r="E331" s="2" t="n">
        <v>3</v>
      </c>
      <c r="F331" s="2" t="s">
        <v>48</v>
      </c>
      <c r="G331" s="2" t="s">
        <v>105</v>
      </c>
      <c r="H331" s="2" t="s">
        <v>50</v>
      </c>
      <c r="I331" s="2" t="s">
        <v>94</v>
      </c>
      <c r="J331" s="2" t="s">
        <v>51</v>
      </c>
      <c r="K331" s="2" t="s">
        <v>1123</v>
      </c>
      <c r="L331" s="2" t="s">
        <v>60</v>
      </c>
      <c r="M331" s="2" t="n">
        <v>7</v>
      </c>
      <c r="N331" s="2" t="s">
        <v>32</v>
      </c>
      <c r="O331" s="2" t="s">
        <v>45</v>
      </c>
      <c r="P331" s="2" t="n">
        <v>1</v>
      </c>
      <c r="Q331" s="2" t="s">
        <v>54</v>
      </c>
      <c r="R331" s="2" t="s">
        <v>34</v>
      </c>
      <c r="S331" s="2" t="s">
        <v>1124</v>
      </c>
      <c r="T331" s="2" t="s">
        <v>1125</v>
      </c>
      <c r="U331" s="1"/>
      <c r="V331" s="1"/>
      <c r="W331" s="1"/>
      <c r="X331" s="1"/>
      <c r="Y331" s="1"/>
      <c r="Z331" s="1"/>
      <c r="AA331" s="1"/>
      <c r="AB331" s="1"/>
    </row>
    <row r="332" customFormat="false" ht="15.75" hidden="false" customHeight="false" outlineLevel="0" collapsed="false">
      <c r="A332" s="3" t="n">
        <v>43713.8411211227</v>
      </c>
      <c r="B332" s="2" t="s">
        <v>1126</v>
      </c>
      <c r="C332" s="2" t="s">
        <v>99</v>
      </c>
      <c r="D332" s="2" t="s">
        <v>24</v>
      </c>
      <c r="E332" s="2" t="n">
        <v>1</v>
      </c>
      <c r="F332" s="2" t="s">
        <v>63</v>
      </c>
      <c r="G332" s="2" t="s">
        <v>77</v>
      </c>
      <c r="H332" s="2" t="s">
        <v>41</v>
      </c>
      <c r="I332" s="2" t="s">
        <v>32</v>
      </c>
      <c r="J332" s="2" t="s">
        <v>65</v>
      </c>
      <c r="K332" s="2" t="s">
        <v>200</v>
      </c>
      <c r="L332" s="2" t="s">
        <v>43</v>
      </c>
      <c r="M332" s="2" t="n">
        <v>5</v>
      </c>
      <c r="N332" s="2" t="s">
        <v>53</v>
      </c>
      <c r="O332" s="2" t="s">
        <v>597</v>
      </c>
      <c r="P332" s="2" t="n">
        <v>3</v>
      </c>
      <c r="Q332" s="2" t="s">
        <v>54</v>
      </c>
      <c r="R332" s="2" t="s">
        <v>34</v>
      </c>
      <c r="S332" s="2" t="s">
        <v>573</v>
      </c>
      <c r="T332" s="2" t="s">
        <v>1127</v>
      </c>
      <c r="U332" s="1"/>
      <c r="V332" s="1"/>
      <c r="W332" s="1"/>
      <c r="X332" s="1"/>
      <c r="Y332" s="1"/>
      <c r="Z332" s="1"/>
      <c r="AA332" s="1"/>
      <c r="AB332" s="1"/>
    </row>
    <row r="333" customFormat="false" ht="15.75" hidden="false" customHeight="false" outlineLevel="0" collapsed="false">
      <c r="A333" s="3" t="n">
        <v>43714.4439814931</v>
      </c>
      <c r="B333" s="2" t="s">
        <v>1128</v>
      </c>
      <c r="C333" s="2" t="s">
        <v>23</v>
      </c>
      <c r="D333" s="2" t="s">
        <v>38</v>
      </c>
      <c r="E333" s="2" t="n">
        <v>3</v>
      </c>
      <c r="F333" s="2" t="s">
        <v>370</v>
      </c>
      <c r="G333" s="2" t="s">
        <v>1129</v>
      </c>
      <c r="H333" s="2" t="s">
        <v>41</v>
      </c>
      <c r="I333" s="2" t="s">
        <v>32</v>
      </c>
      <c r="J333" s="2" t="s">
        <v>29</v>
      </c>
      <c r="K333" s="2" t="s">
        <v>200</v>
      </c>
      <c r="L333" s="2" t="s">
        <v>43</v>
      </c>
      <c r="M333" s="2" t="n">
        <v>1</v>
      </c>
      <c r="N333" s="2" t="s">
        <v>53</v>
      </c>
      <c r="O333" s="2" t="s">
        <v>89</v>
      </c>
      <c r="P333" s="2" t="n">
        <v>1</v>
      </c>
      <c r="Q333" s="2" t="s">
        <v>54</v>
      </c>
      <c r="R333" s="2" t="s">
        <v>34</v>
      </c>
      <c r="S333" s="2" t="s">
        <v>989</v>
      </c>
      <c r="T333" s="2" t="s">
        <v>1130</v>
      </c>
      <c r="U333" s="1"/>
      <c r="V333" s="1"/>
      <c r="W333" s="1"/>
      <c r="X333" s="1"/>
      <c r="Y333" s="1"/>
      <c r="Z333" s="1"/>
      <c r="AA333" s="1"/>
      <c r="AB333" s="1"/>
    </row>
    <row r="1048576" customFormat="false" ht="15.75" hidden="false" customHeight="true" outlineLevel="0" collapsed="false"/>
  </sheetData>
  <conditionalFormatting sqref="A1:AB431">
    <cfRule type="endsWith" priority="2" operator="endsWith" aboveAverage="0" equalAverage="0" bottom="0" percent="0" rank="0" text=" " dxfId="0"/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B89" activeCellId="0" sqref="B89"/>
    </sheetView>
  </sheetViews>
  <sheetFormatPr defaultRowHeight="15.75" zeroHeight="false" outlineLevelRow="0" outlineLevelCol="0"/>
  <cols>
    <col collapsed="false" customWidth="true" hidden="false" outlineLevel="0" max="5" min="1" style="0" width="21.57"/>
    <col collapsed="false" customWidth="true" hidden="false" outlineLevel="0" max="6" min="6" style="0" width="25.57"/>
    <col collapsed="false" customWidth="true" hidden="false" outlineLevel="0" max="28" min="7" style="0" width="21.57"/>
    <col collapsed="false" customWidth="true" hidden="false" outlineLevel="0" max="1025" min="29" style="0" width="14.43"/>
  </cols>
  <sheetData>
    <row r="1" customFormat="false" ht="15.75" hidden="false" customHeight="false" outlineLevel="0" collapsed="false">
      <c r="A1" s="4" t="n">
        <f aca="false">IFERROR(__xludf.dummyfunction("filter( 'Réponses au formulaire 1'!1:431, 'Réponses au formulaire 1'!B:B&gt;0,'Réponses au formulaire 1'!Q:Q=""Oui"")"),43626.6384051968)</f>
        <v>43626.63841</v>
      </c>
      <c r="B1" s="1" t="str">
        <f aca="false">IFERROR(__xludf.dummyfunction("""COMPUTED_VALUE"""),"Kheira POUVREAU")</f>
        <v>Kheira POUVREAU</v>
      </c>
      <c r="C1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" s="2" t="str">
        <f aca="false">IFERROR(__xludf.dummyfunction("""COMPUTED_VALUE"""),"BDE")</f>
        <v>BDE</v>
      </c>
      <c r="E1" s="2" t="n">
        <f aca="false">IFERROR(__xludf.dummyfunction("""COMPUTED_VALUE"""),4)</f>
        <v>4</v>
      </c>
      <c r="F1" s="1" t="str">
        <f aca="false">IFERROR(__xludf.dummyfunction("""COMPUTED_VALUE"""),"Rock, Pop, Musique fançaise")</f>
        <v>Rock, Pop, Musique fançaise</v>
      </c>
      <c r="G1" s="2" t="str">
        <f aca="false">IFERROR(__xludf.dummyfunction("""COMPUTED_VALUE"""),"Danse, Théâtre")</f>
        <v>Danse, Théâtre</v>
      </c>
      <c r="H1" s="1" t="str">
        <f aca="false">IFERROR(__xludf.dummyfunction("""COMPUTED_VALUE"""),"Une fois de temps en temps")</f>
        <v>Une fois de temps en temps</v>
      </c>
      <c r="I1" s="1" t="str">
        <f aca="false">IFERROR(__xludf.dummyfunction("""COMPUTED_VALUE"""),"Plusieurs fois par semaine")</f>
        <v>Plusieurs fois par semaine</v>
      </c>
      <c r="J1" s="1" t="str">
        <f aca="false">IFERROR(__xludf.dummyfunction("""COMPUTED_VALUE"""),"Pour la compet")</f>
        <v>Pour la compet</v>
      </c>
      <c r="K1" s="2" t="str">
        <f aca="false">IFERROR(__xludf.dummyfunction("""COMPUTED_VALUE"""),"Sports collectifs, Autre")</f>
        <v>Sports collectifs, Autre</v>
      </c>
      <c r="L1" s="1" t="str">
        <f aca="false">IFERROR(__xludf.dummyfunction("""COMPUTED_VALUE"""),"Je fais toujours attention à bien manger")</f>
        <v>Je fais toujours attention à bien manger</v>
      </c>
      <c r="M1" s="2" t="n">
        <f aca="false">IFERROR(__xludf.dummyfunction("""COMPUTED_VALUE"""),6)</f>
        <v>6</v>
      </c>
      <c r="N1" s="2" t="str">
        <f aca="false">IFERROR(__xludf.dummyfunction("""COMPUTED_VALUE"""),"Une fois par semaine")</f>
        <v>Une fois par semaine</v>
      </c>
      <c r="O1" s="1" t="str">
        <f aca="false">IFERROR(__xludf.dummyfunction("""COMPUTED_VALUE"""),"T'enflammes le dancefloor")</f>
        <v>T'enflammes le dancefloor</v>
      </c>
      <c r="P1" s="1" t="n">
        <f aca="false">IFERROR(__xludf.dummyfunction("""COMPUTED_VALUE"""),1)</f>
        <v>1</v>
      </c>
      <c r="Q1" s="2" t="str">
        <f aca="false">IFERROR(__xludf.dummyfunction("""COMPUTED_VALUE"""),"Oui")</f>
        <v>Oui</v>
      </c>
      <c r="R1" s="2" t="str">
        <f aca="false">IFERROR(__xludf.dummyfunction("""COMPUTED_VALUE"""),"Non")</f>
        <v>Non</v>
      </c>
      <c r="S1" s="2" t="str">
        <f aca="false">IFERROR(__xludf.dummyfunction("""COMPUTED_VALUE"""),"DPSU")</f>
        <v>DPSU</v>
      </c>
      <c r="T1" s="2" t="str">
        <f aca="false">IFERROR(__xludf.dummyfunction("""COMPUTED_VALUE"""),".")</f>
        <v>.</v>
      </c>
      <c r="U1" s="2" t="str">
        <f aca="false">IFERROR(__xludf.dummyfunction("""COMPUTED_VALUE"""),"")</f>
        <v/>
      </c>
      <c r="V1" s="2" t="str">
        <f aca="false">IFERROR(__xludf.dummyfunction("""COMPUTED_VALUE"""),"")</f>
        <v/>
      </c>
      <c r="W1" s="1" t="str">
        <f aca="false">IFERROR(__xludf.dummyfunction("""COMPUTED_VALUE"""),"")</f>
        <v/>
      </c>
      <c r="X1" s="1" t="str">
        <f aca="false">IFERROR(__xludf.dummyfunction("""COMPUTED_VALUE"""),"")</f>
        <v/>
      </c>
      <c r="Y1" s="1" t="str">
        <f aca="false">IFERROR(__xludf.dummyfunction("""COMPUTED_VALUE"""),"")</f>
        <v/>
      </c>
      <c r="Z1" s="1" t="str">
        <f aca="false">IFERROR(__xludf.dummyfunction("""COMPUTED_VALUE"""),"")</f>
        <v/>
      </c>
      <c r="AA1" s="1" t="str">
        <f aca="false">IFERROR(__xludf.dummyfunction("""COMPUTED_VALUE"""),"")</f>
        <v/>
      </c>
      <c r="AB1" s="1" t="str">
        <f aca="false">IFERROR(__xludf.dummyfunction("""COMPUTED_VALUE"""),"")</f>
        <v/>
      </c>
    </row>
    <row r="2" customFormat="false" ht="15.75" hidden="false" customHeight="false" outlineLevel="0" collapsed="false">
      <c r="A2" s="3" t="n">
        <f aca="false">IFERROR(__xludf.dummyfunction("""COMPUTED_VALUE"""),43626.6583012384)</f>
        <v>43626.6583</v>
      </c>
      <c r="B2" s="1" t="str">
        <f aca="false">IFERROR(__xludf.dummyfunction("""COMPUTED_VALUE"""),"Jean ROMAN")</f>
        <v>Jean ROMAN</v>
      </c>
      <c r="C2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" s="1" t="str">
        <f aca="false">IFERROR(__xludf.dummyfunction("""COMPUTED_VALUE"""),"BDS")</f>
        <v>BDS</v>
      </c>
      <c r="E2" s="1" t="n">
        <f aca="false">IFERROR(__xludf.dummyfunction("""COMPUTED_VALUE"""),4)</f>
        <v>4</v>
      </c>
      <c r="F2" s="1" t="str">
        <f aca="false">IFERROR(__xludf.dummyfunction("""COMPUTED_VALUE"""),"Electro posée, Electro hard, Pop, Autre")</f>
        <v>Electro posée, Electro hard, Pop, Autre</v>
      </c>
      <c r="G2" s="1" t="str">
        <f aca="false">IFERROR(__xludf.dummyfunction("""COMPUTED_VALUE"""),"Littérature, Cinéma")</f>
        <v>Littérature, Cinéma</v>
      </c>
      <c r="H2" s="1" t="str">
        <f aca="false">IFERROR(__xludf.dummyfunction("""COMPUTED_VALUE"""),"Quelques fois par semaine")</f>
        <v>Quelques fois par semaine</v>
      </c>
      <c r="I2" s="1" t="str">
        <f aca="false">IFERROR(__xludf.dummyfunction("""COMPUTED_VALUE"""),"Plusieurs fois par semaine")</f>
        <v>Plusieurs fois par semaine</v>
      </c>
      <c r="J2" s="1" t="str">
        <f aca="false">IFERROR(__xludf.dummyfunction("""COMPUTED_VALUE"""),"Pour le fun")</f>
        <v>Pour le fun</v>
      </c>
      <c r="K2" s="1" t="str">
        <f aca="false">IFERROR(__xludf.dummyfunction("""COMPUTED_VALUE"""),"Autre")</f>
        <v>Autre</v>
      </c>
      <c r="L2" s="1" t="str">
        <f aca="false">IFERROR(__xludf.dummyfunction("""COMPUTED_VALUE"""),"Oh oui, et les trucs bien gras ça me connait !")</f>
        <v>Oh oui, et les trucs bien gras ça me connait !</v>
      </c>
      <c r="M2" s="1" t="n">
        <f aca="false">IFERROR(__xludf.dummyfunction("""COMPUTED_VALUE"""),10)</f>
        <v>10</v>
      </c>
      <c r="N2" s="1" t="str">
        <f aca="false">IFERROR(__xludf.dummyfunction("""COMPUTED_VALUE"""),"Une fois par jour (voire plus)")</f>
        <v>Une fois par jour (voire plus)</v>
      </c>
      <c r="O2" s="1" t="str">
        <f aca="false">IFERROR(__xludf.dummyfunction("""COMPUTED_VALUE"""),"Objectif grosse défonce")</f>
        <v>Objectif grosse défonce</v>
      </c>
      <c r="P2" s="1" t="n">
        <f aca="false">IFERROR(__xludf.dummyfunction("""COMPUTED_VALUE"""),2)</f>
        <v>2</v>
      </c>
      <c r="Q2" s="1" t="str">
        <f aca="false">IFERROR(__xludf.dummyfunction("""COMPUTED_VALUE"""),"Oui")</f>
        <v>Oui</v>
      </c>
      <c r="R2" s="1" t="str">
        <f aca="false">IFERROR(__xludf.dummyfunction("""COMPUTED_VALUE"""),"Non")</f>
        <v>Non</v>
      </c>
      <c r="S2" s="1" t="str">
        <f aca="false">IFERROR(__xludf.dummyfunction("""COMPUTED_VALUE"""),"DPSU")</f>
        <v>DPSU</v>
      </c>
      <c r="T2" s="1" t="str">
        <f aca="false">IFERROR(__xludf.dummyfunction("""COMPUTED_VALUE"""),"Un cubi de sangria (vide, évidement, pas d'alcool dans Centrale)")</f>
        <v>Un cubi de sangria (vide, évidement, pas d'alcool dans Centrale)</v>
      </c>
      <c r="U2" s="1" t="str">
        <f aca="false">IFERROR(__xludf.dummyfunction("""COMPUTED_VALUE"""),"")</f>
        <v/>
      </c>
      <c r="V2" s="1" t="str">
        <f aca="false">IFERROR(__xludf.dummyfunction("""COMPUTED_VALUE"""),"")</f>
        <v/>
      </c>
      <c r="W2" s="1" t="str">
        <f aca="false">IFERROR(__xludf.dummyfunction("""COMPUTED_VALUE"""),"")</f>
        <v/>
      </c>
      <c r="X2" s="1" t="str">
        <f aca="false">IFERROR(__xludf.dummyfunction("""COMPUTED_VALUE"""),"")</f>
        <v/>
      </c>
      <c r="Y2" s="1" t="str">
        <f aca="false">IFERROR(__xludf.dummyfunction("""COMPUTED_VALUE"""),"")</f>
        <v/>
      </c>
      <c r="Z2" s="1" t="str">
        <f aca="false">IFERROR(__xludf.dummyfunction("""COMPUTED_VALUE"""),"")</f>
        <v/>
      </c>
      <c r="AA2" s="1" t="str">
        <f aca="false">IFERROR(__xludf.dummyfunction("""COMPUTED_VALUE"""),"")</f>
        <v/>
      </c>
      <c r="AB2" s="1" t="str">
        <f aca="false">IFERROR(__xludf.dummyfunction("""COMPUTED_VALUE"""),"")</f>
        <v/>
      </c>
    </row>
    <row r="3" customFormat="false" ht="15.75" hidden="false" customHeight="false" outlineLevel="0" collapsed="false">
      <c r="A3" s="3" t="n">
        <f aca="false">IFERROR(__xludf.dummyfunction("""COMPUTED_VALUE"""),43626.6942934375)</f>
        <v>43626.69429</v>
      </c>
      <c r="B3" s="1" t="str">
        <f aca="false">IFERROR(__xludf.dummyfunction("""COMPUTED_VALUE"""),"Alexis Birée")</f>
        <v>Alexis Birée</v>
      </c>
      <c r="C3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3" s="1" t="str">
        <f aca="false">IFERROR(__xludf.dummyfunction("""COMPUTED_VALUE"""),"BDS")</f>
        <v>BDS</v>
      </c>
      <c r="E3" s="1" t="n">
        <f aca="false">IFERROR(__xludf.dummyfunction("""COMPUTED_VALUE"""),2)</f>
        <v>2</v>
      </c>
      <c r="F3" s="1" t="str">
        <f aca="false">IFERROR(__xludf.dummyfunction("""COMPUTED_VALUE"""),"Rock, Pop")</f>
        <v>Rock, Pop</v>
      </c>
      <c r="G3" s="1" t="str">
        <f aca="false">IFERROR(__xludf.dummyfunction("""COMPUTED_VALUE"""),"Musique, Cinéma")</f>
        <v>Musique, Cinéma</v>
      </c>
      <c r="H3" s="1" t="str">
        <f aca="false">IFERROR(__xludf.dummyfunction("""COMPUTED_VALUE"""),"Seulement les soirs de pleine lune")</f>
        <v>Seulement les soirs de pleine lune</v>
      </c>
      <c r="I3" s="1" t="str">
        <f aca="false">IFERROR(__xludf.dummyfunction("""COMPUTED_VALUE"""),"Plusieurs fois par semaine")</f>
        <v>Plusieurs fois par semaine</v>
      </c>
      <c r="J3" s="1" t="str">
        <f aca="false">IFERROR(__xludf.dummyfunction("""COMPUTED_VALUE"""),"Pour le développement perso et se dépasser")</f>
        <v>Pour le développement perso et se dépasser</v>
      </c>
      <c r="K3" s="1" t="str">
        <f aca="false">IFERROR(__xludf.dummyfunction("""COMPUTED_VALUE"""),"Sports collectifs, Autre")</f>
        <v>Sports collectifs, Autre</v>
      </c>
      <c r="L3" s="1" t="str">
        <f aca="false">IFERROR(__xludf.dummyfunction("""COMPUTED_VALUE"""),"Je fais toujours attention à bien manger")</f>
        <v>Je fais toujours attention à bien manger</v>
      </c>
      <c r="M3" s="1" t="n">
        <f aca="false">IFERROR(__xludf.dummyfunction("""COMPUTED_VALUE"""),5)</f>
        <v>5</v>
      </c>
      <c r="N3" s="1" t="str">
        <f aca="false">IFERROR(__xludf.dummyfunction("""COMPUTED_VALUE"""),"Une fois par mois")</f>
        <v>Une fois par mois</v>
      </c>
      <c r="O3" s="1" t="str">
        <f aca="false">IFERROR(__xludf.dummyfunction("""COMPUTED_VALUE"""),"Objectif grosse défonce")</f>
        <v>Objectif grosse défonce</v>
      </c>
      <c r="P3" s="1" t="n">
        <f aca="false">IFERROR(__xludf.dummyfunction("""COMPUTED_VALUE"""),1)</f>
        <v>1</v>
      </c>
      <c r="Q3" s="1" t="str">
        <f aca="false">IFERROR(__xludf.dummyfunction("""COMPUTED_VALUE"""),"Oui")</f>
        <v>Oui</v>
      </c>
      <c r="R3" s="1" t="str">
        <f aca="false">IFERROR(__xludf.dummyfunction("""COMPUTED_VALUE"""),"Non")</f>
        <v>Non</v>
      </c>
      <c r="S3" s="1" t="str">
        <f aca="false">IFERROR(__xludf.dummyfunction("""COMPUTED_VALUE"""),"Le Bordel")</f>
        <v>Le Bordel</v>
      </c>
      <c r="T3" s="1" t="str">
        <f aca="false">IFERROR(__xludf.dummyfunction("""COMPUTED_VALUE"""),"Surprise")</f>
        <v>Surprise</v>
      </c>
      <c r="U3" s="1" t="str">
        <f aca="false">IFERROR(__xludf.dummyfunction("""COMPUTED_VALUE"""),"")</f>
        <v/>
      </c>
      <c r="V3" s="1" t="str">
        <f aca="false">IFERROR(__xludf.dummyfunction("""COMPUTED_VALUE"""),"")</f>
        <v/>
      </c>
      <c r="W3" s="1" t="str">
        <f aca="false">IFERROR(__xludf.dummyfunction("""COMPUTED_VALUE"""),"")</f>
        <v/>
      </c>
      <c r="X3" s="1" t="str">
        <f aca="false">IFERROR(__xludf.dummyfunction("""COMPUTED_VALUE"""),"")</f>
        <v/>
      </c>
      <c r="Y3" s="1" t="str">
        <f aca="false">IFERROR(__xludf.dummyfunction("""COMPUTED_VALUE"""),"")</f>
        <v/>
      </c>
      <c r="Z3" s="1" t="str">
        <f aca="false">IFERROR(__xludf.dummyfunction("""COMPUTED_VALUE"""),"")</f>
        <v/>
      </c>
      <c r="AA3" s="1" t="str">
        <f aca="false">IFERROR(__xludf.dummyfunction("""COMPUTED_VALUE"""),"")</f>
        <v/>
      </c>
      <c r="AB3" s="1" t="str">
        <f aca="false">IFERROR(__xludf.dummyfunction("""COMPUTED_VALUE"""),"")</f>
        <v/>
      </c>
    </row>
    <row r="4" customFormat="false" ht="15.75" hidden="false" customHeight="false" outlineLevel="0" collapsed="false">
      <c r="A4" s="3" t="n">
        <f aca="false">IFERROR(__xludf.dummyfunction("""COMPUTED_VALUE"""),43626.6949349769)</f>
        <v>43626.69493</v>
      </c>
      <c r="B4" s="1" t="str">
        <f aca="false">IFERROR(__xludf.dummyfunction("""COMPUTED_VALUE"""),"Laura DRAUX")</f>
        <v>Laura DRAUX</v>
      </c>
      <c r="C4" s="1" t="str">
        <f aca="false">IFERROR(__xludf.dummyfunction("""COMPUTED_VALUE"""),"Le président et un inconnu")</f>
        <v>Le président et un inconnu</v>
      </c>
      <c r="D4" s="1" t="str">
        <f aca="false">IFERROR(__xludf.dummyfunction("""COMPUTED_VALUE"""),"BDS")</f>
        <v>BDS</v>
      </c>
      <c r="E4" s="1" t="n">
        <f aca="false">IFERROR(__xludf.dummyfunction("""COMPUTED_VALUE"""),3)</f>
        <v>3</v>
      </c>
      <c r="F4" s="1" t="str">
        <f aca="false">IFERROR(__xludf.dummyfunction("""COMPUTED_VALUE"""),"Rap, Pop")</f>
        <v>Rap, Pop</v>
      </c>
      <c r="G4" s="1" t="str">
        <f aca="false">IFERROR(__xludf.dummyfunction("""COMPUTED_VALUE"""),"Pas du tout")</f>
        <v>Pas du tout</v>
      </c>
      <c r="H4" s="1" t="str">
        <f aca="false">IFERROR(__xludf.dummyfunction("""COMPUTED_VALUE"""),"Seulement les soirs de pleine lune")</f>
        <v>Seulement les soirs de pleine lune</v>
      </c>
      <c r="I4" s="1" t="str">
        <f aca="false">IFERROR(__xludf.dummyfunction("""COMPUTED_VALUE"""),"Plusieurs fois par semaine")</f>
        <v>Plusieurs fois par semaine</v>
      </c>
      <c r="J4" s="1" t="str">
        <f aca="false">IFERROR(__xludf.dummyfunction("""COMPUTED_VALUE"""),"Pour le développement perso et se dépasser")</f>
        <v>Pour le développement perso et se dépasser</v>
      </c>
      <c r="K4" s="1" t="str">
        <f aca="false">IFERROR(__xludf.dummyfunction("""COMPUTED_VALUE"""),"Equitation, Autre")</f>
        <v>Equitation, Autre</v>
      </c>
      <c r="L4" s="1" t="str">
        <f aca="false">IFERROR(__xludf.dummyfunction("""COMPUTED_VALUE"""),"Je fais toujours attention à bien manger")</f>
        <v>Je fais toujours attention à bien manger</v>
      </c>
      <c r="M4" s="1" t="n">
        <f aca="false">IFERROR(__xludf.dummyfunction("""COMPUTED_VALUE"""),5)</f>
        <v>5</v>
      </c>
      <c r="N4" s="1" t="str">
        <f aca="false">IFERROR(__xludf.dummyfunction("""COMPUTED_VALUE"""),"Une fois par semaine")</f>
        <v>Une fois par semaine</v>
      </c>
      <c r="O4" s="1" t="str">
        <f aca="false">IFERROR(__xludf.dummyfunction("""COMPUTED_VALUE"""),"Objectif grosse défonce")</f>
        <v>Objectif grosse défonce</v>
      </c>
      <c r="P4" s="1" t="n">
        <f aca="false">IFERROR(__xludf.dummyfunction("""COMPUTED_VALUE"""),5)</f>
        <v>5</v>
      </c>
      <c r="Q4" s="1" t="str">
        <f aca="false">IFERROR(__xludf.dummyfunction("""COMPUTED_VALUE"""),"Oui")</f>
        <v>Oui</v>
      </c>
      <c r="R4" s="1" t="str">
        <f aca="false">IFERROR(__xludf.dummyfunction("""COMPUTED_VALUE"""),"Non")</f>
        <v>Non</v>
      </c>
      <c r="S4" s="1" t="str">
        <f aca="false">IFERROR(__xludf.dummyfunction("""COMPUTED_VALUE"""),"Le Bordel")</f>
        <v>Le Bordel</v>
      </c>
      <c r="T4" s="1" t="str">
        <f aca="false">IFERROR(__xludf.dummyfunction("""COMPUTED_VALUE"""),"Je sais pas")</f>
        <v>Je sais pas</v>
      </c>
      <c r="U4" s="1" t="str">
        <f aca="false">IFERROR(__xludf.dummyfunction("""COMPUTED_VALUE"""),"")</f>
        <v/>
      </c>
      <c r="V4" s="1" t="str">
        <f aca="false">IFERROR(__xludf.dummyfunction("""COMPUTED_VALUE"""),"")</f>
        <v/>
      </c>
      <c r="W4" s="1" t="str">
        <f aca="false">IFERROR(__xludf.dummyfunction("""COMPUTED_VALUE"""),"")</f>
        <v/>
      </c>
      <c r="X4" s="1" t="str">
        <f aca="false">IFERROR(__xludf.dummyfunction("""COMPUTED_VALUE"""),"")</f>
        <v/>
      </c>
      <c r="Y4" s="1" t="str">
        <f aca="false">IFERROR(__xludf.dummyfunction("""COMPUTED_VALUE"""),"")</f>
        <v/>
      </c>
      <c r="Z4" s="1" t="str">
        <f aca="false">IFERROR(__xludf.dummyfunction("""COMPUTED_VALUE"""),"")</f>
        <v/>
      </c>
      <c r="AA4" s="1" t="str">
        <f aca="false">IFERROR(__xludf.dummyfunction("""COMPUTED_VALUE"""),"")</f>
        <v/>
      </c>
      <c r="AB4" s="1" t="str">
        <f aca="false">IFERROR(__xludf.dummyfunction("""COMPUTED_VALUE"""),"")</f>
        <v/>
      </c>
    </row>
    <row r="5" customFormat="false" ht="15.75" hidden="false" customHeight="false" outlineLevel="0" collapsed="false">
      <c r="A5" s="3" t="n">
        <f aca="false">IFERROR(__xludf.dummyfunction("""COMPUTED_VALUE"""),43626.6949819907)</f>
        <v>43626.69498</v>
      </c>
      <c r="B5" s="1" t="str">
        <f aca="false">IFERROR(__xludf.dummyfunction("""COMPUTED_VALUE"""),"Célia CHABRANT")</f>
        <v>Célia CHABRANT</v>
      </c>
      <c r="C5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5" s="1" t="str">
        <f aca="false">IFERROR(__xludf.dummyfunction("""COMPUTED_VALUE"""),"BDS")</f>
        <v>BDS</v>
      </c>
      <c r="E5" s="1" t="n">
        <f aca="false">IFERROR(__xludf.dummyfunction("""COMPUTED_VALUE"""),4)</f>
        <v>4</v>
      </c>
      <c r="F5" s="1" t="str">
        <f aca="false">IFERROR(__xludf.dummyfunction("""COMPUTED_VALUE"""),"Rock, Rap, Pop, Musique fançaise")</f>
        <v>Rock, Rap, Pop, Musique fançaise</v>
      </c>
      <c r="G5" s="1" t="str">
        <f aca="false">IFERROR(__xludf.dummyfunction("""COMPUTED_VALUE"""),"Littérature, Danse, Musique, Cinéma")</f>
        <v>Littérature, Danse, Musique, Cinéma</v>
      </c>
      <c r="H5" s="1" t="str">
        <f aca="false">IFERROR(__xludf.dummyfunction("""COMPUTED_VALUE"""),"Seulement les soirs de pleine lune")</f>
        <v>Seulement les soirs de pleine lune</v>
      </c>
      <c r="I5" s="1" t="str">
        <f aca="false">IFERROR(__xludf.dummyfunction("""COMPUTED_VALUE"""),"Plusieurs fois par semaine")</f>
        <v>Plusieurs fois par semaine</v>
      </c>
      <c r="J5" s="1" t="str">
        <f aca="false">IFERROR(__xludf.dummyfunction("""COMPUTED_VALUE"""),"Pour le fun")</f>
        <v>Pour le fun</v>
      </c>
      <c r="K5" s="1" t="str">
        <f aca="false">IFERROR(__xludf.dummyfunction("""COMPUTED_VALUE"""),"Sports collectifs, Equitation, Escalade")</f>
        <v>Sports collectifs, Equitation, Escalade</v>
      </c>
      <c r="L5" s="1" t="str">
        <f aca="false">IFERROR(__xludf.dummyfunction("""COMPUTED_VALUE"""),"J'aime cuisiner le WE ou quand j'ai le temps")</f>
        <v>J'aime cuisiner le WE ou quand j'ai le temps</v>
      </c>
      <c r="M5" s="1" t="n">
        <f aca="false">IFERROR(__xludf.dummyfunction("""COMPUTED_VALUE"""),8)</f>
        <v>8</v>
      </c>
      <c r="N5" s="1" t="str">
        <f aca="false">IFERROR(__xludf.dummyfunction("""COMPUTED_VALUE"""),"Plusieurs fois par semaine")</f>
        <v>Plusieurs fois par semaine</v>
      </c>
      <c r="O5" s="1" t="str">
        <f aca="false">IFERROR(__xludf.dummyfunction("""COMPUTED_VALUE"""),"T'enflammes le dancefloor")</f>
        <v>T'enflammes le dancefloor</v>
      </c>
      <c r="P5" s="1" t="n">
        <f aca="false">IFERROR(__xludf.dummyfunction("""COMPUTED_VALUE"""),1)</f>
        <v>1</v>
      </c>
      <c r="Q5" s="1" t="str">
        <f aca="false">IFERROR(__xludf.dummyfunction("""COMPUTED_VALUE"""),"Oui")</f>
        <v>Oui</v>
      </c>
      <c r="R5" s="1" t="str">
        <f aca="false">IFERROR(__xludf.dummyfunction("""COMPUTED_VALUE"""),"Non")</f>
        <v>Non</v>
      </c>
      <c r="S5" s="1" t="str">
        <f aca="false">IFERROR(__xludf.dummyfunction("""COMPUTED_VALUE"""),"Le Bordel")</f>
        <v>Le Bordel</v>
      </c>
      <c r="T5" s="1" t="str">
        <f aca="false">IFERROR(__xludf.dummyfunction("""COMPUTED_VALUE"""),"On verra")</f>
        <v>On verra</v>
      </c>
      <c r="U5" s="1" t="str">
        <f aca="false">IFERROR(__xludf.dummyfunction("""COMPUTED_VALUE"""),"")</f>
        <v/>
      </c>
      <c r="V5" s="1" t="str">
        <f aca="false">IFERROR(__xludf.dummyfunction("""COMPUTED_VALUE"""),"")</f>
        <v/>
      </c>
      <c r="W5" s="1" t="str">
        <f aca="false">IFERROR(__xludf.dummyfunction("""COMPUTED_VALUE"""),"")</f>
        <v/>
      </c>
      <c r="X5" s="1" t="str">
        <f aca="false">IFERROR(__xludf.dummyfunction("""COMPUTED_VALUE"""),"")</f>
        <v/>
      </c>
      <c r="Y5" s="1" t="str">
        <f aca="false">IFERROR(__xludf.dummyfunction("""COMPUTED_VALUE"""),"")</f>
        <v/>
      </c>
      <c r="Z5" s="1" t="str">
        <f aca="false">IFERROR(__xludf.dummyfunction("""COMPUTED_VALUE"""),"")</f>
        <v/>
      </c>
      <c r="AA5" s="1" t="str">
        <f aca="false">IFERROR(__xludf.dummyfunction("""COMPUTED_VALUE"""),"")</f>
        <v/>
      </c>
      <c r="AB5" s="1" t="str">
        <f aca="false">IFERROR(__xludf.dummyfunction("""COMPUTED_VALUE"""),"")</f>
        <v/>
      </c>
    </row>
    <row r="6" customFormat="false" ht="15.75" hidden="false" customHeight="false" outlineLevel="0" collapsed="false">
      <c r="A6" s="3" t="n">
        <f aca="false">IFERROR(__xludf.dummyfunction("""COMPUTED_VALUE"""),43626.8651176157)</f>
        <v>43626.86512</v>
      </c>
      <c r="B6" s="1" t="str">
        <f aca="false">IFERROR(__xludf.dummyfunction("""COMPUTED_VALUE"""),"Tom Aubelle")</f>
        <v>Tom Aubelle</v>
      </c>
      <c r="C6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6" s="1" t="str">
        <f aca="false">IFERROR(__xludf.dummyfunction("""COMPUTED_VALUE"""),"BDS")</f>
        <v>BDS</v>
      </c>
      <c r="E6" s="1" t="n">
        <f aca="false">IFERROR(__xludf.dummyfunction("""COMPUTED_VALUE"""),5)</f>
        <v>5</v>
      </c>
      <c r="F6" s="1" t="str">
        <f aca="false">IFERROR(__xludf.dummyfunction("""COMPUTED_VALUE"""),"Electro posée")</f>
        <v>Electro posée</v>
      </c>
      <c r="G6" s="1" t="str">
        <f aca="false">IFERROR(__xludf.dummyfunction("""COMPUTED_VALUE"""),"Cinéma")</f>
        <v>Cinéma</v>
      </c>
      <c r="H6" s="1" t="str">
        <f aca="false">IFERROR(__xludf.dummyfunction("""COMPUTED_VALUE"""),"Une fois de temps en temps")</f>
        <v>Une fois de temps en temps</v>
      </c>
      <c r="I6" s="1" t="str">
        <f aca="false">IFERROR(__xludf.dummyfunction("""COMPUTED_VALUE"""),"Plusieurs fois par semaine")</f>
        <v>Plusieurs fois par semaine</v>
      </c>
      <c r="J6" s="1" t="str">
        <f aca="false">IFERROR(__xludf.dummyfunction("""COMPUTED_VALUE"""),"Pour la compet")</f>
        <v>Pour la compet</v>
      </c>
      <c r="K6" s="1" t="str">
        <f aca="false">IFERROR(__xludf.dummyfunction("""COMPUTED_VALUE"""),"Sports collectifs")</f>
        <v>Sports collectifs</v>
      </c>
      <c r="L6" s="1" t="str">
        <f aca="false">IFERROR(__xludf.dummyfunction("""COMPUTED_VALUE"""),"Alterner entre grec et coquillettes ça compte ?")</f>
        <v>Alterner entre grec et coquillettes ça compte ?</v>
      </c>
      <c r="M6" s="1" t="n">
        <f aca="false">IFERROR(__xludf.dummyfunction("""COMPUTED_VALUE"""),7)</f>
        <v>7</v>
      </c>
      <c r="N6" s="1" t="str">
        <f aca="false">IFERROR(__xludf.dummyfunction("""COMPUTED_VALUE"""),"Une fois par semaine")</f>
        <v>Une fois par semaine</v>
      </c>
      <c r="O6" s="1" t="str">
        <f aca="false">IFERROR(__xludf.dummyfunction("""COMPUTED_VALUE"""),"T'enflammes le dancefloor")</f>
        <v>T'enflammes le dancefloor</v>
      </c>
      <c r="P6" s="1" t="n">
        <f aca="false">IFERROR(__xludf.dummyfunction("""COMPUTED_VALUE"""),1)</f>
        <v>1</v>
      </c>
      <c r="Q6" s="1" t="str">
        <f aca="false">IFERROR(__xludf.dummyfunction("""COMPUTED_VALUE"""),"Oui")</f>
        <v>Oui</v>
      </c>
      <c r="R6" s="1" t="str">
        <f aca="false">IFERROR(__xludf.dummyfunction("""COMPUTED_VALUE"""),"Non")</f>
        <v>Non</v>
      </c>
      <c r="S6" s="1" t="str">
        <f aca="false">IFERROR(__xludf.dummyfunction("""COMPUTED_VALUE"""),"La chevroll's ")</f>
        <v>La chevroll's </v>
      </c>
      <c r="T6" s="1" t="str">
        <f aca="false">IFERROR(__xludf.dummyfunction("""COMPUTED_VALUE"""),"Pas encore trouvé ")</f>
        <v>Pas encore trouvé </v>
      </c>
      <c r="U6" s="1" t="str">
        <f aca="false">IFERROR(__xludf.dummyfunction("""COMPUTED_VALUE"""),"")</f>
        <v/>
      </c>
      <c r="V6" s="1" t="str">
        <f aca="false">IFERROR(__xludf.dummyfunction("""COMPUTED_VALUE"""),"")</f>
        <v/>
      </c>
      <c r="W6" s="1" t="str">
        <f aca="false">IFERROR(__xludf.dummyfunction("""COMPUTED_VALUE"""),"")</f>
        <v/>
      </c>
      <c r="X6" s="1" t="str">
        <f aca="false">IFERROR(__xludf.dummyfunction("""COMPUTED_VALUE"""),"")</f>
        <v/>
      </c>
      <c r="Y6" s="1" t="str">
        <f aca="false">IFERROR(__xludf.dummyfunction("""COMPUTED_VALUE"""),"")</f>
        <v/>
      </c>
      <c r="Z6" s="1" t="str">
        <f aca="false">IFERROR(__xludf.dummyfunction("""COMPUTED_VALUE"""),"")</f>
        <v/>
      </c>
      <c r="AA6" s="1" t="str">
        <f aca="false">IFERROR(__xludf.dummyfunction("""COMPUTED_VALUE"""),"")</f>
        <v/>
      </c>
      <c r="AB6" s="1" t="str">
        <f aca="false">IFERROR(__xludf.dummyfunction("""COMPUTED_VALUE"""),"")</f>
        <v/>
      </c>
    </row>
    <row r="7" customFormat="false" ht="15.75" hidden="false" customHeight="false" outlineLevel="0" collapsed="false">
      <c r="A7" s="3" t="n">
        <f aca="false">IFERROR(__xludf.dummyfunction("""COMPUTED_VALUE"""),43626.8699612731)</f>
        <v>43626.86996</v>
      </c>
      <c r="B7" s="1" t="str">
        <f aca="false">IFERROR(__xludf.dummyfunction("""COMPUTED_VALUE"""),"Joanna MARTIN")</f>
        <v>Joanna MARTIN</v>
      </c>
      <c r="C7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" s="1" t="str">
        <f aca="false">IFERROR(__xludf.dummyfunction("""COMPUTED_VALUE"""),"BDS")</f>
        <v>BDS</v>
      </c>
      <c r="E7" s="1" t="n">
        <f aca="false">IFERROR(__xludf.dummyfunction("""COMPUTED_VALUE"""),5)</f>
        <v>5</v>
      </c>
      <c r="F7" s="1" t="str">
        <f aca="false">IFERROR(__xludf.dummyfunction("""COMPUTED_VALUE"""),"Electro posée, Pop")</f>
        <v>Electro posée, Pop</v>
      </c>
      <c r="G7" s="1" t="str">
        <f aca="false">IFERROR(__xludf.dummyfunction("""COMPUTED_VALUE"""),"Littérature, Musique")</f>
        <v>Littérature, Musique</v>
      </c>
      <c r="H7" s="1" t="str">
        <f aca="false">IFERROR(__xludf.dummyfunction("""COMPUTED_VALUE"""),"Seulement les soirs de pleine lune")</f>
        <v>Seulement les soirs de pleine lune</v>
      </c>
      <c r="I7" s="1" t="str">
        <f aca="false">IFERROR(__xludf.dummyfunction("""COMPUTED_VALUE"""),"Une fois par semaine")</f>
        <v>Une fois par semaine</v>
      </c>
      <c r="J7" s="1" t="str">
        <f aca="false">IFERROR(__xludf.dummyfunction("""COMPUTED_VALUE"""),"Pour le fun")</f>
        <v>Pour le fun</v>
      </c>
      <c r="K7" s="1" t="str">
        <f aca="false">IFERROR(__xludf.dummyfunction("""COMPUTED_VALUE"""),"Sports collectifs")</f>
        <v>Sports collectifs</v>
      </c>
      <c r="L7" s="1" t="str">
        <f aca="false">IFERROR(__xludf.dummyfunction("""COMPUTED_VALUE"""),"J'aime cuisiner le WE ou quand j'ai le temps")</f>
        <v>J'aime cuisiner le WE ou quand j'ai le temps</v>
      </c>
      <c r="M7" s="1" t="n">
        <f aca="false">IFERROR(__xludf.dummyfunction("""COMPUTED_VALUE"""),7)</f>
        <v>7</v>
      </c>
      <c r="N7" s="1" t="str">
        <f aca="false">IFERROR(__xludf.dummyfunction("""COMPUTED_VALUE"""),"Une fois par semaine")</f>
        <v>Une fois par semaine</v>
      </c>
      <c r="O7" s="1" t="str">
        <f aca="false">IFERROR(__xludf.dummyfunction("""COMPUTED_VALUE"""),"T'enflammes le dancefloor")</f>
        <v>T'enflammes le dancefloor</v>
      </c>
      <c r="P7" s="1" t="n">
        <f aca="false">IFERROR(__xludf.dummyfunction("""COMPUTED_VALUE"""),1)</f>
        <v>1</v>
      </c>
      <c r="Q7" s="1" t="str">
        <f aca="false">IFERROR(__xludf.dummyfunction("""COMPUTED_VALUE"""),"Oui")</f>
        <v>Oui</v>
      </c>
      <c r="R7" s="1" t="str">
        <f aca="false">IFERROR(__xludf.dummyfunction("""COMPUTED_VALUE"""),"Non")</f>
        <v>Non</v>
      </c>
      <c r="S7" s="1" t="str">
        <f aca="false">IFERROR(__xludf.dummyfunction("""COMPUTED_VALUE"""),"La Chevroll’s")</f>
        <v>La Chevroll’s</v>
      </c>
      <c r="T7" s="1" t="str">
        <f aca="false">IFERROR(__xludf.dummyfunction("""COMPUTED_VALUE"""),"Un éléphant")</f>
        <v>Un éléphant</v>
      </c>
      <c r="U7" s="1" t="str">
        <f aca="false">IFERROR(__xludf.dummyfunction("""COMPUTED_VALUE"""),"")</f>
        <v/>
      </c>
      <c r="V7" s="1" t="str">
        <f aca="false">IFERROR(__xludf.dummyfunction("""COMPUTED_VALUE"""),"")</f>
        <v/>
      </c>
      <c r="W7" s="1" t="str">
        <f aca="false">IFERROR(__xludf.dummyfunction("""COMPUTED_VALUE"""),"")</f>
        <v/>
      </c>
      <c r="X7" s="1" t="str">
        <f aca="false">IFERROR(__xludf.dummyfunction("""COMPUTED_VALUE"""),"")</f>
        <v/>
      </c>
      <c r="Y7" s="1" t="str">
        <f aca="false">IFERROR(__xludf.dummyfunction("""COMPUTED_VALUE"""),"")</f>
        <v/>
      </c>
      <c r="Z7" s="1" t="str">
        <f aca="false">IFERROR(__xludf.dummyfunction("""COMPUTED_VALUE"""),"")</f>
        <v/>
      </c>
      <c r="AA7" s="1" t="str">
        <f aca="false">IFERROR(__xludf.dummyfunction("""COMPUTED_VALUE"""),"")</f>
        <v/>
      </c>
      <c r="AB7" s="1" t="str">
        <f aca="false">IFERROR(__xludf.dummyfunction("""COMPUTED_VALUE"""),"")</f>
        <v/>
      </c>
    </row>
    <row r="8" customFormat="false" ht="15.75" hidden="false" customHeight="false" outlineLevel="0" collapsed="false">
      <c r="A8" s="3" t="n">
        <f aca="false">IFERROR(__xludf.dummyfunction("""COMPUTED_VALUE"""),43626.8747861806)</f>
        <v>43626.87479</v>
      </c>
      <c r="B8" s="1" t="str">
        <f aca="false">IFERROR(__xludf.dummyfunction("""COMPUTED_VALUE"""),"Suzanne COUTELOU")</f>
        <v>Suzanne COUTELOU</v>
      </c>
      <c r="C8" s="1" t="str">
        <f aca="false">IFERROR(__xludf.dummyfunction("""COMPUTED_VALUE"""),"Deux inconnus")</f>
        <v>Deux inconnus</v>
      </c>
      <c r="D8" s="1" t="str">
        <f aca="false">IFERROR(__xludf.dummyfunction("""COMPUTED_VALUE"""),"BDA, BDE")</f>
        <v>BDA, BDE</v>
      </c>
      <c r="E8" s="1" t="n">
        <f aca="false">IFERROR(__xludf.dummyfunction("""COMPUTED_VALUE"""),5)</f>
        <v>5</v>
      </c>
      <c r="F8" s="1" t="str">
        <f aca="false">IFERROR(__xludf.dummyfunction("""COMPUTED_VALUE"""),"Rock, Electro posée, Pop, Jazz, Musique classique")</f>
        <v>Rock, Electro posée, Pop, Jazz, Musique classique</v>
      </c>
      <c r="G8" s="1" t="str">
        <f aca="false">IFERROR(__xludf.dummyfunction("""COMPUTED_VALUE"""),"Danse, Musique, Théâtre, Cinéma")</f>
        <v>Danse, Musique, Théâtre, Cinéma</v>
      </c>
      <c r="H8" s="1" t="str">
        <f aca="false">IFERROR(__xludf.dummyfunction("""COMPUTED_VALUE"""),"Une fois de temps en temps")</f>
        <v>Une fois de temps en temps</v>
      </c>
      <c r="I8" s="1" t="str">
        <f aca="false">IFERROR(__xludf.dummyfunction("""COMPUTED_VALUE"""),"Plusieurs fois par semaine")</f>
        <v>Plusieurs fois par semaine</v>
      </c>
      <c r="J8" s="1" t="str">
        <f aca="false">IFERROR(__xludf.dummyfunction("""COMPUTED_VALUE"""),"Pour le fun")</f>
        <v>Pour le fun</v>
      </c>
      <c r="K8" s="1" t="str">
        <f aca="false">IFERROR(__xludf.dummyfunction("""COMPUTED_VALUE"""),"Sports collectifs, Voile, Sports de combat, Escalade, Autre")</f>
        <v>Sports collectifs, Voile, Sports de combat, Escalade, Autre</v>
      </c>
      <c r="L8" s="1" t="str">
        <f aca="false">IFERROR(__xludf.dummyfunction("""COMPUTED_VALUE"""),"Je fais toujours attention à bien manger")</f>
        <v>Je fais toujours attention à bien manger</v>
      </c>
      <c r="M8" s="1" t="n">
        <f aca="false">IFERROR(__xludf.dummyfunction("""COMPUTED_VALUE"""),8)</f>
        <v>8</v>
      </c>
      <c r="N8" s="1" t="str">
        <f aca="false">IFERROR(__xludf.dummyfunction("""COMPUTED_VALUE"""),"Une fois par semaine")</f>
        <v>Une fois par semaine</v>
      </c>
      <c r="O8" s="1" t="str">
        <f aca="false">IFERROR(__xludf.dummyfunction("""COMPUTED_VALUE"""),"Tu te poses dans un coin, chill !!")</f>
        <v>Tu te poses dans un coin, chill !!</v>
      </c>
      <c r="P8" s="1" t="n">
        <f aca="false">IFERROR(__xludf.dummyfunction("""COMPUTED_VALUE"""),1)</f>
        <v>1</v>
      </c>
      <c r="Q8" s="1" t="str">
        <f aca="false">IFERROR(__xludf.dummyfunction("""COMPUTED_VALUE"""),"Oui")</f>
        <v>Oui</v>
      </c>
      <c r="R8" s="1" t="str">
        <f aca="false">IFERROR(__xludf.dummyfunction("""COMPUTED_VALUE"""),"Non")</f>
        <v>Non</v>
      </c>
      <c r="S8" s="1" t="str">
        <f aca="false">IFERROR(__xludf.dummyfunction("""COMPUTED_VALUE"""),"La Comté")</f>
        <v>La Comté</v>
      </c>
      <c r="T8" s="1" t="str">
        <f aca="false">IFERROR(__xludf.dummyfunction("""COMPUTED_VALUE"""),"Une salopette rayée bleue et blanche")</f>
        <v>Une salopette rayée bleue et blanche</v>
      </c>
      <c r="U8" s="1" t="str">
        <f aca="false">IFERROR(__xludf.dummyfunction("""COMPUTED_VALUE"""),"")</f>
        <v/>
      </c>
      <c r="V8" s="1" t="str">
        <f aca="false">IFERROR(__xludf.dummyfunction("""COMPUTED_VALUE"""),"")</f>
        <v/>
      </c>
      <c r="W8" s="1" t="str">
        <f aca="false">IFERROR(__xludf.dummyfunction("""COMPUTED_VALUE"""),"")</f>
        <v/>
      </c>
      <c r="X8" s="1" t="str">
        <f aca="false">IFERROR(__xludf.dummyfunction("""COMPUTED_VALUE"""),"")</f>
        <v/>
      </c>
      <c r="Y8" s="1" t="str">
        <f aca="false">IFERROR(__xludf.dummyfunction("""COMPUTED_VALUE"""),"")</f>
        <v/>
      </c>
      <c r="Z8" s="1" t="str">
        <f aca="false">IFERROR(__xludf.dummyfunction("""COMPUTED_VALUE"""),"")</f>
        <v/>
      </c>
      <c r="AA8" s="1" t="str">
        <f aca="false">IFERROR(__xludf.dummyfunction("""COMPUTED_VALUE"""),"")</f>
        <v/>
      </c>
      <c r="AB8" s="1" t="str">
        <f aca="false">IFERROR(__xludf.dummyfunction("""COMPUTED_VALUE"""),"")</f>
        <v/>
      </c>
    </row>
    <row r="9" customFormat="false" ht="15.75" hidden="false" customHeight="false" outlineLevel="0" collapsed="false">
      <c r="A9" s="3" t="n">
        <f aca="false">IFERROR(__xludf.dummyfunction("""COMPUTED_VALUE"""),43626.8768422338)</f>
        <v>43626.87684</v>
      </c>
      <c r="B9" s="1" t="str">
        <f aca="false">IFERROR(__xludf.dummyfunction("""COMPUTED_VALUE"""),"Hugo DOUX")</f>
        <v>Hugo DOUX</v>
      </c>
      <c r="C9" s="1" t="str">
        <f aca="false">IFERROR(__xludf.dummyfunction("""COMPUTED_VALUE"""),"Deux inconnus")</f>
        <v>Deux inconnus</v>
      </c>
      <c r="D9" s="1" t="str">
        <f aca="false">IFERROR(__xludf.dummyfunction("""COMPUTED_VALUE"""),"BDE")</f>
        <v>BDE</v>
      </c>
      <c r="E9" s="1" t="n">
        <f aca="false">IFERROR(__xludf.dummyfunction("""COMPUTED_VALUE"""),5)</f>
        <v>5</v>
      </c>
      <c r="F9" s="1" t="str">
        <f aca="false">IFERROR(__xludf.dummyfunction("""COMPUTED_VALUE"""),"Rock, Electro posée, Electro hard, Rap, Pop, Musique fançaise, Jazz, Musique classique, Autre")</f>
        <v>Rock, Electro posée, Electro hard, Rap, Pop, Musique fançaise, Jazz, Musique classique, Autre</v>
      </c>
      <c r="G9" s="1" t="str">
        <f aca="false">IFERROR(__xludf.dummyfunction("""COMPUTED_VALUE"""),"Peinture, Danse, Musique, Théâtre, Cinéma, Graphisme, Autre")</f>
        <v>Peinture, Danse, Musique, Théâtre, Cinéma, Graphisme, Autre</v>
      </c>
      <c r="H9" s="1" t="str">
        <f aca="false">IFERROR(__xludf.dummyfunction("""COMPUTED_VALUE"""),"Une fois de temps en temps")</f>
        <v>Une fois de temps en temps</v>
      </c>
      <c r="I9" s="1" t="str">
        <f aca="false">IFERROR(__xludf.dummyfunction("""COMPUTED_VALUE"""),"Le dimanche à 15h32 s'il fait beau")</f>
        <v>Le dimanche à 15h32 s'il fait beau</v>
      </c>
      <c r="J9" s="1" t="str">
        <f aca="false">IFERROR(__xludf.dummyfunction("""COMPUTED_VALUE"""),"Pour le fun")</f>
        <v>Pour le fun</v>
      </c>
      <c r="K9" s="1" t="str">
        <f aca="false">IFERROR(__xludf.dummyfunction("""COMPUTED_VALUE"""),"Sports collectifs, Sports de rames, Sports aquatiques, Autre")</f>
        <v>Sports collectifs, Sports de rames, Sports aquatiques, Autre</v>
      </c>
      <c r="L9" s="1" t="str">
        <f aca="false">IFERROR(__xludf.dummyfunction("""COMPUTED_VALUE"""),"Je fais toujours attention à bien manger")</f>
        <v>Je fais toujours attention à bien manger</v>
      </c>
      <c r="M9" s="1" t="n">
        <f aca="false">IFERROR(__xludf.dummyfunction("""COMPUTED_VALUE"""),8)</f>
        <v>8</v>
      </c>
      <c r="N9" s="1" t="str">
        <f aca="false">IFERROR(__xludf.dummyfunction("""COMPUTED_VALUE"""),"Une fois par semaine")</f>
        <v>Une fois par semaine</v>
      </c>
      <c r="O9" s="1" t="str">
        <f aca="false">IFERROR(__xludf.dummyfunction("""COMPUTED_VALUE"""),"T'enflammes le dancefloor")</f>
        <v>T'enflammes le dancefloor</v>
      </c>
      <c r="P9" s="1" t="n">
        <f aca="false">IFERROR(__xludf.dummyfunction("""COMPUTED_VALUE"""),3)</f>
        <v>3</v>
      </c>
      <c r="Q9" s="1" t="str">
        <f aca="false">IFERROR(__xludf.dummyfunction("""COMPUTED_VALUE"""),"Oui")</f>
        <v>Oui</v>
      </c>
      <c r="R9" s="1" t="str">
        <f aca="false">IFERROR(__xludf.dummyfunction("""COMPUTED_VALUE"""),"Non")</f>
        <v>Non</v>
      </c>
      <c r="S9" s="1" t="str">
        <f aca="false">IFERROR(__xludf.dummyfunction("""COMPUTED_VALUE"""),"La Comté ")</f>
        <v>La Comté </v>
      </c>
      <c r="T9" s="1" t="str">
        <f aca="false">IFERROR(__xludf.dummyfunction("""COMPUTED_VALUE"""),"Un bandana")</f>
        <v>Un bandana</v>
      </c>
      <c r="U9" s="1" t="str">
        <f aca="false">IFERROR(__xludf.dummyfunction("""COMPUTED_VALUE"""),"")</f>
        <v/>
      </c>
      <c r="V9" s="1" t="str">
        <f aca="false">IFERROR(__xludf.dummyfunction("""COMPUTED_VALUE"""),"")</f>
        <v/>
      </c>
      <c r="W9" s="1" t="str">
        <f aca="false">IFERROR(__xludf.dummyfunction("""COMPUTED_VALUE"""),"")</f>
        <v/>
      </c>
      <c r="X9" s="1" t="str">
        <f aca="false">IFERROR(__xludf.dummyfunction("""COMPUTED_VALUE"""),"")</f>
        <v/>
      </c>
      <c r="Y9" s="1" t="str">
        <f aca="false">IFERROR(__xludf.dummyfunction("""COMPUTED_VALUE"""),"")</f>
        <v/>
      </c>
      <c r="Z9" s="1" t="str">
        <f aca="false">IFERROR(__xludf.dummyfunction("""COMPUTED_VALUE"""),"")</f>
        <v/>
      </c>
      <c r="AA9" s="1" t="str">
        <f aca="false">IFERROR(__xludf.dummyfunction("""COMPUTED_VALUE"""),"")</f>
        <v/>
      </c>
      <c r="AB9" s="1" t="str">
        <f aca="false">IFERROR(__xludf.dummyfunction("""COMPUTED_VALUE"""),"")</f>
        <v/>
      </c>
    </row>
    <row r="10" customFormat="false" ht="15.75" hidden="false" customHeight="false" outlineLevel="0" collapsed="false">
      <c r="A10" s="3" t="n">
        <f aca="false">IFERROR(__xludf.dummyfunction("""COMPUTED_VALUE"""),43626.899203125)</f>
        <v>43626.8992</v>
      </c>
      <c r="B10" s="1" t="str">
        <f aca="false">IFERROR(__xludf.dummyfunction("""COMPUTED_VALUE"""),"Alexandre VURLOD")</f>
        <v>Alexandre VURLOD</v>
      </c>
      <c r="C10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0" s="1" t="str">
        <f aca="false">IFERROR(__xludf.dummyfunction("""COMPUTED_VALUE"""),"BDS")</f>
        <v>BDS</v>
      </c>
      <c r="E10" s="1" t="n">
        <f aca="false">IFERROR(__xludf.dummyfunction("""COMPUTED_VALUE"""),5)</f>
        <v>5</v>
      </c>
      <c r="F10" s="1" t="str">
        <f aca="false">IFERROR(__xludf.dummyfunction("""COMPUTED_VALUE"""),"Electro posée")</f>
        <v>Electro posée</v>
      </c>
      <c r="G10" s="1" t="str">
        <f aca="false">IFERROR(__xludf.dummyfunction("""COMPUTED_VALUE"""),"Littérature, Cinéma")</f>
        <v>Littérature, Cinéma</v>
      </c>
      <c r="H10" s="1" t="str">
        <f aca="false">IFERROR(__xludf.dummyfunction("""COMPUTED_VALUE"""),"Une fois de temps en temps")</f>
        <v>Une fois de temps en temps</v>
      </c>
      <c r="I10" s="1" t="str">
        <f aca="false">IFERROR(__xludf.dummyfunction("""COMPUTED_VALUE"""),"Une fois par semaine")</f>
        <v>Une fois par semaine</v>
      </c>
      <c r="J10" s="1" t="str">
        <f aca="false">IFERROR(__xludf.dummyfunction("""COMPUTED_VALUE"""),"Pour le développement perso et se dépasser")</f>
        <v>Pour le développement perso et se dépasser</v>
      </c>
      <c r="K10" s="1" t="str">
        <f aca="false">IFERROR(__xludf.dummyfunction("""COMPUTED_VALUE"""),"Sports collectifs, Sports de raquette, Sports de combat")</f>
        <v>Sports collectifs, Sports de raquette, Sports de combat</v>
      </c>
      <c r="L10" s="1" t="str">
        <f aca="false">IFERROR(__xludf.dummyfunction("""COMPUTED_VALUE"""),"Je fais toujours attention à bien manger")</f>
        <v>Je fais toujours attention à bien manger</v>
      </c>
      <c r="M10" s="1" t="n">
        <f aca="false">IFERROR(__xludf.dummyfunction("""COMPUTED_VALUE"""),4)</f>
        <v>4</v>
      </c>
      <c r="N10" s="1" t="str">
        <f aca="false">IFERROR(__xludf.dummyfunction("""COMPUTED_VALUE"""),"Une fois par mois")</f>
        <v>Une fois par mois</v>
      </c>
      <c r="O10" s="1" t="str">
        <f aca="false">IFERROR(__xludf.dummyfunction("""COMPUTED_VALUE"""),"Tu te poses dans un coin, chill !!")</f>
        <v>Tu te poses dans un coin, chill !!</v>
      </c>
      <c r="P10" s="1" t="n">
        <f aca="false">IFERROR(__xludf.dummyfunction("""COMPUTED_VALUE"""),1)</f>
        <v>1</v>
      </c>
      <c r="Q10" s="1" t="str">
        <f aca="false">IFERROR(__xludf.dummyfunction("""COMPUTED_VALUE"""),"Oui")</f>
        <v>Oui</v>
      </c>
      <c r="R10" s="1" t="str">
        <f aca="false">IFERROR(__xludf.dummyfunction("""COMPUTED_VALUE"""),"Non")</f>
        <v>Non</v>
      </c>
      <c r="S10" s="1" t="str">
        <f aca="false">IFERROR(__xludf.dummyfunction("""COMPUTED_VALUE"""),"La Chevroll's")</f>
        <v>La Chevroll's</v>
      </c>
      <c r="T10" s="1" t="str">
        <f aca="false">IFERROR(__xludf.dummyfunction("""COMPUTED_VALUE"""),"Ce choix n'est encore défini")</f>
        <v>Ce choix n'est encore défini</v>
      </c>
      <c r="U10" s="1" t="str">
        <f aca="false">IFERROR(__xludf.dummyfunction("""COMPUTED_VALUE"""),"")</f>
        <v/>
      </c>
      <c r="V10" s="1" t="str">
        <f aca="false">IFERROR(__xludf.dummyfunction("""COMPUTED_VALUE"""),"")</f>
        <v/>
      </c>
      <c r="W10" s="1" t="str">
        <f aca="false">IFERROR(__xludf.dummyfunction("""COMPUTED_VALUE"""),"")</f>
        <v/>
      </c>
      <c r="X10" s="1" t="str">
        <f aca="false">IFERROR(__xludf.dummyfunction("""COMPUTED_VALUE"""),"")</f>
        <v/>
      </c>
      <c r="Y10" s="1" t="str">
        <f aca="false">IFERROR(__xludf.dummyfunction("""COMPUTED_VALUE"""),"")</f>
        <v/>
      </c>
      <c r="Z10" s="1" t="str">
        <f aca="false">IFERROR(__xludf.dummyfunction("""COMPUTED_VALUE"""),"")</f>
        <v/>
      </c>
      <c r="AA10" s="1" t="str">
        <f aca="false">IFERROR(__xludf.dummyfunction("""COMPUTED_VALUE"""),"")</f>
        <v/>
      </c>
      <c r="AB10" s="1" t="str">
        <f aca="false">IFERROR(__xludf.dummyfunction("""COMPUTED_VALUE"""),"")</f>
        <v/>
      </c>
    </row>
    <row r="11" customFormat="false" ht="15.75" hidden="false" customHeight="false" outlineLevel="0" collapsed="false">
      <c r="A11" s="3" t="n">
        <f aca="false">IFERROR(__xludf.dummyfunction("""COMPUTED_VALUE"""),43627.3501612732)</f>
        <v>43627.35016</v>
      </c>
      <c r="B11" s="1" t="str">
        <f aca="false">IFERROR(__xludf.dummyfunction("""COMPUTED_VALUE"""),"Marc de Ponnat")</f>
        <v>Marc de Ponnat</v>
      </c>
      <c r="C11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1" s="1" t="str">
        <f aca="false">IFERROR(__xludf.dummyfunction("""COMPUTED_VALUE"""),"BDS")</f>
        <v>BDS</v>
      </c>
      <c r="E11" s="1" t="n">
        <f aca="false">IFERROR(__xludf.dummyfunction("""COMPUTED_VALUE"""),5)</f>
        <v>5</v>
      </c>
      <c r="F11" s="1" t="str">
        <f aca="false">IFERROR(__xludf.dummyfunction("""COMPUTED_VALUE"""),"Rock, Metal, Musique fançaise")</f>
        <v>Rock, Metal, Musique fançaise</v>
      </c>
      <c r="G11" s="1" t="str">
        <f aca="false">IFERROR(__xludf.dummyfunction("""COMPUTED_VALUE"""),"Musique, Cinéma")</f>
        <v>Musique, Cinéma</v>
      </c>
      <c r="H11" s="1" t="str">
        <f aca="false">IFERROR(__xludf.dummyfunction("""COMPUTED_VALUE"""),"Quelques fois par semaine")</f>
        <v>Quelques fois par semaine</v>
      </c>
      <c r="I11" s="1" t="str">
        <f aca="false">IFERROR(__xludf.dummyfunction("""COMPUTED_VALUE"""),"Une fois par semaine")</f>
        <v>Une fois par semaine</v>
      </c>
      <c r="J11" s="1" t="str">
        <f aca="false">IFERROR(__xludf.dummyfunction("""COMPUTED_VALUE"""),"Pour le développement perso et se dépasser")</f>
        <v>Pour le développement perso et se dépasser</v>
      </c>
      <c r="K11" s="1" t="str">
        <f aca="false">IFERROR(__xludf.dummyfunction("""COMPUTED_VALUE"""),"Sports collectifs, Sports de raquette")</f>
        <v>Sports collectifs, Sports de raquette</v>
      </c>
      <c r="L11" s="1" t="str">
        <f aca="false">IFERROR(__xludf.dummyfunction("""COMPUTED_VALUE"""),"J'aime cuisiner le WE ou quand j'ai le temps")</f>
        <v>J'aime cuisiner le WE ou quand j'ai le temps</v>
      </c>
      <c r="M11" s="1" t="n">
        <f aca="false">IFERROR(__xludf.dummyfunction("""COMPUTED_VALUE"""),9)</f>
        <v>9</v>
      </c>
      <c r="N11" s="1" t="str">
        <f aca="false">IFERROR(__xludf.dummyfunction("""COMPUTED_VALUE"""),"Plusieurs fois par semaine")</f>
        <v>Plusieurs fois par semaine</v>
      </c>
      <c r="O11" s="1" t="str">
        <f aca="false">IFERROR(__xludf.dummyfunction("""COMPUTED_VALUE"""),"Objectif grosse défonce")</f>
        <v>Objectif grosse défonce</v>
      </c>
      <c r="P11" s="1" t="n">
        <f aca="false">IFERROR(__xludf.dummyfunction("""COMPUTED_VALUE"""),3)</f>
        <v>3</v>
      </c>
      <c r="Q11" s="1" t="str">
        <f aca="false">IFERROR(__xludf.dummyfunction("""COMPUTED_VALUE"""),"Oui")</f>
        <v>Oui</v>
      </c>
      <c r="R11" s="1" t="str">
        <f aca="false">IFERROR(__xludf.dummyfunction("""COMPUTED_VALUE"""),"Non")</f>
        <v>Non</v>
      </c>
      <c r="S11" s="1" t="str">
        <f aca="false">IFERROR(__xludf.dummyfunction("""COMPUTED_VALUE"""),"La Tracharnasse")</f>
        <v>La Tracharnasse</v>
      </c>
      <c r="T11" s="1" t="str">
        <f aca="false">IFERROR(__xludf.dummyfunction("""COMPUTED_VALUE"""),"Une table ou un micro")</f>
        <v>Une table ou un micro</v>
      </c>
      <c r="U11" s="1" t="str">
        <f aca="false">IFERROR(__xludf.dummyfunction("""COMPUTED_VALUE"""),"")</f>
        <v/>
      </c>
      <c r="V11" s="1" t="str">
        <f aca="false">IFERROR(__xludf.dummyfunction("""COMPUTED_VALUE"""),"")</f>
        <v/>
      </c>
      <c r="W11" s="1" t="str">
        <f aca="false">IFERROR(__xludf.dummyfunction("""COMPUTED_VALUE"""),"")</f>
        <v/>
      </c>
      <c r="X11" s="1" t="str">
        <f aca="false">IFERROR(__xludf.dummyfunction("""COMPUTED_VALUE"""),"")</f>
        <v/>
      </c>
      <c r="Y11" s="1" t="str">
        <f aca="false">IFERROR(__xludf.dummyfunction("""COMPUTED_VALUE"""),"")</f>
        <v/>
      </c>
      <c r="Z11" s="1" t="str">
        <f aca="false">IFERROR(__xludf.dummyfunction("""COMPUTED_VALUE"""),"")</f>
        <v/>
      </c>
      <c r="AA11" s="1" t="str">
        <f aca="false">IFERROR(__xludf.dummyfunction("""COMPUTED_VALUE"""),"")</f>
        <v/>
      </c>
      <c r="AB11" s="1" t="str">
        <f aca="false">IFERROR(__xludf.dummyfunction("""COMPUTED_VALUE"""),"")</f>
        <v/>
      </c>
    </row>
    <row r="12" customFormat="false" ht="15.75" hidden="false" customHeight="false" outlineLevel="0" collapsed="false">
      <c r="A12" s="3" t="n">
        <f aca="false">IFERROR(__xludf.dummyfunction("""COMPUTED_VALUE"""),43627.3614084722)</f>
        <v>43627.36141</v>
      </c>
      <c r="B12" s="1" t="str">
        <f aca="false">IFERROR(__xludf.dummyfunction("""COMPUTED_VALUE"""),"Matthieu Brunot")</f>
        <v>Matthieu Brunot</v>
      </c>
      <c r="C12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2" s="1" t="str">
        <f aca="false">IFERROR(__xludf.dummyfunction("""COMPUTED_VALUE"""),"BDS")</f>
        <v>BDS</v>
      </c>
      <c r="E12" s="1" t="n">
        <f aca="false">IFERROR(__xludf.dummyfunction("""COMPUTED_VALUE"""),5)</f>
        <v>5</v>
      </c>
      <c r="F12" s="1" t="str">
        <f aca="false">IFERROR(__xludf.dummyfunction("""COMPUTED_VALUE"""),"Rock, Metal, Musique fançaise")</f>
        <v>Rock, Metal, Musique fançaise</v>
      </c>
      <c r="G12" s="1" t="str">
        <f aca="false">IFERROR(__xludf.dummyfunction("""COMPUTED_VALUE"""),"Musique, Cinéma")</f>
        <v>Musique, Cinéma</v>
      </c>
      <c r="H12" s="1" t="str">
        <f aca="false">IFERROR(__xludf.dummyfunction("""COMPUTED_VALUE"""),"Quelques fois par semaine")</f>
        <v>Quelques fois par semaine</v>
      </c>
      <c r="I12" s="1" t="str">
        <f aca="false">IFERROR(__xludf.dummyfunction("""COMPUTED_VALUE"""),"Une fois par semaine")</f>
        <v>Une fois par semaine</v>
      </c>
      <c r="J12" s="1" t="str">
        <f aca="false">IFERROR(__xludf.dummyfunction("""COMPUTED_VALUE"""),"Pour le développement perso et se dépasser")</f>
        <v>Pour le développement perso et se dépasser</v>
      </c>
      <c r="K12" s="1" t="str">
        <f aca="false">IFERROR(__xludf.dummyfunction("""COMPUTED_VALUE"""),"Sports collectifs, Sports de raquette")</f>
        <v>Sports collectifs, Sports de raquette</v>
      </c>
      <c r="L12" s="1" t="str">
        <f aca="false">IFERROR(__xludf.dummyfunction("""COMPUTED_VALUE"""),"J'aime cuisiner le WE ou quand j'ai le temps")</f>
        <v>J'aime cuisiner le WE ou quand j'ai le temps</v>
      </c>
      <c r="M12" s="1" t="n">
        <f aca="false">IFERROR(__xludf.dummyfunction("""COMPUTED_VALUE"""),9)</f>
        <v>9</v>
      </c>
      <c r="N12" s="1" t="str">
        <f aca="false">IFERROR(__xludf.dummyfunction("""COMPUTED_VALUE"""),"Plusieurs fois par semaine")</f>
        <v>Plusieurs fois par semaine</v>
      </c>
      <c r="O12" s="1" t="str">
        <f aca="false">IFERROR(__xludf.dummyfunction("""COMPUTED_VALUE"""),"Objectif grosse défonce")</f>
        <v>Objectif grosse défonce</v>
      </c>
      <c r="P12" s="1" t="n">
        <f aca="false">IFERROR(__xludf.dummyfunction("""COMPUTED_VALUE"""),3)</f>
        <v>3</v>
      </c>
      <c r="Q12" s="1" t="str">
        <f aca="false">IFERROR(__xludf.dummyfunction("""COMPUTED_VALUE"""),"Oui")</f>
        <v>Oui</v>
      </c>
      <c r="R12" s="1" t="str">
        <f aca="false">IFERROR(__xludf.dummyfunction("""COMPUTED_VALUE"""),"Non")</f>
        <v>Non</v>
      </c>
      <c r="S12" s="1" t="str">
        <f aca="false">IFERROR(__xludf.dummyfunction("""COMPUTED_VALUE"""),"La Tracharnasse")</f>
        <v>La Tracharnasse</v>
      </c>
      <c r="T12" s="1" t="str">
        <f aca="false">IFERROR(__xludf.dummyfunction("""COMPUTED_VALUE"""),"un enfant, voire deux s'il est chauve")</f>
        <v>un enfant, voire deux s'il est chauve</v>
      </c>
      <c r="U12" s="1" t="str">
        <f aca="false">IFERROR(__xludf.dummyfunction("""COMPUTED_VALUE"""),"troll")</f>
        <v>troll</v>
      </c>
      <c r="V12" s="1" t="str">
        <f aca="false">IFERROR(__xludf.dummyfunction("""COMPUTED_VALUE"""),"")</f>
        <v/>
      </c>
      <c r="W12" s="1" t="str">
        <f aca="false">IFERROR(__xludf.dummyfunction("""COMPUTED_VALUE"""),"")</f>
        <v/>
      </c>
      <c r="X12" s="1" t="str">
        <f aca="false">IFERROR(__xludf.dummyfunction("""COMPUTED_VALUE"""),"")</f>
        <v/>
      </c>
      <c r="Y12" s="1" t="str">
        <f aca="false">IFERROR(__xludf.dummyfunction("""COMPUTED_VALUE"""),"")</f>
        <v/>
      </c>
      <c r="Z12" s="1" t="str">
        <f aca="false">IFERROR(__xludf.dummyfunction("""COMPUTED_VALUE"""),"")</f>
        <v/>
      </c>
      <c r="AA12" s="1" t="str">
        <f aca="false">IFERROR(__xludf.dummyfunction("""COMPUTED_VALUE"""),"")</f>
        <v/>
      </c>
      <c r="AB12" s="1" t="str">
        <f aca="false">IFERROR(__xludf.dummyfunction("""COMPUTED_VALUE"""),"")</f>
        <v/>
      </c>
    </row>
    <row r="13" customFormat="false" ht="15.75" hidden="false" customHeight="false" outlineLevel="0" collapsed="false">
      <c r="A13" s="3" t="n">
        <f aca="false">IFERROR(__xludf.dummyfunction("""COMPUTED_VALUE"""),43627.3739718982)</f>
        <v>43627.37397</v>
      </c>
      <c r="B13" s="1" t="str">
        <f aca="false">IFERROR(__xludf.dummyfunction("""COMPUTED_VALUE"""),"Julien Bomberault")</f>
        <v>Julien Bomberault</v>
      </c>
      <c r="C13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3" s="1" t="str">
        <f aca="false">IFERROR(__xludf.dummyfunction("""COMPUTED_VALUE"""),"BDA")</f>
        <v>BDA</v>
      </c>
      <c r="E13" s="1" t="n">
        <f aca="false">IFERROR(__xludf.dummyfunction("""COMPUTED_VALUE"""),5)</f>
        <v>5</v>
      </c>
      <c r="F13" s="1" t="str">
        <f aca="false">IFERROR(__xludf.dummyfunction("""COMPUTED_VALUE"""),"Rock, Metal, Electro posée, Electro hard, Rap, Jazz, Musique classique, Autre")</f>
        <v>Rock, Metal, Electro posée, Electro hard, Rap, Jazz, Musique classique, Autre</v>
      </c>
      <c r="G13" s="1" t="str">
        <f aca="false">IFERROR(__xludf.dummyfunction("""COMPUTED_VALUE"""),"Musique")</f>
        <v>Musique</v>
      </c>
      <c r="H13" s="1" t="str">
        <f aca="false">IFERROR(__xludf.dummyfunction("""COMPUTED_VALUE"""),"Une fois de temps en temps")</f>
        <v>Une fois de temps en temps</v>
      </c>
      <c r="I13" s="1" t="str">
        <f aca="false">IFERROR(__xludf.dummyfunction("""COMPUTED_VALUE"""),"Le dimanche à 15h32 s'il fait beau")</f>
        <v>Le dimanche à 15h32 s'il fait beau</v>
      </c>
      <c r="J13" s="1" t="str">
        <f aca="false">IFERROR(__xludf.dummyfunction("""COMPUTED_VALUE"""),"Pour le fun")</f>
        <v>Pour le fun</v>
      </c>
      <c r="K13" s="1" t="str">
        <f aca="false">IFERROR(__xludf.dummyfunction("""COMPUTED_VALUE"""),"Pas de sport")</f>
        <v>Pas de sport</v>
      </c>
      <c r="L13" s="1" t="str">
        <f aca="false">IFERROR(__xludf.dummyfunction("""COMPUTED_VALUE"""),"Je fais toujours attention à bien manger")</f>
        <v>Je fais toujours attention à bien manger</v>
      </c>
      <c r="M13" s="1" t="n">
        <f aca="false">IFERROR(__xludf.dummyfunction("""COMPUTED_VALUE"""),10)</f>
        <v>10</v>
      </c>
      <c r="N13" s="1" t="str">
        <f aca="false">IFERROR(__xludf.dummyfunction("""COMPUTED_VALUE"""),"Une fois par jour (voire plus)")</f>
        <v>Une fois par jour (voire plus)</v>
      </c>
      <c r="O13" s="1" t="str">
        <f aca="false">IFERROR(__xludf.dummyfunction("""COMPUTED_VALUE"""),"Objectif grosse défonce")</f>
        <v>Objectif grosse défonce</v>
      </c>
      <c r="P13" s="1" t="n">
        <f aca="false">IFERROR(__xludf.dummyfunction("""COMPUTED_VALUE"""),3)</f>
        <v>3</v>
      </c>
      <c r="Q13" s="1" t="str">
        <f aca="false">IFERROR(__xludf.dummyfunction("""COMPUTED_VALUE"""),"Oui")</f>
        <v>Oui</v>
      </c>
      <c r="R13" s="1" t="str">
        <f aca="false">IFERROR(__xludf.dummyfunction("""COMPUTED_VALUE"""),"Non")</f>
        <v>Non</v>
      </c>
      <c r="S13" s="1" t="str">
        <f aca="false">IFERROR(__xludf.dummyfunction("""COMPUTED_VALUE"""),"La Tracharnasse")</f>
        <v>La Tracharnasse</v>
      </c>
      <c r="T13" s="1" t="str">
        <f aca="false">IFERROR(__xludf.dummyfunction("""COMPUTED_VALUE"""),"Une peluche de Scrat")</f>
        <v>Une peluche de Scrat</v>
      </c>
      <c r="U13" s="1" t="str">
        <f aca="false">IFERROR(__xludf.dummyfunction("""COMPUTED_VALUE"""),"")</f>
        <v/>
      </c>
      <c r="V13" s="1" t="str">
        <f aca="false">IFERROR(__xludf.dummyfunction("""COMPUTED_VALUE"""),"")</f>
        <v/>
      </c>
      <c r="W13" s="1" t="str">
        <f aca="false">IFERROR(__xludf.dummyfunction("""COMPUTED_VALUE"""),"")</f>
        <v/>
      </c>
      <c r="X13" s="1" t="str">
        <f aca="false">IFERROR(__xludf.dummyfunction("""COMPUTED_VALUE"""),"")</f>
        <v/>
      </c>
      <c r="Y13" s="1" t="str">
        <f aca="false">IFERROR(__xludf.dummyfunction("""COMPUTED_VALUE"""),"")</f>
        <v/>
      </c>
      <c r="Z13" s="1" t="str">
        <f aca="false">IFERROR(__xludf.dummyfunction("""COMPUTED_VALUE"""),"")</f>
        <v/>
      </c>
      <c r="AA13" s="1" t="str">
        <f aca="false">IFERROR(__xludf.dummyfunction("""COMPUTED_VALUE"""),"")</f>
        <v/>
      </c>
      <c r="AB13" s="1" t="str">
        <f aca="false">IFERROR(__xludf.dummyfunction("""COMPUTED_VALUE"""),"")</f>
        <v/>
      </c>
    </row>
    <row r="14" customFormat="false" ht="15.75" hidden="false" customHeight="false" outlineLevel="0" collapsed="false">
      <c r="A14" s="3" t="n">
        <f aca="false">IFERROR(__xludf.dummyfunction("""COMPUTED_VALUE"""),43627.3812579861)</f>
        <v>43627.38126</v>
      </c>
      <c r="B14" s="1" t="str">
        <f aca="false">IFERROR(__xludf.dummyfunction("""COMPUTED_VALUE"""),"Constance Kooyman")</f>
        <v>Constance Kooyman</v>
      </c>
      <c r="C14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4" s="1" t="str">
        <f aca="false">IFERROR(__xludf.dummyfunction("""COMPUTED_VALUE"""),"BDA")</f>
        <v>BDA</v>
      </c>
      <c r="E14" s="1" t="n">
        <f aca="false">IFERROR(__xludf.dummyfunction("""COMPUTED_VALUE"""),3)</f>
        <v>3</v>
      </c>
      <c r="F14" s="1" t="str">
        <f aca="false">IFERROR(__xludf.dummyfunction("""COMPUTED_VALUE"""),"Rock, Metal, Jazz, Musique classique, Autre")</f>
        <v>Rock, Metal, Jazz, Musique classique, Autre</v>
      </c>
      <c r="G14" s="1" t="str">
        <f aca="false">IFERROR(__xludf.dummyfunction("""COMPUTED_VALUE"""),"Littérature, Musique")</f>
        <v>Littérature, Musique</v>
      </c>
      <c r="H14" s="1" t="str">
        <f aca="false">IFERROR(__xludf.dummyfunction("""COMPUTED_VALUE"""),"Une fois de temps en temps")</f>
        <v>Une fois de temps en temps</v>
      </c>
      <c r="I14" s="1" t="str">
        <f aca="false">IFERROR(__xludf.dummyfunction("""COMPUTED_VALUE"""),"Plusieurs fois par semaine")</f>
        <v>Plusieurs fois par semaine</v>
      </c>
      <c r="J14" s="1" t="str">
        <f aca="false">IFERROR(__xludf.dummyfunction("""COMPUTED_VALUE"""),"Pour le développement perso et se dépasser")</f>
        <v>Pour le développement perso et se dépasser</v>
      </c>
      <c r="K14" s="1" t="str">
        <f aca="false">IFERROR(__xludf.dummyfunction("""COMPUTED_VALUE"""),"Athlétisme, Equitation")</f>
        <v>Athlétisme, Equitation</v>
      </c>
      <c r="L14" s="1" t="str">
        <f aca="false">IFERROR(__xludf.dummyfunction("""COMPUTED_VALUE"""),"Je fais toujours attention à bien manger")</f>
        <v>Je fais toujours attention à bien manger</v>
      </c>
      <c r="M14" s="1" t="n">
        <f aca="false">IFERROR(__xludf.dummyfunction("""COMPUTED_VALUE"""),4)</f>
        <v>4</v>
      </c>
      <c r="N14" s="1" t="str">
        <f aca="false">IFERROR(__xludf.dummyfunction("""COMPUTED_VALUE"""),"Une fois par semaine")</f>
        <v>Une fois par semaine</v>
      </c>
      <c r="O14" s="1" t="str">
        <f aca="false">IFERROR(__xludf.dummyfunction("""COMPUTED_VALUE"""),"Tu te poses dans un coin, chill !!")</f>
        <v>Tu te poses dans un coin, chill !!</v>
      </c>
      <c r="P14" s="1" t="n">
        <f aca="false">IFERROR(__xludf.dummyfunction("""COMPUTED_VALUE"""),1)</f>
        <v>1</v>
      </c>
      <c r="Q14" s="1" t="str">
        <f aca="false">IFERROR(__xludf.dummyfunction("""COMPUTED_VALUE"""),"Oui")</f>
        <v>Oui</v>
      </c>
      <c r="R14" s="1" t="str">
        <f aca="false">IFERROR(__xludf.dummyfunction("""COMPUTED_VALUE"""),"Non")</f>
        <v>Non</v>
      </c>
      <c r="S14" s="1" t="str">
        <f aca="false">IFERROR(__xludf.dummyfunction("""COMPUTED_VALUE"""),"Waltherock")</f>
        <v>Waltherock</v>
      </c>
      <c r="T14" s="1" t="str">
        <f aca="false">IFERROR(__xludf.dummyfunction("""COMPUTED_VALUE"""),"Walter le mouton (c'est une peluche) ")</f>
        <v>Walter le mouton (c'est une peluche) </v>
      </c>
      <c r="U14" s="1" t="str">
        <f aca="false">IFERROR(__xludf.dummyfunction("""COMPUTED_VALUE"""),"")</f>
        <v/>
      </c>
      <c r="V14" s="1" t="str">
        <f aca="false">IFERROR(__xludf.dummyfunction("""COMPUTED_VALUE"""),"")</f>
        <v/>
      </c>
      <c r="W14" s="1" t="str">
        <f aca="false">IFERROR(__xludf.dummyfunction("""COMPUTED_VALUE"""),"")</f>
        <v/>
      </c>
      <c r="X14" s="1" t="str">
        <f aca="false">IFERROR(__xludf.dummyfunction("""COMPUTED_VALUE"""),"")</f>
        <v/>
      </c>
      <c r="Y14" s="1" t="str">
        <f aca="false">IFERROR(__xludf.dummyfunction("""COMPUTED_VALUE"""),"")</f>
        <v/>
      </c>
      <c r="Z14" s="1" t="str">
        <f aca="false">IFERROR(__xludf.dummyfunction("""COMPUTED_VALUE"""),"")</f>
        <v/>
      </c>
      <c r="AA14" s="1" t="str">
        <f aca="false">IFERROR(__xludf.dummyfunction("""COMPUTED_VALUE"""),"")</f>
        <v/>
      </c>
      <c r="AB14" s="1" t="str">
        <f aca="false">IFERROR(__xludf.dummyfunction("""COMPUTED_VALUE"""),"")</f>
        <v/>
      </c>
    </row>
    <row r="15" customFormat="false" ht="15.75" hidden="false" customHeight="false" outlineLevel="0" collapsed="false">
      <c r="A15" s="3" t="n">
        <f aca="false">IFERROR(__xludf.dummyfunction("""COMPUTED_VALUE"""),43627.3833423727)</f>
        <v>43627.38334</v>
      </c>
      <c r="B15" s="1" t="str">
        <f aca="false">IFERROR(__xludf.dummyfunction("""COMPUTED_VALUE"""),"Damien GUYONVARCH")</f>
        <v>Damien GUYONVARCH</v>
      </c>
      <c r="C15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5" s="1" t="str">
        <f aca="false">IFERROR(__xludf.dummyfunction("""COMPUTED_VALUE"""),"Pas de liste")</f>
        <v>Pas de liste</v>
      </c>
      <c r="E15" s="1" t="n">
        <f aca="false">IFERROR(__xludf.dummyfunction("""COMPUTED_VALUE"""),1)</f>
        <v>1</v>
      </c>
      <c r="F15" s="1" t="str">
        <f aca="false">IFERROR(__xludf.dummyfunction("""COMPUTED_VALUE"""),"Rock, Electro posée, Pop, Autre")</f>
        <v>Rock, Electro posée, Pop, Autre</v>
      </c>
      <c r="G15" s="1" t="str">
        <f aca="false">IFERROR(__xludf.dummyfunction("""COMPUTED_VALUE"""),"Cinéma")</f>
        <v>Cinéma</v>
      </c>
      <c r="H15" s="1" t="str">
        <f aca="false">IFERROR(__xludf.dummyfunction("""COMPUTED_VALUE"""),"Quelques fois par semaine")</f>
        <v>Quelques fois par semaine</v>
      </c>
      <c r="I15" s="1" t="str">
        <f aca="false">IFERROR(__xludf.dummyfunction("""COMPUTED_VALUE"""),"Plusieurs fois par semaine")</f>
        <v>Plusieurs fois par semaine</v>
      </c>
      <c r="J15" s="1" t="str">
        <f aca="false">IFERROR(__xludf.dummyfunction("""COMPUTED_VALUE"""),"Pour le fun")</f>
        <v>Pour le fun</v>
      </c>
      <c r="K15" s="1" t="str">
        <f aca="false">IFERROR(__xludf.dummyfunction("""COMPUTED_VALUE"""),"Sports de raquette")</f>
        <v>Sports de raquette</v>
      </c>
      <c r="L15" s="1" t="str">
        <f aca="false">IFERROR(__xludf.dummyfunction("""COMPUTED_VALUE"""),"J'aime cuisiner le WE ou quand j'ai le temps")</f>
        <v>J'aime cuisiner le WE ou quand j'ai le temps</v>
      </c>
      <c r="M15" s="1" t="n">
        <f aca="false">IFERROR(__xludf.dummyfunction("""COMPUTED_VALUE"""),3)</f>
        <v>3</v>
      </c>
      <c r="N15" s="1" t="str">
        <f aca="false">IFERROR(__xludf.dummyfunction("""COMPUTED_VALUE"""),"Une fois par semaine")</f>
        <v>Une fois par semaine</v>
      </c>
      <c r="O15" s="1" t="str">
        <f aca="false">IFERROR(__xludf.dummyfunction("""COMPUTED_VALUE"""),"Tu te poses dans un coin, chill !!")</f>
        <v>Tu te poses dans un coin, chill !!</v>
      </c>
      <c r="P15" s="1" t="n">
        <f aca="false">IFERROR(__xludf.dummyfunction("""COMPUTED_VALUE"""),1)</f>
        <v>1</v>
      </c>
      <c r="Q15" s="1" t="str">
        <f aca="false">IFERROR(__xludf.dummyfunction("""COMPUTED_VALUE"""),"Oui")</f>
        <v>Oui</v>
      </c>
      <c r="R15" s="1" t="str">
        <f aca="false">IFERROR(__xludf.dummyfunction("""COMPUTED_VALUE"""),"Non")</f>
        <v>Non</v>
      </c>
      <c r="S15" s="1" t="str">
        <f aca="false">IFERROR(__xludf.dummyfunction("""COMPUTED_VALUE"""),"Waltherock")</f>
        <v>Waltherock</v>
      </c>
      <c r="T15" s="1" t="str">
        <f aca="false">IFERROR(__xludf.dummyfunction("""COMPUTED_VALUE"""),"Cadre avec une photo de Dwayne Johnson")</f>
        <v>Cadre avec une photo de Dwayne Johnson</v>
      </c>
      <c r="U15" s="1" t="str">
        <f aca="false">IFERROR(__xludf.dummyfunction("""COMPUTED_VALUE"""),"")</f>
        <v/>
      </c>
      <c r="V15" s="1" t="str">
        <f aca="false">IFERROR(__xludf.dummyfunction("""COMPUTED_VALUE"""),"")</f>
        <v/>
      </c>
      <c r="W15" s="1" t="str">
        <f aca="false">IFERROR(__xludf.dummyfunction("""COMPUTED_VALUE"""),"")</f>
        <v/>
      </c>
      <c r="X15" s="1" t="str">
        <f aca="false">IFERROR(__xludf.dummyfunction("""COMPUTED_VALUE"""),"")</f>
        <v/>
      </c>
      <c r="Y15" s="1" t="str">
        <f aca="false">IFERROR(__xludf.dummyfunction("""COMPUTED_VALUE"""),"")</f>
        <v/>
      </c>
      <c r="Z15" s="1" t="str">
        <f aca="false">IFERROR(__xludf.dummyfunction("""COMPUTED_VALUE"""),"")</f>
        <v/>
      </c>
      <c r="AA15" s="1" t="str">
        <f aca="false">IFERROR(__xludf.dummyfunction("""COMPUTED_VALUE"""),"")</f>
        <v/>
      </c>
      <c r="AB15" s="1" t="str">
        <f aca="false">IFERROR(__xludf.dummyfunction("""COMPUTED_VALUE"""),"")</f>
        <v/>
      </c>
    </row>
    <row r="16" customFormat="false" ht="15.75" hidden="false" customHeight="false" outlineLevel="0" collapsed="false">
      <c r="A16" s="3" t="n">
        <f aca="false">IFERROR(__xludf.dummyfunction("""COMPUTED_VALUE"""),43627.3838270139)</f>
        <v>43627.38383</v>
      </c>
      <c r="B16" s="1" t="str">
        <f aca="false">IFERROR(__xludf.dummyfunction("""COMPUTED_VALUE"""),"Florent COLLOCH")</f>
        <v>Florent COLLOCH</v>
      </c>
      <c r="C16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6" s="1" t="str">
        <f aca="false">IFERROR(__xludf.dummyfunction("""COMPUTED_VALUE"""),"Pas de liste")</f>
        <v>Pas de liste</v>
      </c>
      <c r="E16" s="1" t="n">
        <f aca="false">IFERROR(__xludf.dummyfunction("""COMPUTED_VALUE"""),2)</f>
        <v>2</v>
      </c>
      <c r="F16" s="1" t="str">
        <f aca="false">IFERROR(__xludf.dummyfunction("""COMPUTED_VALUE"""),"Electro posée")</f>
        <v>Electro posée</v>
      </c>
      <c r="G16" s="1" t="str">
        <f aca="false">IFERROR(__xludf.dummyfunction("""COMPUTED_VALUE"""),"Littérature, Cinéma")</f>
        <v>Littérature, Cinéma</v>
      </c>
      <c r="H16" s="1" t="str">
        <f aca="false">IFERROR(__xludf.dummyfunction("""COMPUTED_VALUE"""),"Quelques fois par semaine")</f>
        <v>Quelques fois par semaine</v>
      </c>
      <c r="I16" s="1" t="str">
        <f aca="false">IFERROR(__xludf.dummyfunction("""COMPUTED_VALUE"""),"Plusieurs fois par semaine")</f>
        <v>Plusieurs fois par semaine</v>
      </c>
      <c r="J16" s="1" t="str">
        <f aca="false">IFERROR(__xludf.dummyfunction("""COMPUTED_VALUE"""),"Pour le fun")</f>
        <v>Pour le fun</v>
      </c>
      <c r="K16" s="1" t="str">
        <f aca="false">IFERROR(__xludf.dummyfunction("""COMPUTED_VALUE"""),"Autre")</f>
        <v>Autre</v>
      </c>
      <c r="L16" s="1" t="str">
        <f aca="false">IFERROR(__xludf.dummyfunction("""COMPUTED_VALUE"""),"J'aime cuisiner le WE ou quand j'ai le temps")</f>
        <v>J'aime cuisiner le WE ou quand j'ai le temps</v>
      </c>
      <c r="M16" s="1" t="n">
        <f aca="false">IFERROR(__xludf.dummyfunction("""COMPUTED_VALUE"""),5)</f>
        <v>5</v>
      </c>
      <c r="N16" s="1" t="str">
        <f aca="false">IFERROR(__xludf.dummyfunction("""COMPUTED_VALUE"""),"Une fois par semaine")</f>
        <v>Une fois par semaine</v>
      </c>
      <c r="O16" s="1" t="str">
        <f aca="false">IFERROR(__xludf.dummyfunction("""COMPUTED_VALUE"""),"Tu te poses dans un coin, chill !!")</f>
        <v>Tu te poses dans un coin, chill !!</v>
      </c>
      <c r="P16" s="1" t="n">
        <f aca="false">IFERROR(__xludf.dummyfunction("""COMPUTED_VALUE"""),1)</f>
        <v>1</v>
      </c>
      <c r="Q16" s="1" t="str">
        <f aca="false">IFERROR(__xludf.dummyfunction("""COMPUTED_VALUE"""),"Oui")</f>
        <v>Oui</v>
      </c>
      <c r="R16" s="1" t="str">
        <f aca="false">IFERROR(__xludf.dummyfunction("""COMPUTED_VALUE"""),"Non")</f>
        <v>Non</v>
      </c>
      <c r="S16" s="1" t="str">
        <f aca="false">IFERROR(__xludf.dummyfunction("""COMPUTED_VALUE"""),"Waltherock")</f>
        <v>Waltherock</v>
      </c>
      <c r="T16" s="1" t="str">
        <f aca="false">IFERROR(__xludf.dummyfunction("""COMPUTED_VALUE"""),"Bouteille de sable")</f>
        <v>Bouteille de sable</v>
      </c>
      <c r="U16" s="1" t="str">
        <f aca="false">IFERROR(__xludf.dummyfunction("""COMPUTED_VALUE"""),"")</f>
        <v/>
      </c>
      <c r="V16" s="1" t="str">
        <f aca="false">IFERROR(__xludf.dummyfunction("""COMPUTED_VALUE"""),"")</f>
        <v/>
      </c>
      <c r="W16" s="1" t="str">
        <f aca="false">IFERROR(__xludf.dummyfunction("""COMPUTED_VALUE"""),"")</f>
        <v/>
      </c>
      <c r="X16" s="1" t="str">
        <f aca="false">IFERROR(__xludf.dummyfunction("""COMPUTED_VALUE"""),"")</f>
        <v/>
      </c>
      <c r="Y16" s="1" t="str">
        <f aca="false">IFERROR(__xludf.dummyfunction("""COMPUTED_VALUE"""),"")</f>
        <v/>
      </c>
      <c r="Z16" s="1" t="str">
        <f aca="false">IFERROR(__xludf.dummyfunction("""COMPUTED_VALUE"""),"")</f>
        <v/>
      </c>
      <c r="AA16" s="1" t="str">
        <f aca="false">IFERROR(__xludf.dummyfunction("""COMPUTED_VALUE"""),"")</f>
        <v/>
      </c>
      <c r="AB16" s="1" t="str">
        <f aca="false">IFERROR(__xludf.dummyfunction("""COMPUTED_VALUE"""),"")</f>
        <v/>
      </c>
    </row>
    <row r="17" customFormat="false" ht="15.75" hidden="false" customHeight="false" outlineLevel="0" collapsed="false">
      <c r="A17" s="3" t="n">
        <f aca="false">IFERROR(__xludf.dummyfunction("""COMPUTED_VALUE"""),43627.391907662)</f>
        <v>43627.39191</v>
      </c>
      <c r="B17" s="1" t="str">
        <f aca="false">IFERROR(__xludf.dummyfunction("""COMPUTED_VALUE"""),"Adrien RIDOUARD")</f>
        <v>Adrien RIDOUARD</v>
      </c>
      <c r="C17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7" s="1" t="str">
        <f aca="false">IFERROR(__xludf.dummyfunction("""COMPUTED_VALUE"""),"Pas de liste")</f>
        <v>Pas de liste</v>
      </c>
      <c r="E17" s="1" t="n">
        <f aca="false">IFERROR(__xludf.dummyfunction("""COMPUTED_VALUE"""),3)</f>
        <v>3</v>
      </c>
      <c r="F17" s="1" t="str">
        <f aca="false">IFERROR(__xludf.dummyfunction("""COMPUTED_VALUE"""),"Rock, Metal, Electro posée, Electro hard")</f>
        <v>Rock, Metal, Electro posée, Electro hard</v>
      </c>
      <c r="G17" s="1" t="str">
        <f aca="false">IFERROR(__xludf.dummyfunction("""COMPUTED_VALUE"""),"Cinéma")</f>
        <v>Cinéma</v>
      </c>
      <c r="H17" s="1" t="str">
        <f aca="false">IFERROR(__xludf.dummyfunction("""COMPUTED_VALUE"""),"Une fois de temps en temps")</f>
        <v>Une fois de temps en temps</v>
      </c>
      <c r="I17" s="1" t="str">
        <f aca="false">IFERROR(__xludf.dummyfunction("""COMPUTED_VALUE"""),"Une fois par semaine")</f>
        <v>Une fois par semaine</v>
      </c>
      <c r="J17" s="1" t="str">
        <f aca="false">IFERROR(__xludf.dummyfunction("""COMPUTED_VALUE"""),"Pour le fun")</f>
        <v>Pour le fun</v>
      </c>
      <c r="K17" s="1" t="str">
        <f aca="false">IFERROR(__xludf.dummyfunction("""COMPUTED_VALUE"""),"Autre")</f>
        <v>Autre</v>
      </c>
      <c r="L17" s="1" t="str">
        <f aca="false">IFERROR(__xludf.dummyfunction("""COMPUTED_VALUE"""),"J'aime cuisiner le WE ou quand j'ai le temps")</f>
        <v>J'aime cuisiner le WE ou quand j'ai le temps</v>
      </c>
      <c r="M17" s="1" t="n">
        <f aca="false">IFERROR(__xludf.dummyfunction("""COMPUTED_VALUE"""),4)</f>
        <v>4</v>
      </c>
      <c r="N17" s="1" t="str">
        <f aca="false">IFERROR(__xludf.dummyfunction("""COMPUTED_VALUE"""),"Une fois par semaine")</f>
        <v>Une fois par semaine</v>
      </c>
      <c r="O17" s="1" t="str">
        <f aca="false">IFERROR(__xludf.dummyfunction("""COMPUTED_VALUE"""),"Tu te poses dans un coin, chill !!")</f>
        <v>Tu te poses dans un coin, chill !!</v>
      </c>
      <c r="P17" s="1" t="n">
        <f aca="false">IFERROR(__xludf.dummyfunction("""COMPUTED_VALUE"""),1)</f>
        <v>1</v>
      </c>
      <c r="Q17" s="1" t="str">
        <f aca="false">IFERROR(__xludf.dummyfunction("""COMPUTED_VALUE"""),"Oui")</f>
        <v>Oui</v>
      </c>
      <c r="R17" s="1" t="str">
        <f aca="false">IFERROR(__xludf.dummyfunction("""COMPUTED_VALUE"""),"Non")</f>
        <v>Non</v>
      </c>
      <c r="S17" s="1" t="str">
        <f aca="false">IFERROR(__xludf.dummyfunction("""COMPUTED_VALUE"""),"Waltherock")</f>
        <v>Waltherock</v>
      </c>
      <c r="T17" s="1" t="str">
        <f aca="false">IFERROR(__xludf.dummyfunction("""COMPUTED_VALUE"""),"Liasse de billets (home made) ")</f>
        <v>Liasse de billets (home made) </v>
      </c>
      <c r="U17" s="1" t="str">
        <f aca="false">IFERROR(__xludf.dummyfunction("""COMPUTED_VALUE"""),"")</f>
        <v/>
      </c>
      <c r="V17" s="1" t="str">
        <f aca="false">IFERROR(__xludf.dummyfunction("""COMPUTED_VALUE"""),"")</f>
        <v/>
      </c>
      <c r="W17" s="1" t="str">
        <f aca="false">IFERROR(__xludf.dummyfunction("""COMPUTED_VALUE"""),"")</f>
        <v/>
      </c>
      <c r="X17" s="1" t="str">
        <f aca="false">IFERROR(__xludf.dummyfunction("""COMPUTED_VALUE"""),"")</f>
        <v/>
      </c>
      <c r="Y17" s="1" t="str">
        <f aca="false">IFERROR(__xludf.dummyfunction("""COMPUTED_VALUE"""),"")</f>
        <v/>
      </c>
      <c r="Z17" s="1" t="str">
        <f aca="false">IFERROR(__xludf.dummyfunction("""COMPUTED_VALUE"""),"")</f>
        <v/>
      </c>
      <c r="AA17" s="1" t="str">
        <f aca="false">IFERROR(__xludf.dummyfunction("""COMPUTED_VALUE"""),"")</f>
        <v/>
      </c>
      <c r="AB17" s="1" t="str">
        <f aca="false">IFERROR(__xludf.dummyfunction("""COMPUTED_VALUE"""),"")</f>
        <v/>
      </c>
    </row>
    <row r="18" customFormat="false" ht="15.75" hidden="false" customHeight="false" outlineLevel="0" collapsed="false">
      <c r="A18" s="3" t="n">
        <f aca="false">IFERROR(__xludf.dummyfunction("""COMPUTED_VALUE"""),43627.657637581)</f>
        <v>43627.65764</v>
      </c>
      <c r="B18" s="1" t="str">
        <f aca="false">IFERROR(__xludf.dummyfunction("""COMPUTED_VALUE"""),"Mathilde Querné")</f>
        <v>Mathilde Querné</v>
      </c>
      <c r="C18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8" s="1" t="str">
        <f aca="false">IFERROR(__xludf.dummyfunction("""COMPUTED_VALUE"""),"BDE")</f>
        <v>BDE</v>
      </c>
      <c r="E18" s="1" t="n">
        <f aca="false">IFERROR(__xludf.dummyfunction("""COMPUTED_VALUE"""),4)</f>
        <v>4</v>
      </c>
      <c r="F18" s="1" t="str">
        <f aca="false">IFERROR(__xludf.dummyfunction("""COMPUTED_VALUE"""),"Electro posée, Rap, Pop, Musique fançaise")</f>
        <v>Electro posée, Rap, Pop, Musique fançaise</v>
      </c>
      <c r="G18" s="1" t="str">
        <f aca="false">IFERROR(__xludf.dummyfunction("""COMPUTED_VALUE"""),"Danse, Musique")</f>
        <v>Danse, Musique</v>
      </c>
      <c r="H18" s="1" t="str">
        <f aca="false">IFERROR(__xludf.dummyfunction("""COMPUTED_VALUE"""),"Seulement les soirs de pleine lune")</f>
        <v>Seulement les soirs de pleine lune</v>
      </c>
      <c r="I18" s="1" t="str">
        <f aca="false">IFERROR(__xludf.dummyfunction("""COMPUTED_VALUE"""),"Plusieurs fois par semaine")</f>
        <v>Plusieurs fois par semaine</v>
      </c>
      <c r="J18" s="1" t="str">
        <f aca="false">IFERROR(__xludf.dummyfunction("""COMPUTED_VALUE"""),"Pour le fun")</f>
        <v>Pour le fun</v>
      </c>
      <c r="K18" s="1" t="str">
        <f aca="false">IFERROR(__xludf.dummyfunction("""COMPUTED_VALUE"""),"Sports collectifs, Sports de raquette")</f>
        <v>Sports collectifs, Sports de raquette</v>
      </c>
      <c r="L18" s="1" t="str">
        <f aca="false">IFERROR(__xludf.dummyfunction("""COMPUTED_VALUE"""),"Je fais toujours attention à bien manger")</f>
        <v>Je fais toujours attention à bien manger</v>
      </c>
      <c r="M18" s="1" t="n">
        <f aca="false">IFERROR(__xludf.dummyfunction("""COMPUTED_VALUE"""),10)</f>
        <v>10</v>
      </c>
      <c r="N18" s="1" t="str">
        <f aca="false">IFERROR(__xludf.dummyfunction("""COMPUTED_VALUE"""),"Une fois par jour (voire plus)")</f>
        <v>Une fois par jour (voire plus)</v>
      </c>
      <c r="O18" s="1" t="str">
        <f aca="false">IFERROR(__xludf.dummyfunction("""COMPUTED_VALUE"""),"T'enflammes le dancefloor")</f>
        <v>T'enflammes le dancefloor</v>
      </c>
      <c r="P18" s="1" t="n">
        <f aca="false">IFERROR(__xludf.dummyfunction("""COMPUTED_VALUE"""),1)</f>
        <v>1</v>
      </c>
      <c r="Q18" s="1" t="str">
        <f aca="false">IFERROR(__xludf.dummyfunction("""COMPUTED_VALUE"""),"Oui")</f>
        <v>Oui</v>
      </c>
      <c r="R18" s="1" t="str">
        <f aca="false">IFERROR(__xludf.dummyfunction("""COMPUTED_VALUE"""),"Non")</f>
        <v>Non</v>
      </c>
      <c r="S18" s="1" t="str">
        <f aca="false">IFERROR(__xludf.dummyfunction("""COMPUTED_VALUE"""),"Les domineurs")</f>
        <v>Les domineurs</v>
      </c>
      <c r="T18" s="1" t="str">
        <f aca="false">IFERROR(__xludf.dummyfunction("""COMPUTED_VALUE"""),"Un cactus")</f>
        <v>Un cactus</v>
      </c>
      <c r="U18" s="1" t="str">
        <f aca="false">IFERROR(__xludf.dummyfunction("""COMPUTED_VALUE"""),"")</f>
        <v/>
      </c>
      <c r="V18" s="1" t="str">
        <f aca="false">IFERROR(__xludf.dummyfunction("""COMPUTED_VALUE"""),"")</f>
        <v/>
      </c>
      <c r="W18" s="1" t="str">
        <f aca="false">IFERROR(__xludf.dummyfunction("""COMPUTED_VALUE"""),"")</f>
        <v/>
      </c>
      <c r="X18" s="1" t="str">
        <f aca="false">IFERROR(__xludf.dummyfunction("""COMPUTED_VALUE"""),"")</f>
        <v/>
      </c>
      <c r="Y18" s="1" t="str">
        <f aca="false">IFERROR(__xludf.dummyfunction("""COMPUTED_VALUE"""),"")</f>
        <v/>
      </c>
      <c r="Z18" s="1" t="str">
        <f aca="false">IFERROR(__xludf.dummyfunction("""COMPUTED_VALUE"""),"")</f>
        <v/>
      </c>
      <c r="AA18" s="1" t="str">
        <f aca="false">IFERROR(__xludf.dummyfunction("""COMPUTED_VALUE"""),"")</f>
        <v/>
      </c>
      <c r="AB18" s="1" t="str">
        <f aca="false">IFERROR(__xludf.dummyfunction("""COMPUTED_VALUE"""),"")</f>
        <v/>
      </c>
    </row>
    <row r="19" customFormat="false" ht="15.75" hidden="false" customHeight="false" outlineLevel="0" collapsed="false">
      <c r="A19" s="3" t="n">
        <f aca="false">IFERROR(__xludf.dummyfunction("""COMPUTED_VALUE"""),43628.4562092593)</f>
        <v>43628.45621</v>
      </c>
      <c r="B19" s="2" t="str">
        <f aca="false">IFERROR(__xludf.dummyfunction("""COMPUTED_VALUE"""),"Charlotte Fosse")</f>
        <v>Charlotte Fosse</v>
      </c>
      <c r="C19" s="2" t="str">
        <f aca="false">IFERROR(__xludf.dummyfunction("""COMPUTED_VALUE"""),"Le président et un inconnu")</f>
        <v>Le président et un inconnu</v>
      </c>
      <c r="D19" s="2" t="str">
        <f aca="false">IFERROR(__xludf.dummyfunction("""COMPUTED_VALUE"""),"Pas de liste")</f>
        <v>Pas de liste</v>
      </c>
      <c r="E19" s="2" t="n">
        <f aca="false">IFERROR(__xludf.dummyfunction("""COMPUTED_VALUE"""),2)</f>
        <v>2</v>
      </c>
      <c r="F19" s="2" t="str">
        <f aca="false">IFERROR(__xludf.dummyfunction("""COMPUTED_VALUE"""),"Rock, Electro posée, Pop, Jazz, Musique classique")</f>
        <v>Rock, Electro posée, Pop, Jazz, Musique classique</v>
      </c>
      <c r="G19" s="2" t="str">
        <f aca="false">IFERROR(__xludf.dummyfunction("""COMPUTED_VALUE"""),"Littérature, Musique, Cinéma")</f>
        <v>Littérature, Musique, Cinéma</v>
      </c>
      <c r="H19" s="2" t="str">
        <f aca="false">IFERROR(__xludf.dummyfunction("""COMPUTED_VALUE"""),"Seulement les soirs de pleine lune")</f>
        <v>Seulement les soirs de pleine lune</v>
      </c>
      <c r="I19" s="2" t="str">
        <f aca="false">IFERROR(__xludf.dummyfunction("""COMPUTED_VALUE"""),"Plusieurs fois par semaine")</f>
        <v>Plusieurs fois par semaine</v>
      </c>
      <c r="J19" s="2" t="str">
        <f aca="false">IFERROR(__xludf.dummyfunction("""COMPUTED_VALUE"""),"Pour la compet")</f>
        <v>Pour la compet</v>
      </c>
      <c r="K19" s="2" t="str">
        <f aca="false">IFERROR(__xludf.dummyfunction("""COMPUTED_VALUE"""),"Sports de raquette, Autre")</f>
        <v>Sports de raquette, Autre</v>
      </c>
      <c r="L19" s="2" t="str">
        <f aca="false">IFERROR(__xludf.dummyfunction("""COMPUTED_VALUE"""),"Je fais toujours attention à bien manger")</f>
        <v>Je fais toujours attention à bien manger</v>
      </c>
      <c r="M19" s="2" t="n">
        <f aca="false">IFERROR(__xludf.dummyfunction("""COMPUTED_VALUE"""),7)</f>
        <v>7</v>
      </c>
      <c r="N19" s="2" t="str">
        <f aca="false">IFERROR(__xludf.dummyfunction("""COMPUTED_VALUE"""),"Une fois par semaine")</f>
        <v>Une fois par semaine</v>
      </c>
      <c r="O19" s="2" t="str">
        <f aca="false">IFERROR(__xludf.dummyfunction("""COMPUTED_VALUE"""),"T'enflammes le dancefloor")</f>
        <v>T'enflammes le dancefloor</v>
      </c>
      <c r="P19" s="2" t="n">
        <f aca="false">IFERROR(__xludf.dummyfunction("""COMPUTED_VALUE"""),1)</f>
        <v>1</v>
      </c>
      <c r="Q19" s="2" t="str">
        <f aca="false">IFERROR(__xludf.dummyfunction("""COMPUTED_VALUE"""),"Oui")</f>
        <v>Oui</v>
      </c>
      <c r="R19" s="2" t="str">
        <f aca="false">IFERROR(__xludf.dummyfunction("""COMPUTED_VALUE"""),"Non")</f>
        <v>Non</v>
      </c>
      <c r="S19" s="2" t="str">
        <f aca="false">IFERROR(__xludf.dummyfunction("""COMPUTED_VALUE"""),"Trident X ChaPau")</f>
        <v>Trident X ChaPau</v>
      </c>
      <c r="T19" s="2" t="str">
        <f aca="false">IFERROR(__xludf.dummyfunction("""COMPUTED_VALUE"""),"Choix en cours")</f>
        <v>Choix en cours</v>
      </c>
      <c r="U19" s="1" t="str">
        <f aca="false">IFERROR(__xludf.dummyfunction("""COMPUTED_VALUE"""),"")</f>
        <v/>
      </c>
      <c r="V19" s="1" t="str">
        <f aca="false">IFERROR(__xludf.dummyfunction("""COMPUTED_VALUE"""),"")</f>
        <v/>
      </c>
      <c r="W19" s="1" t="str">
        <f aca="false">IFERROR(__xludf.dummyfunction("""COMPUTED_VALUE"""),"")</f>
        <v/>
      </c>
      <c r="X19" s="1" t="str">
        <f aca="false">IFERROR(__xludf.dummyfunction("""COMPUTED_VALUE"""),"")</f>
        <v/>
      </c>
      <c r="Y19" s="1" t="str">
        <f aca="false">IFERROR(__xludf.dummyfunction("""COMPUTED_VALUE"""),"")</f>
        <v/>
      </c>
      <c r="Z19" s="1" t="str">
        <f aca="false">IFERROR(__xludf.dummyfunction("""COMPUTED_VALUE"""),"")</f>
        <v/>
      </c>
      <c r="AA19" s="1" t="str">
        <f aca="false">IFERROR(__xludf.dummyfunction("""COMPUTED_VALUE"""),"")</f>
        <v/>
      </c>
      <c r="AB19" s="1" t="str">
        <f aca="false">IFERROR(__xludf.dummyfunction("""COMPUTED_VALUE"""),"")</f>
        <v/>
      </c>
    </row>
    <row r="20" customFormat="false" ht="15.75" hidden="false" customHeight="false" outlineLevel="0" collapsed="false">
      <c r="A20" s="3" t="n">
        <f aca="false">IFERROR(__xludf.dummyfunction("""COMPUTED_VALUE"""),43628.6668972106)</f>
        <v>43628.6669</v>
      </c>
      <c r="B20" s="2" t="str">
        <f aca="false">IFERROR(__xludf.dummyfunction("""COMPUTED_VALUE"""),"Julien LACOUR")</f>
        <v>Julien LACOUR</v>
      </c>
      <c r="C20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0" s="2" t="str">
        <f aca="false">IFERROR(__xludf.dummyfunction("""COMPUTED_VALUE"""),"BDE")</f>
        <v>BDE</v>
      </c>
      <c r="E20" s="2" t="n">
        <f aca="false">IFERROR(__xludf.dummyfunction("""COMPUTED_VALUE"""),4)</f>
        <v>4</v>
      </c>
      <c r="F20" s="2" t="str">
        <f aca="false">IFERROR(__xludf.dummyfunction("""COMPUTED_VALUE"""),"Rap, Pop")</f>
        <v>Rap, Pop</v>
      </c>
      <c r="G20" s="2" t="str">
        <f aca="false">IFERROR(__xludf.dummyfunction("""COMPUTED_VALUE"""),"Musique, Cinéma")</f>
        <v>Musique, Cinéma</v>
      </c>
      <c r="H20" s="2" t="str">
        <f aca="false">IFERROR(__xludf.dummyfunction("""COMPUTED_VALUE"""),"Une fois de temps en temps")</f>
        <v>Une fois de temps en temps</v>
      </c>
      <c r="I20" s="2" t="str">
        <f aca="false">IFERROR(__xludf.dummyfunction("""COMPUTED_VALUE"""),"Une fois par semaine")</f>
        <v>Une fois par semaine</v>
      </c>
      <c r="J20" s="2" t="str">
        <f aca="false">IFERROR(__xludf.dummyfunction("""COMPUTED_VALUE"""),"Pour le développement perso et se dépasser")</f>
        <v>Pour le développement perso et se dépasser</v>
      </c>
      <c r="K20" s="2" t="str">
        <f aca="false">IFERROR(__xludf.dummyfunction("""COMPUTED_VALUE"""),"Sports aquatiques")</f>
        <v>Sports aquatiques</v>
      </c>
      <c r="L20" s="2" t="str">
        <f aca="false">IFERROR(__xludf.dummyfunction("""COMPUTED_VALUE"""),"Alterner entre grec et coquillettes ça compte ?")</f>
        <v>Alterner entre grec et coquillettes ça compte ?</v>
      </c>
      <c r="M20" s="2" t="n">
        <f aca="false">IFERROR(__xludf.dummyfunction("""COMPUTED_VALUE"""),8)</f>
        <v>8</v>
      </c>
      <c r="N20" s="2" t="str">
        <f aca="false">IFERROR(__xludf.dummyfunction("""COMPUTED_VALUE"""),"Une fois par semaine")</f>
        <v>Une fois par semaine</v>
      </c>
      <c r="O20" s="2" t="str">
        <f aca="false">IFERROR(__xludf.dummyfunction("""COMPUTED_VALUE"""),"Tu te poses dans un coin, chill !!")</f>
        <v>Tu te poses dans un coin, chill !!</v>
      </c>
      <c r="P20" s="2" t="n">
        <f aca="false">IFERROR(__xludf.dummyfunction("""COMPUTED_VALUE"""),2)</f>
        <v>2</v>
      </c>
      <c r="Q20" s="2" t="str">
        <f aca="false">IFERROR(__xludf.dummyfunction("""COMPUTED_VALUE"""),"Oui")</f>
        <v>Oui</v>
      </c>
      <c r="R20" s="2" t="str">
        <f aca="false">IFERROR(__xludf.dummyfunction("""COMPUTED_VALUE"""),"Non")</f>
        <v>Non</v>
      </c>
      <c r="S20" s="2" t="str">
        <f aca="false">IFERROR(__xludf.dummyfunction("""COMPUTED_VALUE"""),"La comté")</f>
        <v>La comté</v>
      </c>
      <c r="T20" s="2" t="str">
        <f aca="false">IFERROR(__xludf.dummyfunction("""COMPUTED_VALUE"""),"Peluche Snoopy")</f>
        <v>Peluche Snoopy</v>
      </c>
      <c r="U20" s="1" t="str">
        <f aca="false">IFERROR(__xludf.dummyfunction("""COMPUTED_VALUE"""),"")</f>
        <v/>
      </c>
      <c r="V20" s="1" t="str">
        <f aca="false">IFERROR(__xludf.dummyfunction("""COMPUTED_VALUE"""),"")</f>
        <v/>
      </c>
      <c r="W20" s="1" t="str">
        <f aca="false">IFERROR(__xludf.dummyfunction("""COMPUTED_VALUE"""),"")</f>
        <v/>
      </c>
      <c r="X20" s="1" t="str">
        <f aca="false">IFERROR(__xludf.dummyfunction("""COMPUTED_VALUE"""),"")</f>
        <v/>
      </c>
      <c r="Y20" s="1" t="str">
        <f aca="false">IFERROR(__xludf.dummyfunction("""COMPUTED_VALUE"""),"")</f>
        <v/>
      </c>
      <c r="Z20" s="1" t="str">
        <f aca="false">IFERROR(__xludf.dummyfunction("""COMPUTED_VALUE"""),"")</f>
        <v/>
      </c>
      <c r="AA20" s="1" t="str">
        <f aca="false">IFERROR(__xludf.dummyfunction("""COMPUTED_VALUE"""),"")</f>
        <v/>
      </c>
      <c r="AB20" s="1" t="str">
        <f aca="false">IFERROR(__xludf.dummyfunction("""COMPUTED_VALUE"""),"")</f>
        <v/>
      </c>
    </row>
    <row r="21" customFormat="false" ht="15.75" hidden="false" customHeight="false" outlineLevel="0" collapsed="false">
      <c r="A21" s="3" t="n">
        <f aca="false">IFERROR(__xludf.dummyfunction("""COMPUTED_VALUE"""),43628.6790705093)</f>
        <v>43628.67907</v>
      </c>
      <c r="B21" s="2" t="str">
        <f aca="false">IFERROR(__xludf.dummyfunction("""COMPUTED_VALUE"""),"Irène Le Borgne")</f>
        <v>Irène Le Borgne</v>
      </c>
      <c r="C21" s="2" t="str">
        <f aca="false">IFERROR(__xludf.dummyfunction("""COMPUTED_VALUE"""),"Deux inconnus")</f>
        <v>Deux inconnus</v>
      </c>
      <c r="D21" s="2" t="str">
        <f aca="false">IFERROR(__xludf.dummyfunction("""COMPUTED_VALUE"""),"BDE")</f>
        <v>BDE</v>
      </c>
      <c r="E21" s="2" t="n">
        <f aca="false">IFERROR(__xludf.dummyfunction("""COMPUTED_VALUE"""),3)</f>
        <v>3</v>
      </c>
      <c r="F21" s="2" t="str">
        <f aca="false">IFERROR(__xludf.dummyfunction("""COMPUTED_VALUE"""),"Rock, Rap, Pop, Jazz")</f>
        <v>Rock, Rap, Pop, Jazz</v>
      </c>
      <c r="G21" s="2" t="str">
        <f aca="false">IFERROR(__xludf.dummyfunction("""COMPUTED_VALUE"""),"Littérature, Musique, Cinéma")</f>
        <v>Littérature, Musique, Cinéma</v>
      </c>
      <c r="H21" s="2" t="str">
        <f aca="false">IFERROR(__xludf.dummyfunction("""COMPUTED_VALUE"""),"Seulement les soirs de pleine lune")</f>
        <v>Seulement les soirs de pleine lune</v>
      </c>
      <c r="I21" s="2" t="str">
        <f aca="false">IFERROR(__xludf.dummyfunction("""COMPUTED_VALUE"""),"Plusieurs fois par semaine")</f>
        <v>Plusieurs fois par semaine</v>
      </c>
      <c r="J21" s="2" t="str">
        <f aca="false">IFERROR(__xludf.dummyfunction("""COMPUTED_VALUE"""),"Pour le fun")</f>
        <v>Pour le fun</v>
      </c>
      <c r="K21" s="2" t="str">
        <f aca="false">IFERROR(__xludf.dummyfunction("""COMPUTED_VALUE"""),"Sports collectifs")</f>
        <v>Sports collectifs</v>
      </c>
      <c r="L21" s="2" t="str">
        <f aca="false">IFERROR(__xludf.dummyfunction("""COMPUTED_VALUE"""),"J'aime cuisiner le WE ou quand j'ai le temps")</f>
        <v>J'aime cuisiner le WE ou quand j'ai le temps</v>
      </c>
      <c r="M21" s="2" t="n">
        <f aca="false">IFERROR(__xludf.dummyfunction("""COMPUTED_VALUE"""),7)</f>
        <v>7</v>
      </c>
      <c r="N21" s="2" t="str">
        <f aca="false">IFERROR(__xludf.dummyfunction("""COMPUTED_VALUE"""),"Plusieurs fois par semaine")</f>
        <v>Plusieurs fois par semaine</v>
      </c>
      <c r="O21" s="2" t="str">
        <f aca="false">IFERROR(__xludf.dummyfunction("""COMPUTED_VALUE"""),"T'enflammes le dancefloor")</f>
        <v>T'enflammes le dancefloor</v>
      </c>
      <c r="P21" s="2" t="n">
        <f aca="false">IFERROR(__xludf.dummyfunction("""COMPUTED_VALUE"""),3)</f>
        <v>3</v>
      </c>
      <c r="Q21" s="2" t="str">
        <f aca="false">IFERROR(__xludf.dummyfunction("""COMPUTED_VALUE"""),"Oui")</f>
        <v>Oui</v>
      </c>
      <c r="R21" s="2" t="str">
        <f aca="false">IFERROR(__xludf.dummyfunction("""COMPUTED_VALUE"""),"Non")</f>
        <v>Non</v>
      </c>
      <c r="S21" s="2" t="str">
        <f aca="false">IFERROR(__xludf.dummyfunction("""COMPUTED_VALUE"""),"Les domineurs")</f>
        <v>Les domineurs</v>
      </c>
      <c r="T21" s="2" t="str">
        <f aca="false">IFERROR(__xludf.dummyfunction("""COMPUTED_VALUE"""),"Un kway orange")</f>
        <v>Un kway orange</v>
      </c>
      <c r="U21" s="1" t="str">
        <f aca="false">IFERROR(__xludf.dummyfunction("""COMPUTED_VALUE"""),"")</f>
        <v/>
      </c>
      <c r="V21" s="1" t="str">
        <f aca="false">IFERROR(__xludf.dummyfunction("""COMPUTED_VALUE"""),"")</f>
        <v/>
      </c>
      <c r="W21" s="1" t="str">
        <f aca="false">IFERROR(__xludf.dummyfunction("""COMPUTED_VALUE"""),"")</f>
        <v/>
      </c>
      <c r="X21" s="1" t="str">
        <f aca="false">IFERROR(__xludf.dummyfunction("""COMPUTED_VALUE"""),"")</f>
        <v/>
      </c>
      <c r="Y21" s="1" t="str">
        <f aca="false">IFERROR(__xludf.dummyfunction("""COMPUTED_VALUE"""),"")</f>
        <v/>
      </c>
      <c r="Z21" s="1" t="str">
        <f aca="false">IFERROR(__xludf.dummyfunction("""COMPUTED_VALUE"""),"")</f>
        <v/>
      </c>
      <c r="AA21" s="1" t="str">
        <f aca="false">IFERROR(__xludf.dummyfunction("""COMPUTED_VALUE"""),"")</f>
        <v/>
      </c>
      <c r="AB21" s="1" t="str">
        <f aca="false">IFERROR(__xludf.dummyfunction("""COMPUTED_VALUE"""),"")</f>
        <v/>
      </c>
    </row>
    <row r="22" customFormat="false" ht="15.75" hidden="false" customHeight="false" outlineLevel="0" collapsed="false">
      <c r="A22" s="3" t="n">
        <f aca="false">IFERROR(__xludf.dummyfunction("""COMPUTED_VALUE"""),43628.7218956829)</f>
        <v>43628.7219</v>
      </c>
      <c r="B22" s="2" t="str">
        <f aca="false">IFERROR(__xludf.dummyfunction("""COMPUTED_VALUE"""),"Marie VIOLLEAU")</f>
        <v>Marie VIOLLEAU</v>
      </c>
      <c r="C22" s="2" t="str">
        <f aca="false">IFERROR(__xludf.dummyfunction("""COMPUTED_VALUE"""),"Le président et un inconnu")</f>
        <v>Le président et un inconnu</v>
      </c>
      <c r="D22" s="2" t="str">
        <f aca="false">IFERROR(__xludf.dummyfunction("""COMPUTED_VALUE"""),"BDS")</f>
        <v>BDS</v>
      </c>
      <c r="E22" s="2" t="n">
        <f aca="false">IFERROR(__xludf.dummyfunction("""COMPUTED_VALUE"""),3)</f>
        <v>3</v>
      </c>
      <c r="F22" s="2" t="str">
        <f aca="false">IFERROR(__xludf.dummyfunction("""COMPUTED_VALUE"""),"Rap, Pop, Musique fançaise, Jazz, Musique classique, Autre")</f>
        <v>Rap, Pop, Musique fançaise, Jazz, Musique classique, Autre</v>
      </c>
      <c r="G22" s="2" t="str">
        <f aca="false">IFERROR(__xludf.dummyfunction("""COMPUTED_VALUE"""),"Pas du tout")</f>
        <v>Pas du tout</v>
      </c>
      <c r="H22" s="2" t="str">
        <f aca="false">IFERROR(__xludf.dummyfunction("""COMPUTED_VALUE"""),"Seulement les soirs de pleine lune")</f>
        <v>Seulement les soirs de pleine lune</v>
      </c>
      <c r="I22" s="2" t="str">
        <f aca="false">IFERROR(__xludf.dummyfunction("""COMPUTED_VALUE"""),"Plusieurs fois par semaine")</f>
        <v>Plusieurs fois par semaine</v>
      </c>
      <c r="J22" s="2" t="str">
        <f aca="false">IFERROR(__xludf.dummyfunction("""COMPUTED_VALUE"""),"Pour la compet")</f>
        <v>Pour la compet</v>
      </c>
      <c r="K22" s="2" t="str">
        <f aca="false">IFERROR(__xludf.dummyfunction("""COMPUTED_VALUE"""),"Sports collectifs")</f>
        <v>Sports collectifs</v>
      </c>
      <c r="L22" s="2" t="str">
        <f aca="false">IFERROR(__xludf.dummyfunction("""COMPUTED_VALUE"""),"Je fais toujours attention à bien manger")</f>
        <v>Je fais toujours attention à bien manger</v>
      </c>
      <c r="M22" s="2" t="n">
        <f aca="false">IFERROR(__xludf.dummyfunction("""COMPUTED_VALUE"""),2)</f>
        <v>2</v>
      </c>
      <c r="N22" s="2" t="str">
        <f aca="false">IFERROR(__xludf.dummyfunction("""COMPUTED_VALUE"""),"Une fois par mois")</f>
        <v>Une fois par mois</v>
      </c>
      <c r="O22" s="2" t="str">
        <f aca="false">IFERROR(__xludf.dummyfunction("""COMPUTED_VALUE"""),"Tu te poses dans un coin, chill !!")</f>
        <v>Tu te poses dans un coin, chill !!</v>
      </c>
      <c r="P22" s="2" t="n">
        <f aca="false">IFERROR(__xludf.dummyfunction("""COMPUTED_VALUE"""),1)</f>
        <v>1</v>
      </c>
      <c r="Q22" s="2" t="str">
        <f aca="false">IFERROR(__xludf.dummyfunction("""COMPUTED_VALUE"""),"Oui")</f>
        <v>Oui</v>
      </c>
      <c r="R22" s="2" t="str">
        <f aca="false">IFERROR(__xludf.dummyfunction("""COMPUTED_VALUE"""),"Non")</f>
        <v>Non</v>
      </c>
      <c r="S22" s="2" t="str">
        <f aca="false">IFERROR(__xludf.dummyfunction("""COMPUTED_VALUE"""),"gallerie++")</f>
        <v>gallerie++</v>
      </c>
      <c r="T22" s="2" t="str">
        <f aca="false">IFERROR(__xludf.dummyfunction("""COMPUTED_VALUE"""),"Une béquille ")</f>
        <v>Une béquille </v>
      </c>
      <c r="U22" s="1" t="str">
        <f aca="false">IFERROR(__xludf.dummyfunction("""COMPUTED_VALUE"""),"")</f>
        <v/>
      </c>
      <c r="V22" s="1" t="str">
        <f aca="false">IFERROR(__xludf.dummyfunction("""COMPUTED_VALUE"""),"")</f>
        <v/>
      </c>
      <c r="W22" s="1" t="str">
        <f aca="false">IFERROR(__xludf.dummyfunction("""COMPUTED_VALUE"""),"")</f>
        <v/>
      </c>
      <c r="X22" s="1" t="str">
        <f aca="false">IFERROR(__xludf.dummyfunction("""COMPUTED_VALUE"""),"")</f>
        <v/>
      </c>
      <c r="Y22" s="1" t="str">
        <f aca="false">IFERROR(__xludf.dummyfunction("""COMPUTED_VALUE"""),"")</f>
        <v/>
      </c>
      <c r="Z22" s="1" t="str">
        <f aca="false">IFERROR(__xludf.dummyfunction("""COMPUTED_VALUE"""),"")</f>
        <v/>
      </c>
      <c r="AA22" s="1" t="str">
        <f aca="false">IFERROR(__xludf.dummyfunction("""COMPUTED_VALUE"""),"")</f>
        <v/>
      </c>
      <c r="AB22" s="1" t="str">
        <f aca="false">IFERROR(__xludf.dummyfunction("""COMPUTED_VALUE"""),"")</f>
        <v/>
      </c>
    </row>
    <row r="23" customFormat="false" ht="15.75" hidden="false" customHeight="false" outlineLevel="0" collapsed="false">
      <c r="A23" s="3" t="n">
        <f aca="false">IFERROR(__xludf.dummyfunction("""COMPUTED_VALUE"""),43628.796846169)</f>
        <v>43628.79685</v>
      </c>
      <c r="B23" s="2" t="str">
        <f aca="false">IFERROR(__xludf.dummyfunction("""COMPUTED_VALUE"""),"Louis AUGEREAU")</f>
        <v>Louis AUGEREAU</v>
      </c>
      <c r="C23" s="2" t="str">
        <f aca="false">IFERROR(__xludf.dummyfunction("""COMPUTED_VALUE"""),"Deux inconnus")</f>
        <v>Deux inconnus</v>
      </c>
      <c r="D23" s="2" t="str">
        <f aca="false">IFERROR(__xludf.dummyfunction("""COMPUTED_VALUE"""),"BDE, BDS")</f>
        <v>BDE, BDS</v>
      </c>
      <c r="E23" s="2" t="n">
        <f aca="false">IFERROR(__xludf.dummyfunction("""COMPUTED_VALUE"""),3)</f>
        <v>3</v>
      </c>
      <c r="F23" s="2" t="str">
        <f aca="false">IFERROR(__xludf.dummyfunction("""COMPUTED_VALUE"""),"Rock, Electro posée, Musique fançaise, Musique classique")</f>
        <v>Rock, Electro posée, Musique fançaise, Musique classique</v>
      </c>
      <c r="G23" s="2" t="str">
        <f aca="false">IFERROR(__xludf.dummyfunction("""COMPUTED_VALUE"""),"Littérature, Cinéma")</f>
        <v>Littérature, Cinéma</v>
      </c>
      <c r="H23" s="2" t="str">
        <f aca="false">IFERROR(__xludf.dummyfunction("""COMPUTED_VALUE"""),"Une fois de temps en temps")</f>
        <v>Une fois de temps en temps</v>
      </c>
      <c r="I23" s="2" t="str">
        <f aca="false">IFERROR(__xludf.dummyfunction("""COMPUTED_VALUE"""),"Plusieurs fois par semaine")</f>
        <v>Plusieurs fois par semaine</v>
      </c>
      <c r="J23" s="2" t="str">
        <f aca="false">IFERROR(__xludf.dummyfunction("""COMPUTED_VALUE"""),"Pour le développement perso et se dépasser")</f>
        <v>Pour le développement perso et se dépasser</v>
      </c>
      <c r="K23" s="2" t="str">
        <f aca="false">IFERROR(__xludf.dummyfunction("""COMPUTED_VALUE"""),"Sports collectifs, Voile, Sports de combat")</f>
        <v>Sports collectifs, Voile, Sports de combat</v>
      </c>
      <c r="L23" s="2" t="str">
        <f aca="false">IFERROR(__xludf.dummyfunction("""COMPUTED_VALUE"""),"Oh oui, et les trucs bien gras ça me connait !")</f>
        <v>Oh oui, et les trucs bien gras ça me connait !</v>
      </c>
      <c r="M23" s="2" t="n">
        <f aca="false">IFERROR(__xludf.dummyfunction("""COMPUTED_VALUE"""),5)</f>
        <v>5</v>
      </c>
      <c r="N23" s="2" t="str">
        <f aca="false">IFERROR(__xludf.dummyfunction("""COMPUTED_VALUE"""),"Une fois par mois")</f>
        <v>Une fois par mois</v>
      </c>
      <c r="O23" s="2" t="str">
        <f aca="false">IFERROR(__xludf.dummyfunction("""COMPUTED_VALUE"""),"Tu te poses dans un coin, chill !!")</f>
        <v>Tu te poses dans un coin, chill !!</v>
      </c>
      <c r="P23" s="2" t="n">
        <f aca="false">IFERROR(__xludf.dummyfunction("""COMPUTED_VALUE"""),1)</f>
        <v>1</v>
      </c>
      <c r="Q23" s="2" t="str">
        <f aca="false">IFERROR(__xludf.dummyfunction("""COMPUTED_VALUE"""),"Oui")</f>
        <v>Oui</v>
      </c>
      <c r="R23" s="2" t="str">
        <f aca="false">IFERROR(__xludf.dummyfunction("""COMPUTED_VALUE"""),"Non")</f>
        <v>Non</v>
      </c>
      <c r="S23" s="2" t="str">
        <f aca="false">IFERROR(__xludf.dummyfunction("""COMPUTED_VALUE"""),"Trident x ChaPo")</f>
        <v>Trident x ChaPo</v>
      </c>
      <c r="T23" s="2" t="str">
        <f aca="false">IFERROR(__xludf.dummyfunction("""COMPUTED_VALUE"""),"Un truc stylé")</f>
        <v>Un truc stylé</v>
      </c>
      <c r="U23" s="1" t="str">
        <f aca="false">IFERROR(__xludf.dummyfunction("""COMPUTED_VALUE"""),"")</f>
        <v/>
      </c>
      <c r="V23" s="1" t="str">
        <f aca="false">IFERROR(__xludf.dummyfunction("""COMPUTED_VALUE"""),"")</f>
        <v/>
      </c>
      <c r="W23" s="1" t="str">
        <f aca="false">IFERROR(__xludf.dummyfunction("""COMPUTED_VALUE"""),"")</f>
        <v/>
      </c>
      <c r="X23" s="1" t="str">
        <f aca="false">IFERROR(__xludf.dummyfunction("""COMPUTED_VALUE"""),"")</f>
        <v/>
      </c>
      <c r="Y23" s="1" t="str">
        <f aca="false">IFERROR(__xludf.dummyfunction("""COMPUTED_VALUE"""),"")</f>
        <v/>
      </c>
      <c r="Z23" s="1" t="str">
        <f aca="false">IFERROR(__xludf.dummyfunction("""COMPUTED_VALUE"""),"")</f>
        <v/>
      </c>
      <c r="AA23" s="1" t="str">
        <f aca="false">IFERROR(__xludf.dummyfunction("""COMPUTED_VALUE"""),"")</f>
        <v/>
      </c>
      <c r="AB23" s="1" t="str">
        <f aca="false">IFERROR(__xludf.dummyfunction("""COMPUTED_VALUE"""),"")</f>
        <v/>
      </c>
    </row>
    <row r="24" customFormat="false" ht="15.75" hidden="false" customHeight="false" outlineLevel="0" collapsed="false">
      <c r="A24" s="3" t="n">
        <f aca="false">IFERROR(__xludf.dummyfunction("""COMPUTED_VALUE"""),43628.8118695718)</f>
        <v>43628.81187</v>
      </c>
      <c r="B24" s="2" t="str">
        <f aca="false">IFERROR(__xludf.dummyfunction("""COMPUTED_VALUE"""),"Paul SIMON")</f>
        <v>Paul SIMON</v>
      </c>
      <c r="C24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4" s="2" t="str">
        <f aca="false">IFERROR(__xludf.dummyfunction("""COMPUTED_VALUE"""),"BDE")</f>
        <v>BDE</v>
      </c>
      <c r="E24" s="2" t="n">
        <f aca="false">IFERROR(__xludf.dummyfunction("""COMPUTED_VALUE"""),3)</f>
        <v>3</v>
      </c>
      <c r="F24" s="2" t="str">
        <f aca="false">IFERROR(__xludf.dummyfunction("""COMPUTED_VALUE"""),"Rock, Metal, Electro posée, Pop")</f>
        <v>Rock, Metal, Electro posée, Pop</v>
      </c>
      <c r="G24" s="2" t="str">
        <f aca="false">IFERROR(__xludf.dummyfunction("""COMPUTED_VALUE"""),"Peinture, Musique")</f>
        <v>Peinture, Musique</v>
      </c>
      <c r="H24" s="2" t="str">
        <f aca="false">IFERROR(__xludf.dummyfunction("""COMPUTED_VALUE"""),"Quelques fois par semaine")</f>
        <v>Quelques fois par semaine</v>
      </c>
      <c r="I24" s="2" t="str">
        <f aca="false">IFERROR(__xludf.dummyfunction("""COMPUTED_VALUE"""),"Plusieurs fois par semaine")</f>
        <v>Plusieurs fois par semaine</v>
      </c>
      <c r="J24" s="2" t="str">
        <f aca="false">IFERROR(__xludf.dummyfunction("""COMPUTED_VALUE"""),"Pour le fun")</f>
        <v>Pour le fun</v>
      </c>
      <c r="K24" s="2" t="str">
        <f aca="false">IFERROR(__xludf.dummyfunction("""COMPUTED_VALUE"""),"Sports de raquette")</f>
        <v>Sports de raquette</v>
      </c>
      <c r="L24" s="2" t="str">
        <f aca="false">IFERROR(__xludf.dummyfunction("""COMPUTED_VALUE"""),"Je fais toujours attention à bien manger")</f>
        <v>Je fais toujours attention à bien manger</v>
      </c>
      <c r="M24" s="2" t="n">
        <f aca="false">IFERROR(__xludf.dummyfunction("""COMPUTED_VALUE"""),5)</f>
        <v>5</v>
      </c>
      <c r="N24" s="2" t="str">
        <f aca="false">IFERROR(__xludf.dummyfunction("""COMPUTED_VALUE"""),"Une fois par semaine")</f>
        <v>Une fois par semaine</v>
      </c>
      <c r="O24" s="2" t="str">
        <f aca="false">IFERROR(__xludf.dummyfunction("""COMPUTED_VALUE"""),"Tu te poses dans un coin, chill !!")</f>
        <v>Tu te poses dans un coin, chill !!</v>
      </c>
      <c r="P24" s="2" t="n">
        <f aca="false">IFERROR(__xludf.dummyfunction("""COMPUTED_VALUE"""),1)</f>
        <v>1</v>
      </c>
      <c r="Q24" s="2" t="str">
        <f aca="false">IFERROR(__xludf.dummyfunction("""COMPUTED_VALUE"""),"Oui")</f>
        <v>Oui</v>
      </c>
      <c r="R24" s="2" t="str">
        <f aca="false">IFERROR(__xludf.dummyfunction("""COMPUTED_VALUE"""),"Non")</f>
        <v>Non</v>
      </c>
      <c r="S24" s="2" t="str">
        <f aca="false">IFERROR(__xludf.dummyfunction("""COMPUTED_VALUE"""),"Trident x ChaPau")</f>
        <v>Trident x ChaPau</v>
      </c>
      <c r="T24" s="2" t="str">
        <f aca="false">IFERROR(__xludf.dummyfunction("""COMPUTED_VALUE"""),"De l'amour")</f>
        <v>De l'amour</v>
      </c>
      <c r="U24" s="1" t="str">
        <f aca="false">IFERROR(__xludf.dummyfunction("""COMPUTED_VALUE"""),"")</f>
        <v/>
      </c>
      <c r="V24" s="1" t="str">
        <f aca="false">IFERROR(__xludf.dummyfunction("""COMPUTED_VALUE"""),"")</f>
        <v/>
      </c>
      <c r="W24" s="1" t="str">
        <f aca="false">IFERROR(__xludf.dummyfunction("""COMPUTED_VALUE"""),"")</f>
        <v/>
      </c>
      <c r="X24" s="1" t="str">
        <f aca="false">IFERROR(__xludf.dummyfunction("""COMPUTED_VALUE"""),"")</f>
        <v/>
      </c>
      <c r="Y24" s="1" t="str">
        <f aca="false">IFERROR(__xludf.dummyfunction("""COMPUTED_VALUE"""),"")</f>
        <v/>
      </c>
      <c r="Z24" s="1" t="str">
        <f aca="false">IFERROR(__xludf.dummyfunction("""COMPUTED_VALUE"""),"")</f>
        <v/>
      </c>
      <c r="AA24" s="1" t="str">
        <f aca="false">IFERROR(__xludf.dummyfunction("""COMPUTED_VALUE"""),"")</f>
        <v/>
      </c>
      <c r="AB24" s="1" t="str">
        <f aca="false">IFERROR(__xludf.dummyfunction("""COMPUTED_VALUE"""),"")</f>
        <v/>
      </c>
    </row>
    <row r="25" customFormat="false" ht="15.75" hidden="false" customHeight="false" outlineLevel="0" collapsed="false">
      <c r="A25" s="3" t="n">
        <f aca="false">IFERROR(__xludf.dummyfunction("""COMPUTED_VALUE"""),43628.9275331944)</f>
        <v>43628.92753</v>
      </c>
      <c r="B25" s="2" t="str">
        <f aca="false">IFERROR(__xludf.dummyfunction("""COMPUTED_VALUE"""),"Jules SINTES")</f>
        <v>Jules SINTES</v>
      </c>
      <c r="C25" s="2" t="str">
        <f aca="false">IFERROR(__xludf.dummyfunction("""COMPUTED_VALUE"""),"Deux inconnus")</f>
        <v>Deux inconnus</v>
      </c>
      <c r="D25" s="2" t="str">
        <f aca="false">IFERROR(__xludf.dummyfunction("""COMPUTED_VALUE"""),"BDS")</f>
        <v>BDS</v>
      </c>
      <c r="E25" s="2" t="n">
        <f aca="false">IFERROR(__xludf.dummyfunction("""COMPUTED_VALUE"""),5)</f>
        <v>5</v>
      </c>
      <c r="F25" s="2" t="str">
        <f aca="false">IFERROR(__xludf.dummyfunction("""COMPUTED_VALUE"""),"Electro posée, Rap, Musique fançaise")</f>
        <v>Electro posée, Rap, Musique fançaise</v>
      </c>
      <c r="G25" s="2" t="str">
        <f aca="false">IFERROR(__xludf.dummyfunction("""COMPUTED_VALUE"""),"Littérature, Musique")</f>
        <v>Littérature, Musique</v>
      </c>
      <c r="H25" s="2" t="str">
        <f aca="false">IFERROR(__xludf.dummyfunction("""COMPUTED_VALUE"""),"Une fois de temps en temps")</f>
        <v>Une fois de temps en temps</v>
      </c>
      <c r="I25" s="2" t="str">
        <f aca="false">IFERROR(__xludf.dummyfunction("""COMPUTED_VALUE"""),"Plusieurs fois par semaine")</f>
        <v>Plusieurs fois par semaine</v>
      </c>
      <c r="J25" s="2" t="str">
        <f aca="false">IFERROR(__xludf.dummyfunction("""COMPUTED_VALUE"""),"Pour le fun")</f>
        <v>Pour le fun</v>
      </c>
      <c r="K25" s="2" t="str">
        <f aca="false">IFERROR(__xludf.dummyfunction("""COMPUTED_VALUE"""),"Sports collectifs, Equitation")</f>
        <v>Sports collectifs, Equitation</v>
      </c>
      <c r="L25" s="2" t="str">
        <f aca="false">IFERROR(__xludf.dummyfunction("""COMPUTED_VALUE"""),"Je fais toujours attention à bien manger")</f>
        <v>Je fais toujours attention à bien manger</v>
      </c>
      <c r="M25" s="2" t="n">
        <f aca="false">IFERROR(__xludf.dummyfunction("""COMPUTED_VALUE"""),10)</f>
        <v>10</v>
      </c>
      <c r="N25" s="2" t="str">
        <f aca="false">IFERROR(__xludf.dummyfunction("""COMPUTED_VALUE"""),"Plusieurs fois par semaine")</f>
        <v>Plusieurs fois par semaine</v>
      </c>
      <c r="O25" s="2" t="str">
        <f aca="false">IFERROR(__xludf.dummyfunction("""COMPUTED_VALUE"""),"T'enflammes le dancefloor")</f>
        <v>T'enflammes le dancefloor</v>
      </c>
      <c r="P25" s="2" t="n">
        <f aca="false">IFERROR(__xludf.dummyfunction("""COMPUTED_VALUE"""),3)</f>
        <v>3</v>
      </c>
      <c r="Q25" s="2" t="str">
        <f aca="false">IFERROR(__xludf.dummyfunction("""COMPUTED_VALUE"""),"Oui")</f>
        <v>Oui</v>
      </c>
      <c r="R25" s="2" t="str">
        <f aca="false">IFERROR(__xludf.dummyfunction("""COMPUTED_VALUE"""),"Non")</f>
        <v>Non</v>
      </c>
      <c r="S25" s="2" t="str">
        <f aca="false">IFERROR(__xludf.dummyfunction("""COMPUTED_VALUE"""),"Dusex")</f>
        <v>Dusex</v>
      </c>
      <c r="T25" s="2" t="str">
        <f aca="false">IFERROR(__xludf.dummyfunction("""COMPUTED_VALUE"""),"Ski")</f>
        <v>Ski</v>
      </c>
      <c r="U25" s="1" t="str">
        <f aca="false">IFERROR(__xludf.dummyfunction("""COMPUTED_VALUE"""),"")</f>
        <v/>
      </c>
      <c r="V25" s="1" t="str">
        <f aca="false">IFERROR(__xludf.dummyfunction("""COMPUTED_VALUE"""),"")</f>
        <v/>
      </c>
      <c r="W25" s="1" t="str">
        <f aca="false">IFERROR(__xludf.dummyfunction("""COMPUTED_VALUE"""),"")</f>
        <v/>
      </c>
      <c r="X25" s="1" t="str">
        <f aca="false">IFERROR(__xludf.dummyfunction("""COMPUTED_VALUE"""),"")</f>
        <v/>
      </c>
      <c r="Y25" s="1" t="str">
        <f aca="false">IFERROR(__xludf.dummyfunction("""COMPUTED_VALUE"""),"")</f>
        <v/>
      </c>
      <c r="Z25" s="1" t="str">
        <f aca="false">IFERROR(__xludf.dummyfunction("""COMPUTED_VALUE"""),"")</f>
        <v/>
      </c>
      <c r="AA25" s="1" t="str">
        <f aca="false">IFERROR(__xludf.dummyfunction("""COMPUTED_VALUE"""),"")</f>
        <v/>
      </c>
      <c r="AB25" s="1" t="str">
        <f aca="false">IFERROR(__xludf.dummyfunction("""COMPUTED_VALUE"""),"")</f>
        <v/>
      </c>
    </row>
    <row r="26" customFormat="false" ht="15.75" hidden="false" customHeight="false" outlineLevel="0" collapsed="false">
      <c r="A26" s="3" t="n">
        <f aca="false">IFERROR(__xludf.dummyfunction("""COMPUTED_VALUE"""),43628.9234165741)</f>
        <v>43628.92342</v>
      </c>
      <c r="B26" s="2" t="str">
        <f aca="false">IFERROR(__xludf.dummyfunction("""COMPUTED_VALUE"""),"Emeric Claudel")</f>
        <v>Emeric Claudel</v>
      </c>
      <c r="C26" s="2" t="str">
        <f aca="false">IFERROR(__xludf.dummyfunction("""COMPUTED_VALUE"""),"Deux inconnus")</f>
        <v>Deux inconnus</v>
      </c>
      <c r="D26" s="2" t="str">
        <f aca="false">IFERROR(__xludf.dummyfunction("""COMPUTED_VALUE"""),"BDS")</f>
        <v>BDS</v>
      </c>
      <c r="E26" s="2" t="n">
        <f aca="false">IFERROR(__xludf.dummyfunction("""COMPUTED_VALUE"""),3)</f>
        <v>3</v>
      </c>
      <c r="F26" s="2" t="str">
        <f aca="false">IFERROR(__xludf.dummyfunction("""COMPUTED_VALUE"""),"Electro posée, Rap, Pop")</f>
        <v>Electro posée, Rap, Pop</v>
      </c>
      <c r="G26" s="2" t="str">
        <f aca="false">IFERROR(__xludf.dummyfunction("""COMPUTED_VALUE"""),"Littérature, Sculpture, Danse, Graphisme")</f>
        <v>Littérature, Sculpture, Danse, Graphisme</v>
      </c>
      <c r="H26" s="2" t="str">
        <f aca="false">IFERROR(__xludf.dummyfunction("""COMPUTED_VALUE"""),"Quelques fois par semaine")</f>
        <v>Quelques fois par semaine</v>
      </c>
      <c r="I26" s="2" t="str">
        <f aca="false">IFERROR(__xludf.dummyfunction("""COMPUTED_VALUE"""),"Plusieurs fois par semaine")</f>
        <v>Plusieurs fois par semaine</v>
      </c>
      <c r="J26" s="2" t="str">
        <f aca="false">IFERROR(__xludf.dummyfunction("""COMPUTED_VALUE"""),"Pour les autres")</f>
        <v>Pour les autres</v>
      </c>
      <c r="K26" s="2" t="str">
        <f aca="false">IFERROR(__xludf.dummyfunction("""COMPUTED_VALUE"""),"Sports collectifs, Equitation")</f>
        <v>Sports collectifs, Equitation</v>
      </c>
      <c r="L26" s="2" t="str">
        <f aca="false">IFERROR(__xludf.dummyfunction("""COMPUTED_VALUE"""),"Je fais toujours attention à bien manger")</f>
        <v>Je fais toujours attention à bien manger</v>
      </c>
      <c r="M26" s="2" t="n">
        <f aca="false">IFERROR(__xludf.dummyfunction("""COMPUTED_VALUE"""),9)</f>
        <v>9</v>
      </c>
      <c r="N26" s="2" t="str">
        <f aca="false">IFERROR(__xludf.dummyfunction("""COMPUTED_VALUE"""),"Plusieurs fois par semaine")</f>
        <v>Plusieurs fois par semaine</v>
      </c>
      <c r="O26" s="2" t="str">
        <f aca="false">IFERROR(__xludf.dummyfunction("""COMPUTED_VALUE"""),"Objectif grosse défonce")</f>
        <v>Objectif grosse défonce</v>
      </c>
      <c r="P26" s="2" t="n">
        <f aca="false">IFERROR(__xludf.dummyfunction("""COMPUTED_VALUE"""),4)</f>
        <v>4</v>
      </c>
      <c r="Q26" s="2" t="str">
        <f aca="false">IFERROR(__xludf.dummyfunction("""COMPUTED_VALUE"""),"Oui")</f>
        <v>Oui</v>
      </c>
      <c r="R26" s="2" t="str">
        <f aca="false">IFERROR(__xludf.dummyfunction("""COMPUTED_VALUE"""),"Non")</f>
        <v>Non</v>
      </c>
      <c r="S26" s="2" t="str">
        <f aca="false">IFERROR(__xludf.dummyfunction("""COMPUTED_VALUE"""),"Dusex")</f>
        <v>Dusex</v>
      </c>
      <c r="T26" s="2" t="str">
        <f aca="false">IFERROR(__xludf.dummyfunction("""COMPUTED_VALUE"""),"Raffin")</f>
        <v>Raffin</v>
      </c>
      <c r="U26" s="1" t="str">
        <f aca="false">IFERROR(__xludf.dummyfunction("""COMPUTED_VALUE"""),"")</f>
        <v/>
      </c>
      <c r="V26" s="1" t="str">
        <f aca="false">IFERROR(__xludf.dummyfunction("""COMPUTED_VALUE"""),"")</f>
        <v/>
      </c>
      <c r="W26" s="1" t="str">
        <f aca="false">IFERROR(__xludf.dummyfunction("""COMPUTED_VALUE"""),"")</f>
        <v/>
      </c>
      <c r="X26" s="1" t="str">
        <f aca="false">IFERROR(__xludf.dummyfunction("""COMPUTED_VALUE"""),"")</f>
        <v/>
      </c>
      <c r="Y26" s="1" t="str">
        <f aca="false">IFERROR(__xludf.dummyfunction("""COMPUTED_VALUE"""),"")</f>
        <v/>
      </c>
      <c r="Z26" s="1" t="str">
        <f aca="false">IFERROR(__xludf.dummyfunction("""COMPUTED_VALUE"""),"")</f>
        <v/>
      </c>
      <c r="AA26" s="1" t="str">
        <f aca="false">IFERROR(__xludf.dummyfunction("""COMPUTED_VALUE"""),"")</f>
        <v/>
      </c>
      <c r="AB26" s="1" t="str">
        <f aca="false">IFERROR(__xludf.dummyfunction("""COMPUTED_VALUE"""),"")</f>
        <v/>
      </c>
    </row>
    <row r="27" customFormat="false" ht="15.75" hidden="false" customHeight="false" outlineLevel="0" collapsed="false">
      <c r="A27" s="3" t="n">
        <f aca="false">IFERROR(__xludf.dummyfunction("""COMPUTED_VALUE"""),43628.9298270255)</f>
        <v>43628.92983</v>
      </c>
      <c r="B27" s="2" t="str">
        <f aca="false">IFERROR(__xludf.dummyfunction("""COMPUTED_VALUE"""),"Orson JAY")</f>
        <v>Orson JAY</v>
      </c>
      <c r="C27" s="2" t="str">
        <f aca="false">IFERROR(__xludf.dummyfunction("""COMPUTED_VALUE"""),"Deux inconnus")</f>
        <v>Deux inconnus</v>
      </c>
      <c r="D27" s="2" t="str">
        <f aca="false">IFERROR(__xludf.dummyfunction("""COMPUTED_VALUE"""),"BDS")</f>
        <v>BDS</v>
      </c>
      <c r="E27" s="2" t="n">
        <f aca="false">IFERROR(__xludf.dummyfunction("""COMPUTED_VALUE"""),4)</f>
        <v>4</v>
      </c>
      <c r="F27" s="2" t="str">
        <f aca="false">IFERROR(__xludf.dummyfunction("""COMPUTED_VALUE"""),"Electro posée, Pop")</f>
        <v>Electro posée, Pop</v>
      </c>
      <c r="G27" s="2" t="str">
        <f aca="false">IFERROR(__xludf.dummyfunction("""COMPUTED_VALUE"""),"Musique, Cinéma")</f>
        <v>Musique, Cinéma</v>
      </c>
      <c r="H27" s="2" t="str">
        <f aca="false">IFERROR(__xludf.dummyfunction("""COMPUTED_VALUE"""),"Une fois de temps en temps")</f>
        <v>Une fois de temps en temps</v>
      </c>
      <c r="I27" s="2" t="str">
        <f aca="false">IFERROR(__xludf.dummyfunction("""COMPUTED_VALUE"""),"Plusieurs fois par semaine")</f>
        <v>Plusieurs fois par semaine</v>
      </c>
      <c r="J27" s="2" t="str">
        <f aca="false">IFERROR(__xludf.dummyfunction("""COMPUTED_VALUE"""),"Pour le fun")</f>
        <v>Pour le fun</v>
      </c>
      <c r="K27" s="2" t="str">
        <f aca="false">IFERROR(__xludf.dummyfunction("""COMPUTED_VALUE"""),"Sports collectifs, Equitation")</f>
        <v>Sports collectifs, Equitation</v>
      </c>
      <c r="L27" s="2" t="str">
        <f aca="false">IFERROR(__xludf.dummyfunction("""COMPUTED_VALUE"""),"J'aime cuisiner le WE ou quand j'ai le temps")</f>
        <v>J'aime cuisiner le WE ou quand j'ai le temps</v>
      </c>
      <c r="M27" s="2" t="n">
        <f aca="false">IFERROR(__xludf.dummyfunction("""COMPUTED_VALUE"""),8)</f>
        <v>8</v>
      </c>
      <c r="N27" s="2" t="str">
        <f aca="false">IFERROR(__xludf.dummyfunction("""COMPUTED_VALUE"""),"Plusieurs fois par semaine")</f>
        <v>Plusieurs fois par semaine</v>
      </c>
      <c r="O27" s="2" t="str">
        <f aca="false">IFERROR(__xludf.dummyfunction("""COMPUTED_VALUE"""),"T'enflammes le dancefloor")</f>
        <v>T'enflammes le dancefloor</v>
      </c>
      <c r="P27" s="2" t="n">
        <f aca="false">IFERROR(__xludf.dummyfunction("""COMPUTED_VALUE"""),4)</f>
        <v>4</v>
      </c>
      <c r="Q27" s="2" t="str">
        <f aca="false">IFERROR(__xludf.dummyfunction("""COMPUTED_VALUE"""),"Oui")</f>
        <v>Oui</v>
      </c>
      <c r="R27" s="2" t="str">
        <f aca="false">IFERROR(__xludf.dummyfunction("""COMPUTED_VALUE"""),"Non")</f>
        <v>Non</v>
      </c>
      <c r="S27" s="2" t="str">
        <f aca="false">IFERROR(__xludf.dummyfunction("""COMPUTED_VALUE"""),"Dusex")</f>
        <v>Dusex</v>
      </c>
      <c r="T27" s="2" t="str">
        <f aca="false">IFERROR(__xludf.dummyfunction("""COMPUTED_VALUE"""),"Ski bas")</f>
        <v>Ski bas</v>
      </c>
      <c r="U27" s="1" t="str">
        <f aca="false">IFERROR(__xludf.dummyfunction("""COMPUTED_VALUE"""),"")</f>
        <v/>
      </c>
      <c r="V27" s="1" t="str">
        <f aca="false">IFERROR(__xludf.dummyfunction("""COMPUTED_VALUE"""),"")</f>
        <v/>
      </c>
      <c r="W27" s="1" t="str">
        <f aca="false">IFERROR(__xludf.dummyfunction("""COMPUTED_VALUE"""),"")</f>
        <v/>
      </c>
      <c r="X27" s="1" t="str">
        <f aca="false">IFERROR(__xludf.dummyfunction("""COMPUTED_VALUE"""),"")</f>
        <v/>
      </c>
      <c r="Y27" s="1" t="str">
        <f aca="false">IFERROR(__xludf.dummyfunction("""COMPUTED_VALUE"""),"")</f>
        <v/>
      </c>
      <c r="Z27" s="1" t="str">
        <f aca="false">IFERROR(__xludf.dummyfunction("""COMPUTED_VALUE"""),"")</f>
        <v/>
      </c>
      <c r="AA27" s="1" t="str">
        <f aca="false">IFERROR(__xludf.dummyfunction("""COMPUTED_VALUE"""),"")</f>
        <v/>
      </c>
      <c r="AB27" s="1" t="str">
        <f aca="false">IFERROR(__xludf.dummyfunction("""COMPUTED_VALUE"""),"")</f>
        <v/>
      </c>
    </row>
    <row r="28" customFormat="false" ht="15.75" hidden="false" customHeight="false" outlineLevel="0" collapsed="false">
      <c r="A28" s="3" t="n">
        <f aca="false">IFERROR(__xludf.dummyfunction("""COMPUTED_VALUE"""),43629.4381162269)</f>
        <v>43629.43812</v>
      </c>
      <c r="B28" s="2" t="str">
        <f aca="false">IFERROR(__xludf.dummyfunction("""COMPUTED_VALUE"""),"Baptiste Miossec")</f>
        <v>Baptiste Miossec</v>
      </c>
      <c r="C28" s="2" t="str">
        <f aca="false">IFERROR(__xludf.dummyfunction("""COMPUTED_VALUE"""),"Le président et un inconnu")</f>
        <v>Le président et un inconnu</v>
      </c>
      <c r="D28" s="2" t="str">
        <f aca="false">IFERROR(__xludf.dummyfunction("""COMPUTED_VALUE"""),"BDE")</f>
        <v>BDE</v>
      </c>
      <c r="E28" s="2" t="n">
        <f aca="false">IFERROR(__xludf.dummyfunction("""COMPUTED_VALUE"""),5)</f>
        <v>5</v>
      </c>
      <c r="F28" s="2" t="str">
        <f aca="false">IFERROR(__xludf.dummyfunction("""COMPUTED_VALUE"""),"Electro posée, Pop, Musique fançaise, Autre")</f>
        <v>Electro posée, Pop, Musique fançaise, Autre</v>
      </c>
      <c r="G28" s="2" t="str">
        <f aca="false">IFERROR(__xludf.dummyfunction("""COMPUTED_VALUE"""),"Pas du tout")</f>
        <v>Pas du tout</v>
      </c>
      <c r="H28" s="2" t="str">
        <f aca="false">IFERROR(__xludf.dummyfunction("""COMPUTED_VALUE"""),"Seulement les soirs de pleine lune")</f>
        <v>Seulement les soirs de pleine lune</v>
      </c>
      <c r="I28" s="2" t="str">
        <f aca="false">IFERROR(__xludf.dummyfunction("""COMPUTED_VALUE"""),"Plusieurs fois par semaine")</f>
        <v>Plusieurs fois par semaine</v>
      </c>
      <c r="J28" s="2" t="str">
        <f aca="false">IFERROR(__xludf.dummyfunction("""COMPUTED_VALUE"""),"Pour le développement perso et se dépasser")</f>
        <v>Pour le développement perso et se dépasser</v>
      </c>
      <c r="K28" s="2" t="str">
        <f aca="false">IFERROR(__xludf.dummyfunction("""COMPUTED_VALUE"""),"Sports de raquette, Athlétisme, Sports de rames")</f>
        <v>Sports de raquette, Athlétisme, Sports de rames</v>
      </c>
      <c r="L28" s="2" t="str">
        <f aca="false">IFERROR(__xludf.dummyfunction("""COMPUTED_VALUE"""),"J'aime cuisiner le WE ou quand j'ai le temps")</f>
        <v>J'aime cuisiner le WE ou quand j'ai le temps</v>
      </c>
      <c r="M28" s="2" t="n">
        <f aca="false">IFERROR(__xludf.dummyfunction("""COMPUTED_VALUE"""),7)</f>
        <v>7</v>
      </c>
      <c r="N28" s="2" t="str">
        <f aca="false">IFERROR(__xludf.dummyfunction("""COMPUTED_VALUE"""),"Une fois par semaine")</f>
        <v>Une fois par semaine</v>
      </c>
      <c r="O28" s="2" t="str">
        <f aca="false">IFERROR(__xludf.dummyfunction("""COMPUTED_VALUE"""),"T'enflammes le dancefloor")</f>
        <v>T'enflammes le dancefloor</v>
      </c>
      <c r="P28" s="2" t="n">
        <f aca="false">IFERROR(__xludf.dummyfunction("""COMPUTED_VALUE"""),1)</f>
        <v>1</v>
      </c>
      <c r="Q28" s="2" t="str">
        <f aca="false">IFERROR(__xludf.dummyfunction("""COMPUTED_VALUE"""),"Oui")</f>
        <v>Oui</v>
      </c>
      <c r="R28" s="2" t="str">
        <f aca="false">IFERROR(__xludf.dummyfunction("""COMPUTED_VALUE"""),"Non")</f>
        <v>Non</v>
      </c>
      <c r="S28" s="2" t="str">
        <f aca="false">IFERROR(__xludf.dummyfunction("""COMPUTED_VALUE"""),"Summerf’aigle ")</f>
        <v>Summerf’aigle </v>
      </c>
      <c r="T28" s="2" t="str">
        <f aca="false">IFERROR(__xludf.dummyfunction("""COMPUTED_VALUE"""),"Médaille de semi marathon ")</f>
        <v>Médaille de semi marathon </v>
      </c>
      <c r="U28" s="1" t="str">
        <f aca="false">IFERROR(__xludf.dummyfunction("""COMPUTED_VALUE"""),"")</f>
        <v/>
      </c>
      <c r="V28" s="1" t="str">
        <f aca="false">IFERROR(__xludf.dummyfunction("""COMPUTED_VALUE"""),"")</f>
        <v/>
      </c>
      <c r="W28" s="1" t="str">
        <f aca="false">IFERROR(__xludf.dummyfunction("""COMPUTED_VALUE"""),"")</f>
        <v/>
      </c>
      <c r="X28" s="1" t="str">
        <f aca="false">IFERROR(__xludf.dummyfunction("""COMPUTED_VALUE"""),"")</f>
        <v/>
      </c>
      <c r="Y28" s="1" t="str">
        <f aca="false">IFERROR(__xludf.dummyfunction("""COMPUTED_VALUE"""),"")</f>
        <v/>
      </c>
      <c r="Z28" s="1" t="str">
        <f aca="false">IFERROR(__xludf.dummyfunction("""COMPUTED_VALUE"""),"")</f>
        <v/>
      </c>
      <c r="AA28" s="1" t="str">
        <f aca="false">IFERROR(__xludf.dummyfunction("""COMPUTED_VALUE"""),"")</f>
        <v/>
      </c>
      <c r="AB28" s="1" t="str">
        <f aca="false">IFERROR(__xludf.dummyfunction("""COMPUTED_VALUE"""),"")</f>
        <v/>
      </c>
    </row>
    <row r="29" customFormat="false" ht="15.75" hidden="false" customHeight="false" outlineLevel="0" collapsed="false">
      <c r="A29" s="3" t="n">
        <f aca="false">IFERROR(__xludf.dummyfunction("""COMPUTED_VALUE"""),43629.5352911343)</f>
        <v>43629.53529</v>
      </c>
      <c r="B29" s="2" t="str">
        <f aca="false">IFERROR(__xludf.dummyfunction("""COMPUTED_VALUE"""),"Maixent TIGNON")</f>
        <v>Maixent TIGNON</v>
      </c>
      <c r="C29" s="2" t="str">
        <f aca="false">IFERROR(__xludf.dummyfunction("""COMPUTED_VALUE"""),"Le président et un inconnu")</f>
        <v>Le président et un inconnu</v>
      </c>
      <c r="D29" s="2" t="str">
        <f aca="false">IFERROR(__xludf.dummyfunction("""COMPUTED_VALUE"""),"BDS")</f>
        <v>BDS</v>
      </c>
      <c r="E29" s="2" t="n">
        <f aca="false">IFERROR(__xludf.dummyfunction("""COMPUTED_VALUE"""),4)</f>
        <v>4</v>
      </c>
      <c r="F29" s="2" t="str">
        <f aca="false">IFERROR(__xludf.dummyfunction("""COMPUTED_VALUE"""),"Electro posée, Rap, Musique fançaise")</f>
        <v>Electro posée, Rap, Musique fançaise</v>
      </c>
      <c r="G29" s="2" t="str">
        <f aca="false">IFERROR(__xludf.dummyfunction("""COMPUTED_VALUE"""),"Musique, Cinéma, Graphisme")</f>
        <v>Musique, Cinéma, Graphisme</v>
      </c>
      <c r="H29" s="2" t="str">
        <f aca="false">IFERROR(__xludf.dummyfunction("""COMPUTED_VALUE"""),"Une fois de temps en temps")</f>
        <v>Une fois de temps en temps</v>
      </c>
      <c r="I29" s="2" t="str">
        <f aca="false">IFERROR(__xludf.dummyfunction("""COMPUTED_VALUE"""),"Une fois par jour")</f>
        <v>Une fois par jour</v>
      </c>
      <c r="J29" s="2" t="str">
        <f aca="false">IFERROR(__xludf.dummyfunction("""COMPUTED_VALUE"""),"Pour le développement perso et se dépasser")</f>
        <v>Pour le développement perso et se dépasser</v>
      </c>
      <c r="K29" s="2" t="str">
        <f aca="false">IFERROR(__xludf.dummyfunction("""COMPUTED_VALUE"""),"Sports collectifs, Sports de raquette, Sports aquatiques")</f>
        <v>Sports collectifs, Sports de raquette, Sports aquatiques</v>
      </c>
      <c r="L29" s="2" t="str">
        <f aca="false">IFERROR(__xludf.dummyfunction("""COMPUTED_VALUE"""),"J'aime cuisiner le WE ou quand j'ai le temps")</f>
        <v>J'aime cuisiner le WE ou quand j'ai le temps</v>
      </c>
      <c r="M29" s="2" t="n">
        <f aca="false">IFERROR(__xludf.dummyfunction("""COMPUTED_VALUE"""),8)</f>
        <v>8</v>
      </c>
      <c r="N29" s="2" t="str">
        <f aca="false">IFERROR(__xludf.dummyfunction("""COMPUTED_VALUE"""),"Une fois par semaine")</f>
        <v>Une fois par semaine</v>
      </c>
      <c r="O29" s="2" t="str">
        <f aca="false">IFERROR(__xludf.dummyfunction("""COMPUTED_VALUE"""),"Tu te poses dans un coin, chill !!")</f>
        <v>Tu te poses dans un coin, chill !!</v>
      </c>
      <c r="P29" s="2" t="n">
        <f aca="false">IFERROR(__xludf.dummyfunction("""COMPUTED_VALUE"""),1)</f>
        <v>1</v>
      </c>
      <c r="Q29" s="2" t="str">
        <f aca="false">IFERROR(__xludf.dummyfunction("""COMPUTED_VALUE"""),"Oui")</f>
        <v>Oui</v>
      </c>
      <c r="R29" s="2" t="str">
        <f aca="false">IFERROR(__xludf.dummyfunction("""COMPUTED_VALUE"""),"Non")</f>
        <v>Non</v>
      </c>
      <c r="S29" s="2" t="str">
        <f aca="false">IFERROR(__xludf.dummyfunction("""COMPUTED_VALUE"""),"Galerie ++")</f>
        <v>Galerie ++</v>
      </c>
      <c r="T29" s="2" t="str">
        <f aca="false">IFERROR(__xludf.dummyfunction("""COMPUTED_VALUE"""),"Une chaise de bureau en bien bel état")</f>
        <v>Une chaise de bureau en bien bel état</v>
      </c>
      <c r="U29" s="1" t="str">
        <f aca="false">IFERROR(__xludf.dummyfunction("""COMPUTED_VALUE"""),"")</f>
        <v/>
      </c>
      <c r="V29" s="1" t="str">
        <f aca="false">IFERROR(__xludf.dummyfunction("""COMPUTED_VALUE"""),"")</f>
        <v/>
      </c>
      <c r="W29" s="1" t="str">
        <f aca="false">IFERROR(__xludf.dummyfunction("""COMPUTED_VALUE"""),"")</f>
        <v/>
      </c>
      <c r="X29" s="1" t="str">
        <f aca="false">IFERROR(__xludf.dummyfunction("""COMPUTED_VALUE"""),"")</f>
        <v/>
      </c>
      <c r="Y29" s="1" t="str">
        <f aca="false">IFERROR(__xludf.dummyfunction("""COMPUTED_VALUE"""),"")</f>
        <v/>
      </c>
      <c r="Z29" s="1" t="str">
        <f aca="false">IFERROR(__xludf.dummyfunction("""COMPUTED_VALUE"""),"")</f>
        <v/>
      </c>
      <c r="AA29" s="1" t="str">
        <f aca="false">IFERROR(__xludf.dummyfunction("""COMPUTED_VALUE"""),"")</f>
        <v/>
      </c>
      <c r="AB29" s="1" t="str">
        <f aca="false">IFERROR(__xludf.dummyfunction("""COMPUTED_VALUE"""),"")</f>
        <v/>
      </c>
    </row>
    <row r="30" customFormat="false" ht="15.75" hidden="false" customHeight="false" outlineLevel="0" collapsed="false">
      <c r="A30" s="3" t="n">
        <f aca="false">IFERROR(__xludf.dummyfunction("""COMPUTED_VALUE"""),43629.7757969329)</f>
        <v>43629.7758</v>
      </c>
      <c r="B30" s="2" t="str">
        <f aca="false">IFERROR(__xludf.dummyfunction("""COMPUTED_VALUE"""),"Samuel RATOUIT")</f>
        <v>Samuel RATOUIT</v>
      </c>
      <c r="C30" s="2" t="str">
        <f aca="false">IFERROR(__xludf.dummyfunction("""COMPUTED_VALUE"""),"Deux inconnus")</f>
        <v>Deux inconnus</v>
      </c>
      <c r="D30" s="2" t="str">
        <f aca="false">IFERROR(__xludf.dummyfunction("""COMPUTED_VALUE"""),"BDS")</f>
        <v>BDS</v>
      </c>
      <c r="E30" s="2" t="n">
        <f aca="false">IFERROR(__xludf.dummyfunction("""COMPUTED_VALUE"""),4)</f>
        <v>4</v>
      </c>
      <c r="F30" s="2" t="str">
        <f aca="false">IFERROR(__xludf.dummyfunction("""COMPUTED_VALUE"""),"Electro posée, Rap, Pop, Musique fançaise, Jazz")</f>
        <v>Electro posée, Rap, Pop, Musique fançaise, Jazz</v>
      </c>
      <c r="G30" s="2" t="str">
        <f aca="false">IFERROR(__xludf.dummyfunction("""COMPUTED_VALUE"""),"Pas du tout")</f>
        <v>Pas du tout</v>
      </c>
      <c r="H30" s="2" t="str">
        <f aca="false">IFERROR(__xludf.dummyfunction("""COMPUTED_VALUE"""),"Seulement les soirs de pleine lune")</f>
        <v>Seulement les soirs de pleine lune</v>
      </c>
      <c r="I30" s="2" t="str">
        <f aca="false">IFERROR(__xludf.dummyfunction("""COMPUTED_VALUE"""),"Une fois par jour")</f>
        <v>Une fois par jour</v>
      </c>
      <c r="J30" s="2" t="str">
        <f aca="false">IFERROR(__xludf.dummyfunction("""COMPUTED_VALUE"""),"Pour la compet")</f>
        <v>Pour la compet</v>
      </c>
      <c r="K30" s="2" t="str">
        <f aca="false">IFERROR(__xludf.dummyfunction("""COMPUTED_VALUE"""),"Sports collectifs")</f>
        <v>Sports collectifs</v>
      </c>
      <c r="L30" s="2" t="str">
        <f aca="false">IFERROR(__xludf.dummyfunction("""COMPUTED_VALUE"""),"J'aime cuisiner le WE ou quand j'ai le temps")</f>
        <v>J'aime cuisiner le WE ou quand j'ai le temps</v>
      </c>
      <c r="M30" s="2" t="n">
        <f aca="false">IFERROR(__xludf.dummyfunction("""COMPUTED_VALUE"""),8)</f>
        <v>8</v>
      </c>
      <c r="N30" s="2" t="str">
        <f aca="false">IFERROR(__xludf.dummyfunction("""COMPUTED_VALUE"""),"Plusieurs fois par semaine")</f>
        <v>Plusieurs fois par semaine</v>
      </c>
      <c r="O30" s="2" t="str">
        <f aca="false">IFERROR(__xludf.dummyfunction("""COMPUTED_VALUE"""),"T'enflammes le dancefloor")</f>
        <v>T'enflammes le dancefloor</v>
      </c>
      <c r="P30" s="2" t="n">
        <f aca="false">IFERROR(__xludf.dummyfunction("""COMPUTED_VALUE"""),1)</f>
        <v>1</v>
      </c>
      <c r="Q30" s="2" t="str">
        <f aca="false">IFERROR(__xludf.dummyfunction("""COMPUTED_VALUE"""),"Oui")</f>
        <v>Oui</v>
      </c>
      <c r="R30" s="2" t="str">
        <f aca="false">IFERROR(__xludf.dummyfunction("""COMPUTED_VALUE"""),"Non")</f>
        <v>Non</v>
      </c>
      <c r="S30" s="2" t="str">
        <f aca="false">IFERROR(__xludf.dummyfunction("""COMPUTED_VALUE"""),"La Roulotte")</f>
        <v>La Roulotte</v>
      </c>
      <c r="T30" s="2" t="str">
        <f aca="false">IFERROR(__xludf.dummyfunction("""COMPUTED_VALUE"""),"Un Chapelet ")</f>
        <v>Un Chapelet </v>
      </c>
      <c r="U30" s="1" t="str">
        <f aca="false">IFERROR(__xludf.dummyfunction("""COMPUTED_VALUE"""),"")</f>
        <v/>
      </c>
      <c r="V30" s="1" t="str">
        <f aca="false">IFERROR(__xludf.dummyfunction("""COMPUTED_VALUE"""),"")</f>
        <v/>
      </c>
      <c r="W30" s="1" t="str">
        <f aca="false">IFERROR(__xludf.dummyfunction("""COMPUTED_VALUE"""),"")</f>
        <v/>
      </c>
      <c r="X30" s="1" t="str">
        <f aca="false">IFERROR(__xludf.dummyfunction("""COMPUTED_VALUE"""),"")</f>
        <v/>
      </c>
      <c r="Y30" s="1" t="str">
        <f aca="false">IFERROR(__xludf.dummyfunction("""COMPUTED_VALUE"""),"")</f>
        <v/>
      </c>
      <c r="Z30" s="1" t="str">
        <f aca="false">IFERROR(__xludf.dummyfunction("""COMPUTED_VALUE"""),"")</f>
        <v/>
      </c>
      <c r="AA30" s="1" t="str">
        <f aca="false">IFERROR(__xludf.dummyfunction("""COMPUTED_VALUE"""),"")</f>
        <v/>
      </c>
      <c r="AB30" s="1" t="str">
        <f aca="false">IFERROR(__xludf.dummyfunction("""COMPUTED_VALUE"""),"")</f>
        <v/>
      </c>
    </row>
    <row r="31" customFormat="false" ht="15.75" hidden="false" customHeight="false" outlineLevel="0" collapsed="false">
      <c r="A31" s="3" t="n">
        <f aca="false">IFERROR(__xludf.dummyfunction("""COMPUTED_VALUE"""),43630.8547166088)</f>
        <v>43630.85472</v>
      </c>
      <c r="B31" s="2" t="str">
        <f aca="false">IFERROR(__xludf.dummyfunction("""COMPUTED_VALUE"""),"Nathan Gérard")</f>
        <v>Nathan Gérard</v>
      </c>
      <c r="C31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31" s="2" t="str">
        <f aca="false">IFERROR(__xludf.dummyfunction("""COMPUTED_VALUE"""),"BDS")</f>
        <v>BDS</v>
      </c>
      <c r="E31" s="2" t="n">
        <f aca="false">IFERROR(__xludf.dummyfunction("""COMPUTED_VALUE"""),5)</f>
        <v>5</v>
      </c>
      <c r="F31" s="2" t="str">
        <f aca="false">IFERROR(__xludf.dummyfunction("""COMPUTED_VALUE"""),"Electro posée, Electro hard, Rap, Musique fançaise")</f>
        <v>Electro posée, Electro hard, Rap, Musique fançaise</v>
      </c>
      <c r="G31" s="2" t="str">
        <f aca="false">IFERROR(__xludf.dummyfunction("""COMPUTED_VALUE"""),"Musique, Cinéma")</f>
        <v>Musique, Cinéma</v>
      </c>
      <c r="H31" s="2" t="str">
        <f aca="false">IFERROR(__xludf.dummyfunction("""COMPUTED_VALUE"""),"Une fois de temps en temps")</f>
        <v>Une fois de temps en temps</v>
      </c>
      <c r="I31" s="2" t="str">
        <f aca="false">IFERROR(__xludf.dummyfunction("""COMPUTED_VALUE"""),"Plusieurs fois par semaine")</f>
        <v>Plusieurs fois par semaine</v>
      </c>
      <c r="J31" s="2" t="str">
        <f aca="false">IFERROR(__xludf.dummyfunction("""COMPUTED_VALUE"""),"Pour la compet")</f>
        <v>Pour la compet</v>
      </c>
      <c r="K31" s="2" t="str">
        <f aca="false">IFERROR(__xludf.dummyfunction("""COMPUTED_VALUE"""),"Sports de rames")</f>
        <v>Sports de rames</v>
      </c>
      <c r="L31" s="2" t="str">
        <f aca="false">IFERROR(__xludf.dummyfunction("""COMPUTED_VALUE"""),"Alterner entre grec et coquillettes ça compte ?")</f>
        <v>Alterner entre grec et coquillettes ça compte ?</v>
      </c>
      <c r="M31" s="2" t="n">
        <f aca="false">IFERROR(__xludf.dummyfunction("""COMPUTED_VALUE"""),10)</f>
        <v>10</v>
      </c>
      <c r="N31" s="2" t="str">
        <f aca="false">IFERROR(__xludf.dummyfunction("""COMPUTED_VALUE"""),"Plusieurs fois par semaine")</f>
        <v>Plusieurs fois par semaine</v>
      </c>
      <c r="O31" s="2" t="str">
        <f aca="false">IFERROR(__xludf.dummyfunction("""COMPUTED_VALUE"""),"Objectif grosse défonce")</f>
        <v>Objectif grosse défonce</v>
      </c>
      <c r="P31" s="2" t="n">
        <f aca="false">IFERROR(__xludf.dummyfunction("""COMPUTED_VALUE"""),3)</f>
        <v>3</v>
      </c>
      <c r="Q31" s="2" t="str">
        <f aca="false">IFERROR(__xludf.dummyfunction("""COMPUTED_VALUE"""),"Oui")</f>
        <v>Oui</v>
      </c>
      <c r="R31" s="2" t="str">
        <f aca="false">IFERROR(__xludf.dummyfunction("""COMPUTED_VALUE"""),"Non")</f>
        <v>Non</v>
      </c>
      <c r="S31" s="2" t="str">
        <f aca="false">IFERROR(__xludf.dummyfunction("""COMPUTED_VALUE"""),"Les domineurs")</f>
        <v>Les domineurs</v>
      </c>
      <c r="T31" s="2" t="str">
        <f aca="false">IFERROR(__xludf.dummyfunction("""COMPUTED_VALUE"""),"Un calendrier Clara Morgane")</f>
        <v>Un calendrier Clara Morgane</v>
      </c>
      <c r="U31" s="1" t="str">
        <f aca="false">IFERROR(__xludf.dummyfunction("""COMPUTED_VALUE"""),"")</f>
        <v/>
      </c>
      <c r="V31" s="1" t="str">
        <f aca="false">IFERROR(__xludf.dummyfunction("""COMPUTED_VALUE"""),"")</f>
        <v/>
      </c>
      <c r="W31" s="1" t="str">
        <f aca="false">IFERROR(__xludf.dummyfunction("""COMPUTED_VALUE"""),"")</f>
        <v/>
      </c>
      <c r="X31" s="1" t="str">
        <f aca="false">IFERROR(__xludf.dummyfunction("""COMPUTED_VALUE"""),"")</f>
        <v/>
      </c>
      <c r="Y31" s="1" t="str">
        <f aca="false">IFERROR(__xludf.dummyfunction("""COMPUTED_VALUE"""),"")</f>
        <v/>
      </c>
      <c r="Z31" s="1" t="str">
        <f aca="false">IFERROR(__xludf.dummyfunction("""COMPUTED_VALUE"""),"")</f>
        <v/>
      </c>
      <c r="AA31" s="1" t="str">
        <f aca="false">IFERROR(__xludf.dummyfunction("""COMPUTED_VALUE"""),"")</f>
        <v/>
      </c>
      <c r="AB31" s="1" t="str">
        <f aca="false">IFERROR(__xludf.dummyfunction("""COMPUTED_VALUE"""),"")</f>
        <v/>
      </c>
    </row>
    <row r="32" customFormat="false" ht="15.75" hidden="false" customHeight="false" outlineLevel="0" collapsed="false">
      <c r="A32" s="3" t="n">
        <f aca="false">IFERROR(__xludf.dummyfunction("""COMPUTED_VALUE"""),43631.3288370255)</f>
        <v>43631.32884</v>
      </c>
      <c r="B32" s="2" t="str">
        <f aca="false">IFERROR(__xludf.dummyfunction("""COMPUTED_VALUE"""),"Flora SOUSSAND")</f>
        <v>Flora SOUSSAND</v>
      </c>
      <c r="C32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32" s="2" t="str">
        <f aca="false">IFERROR(__xludf.dummyfunction("""COMPUTED_VALUE"""),"BDA")</f>
        <v>BDA</v>
      </c>
      <c r="E32" s="2" t="n">
        <f aca="false">IFERROR(__xludf.dummyfunction("""COMPUTED_VALUE"""),5)</f>
        <v>5</v>
      </c>
      <c r="F32" s="2" t="str">
        <f aca="false">IFERROR(__xludf.dummyfunction("""COMPUTED_VALUE"""),"Rock, Pop, Musique fançaise, Musique classique, Autre")</f>
        <v>Rock, Pop, Musique fançaise, Musique classique, Autre</v>
      </c>
      <c r="G32" s="2" t="str">
        <f aca="false">IFERROR(__xludf.dummyfunction("""COMPUTED_VALUE"""),"Peinture, Littérature, Sculpture, Danse, Théâtre, Cinéma")</f>
        <v>Peinture, Littérature, Sculpture, Danse, Théâtre, Cinéma</v>
      </c>
      <c r="H32" s="2" t="str">
        <f aca="false">IFERROR(__xludf.dummyfunction("""COMPUTED_VALUE"""),"Seulement les soirs de pleine lune")</f>
        <v>Seulement les soirs de pleine lune</v>
      </c>
      <c r="I32" s="2" t="str">
        <f aca="false">IFERROR(__xludf.dummyfunction("""COMPUTED_VALUE"""),"Le dimanche à 15h32 s'il fait beau")</f>
        <v>Le dimanche à 15h32 s'il fait beau</v>
      </c>
      <c r="J32" s="2" t="str">
        <f aca="false">IFERROR(__xludf.dummyfunction("""COMPUTED_VALUE"""),"Pour les autres")</f>
        <v>Pour les autres</v>
      </c>
      <c r="K32" s="2" t="str">
        <f aca="false">IFERROR(__xludf.dummyfunction("""COMPUTED_VALUE"""),"Pas de sport")</f>
        <v>Pas de sport</v>
      </c>
      <c r="L32" s="2" t="str">
        <f aca="false">IFERROR(__xludf.dummyfunction("""COMPUTED_VALUE"""),"Oh oui, et les trucs bien gras ça me connait !")</f>
        <v>Oh oui, et les trucs bien gras ça me connait !</v>
      </c>
      <c r="M32" s="2" t="n">
        <f aca="false">IFERROR(__xludf.dummyfunction("""COMPUTED_VALUE"""),2)</f>
        <v>2</v>
      </c>
      <c r="N32" s="2" t="str">
        <f aca="false">IFERROR(__xludf.dummyfunction("""COMPUTED_VALUE"""),"Plusieurs fois par semaine")</f>
        <v>Plusieurs fois par semaine</v>
      </c>
      <c r="O32" s="2" t="str">
        <f aca="false">IFERROR(__xludf.dummyfunction("""COMPUTED_VALUE"""),"Tu te poses dans un coin, chill !!")</f>
        <v>Tu te poses dans un coin, chill !!</v>
      </c>
      <c r="P32" s="2" t="n">
        <f aca="false">IFERROR(__xludf.dummyfunction("""COMPUTED_VALUE"""),1)</f>
        <v>1</v>
      </c>
      <c r="Q32" s="2" t="str">
        <f aca="false">IFERROR(__xludf.dummyfunction("""COMPUTED_VALUE"""),"Oui")</f>
        <v>Oui</v>
      </c>
      <c r="R32" s="2" t="str">
        <f aca="false">IFERROR(__xludf.dummyfunction("""COMPUTED_VALUE"""),"Non")</f>
        <v>Non</v>
      </c>
      <c r="S32" s="2" t="str">
        <f aca="false">IFERROR(__xludf.dummyfunction("""COMPUTED_VALUE"""),"Auberge-Monastère")</f>
        <v>Auberge-Monastère</v>
      </c>
      <c r="T32" s="2" t="str">
        <f aca="false">IFERROR(__xludf.dummyfunction("""COMPUTED_VALUE"""),"ECNiouzes sur l'enfance")</f>
        <v>ECNiouzes sur l'enfance</v>
      </c>
      <c r="U32" s="1" t="str">
        <f aca="false">IFERROR(__xludf.dummyfunction("""COMPUTED_VALUE"""),"")</f>
        <v/>
      </c>
      <c r="V32" s="1" t="str">
        <f aca="false">IFERROR(__xludf.dummyfunction("""COMPUTED_VALUE"""),"")</f>
        <v/>
      </c>
      <c r="W32" s="1" t="str">
        <f aca="false">IFERROR(__xludf.dummyfunction("""COMPUTED_VALUE"""),"")</f>
        <v/>
      </c>
      <c r="X32" s="1" t="str">
        <f aca="false">IFERROR(__xludf.dummyfunction("""COMPUTED_VALUE"""),"")</f>
        <v/>
      </c>
      <c r="Y32" s="1" t="str">
        <f aca="false">IFERROR(__xludf.dummyfunction("""COMPUTED_VALUE"""),"")</f>
        <v/>
      </c>
      <c r="Z32" s="1" t="str">
        <f aca="false">IFERROR(__xludf.dummyfunction("""COMPUTED_VALUE"""),"")</f>
        <v/>
      </c>
      <c r="AA32" s="1" t="str">
        <f aca="false">IFERROR(__xludf.dummyfunction("""COMPUTED_VALUE"""),"")</f>
        <v/>
      </c>
      <c r="AB32" s="1" t="str">
        <f aca="false">IFERROR(__xludf.dummyfunction("""COMPUTED_VALUE"""),"")</f>
        <v/>
      </c>
    </row>
    <row r="33" customFormat="false" ht="15.75" hidden="false" customHeight="false" outlineLevel="0" collapsed="false">
      <c r="A33" s="3" t="n">
        <f aca="false">IFERROR(__xludf.dummyfunction("""COMPUTED_VALUE"""),43631.783523912)</f>
        <v>43631.78352</v>
      </c>
      <c r="B33" s="2" t="str">
        <f aca="false">IFERROR(__xludf.dummyfunction("""COMPUTED_VALUE"""),"Thibaut BERTHOMÉ")</f>
        <v>Thibaut BERTHOMÉ</v>
      </c>
      <c r="C33" s="2" t="str">
        <f aca="false">IFERROR(__xludf.dummyfunction("""COMPUTED_VALUE"""),"Deux inconnus")</f>
        <v>Deux inconnus</v>
      </c>
      <c r="D33" s="2" t="str">
        <f aca="false">IFERROR(__xludf.dummyfunction("""COMPUTED_VALUE"""),"BDE")</f>
        <v>BDE</v>
      </c>
      <c r="E33" s="2" t="n">
        <f aca="false">IFERROR(__xludf.dummyfunction("""COMPUTED_VALUE"""),5)</f>
        <v>5</v>
      </c>
      <c r="F33" s="2" t="str">
        <f aca="false">IFERROR(__xludf.dummyfunction("""COMPUTED_VALUE"""),"Electro posée, Pop, Musique fançaise")</f>
        <v>Electro posée, Pop, Musique fançaise</v>
      </c>
      <c r="G33" s="2" t="str">
        <f aca="false">IFERROR(__xludf.dummyfunction("""COMPUTED_VALUE"""),"Littérature, Danse, Musique, Théâtre")</f>
        <v>Littérature, Danse, Musique, Théâtre</v>
      </c>
      <c r="H33" s="2" t="str">
        <f aca="false">IFERROR(__xludf.dummyfunction("""COMPUTED_VALUE"""),"Seulement les soirs de pleine lune")</f>
        <v>Seulement les soirs de pleine lune</v>
      </c>
      <c r="I33" s="2" t="str">
        <f aca="false">IFERROR(__xludf.dummyfunction("""COMPUTED_VALUE"""),"Une fois par semaine")</f>
        <v>Une fois par semaine</v>
      </c>
      <c r="J33" s="2" t="str">
        <f aca="false">IFERROR(__xludf.dummyfunction("""COMPUTED_VALUE"""),"Pour le fun")</f>
        <v>Pour le fun</v>
      </c>
      <c r="K33" s="2" t="str">
        <f aca="false">IFERROR(__xludf.dummyfunction("""COMPUTED_VALUE"""),"Sports de rames")</f>
        <v>Sports de rames</v>
      </c>
      <c r="L33" s="2" t="str">
        <f aca="false">IFERROR(__xludf.dummyfunction("""COMPUTED_VALUE"""),"J'aime cuisiner le WE ou quand j'ai le temps")</f>
        <v>J'aime cuisiner le WE ou quand j'ai le temps</v>
      </c>
      <c r="M33" s="2" t="n">
        <f aca="false">IFERROR(__xludf.dummyfunction("""COMPUTED_VALUE"""),7)</f>
        <v>7</v>
      </c>
      <c r="N33" s="2" t="str">
        <f aca="false">IFERROR(__xludf.dummyfunction("""COMPUTED_VALUE"""),"Plusieurs fois par semaine")</f>
        <v>Plusieurs fois par semaine</v>
      </c>
      <c r="O33" s="2" t="str">
        <f aca="false">IFERROR(__xludf.dummyfunction("""COMPUTED_VALUE"""),"T'enflammes le dancefloor")</f>
        <v>T'enflammes le dancefloor</v>
      </c>
      <c r="P33" s="2" t="n">
        <f aca="false">IFERROR(__xludf.dummyfunction("""COMPUTED_VALUE"""),1)</f>
        <v>1</v>
      </c>
      <c r="Q33" s="2" t="str">
        <f aca="false">IFERROR(__xludf.dummyfunction("""COMPUTED_VALUE"""),"Oui")</f>
        <v>Oui</v>
      </c>
      <c r="R33" s="2" t="str">
        <f aca="false">IFERROR(__xludf.dummyfunction("""COMPUTED_VALUE"""),"Non")</f>
        <v>Non</v>
      </c>
      <c r="S33" s="2" t="str">
        <f aca="false">IFERROR(__xludf.dummyfunction("""COMPUTED_VALUE"""),"Summerf'aigle")</f>
        <v>Summerf'aigle</v>
      </c>
      <c r="T33" s="2" t="str">
        <f aca="false">IFERROR(__xludf.dummyfunction("""COMPUTED_VALUE"""),"Une maquette d'archi lol")</f>
        <v>Une maquette d'archi lol</v>
      </c>
      <c r="U33" s="1" t="str">
        <f aca="false">IFERROR(__xludf.dummyfunction("""COMPUTED_VALUE"""),"")</f>
        <v/>
      </c>
      <c r="V33" s="1" t="str">
        <f aca="false">IFERROR(__xludf.dummyfunction("""COMPUTED_VALUE"""),"")</f>
        <v/>
      </c>
      <c r="W33" s="1" t="str">
        <f aca="false">IFERROR(__xludf.dummyfunction("""COMPUTED_VALUE"""),"")</f>
        <v/>
      </c>
      <c r="X33" s="1" t="str">
        <f aca="false">IFERROR(__xludf.dummyfunction("""COMPUTED_VALUE"""),"")</f>
        <v/>
      </c>
      <c r="Y33" s="1" t="str">
        <f aca="false">IFERROR(__xludf.dummyfunction("""COMPUTED_VALUE"""),"")</f>
        <v/>
      </c>
      <c r="Z33" s="1" t="str">
        <f aca="false">IFERROR(__xludf.dummyfunction("""COMPUTED_VALUE"""),"")</f>
        <v/>
      </c>
      <c r="AA33" s="1" t="str">
        <f aca="false">IFERROR(__xludf.dummyfunction("""COMPUTED_VALUE"""),"")</f>
        <v/>
      </c>
      <c r="AB33" s="1" t="str">
        <f aca="false">IFERROR(__xludf.dummyfunction("""COMPUTED_VALUE"""),"")</f>
        <v/>
      </c>
    </row>
    <row r="34" customFormat="false" ht="15.75" hidden="false" customHeight="false" outlineLevel="0" collapsed="false">
      <c r="A34" s="3" t="n">
        <f aca="false">IFERROR(__xludf.dummyfunction("""COMPUTED_VALUE"""),43632.3959545949)</f>
        <v>43632.39595</v>
      </c>
      <c r="B34" s="2" t="str">
        <f aca="false">IFERROR(__xludf.dummyfunction("""COMPUTED_VALUE"""),"Sol VILLEGAS")</f>
        <v>Sol VILLEGAS</v>
      </c>
      <c r="C34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34" s="2" t="str">
        <f aca="false">IFERROR(__xludf.dummyfunction("""COMPUTED_VALUE"""),"BDE, BDS")</f>
        <v>BDE, BDS</v>
      </c>
      <c r="E34" s="2" t="n">
        <f aca="false">IFERROR(__xludf.dummyfunction("""COMPUTED_VALUE"""),1)</f>
        <v>1</v>
      </c>
      <c r="F34" s="2" t="str">
        <f aca="false">IFERROR(__xludf.dummyfunction("""COMPUTED_VALUE"""),"Rock, Pop")</f>
        <v>Rock, Pop</v>
      </c>
      <c r="G34" s="2" t="str">
        <f aca="false">IFERROR(__xludf.dummyfunction("""COMPUTED_VALUE"""),"Pas du tout")</f>
        <v>Pas du tout</v>
      </c>
      <c r="H34" s="2" t="str">
        <f aca="false">IFERROR(__xludf.dummyfunction("""COMPUTED_VALUE"""),"Seulement les soirs de pleine lune")</f>
        <v>Seulement les soirs de pleine lune</v>
      </c>
      <c r="I34" s="2" t="str">
        <f aca="false">IFERROR(__xludf.dummyfunction("""COMPUTED_VALUE"""),"Plusieurs fois par semaine")</f>
        <v>Plusieurs fois par semaine</v>
      </c>
      <c r="J34" s="2" t="str">
        <f aca="false">IFERROR(__xludf.dummyfunction("""COMPUTED_VALUE"""),"Pour le développement perso et se dépasser")</f>
        <v>Pour le développement perso et se dépasser</v>
      </c>
      <c r="K34" s="2" t="str">
        <f aca="false">IFERROR(__xludf.dummyfunction("""COMPUTED_VALUE"""),"Autre")</f>
        <v>Autre</v>
      </c>
      <c r="L34" s="2" t="str">
        <f aca="false">IFERROR(__xludf.dummyfunction("""COMPUTED_VALUE"""),"J'aime cuisiner le WE ou quand j'ai le temps")</f>
        <v>J'aime cuisiner le WE ou quand j'ai le temps</v>
      </c>
      <c r="M34" s="2" t="n">
        <f aca="false">IFERROR(__xludf.dummyfunction("""COMPUTED_VALUE"""),8)</f>
        <v>8</v>
      </c>
      <c r="N34" s="2" t="str">
        <f aca="false">IFERROR(__xludf.dummyfunction("""COMPUTED_VALUE"""),"Plusieurs fois par semaine")</f>
        <v>Plusieurs fois par semaine</v>
      </c>
      <c r="O34" s="2" t="str">
        <f aca="false">IFERROR(__xludf.dummyfunction("""COMPUTED_VALUE"""),"T'enflammes le dancefloor")</f>
        <v>T'enflammes le dancefloor</v>
      </c>
      <c r="P34" s="2" t="n">
        <f aca="false">IFERROR(__xludf.dummyfunction("""COMPUTED_VALUE"""),1)</f>
        <v>1</v>
      </c>
      <c r="Q34" s="2" t="str">
        <f aca="false">IFERROR(__xludf.dummyfunction("""COMPUTED_VALUE"""),"Oui")</f>
        <v>Oui</v>
      </c>
      <c r="R34" s="2" t="str">
        <f aca="false">IFERROR(__xludf.dummyfunction("""COMPUTED_VALUE"""),"Non")</f>
        <v>Non</v>
      </c>
      <c r="S34" s="2" t="str">
        <f aca="false">IFERROR(__xludf.dummyfunction("""COMPUTED_VALUE"""),"Pimp my ride")</f>
        <v>Pimp my ride</v>
      </c>
      <c r="T34" s="2" t="str">
        <f aca="false">IFERROR(__xludf.dummyfunction("""COMPUTED_VALUE"""),"JAMONN")</f>
        <v>JAMONN</v>
      </c>
      <c r="U34" s="1" t="str">
        <f aca="false">IFERROR(__xludf.dummyfunction("""COMPUTED_VALUE"""),"")</f>
        <v/>
      </c>
      <c r="V34" s="1" t="str">
        <f aca="false">IFERROR(__xludf.dummyfunction("""COMPUTED_VALUE"""),"")</f>
        <v/>
      </c>
      <c r="W34" s="1" t="str">
        <f aca="false">IFERROR(__xludf.dummyfunction("""COMPUTED_VALUE"""),"")</f>
        <v/>
      </c>
      <c r="X34" s="1" t="str">
        <f aca="false">IFERROR(__xludf.dummyfunction("""COMPUTED_VALUE"""),"")</f>
        <v/>
      </c>
      <c r="Y34" s="1" t="str">
        <f aca="false">IFERROR(__xludf.dummyfunction("""COMPUTED_VALUE"""),"")</f>
        <v/>
      </c>
      <c r="Z34" s="1" t="str">
        <f aca="false">IFERROR(__xludf.dummyfunction("""COMPUTED_VALUE"""),"")</f>
        <v/>
      </c>
      <c r="AA34" s="1" t="str">
        <f aca="false">IFERROR(__xludf.dummyfunction("""COMPUTED_VALUE"""),"")</f>
        <v/>
      </c>
      <c r="AB34" s="1" t="str">
        <f aca="false">IFERROR(__xludf.dummyfunction("""COMPUTED_VALUE"""),"")</f>
        <v/>
      </c>
    </row>
    <row r="35" customFormat="false" ht="15.75" hidden="false" customHeight="false" outlineLevel="0" collapsed="false">
      <c r="A35" s="3" t="n">
        <f aca="false">IFERROR(__xludf.dummyfunction("""COMPUTED_VALUE"""),43632.4369135532)</f>
        <v>43632.43691</v>
      </c>
      <c r="B35" s="2" t="str">
        <f aca="false">IFERROR(__xludf.dummyfunction("""COMPUTED_VALUE"""),"Vincent Maillou")</f>
        <v>Vincent Maillou</v>
      </c>
      <c r="C35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35" s="2" t="str">
        <f aca="false">IFERROR(__xludf.dummyfunction("""COMPUTED_VALUE"""),"BDE")</f>
        <v>BDE</v>
      </c>
      <c r="E35" s="2" t="n">
        <f aca="false">IFERROR(__xludf.dummyfunction("""COMPUTED_VALUE"""),4)</f>
        <v>4</v>
      </c>
      <c r="F35" s="2" t="str">
        <f aca="false">IFERROR(__xludf.dummyfunction("""COMPUTED_VALUE"""),"Electro posée, Electro hard, Rap, Pop, Jazz")</f>
        <v>Electro posée, Electro hard, Rap, Pop, Jazz</v>
      </c>
      <c r="G35" s="2" t="str">
        <f aca="false">IFERROR(__xludf.dummyfunction("""COMPUTED_VALUE"""),"Musique, Graphisme")</f>
        <v>Musique, Graphisme</v>
      </c>
      <c r="H35" s="2" t="str">
        <f aca="false">IFERROR(__xludf.dummyfunction("""COMPUTED_VALUE"""),"Une fois de temps en temps")</f>
        <v>Une fois de temps en temps</v>
      </c>
      <c r="I35" s="2" t="str">
        <f aca="false">IFERROR(__xludf.dummyfunction("""COMPUTED_VALUE"""),"Une fois par jour")</f>
        <v>Une fois par jour</v>
      </c>
      <c r="J35" s="2" t="str">
        <f aca="false">IFERROR(__xludf.dummyfunction("""COMPUTED_VALUE"""),"Pour le développement perso et se dépasser")</f>
        <v>Pour le développement perso et se dépasser</v>
      </c>
      <c r="K35" s="2" t="str">
        <f aca="false">IFERROR(__xludf.dummyfunction("""COMPUTED_VALUE"""),"Sports de rames, Autre")</f>
        <v>Sports de rames, Autre</v>
      </c>
      <c r="L35" s="2" t="str">
        <f aca="false">IFERROR(__xludf.dummyfunction("""COMPUTED_VALUE"""),"Je fais toujours attention à bien manger")</f>
        <v>Je fais toujours attention à bien manger</v>
      </c>
      <c r="M35" s="2" t="n">
        <f aca="false">IFERROR(__xludf.dummyfunction("""COMPUTED_VALUE"""),2)</f>
        <v>2</v>
      </c>
      <c r="N35" s="2" t="str">
        <f aca="false">IFERROR(__xludf.dummyfunction("""COMPUTED_VALUE"""),"Une fois par semaine")</f>
        <v>Une fois par semaine</v>
      </c>
      <c r="O35" s="2" t="str">
        <f aca="false">IFERROR(__xludf.dummyfunction("""COMPUTED_VALUE"""),"Tu te poses dans un coin, chill !!")</f>
        <v>Tu te poses dans un coin, chill !!</v>
      </c>
      <c r="P35" s="2" t="n">
        <f aca="false">IFERROR(__xludf.dummyfunction("""COMPUTED_VALUE"""),1)</f>
        <v>1</v>
      </c>
      <c r="Q35" s="2" t="str">
        <f aca="false">IFERROR(__xludf.dummyfunction("""COMPUTED_VALUE"""),"Oui")</f>
        <v>Oui</v>
      </c>
      <c r="R35" s="2" t="str">
        <f aca="false">IFERROR(__xludf.dummyfunction("""COMPUTED_VALUE"""),"Non")</f>
        <v>Non</v>
      </c>
      <c r="S35" s="2" t="str">
        <f aca="false">IFERROR(__xludf.dummyfunction("""COMPUTED_VALUE"""),"Pimp my ride")</f>
        <v>Pimp my ride</v>
      </c>
      <c r="T35" s="2" t="str">
        <f aca="false">IFERROR(__xludf.dummyfunction("""COMPUTED_VALUE"""),"Un aviron (la rame)")</f>
        <v>Un aviron (la rame)</v>
      </c>
      <c r="U35" s="1" t="str">
        <f aca="false">IFERROR(__xludf.dummyfunction("""COMPUTED_VALUE"""),"")</f>
        <v/>
      </c>
      <c r="V35" s="1" t="str">
        <f aca="false">IFERROR(__xludf.dummyfunction("""COMPUTED_VALUE"""),"")</f>
        <v/>
      </c>
      <c r="W35" s="1" t="str">
        <f aca="false">IFERROR(__xludf.dummyfunction("""COMPUTED_VALUE"""),"")</f>
        <v/>
      </c>
      <c r="X35" s="1" t="str">
        <f aca="false">IFERROR(__xludf.dummyfunction("""COMPUTED_VALUE"""),"")</f>
        <v/>
      </c>
      <c r="Y35" s="1" t="str">
        <f aca="false">IFERROR(__xludf.dummyfunction("""COMPUTED_VALUE"""),"")</f>
        <v/>
      </c>
      <c r="Z35" s="1" t="str">
        <f aca="false">IFERROR(__xludf.dummyfunction("""COMPUTED_VALUE"""),"")</f>
        <v/>
      </c>
      <c r="AA35" s="1" t="str">
        <f aca="false">IFERROR(__xludf.dummyfunction("""COMPUTED_VALUE"""),"")</f>
        <v/>
      </c>
      <c r="AB35" s="1" t="str">
        <f aca="false">IFERROR(__xludf.dummyfunction("""COMPUTED_VALUE"""),"")</f>
        <v/>
      </c>
    </row>
    <row r="36" customFormat="false" ht="15.75" hidden="false" customHeight="false" outlineLevel="0" collapsed="false">
      <c r="A36" s="3" t="n">
        <f aca="false">IFERROR(__xludf.dummyfunction("""COMPUTED_VALUE"""),43632.8667936921)</f>
        <v>43632.86679</v>
      </c>
      <c r="B36" s="2" t="str">
        <f aca="false">IFERROR(__xludf.dummyfunction("""COMPUTED_VALUE"""),"Henri CHHOA")</f>
        <v>Henri CHHOA</v>
      </c>
      <c r="C36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36" s="2" t="str">
        <f aca="false">IFERROR(__xludf.dummyfunction("""COMPUTED_VALUE"""),"BDS")</f>
        <v>BDS</v>
      </c>
      <c r="E36" s="2" t="n">
        <f aca="false">IFERROR(__xludf.dummyfunction("""COMPUTED_VALUE"""),3)</f>
        <v>3</v>
      </c>
      <c r="F36" s="2" t="str">
        <f aca="false">IFERROR(__xludf.dummyfunction("""COMPUTED_VALUE"""),"Rap, Pop, Musique classique, Kpop")</f>
        <v>Rap, Pop, Musique classique, Kpop</v>
      </c>
      <c r="G36" s="2" t="str">
        <f aca="false">IFERROR(__xludf.dummyfunction("""COMPUTED_VALUE"""),"Danse, Musique, Théâtre, Cinéma")</f>
        <v>Danse, Musique, Théâtre, Cinéma</v>
      </c>
      <c r="H36" s="2" t="str">
        <f aca="false">IFERROR(__xludf.dummyfunction("""COMPUTED_VALUE"""),"Une fois de temps en temps")</f>
        <v>Une fois de temps en temps</v>
      </c>
      <c r="I36" s="2" t="str">
        <f aca="false">IFERROR(__xludf.dummyfunction("""COMPUTED_VALUE"""),"Plusieurs fois par semaine")</f>
        <v>Plusieurs fois par semaine</v>
      </c>
      <c r="J36" s="2" t="str">
        <f aca="false">IFERROR(__xludf.dummyfunction("""COMPUTED_VALUE"""),"Pour le développement perso et se dépasser")</f>
        <v>Pour le développement perso et se dépasser</v>
      </c>
      <c r="K36" s="2" t="str">
        <f aca="false">IFERROR(__xludf.dummyfunction("""COMPUTED_VALUE"""),"Sports collectifs, Sports de raquette, Equitation")</f>
        <v>Sports collectifs, Sports de raquette, Equitation</v>
      </c>
      <c r="L36" s="2" t="str">
        <f aca="false">IFERROR(__xludf.dummyfunction("""COMPUTED_VALUE"""),"J'aime cuisiner le WE ou quand j'ai le temps")</f>
        <v>J'aime cuisiner le WE ou quand j'ai le temps</v>
      </c>
      <c r="M36" s="2" t="n">
        <f aca="false">IFERROR(__xludf.dummyfunction("""COMPUTED_VALUE"""),7)</f>
        <v>7</v>
      </c>
      <c r="N36" s="2" t="str">
        <f aca="false">IFERROR(__xludf.dummyfunction("""COMPUTED_VALUE"""),"Plusieurs fois par semaine")</f>
        <v>Plusieurs fois par semaine</v>
      </c>
      <c r="O36" s="2" t="str">
        <f aca="false">IFERROR(__xludf.dummyfunction("""COMPUTED_VALUE"""),"T'enflammes le dancefloor")</f>
        <v>T'enflammes le dancefloor</v>
      </c>
      <c r="P36" s="2" t="n">
        <f aca="false">IFERROR(__xludf.dummyfunction("""COMPUTED_VALUE"""),1)</f>
        <v>1</v>
      </c>
      <c r="Q36" s="2" t="str">
        <f aca="false">IFERROR(__xludf.dummyfunction("""COMPUTED_VALUE"""),"Oui")</f>
        <v>Oui</v>
      </c>
      <c r="R36" s="2" t="str">
        <f aca="false">IFERROR(__xludf.dummyfunction("""COMPUTED_VALUE"""),"Non")</f>
        <v>Non</v>
      </c>
      <c r="S36" s="2" t="str">
        <f aca="false">IFERROR(__xludf.dummyfunction("""COMPUTED_VALUE"""),"Dusex")</f>
        <v>Dusex</v>
      </c>
      <c r="T36" s="2" t="str">
        <f aca="false">IFERROR(__xludf.dummyfunction("""COMPUTED_VALUE"""),"Pshit pshit")</f>
        <v>Pshit pshit</v>
      </c>
      <c r="U36" s="1" t="str">
        <f aca="false">IFERROR(__xludf.dummyfunction("""COMPUTED_VALUE"""),"")</f>
        <v/>
      </c>
      <c r="V36" s="1" t="str">
        <f aca="false">IFERROR(__xludf.dummyfunction("""COMPUTED_VALUE"""),"")</f>
        <v/>
      </c>
      <c r="W36" s="1" t="str">
        <f aca="false">IFERROR(__xludf.dummyfunction("""COMPUTED_VALUE"""),"")</f>
        <v/>
      </c>
      <c r="X36" s="1" t="str">
        <f aca="false">IFERROR(__xludf.dummyfunction("""COMPUTED_VALUE"""),"")</f>
        <v/>
      </c>
      <c r="Y36" s="1" t="str">
        <f aca="false">IFERROR(__xludf.dummyfunction("""COMPUTED_VALUE"""),"")</f>
        <v/>
      </c>
      <c r="Z36" s="1" t="str">
        <f aca="false">IFERROR(__xludf.dummyfunction("""COMPUTED_VALUE"""),"")</f>
        <v/>
      </c>
      <c r="AA36" s="1" t="str">
        <f aca="false">IFERROR(__xludf.dummyfunction("""COMPUTED_VALUE"""),"")</f>
        <v/>
      </c>
      <c r="AB36" s="1" t="str">
        <f aca="false">IFERROR(__xludf.dummyfunction("""COMPUTED_VALUE"""),"")</f>
        <v/>
      </c>
    </row>
    <row r="37" customFormat="false" ht="15.75" hidden="false" customHeight="false" outlineLevel="0" collapsed="false">
      <c r="A37" s="3" t="n">
        <f aca="false">IFERROR(__xludf.dummyfunction("""COMPUTED_VALUE"""),43632.896903588)</f>
        <v>43632.8969</v>
      </c>
      <c r="B37" s="2" t="str">
        <f aca="false">IFERROR(__xludf.dummyfunction("""COMPUTED_VALUE"""),"Juan Felipe GÓMEZ ALFARO")</f>
        <v>Juan Felipe GÓMEZ ALFARO</v>
      </c>
      <c r="C37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37" s="2" t="str">
        <f aca="false">IFERROR(__xludf.dummyfunction("""COMPUTED_VALUE"""),"BDS")</f>
        <v>BDS</v>
      </c>
      <c r="E37" s="2" t="n">
        <f aca="false">IFERROR(__xludf.dummyfunction("""COMPUTED_VALUE"""),5)</f>
        <v>5</v>
      </c>
      <c r="F37" s="2" t="str">
        <f aca="false">IFERROR(__xludf.dummyfunction("""COMPUTED_VALUE"""),"Rock, Jazz, Kpop")</f>
        <v>Rock, Jazz, Kpop</v>
      </c>
      <c r="G37" s="2" t="str">
        <f aca="false">IFERROR(__xludf.dummyfunction("""COMPUTED_VALUE"""),"Peinture, Littérature, Musique, Théâtre, Cinéma")</f>
        <v>Peinture, Littérature, Musique, Théâtre, Cinéma</v>
      </c>
      <c r="H37" s="2" t="str">
        <f aca="false">IFERROR(__xludf.dummyfunction("""COMPUTED_VALUE"""),"Seulement les soirs de pleine lune")</f>
        <v>Seulement les soirs de pleine lune</v>
      </c>
      <c r="I37" s="2" t="str">
        <f aca="false">IFERROR(__xludf.dummyfunction("""COMPUTED_VALUE"""),"Plusieurs fois par semaine")</f>
        <v>Plusieurs fois par semaine</v>
      </c>
      <c r="J37" s="2" t="str">
        <f aca="false">IFERROR(__xludf.dummyfunction("""COMPUTED_VALUE"""),"Pour le développement perso et se dépasser")</f>
        <v>Pour le développement perso et se dépasser</v>
      </c>
      <c r="K37" s="2" t="str">
        <f aca="false">IFERROR(__xludf.dummyfunction("""COMPUTED_VALUE"""),"Athlétisme, Sports aquatiques")</f>
        <v>Athlétisme, Sports aquatiques</v>
      </c>
      <c r="L37" s="2" t="str">
        <f aca="false">IFERROR(__xludf.dummyfunction("""COMPUTED_VALUE"""),"Je fais toujours attention à bien manger")</f>
        <v>Je fais toujours attention à bien manger</v>
      </c>
      <c r="M37" s="2" t="n">
        <f aca="false">IFERROR(__xludf.dummyfunction("""COMPUTED_VALUE"""),9)</f>
        <v>9</v>
      </c>
      <c r="N37" s="2" t="str">
        <f aca="false">IFERROR(__xludf.dummyfunction("""COMPUTED_VALUE"""),"Une fois par jour (voire plus)")</f>
        <v>Une fois par jour (voire plus)</v>
      </c>
      <c r="O37" s="2" t="str">
        <f aca="false">IFERROR(__xludf.dummyfunction("""COMPUTED_VALUE"""),"T'enflammes le dancefloor")</f>
        <v>T'enflammes le dancefloor</v>
      </c>
      <c r="P37" s="2" t="n">
        <f aca="false">IFERROR(__xludf.dummyfunction("""COMPUTED_VALUE"""),3)</f>
        <v>3</v>
      </c>
      <c r="Q37" s="2" t="str">
        <f aca="false">IFERROR(__xludf.dummyfunction("""COMPUTED_VALUE"""),"Oui")</f>
        <v>Oui</v>
      </c>
      <c r="R37" s="2" t="str">
        <f aca="false">IFERROR(__xludf.dummyfunction("""COMPUTED_VALUE"""),"Non")</f>
        <v>Non</v>
      </c>
      <c r="S37" s="2" t="str">
        <f aca="false">IFERROR(__xludf.dummyfunction("""COMPUTED_VALUE"""),"Malandros Team")</f>
        <v>Malandros Team</v>
      </c>
      <c r="T37" s="2" t="str">
        <f aca="false">IFERROR(__xludf.dummyfunction("""COMPUTED_VALUE"""),"Aucune idée")</f>
        <v>Aucune idée</v>
      </c>
      <c r="U37" s="1" t="str">
        <f aca="false">IFERROR(__xludf.dummyfunction("""COMPUTED_VALUE"""),"")</f>
        <v/>
      </c>
      <c r="V37" s="1" t="str">
        <f aca="false">IFERROR(__xludf.dummyfunction("""COMPUTED_VALUE"""),"")</f>
        <v/>
      </c>
      <c r="W37" s="1" t="str">
        <f aca="false">IFERROR(__xludf.dummyfunction("""COMPUTED_VALUE"""),"")</f>
        <v/>
      </c>
      <c r="X37" s="1" t="str">
        <f aca="false">IFERROR(__xludf.dummyfunction("""COMPUTED_VALUE"""),"")</f>
        <v/>
      </c>
      <c r="Y37" s="1" t="str">
        <f aca="false">IFERROR(__xludf.dummyfunction("""COMPUTED_VALUE"""),"")</f>
        <v/>
      </c>
      <c r="Z37" s="1" t="str">
        <f aca="false">IFERROR(__xludf.dummyfunction("""COMPUTED_VALUE"""),"")</f>
        <v/>
      </c>
      <c r="AA37" s="1" t="str">
        <f aca="false">IFERROR(__xludf.dummyfunction("""COMPUTED_VALUE"""),"")</f>
        <v/>
      </c>
      <c r="AB37" s="1" t="str">
        <f aca="false">IFERROR(__xludf.dummyfunction("""COMPUTED_VALUE"""),"")</f>
        <v/>
      </c>
    </row>
    <row r="38" customFormat="false" ht="15.75" hidden="false" customHeight="false" outlineLevel="0" collapsed="false">
      <c r="A38" s="3" t="n">
        <f aca="false">IFERROR(__xludf.dummyfunction("""COMPUTED_VALUE"""),43633.4726490509)</f>
        <v>43633.47265</v>
      </c>
      <c r="B38" s="2" t="str">
        <f aca="false">IFERROR(__xludf.dummyfunction("""COMPUTED_VALUE"""),"Constance PHILIPPE")</f>
        <v>Constance PHILIPPE</v>
      </c>
      <c r="C38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38" s="2" t="str">
        <f aca="false">IFERROR(__xludf.dummyfunction("""COMPUTED_VALUE"""),"BDS")</f>
        <v>BDS</v>
      </c>
      <c r="E38" s="2" t="n">
        <f aca="false">IFERROR(__xludf.dummyfunction("""COMPUTED_VALUE"""),5)</f>
        <v>5</v>
      </c>
      <c r="F38" s="2" t="str">
        <f aca="false">IFERROR(__xludf.dummyfunction("""COMPUTED_VALUE"""),"Rock, Metal, Musique classique, Autre")</f>
        <v>Rock, Metal, Musique classique, Autre</v>
      </c>
      <c r="G38" s="2" t="str">
        <f aca="false">IFERROR(__xludf.dummyfunction("""COMPUTED_VALUE"""),"Peinture, Littérature, Danse, Musique, Théâtre, Graphisme")</f>
        <v>Peinture, Littérature, Danse, Musique, Théâtre, Graphisme</v>
      </c>
      <c r="H38" s="2" t="str">
        <f aca="false">IFERROR(__xludf.dummyfunction("""COMPUTED_VALUE"""),"Une fois de temps en temps")</f>
        <v>Une fois de temps en temps</v>
      </c>
      <c r="I38" s="2" t="str">
        <f aca="false">IFERROR(__xludf.dummyfunction("""COMPUTED_VALUE"""),"Une fois par semaine")</f>
        <v>Une fois par semaine</v>
      </c>
      <c r="J38" s="2" t="str">
        <f aca="false">IFERROR(__xludf.dummyfunction("""COMPUTED_VALUE"""),"Pour le fun")</f>
        <v>Pour le fun</v>
      </c>
      <c r="K38" s="2" t="str">
        <f aca="false">IFERROR(__xludf.dummyfunction("""COMPUTED_VALUE"""),"Sports de combat, Autre")</f>
        <v>Sports de combat, Autre</v>
      </c>
      <c r="L38" s="2" t="str">
        <f aca="false">IFERROR(__xludf.dummyfunction("""COMPUTED_VALUE"""),"Je fais toujours attention à bien manger")</f>
        <v>Je fais toujours attention à bien manger</v>
      </c>
      <c r="M38" s="2" t="n">
        <f aca="false">IFERROR(__xludf.dummyfunction("""COMPUTED_VALUE"""),7)</f>
        <v>7</v>
      </c>
      <c r="N38" s="2" t="str">
        <f aca="false">IFERROR(__xludf.dummyfunction("""COMPUTED_VALUE"""),"Une fois par semaine")</f>
        <v>Une fois par semaine</v>
      </c>
      <c r="O38" s="2" t="str">
        <f aca="false">IFERROR(__xludf.dummyfunction("""COMPUTED_VALUE"""),"T'enflammes le dancefloor")</f>
        <v>T'enflammes le dancefloor</v>
      </c>
      <c r="P38" s="2" t="n">
        <f aca="false">IFERROR(__xludf.dummyfunction("""COMPUTED_VALUE"""),1)</f>
        <v>1</v>
      </c>
      <c r="Q38" s="2" t="str">
        <f aca="false">IFERROR(__xludf.dummyfunction("""COMPUTED_VALUE"""),"Oui")</f>
        <v>Oui</v>
      </c>
      <c r="R38" s="2" t="str">
        <f aca="false">IFERROR(__xludf.dummyfunction("""COMPUTED_VALUE"""),"Non")</f>
        <v>Non</v>
      </c>
      <c r="S38" s="2" t="str">
        <f aca="false">IFERROR(__xludf.dummyfunction("""COMPUTED_VALUE"""),"Le Donjon")</f>
        <v>Le Donjon</v>
      </c>
      <c r="T38" s="2" t="str">
        <f aca="false">IFERROR(__xludf.dummyfunction("""COMPUTED_VALUE"""),"Pygama")</f>
        <v>Pygama</v>
      </c>
      <c r="U38" s="1" t="str">
        <f aca="false">IFERROR(__xludf.dummyfunction("""COMPUTED_VALUE"""),"")</f>
        <v/>
      </c>
      <c r="V38" s="1" t="str">
        <f aca="false">IFERROR(__xludf.dummyfunction("""COMPUTED_VALUE"""),"")</f>
        <v/>
      </c>
      <c r="W38" s="1" t="str">
        <f aca="false">IFERROR(__xludf.dummyfunction("""COMPUTED_VALUE"""),"")</f>
        <v/>
      </c>
      <c r="X38" s="1" t="str">
        <f aca="false">IFERROR(__xludf.dummyfunction("""COMPUTED_VALUE"""),"")</f>
        <v/>
      </c>
      <c r="Y38" s="1" t="str">
        <f aca="false">IFERROR(__xludf.dummyfunction("""COMPUTED_VALUE"""),"")</f>
        <v/>
      </c>
      <c r="Z38" s="1" t="str">
        <f aca="false">IFERROR(__xludf.dummyfunction("""COMPUTED_VALUE"""),"")</f>
        <v/>
      </c>
      <c r="AA38" s="1" t="str">
        <f aca="false">IFERROR(__xludf.dummyfunction("""COMPUTED_VALUE"""),"")</f>
        <v/>
      </c>
      <c r="AB38" s="1" t="str">
        <f aca="false">IFERROR(__xludf.dummyfunction("""COMPUTED_VALUE"""),"")</f>
        <v/>
      </c>
    </row>
    <row r="39" customFormat="false" ht="15.75" hidden="false" customHeight="false" outlineLevel="0" collapsed="false">
      <c r="A39" s="3" t="n">
        <f aca="false">IFERROR(__xludf.dummyfunction("""COMPUTED_VALUE"""),43633.5649356134)</f>
        <v>43633.56494</v>
      </c>
      <c r="B39" s="2" t="str">
        <f aca="false">IFERROR(__xludf.dummyfunction("""COMPUTED_VALUE"""),"Marius DUVILLARD")</f>
        <v>Marius DUVILLARD</v>
      </c>
      <c r="C39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39" s="2" t="str">
        <f aca="false">IFERROR(__xludf.dummyfunction("""COMPUTED_VALUE"""),"BDA")</f>
        <v>BDA</v>
      </c>
      <c r="E39" s="2" t="n">
        <f aca="false">IFERROR(__xludf.dummyfunction("""COMPUTED_VALUE"""),3)</f>
        <v>3</v>
      </c>
      <c r="F39" s="2" t="str">
        <f aca="false">IFERROR(__xludf.dummyfunction("""COMPUTED_VALUE"""),"Rock, Electro posée, Pop, Musique fançaise, Jazz, Musique classique")</f>
        <v>Rock, Electro posée, Pop, Musique fançaise, Jazz, Musique classique</v>
      </c>
      <c r="G39" s="2" t="str">
        <f aca="false">IFERROR(__xludf.dummyfunction("""COMPUTED_VALUE"""),"Peinture, Danse, Musique, Théâtre, Cinéma")</f>
        <v>Peinture, Danse, Musique, Théâtre, Cinéma</v>
      </c>
      <c r="H39" s="2" t="str">
        <f aca="false">IFERROR(__xludf.dummyfunction("""COMPUTED_VALUE"""),"Seulement les soirs de pleine lune")</f>
        <v>Seulement les soirs de pleine lune</v>
      </c>
      <c r="I39" s="2" t="str">
        <f aca="false">IFERROR(__xludf.dummyfunction("""COMPUTED_VALUE"""),"Plusieurs fois par semaine")</f>
        <v>Plusieurs fois par semaine</v>
      </c>
      <c r="J39" s="2" t="str">
        <f aca="false">IFERROR(__xludf.dummyfunction("""COMPUTED_VALUE"""),"Pour le développement perso et se dépasser")</f>
        <v>Pour le développement perso et se dépasser</v>
      </c>
      <c r="K39" s="2" t="str">
        <f aca="false">IFERROR(__xludf.dummyfunction("""COMPUTED_VALUE"""),"Sports de rames, Autre")</f>
        <v>Sports de rames, Autre</v>
      </c>
      <c r="L39" s="2" t="str">
        <f aca="false">IFERROR(__xludf.dummyfunction("""COMPUTED_VALUE"""),"J'aime cuisiner le WE ou quand j'ai le temps")</f>
        <v>J'aime cuisiner le WE ou quand j'ai le temps</v>
      </c>
      <c r="M39" s="2" t="n">
        <f aca="false">IFERROR(__xludf.dummyfunction("""COMPUTED_VALUE"""),7)</f>
        <v>7</v>
      </c>
      <c r="N39" s="2" t="str">
        <f aca="false">IFERROR(__xludf.dummyfunction("""COMPUTED_VALUE"""),"Une fois par semaine")</f>
        <v>Une fois par semaine</v>
      </c>
      <c r="O39" s="2" t="str">
        <f aca="false">IFERROR(__xludf.dummyfunction("""COMPUTED_VALUE"""),"T'enflammes le dancefloor")</f>
        <v>T'enflammes le dancefloor</v>
      </c>
      <c r="P39" s="2" t="n">
        <f aca="false">IFERROR(__xludf.dummyfunction("""COMPUTED_VALUE"""),1)</f>
        <v>1</v>
      </c>
      <c r="Q39" s="2" t="str">
        <f aca="false">IFERROR(__xludf.dummyfunction("""COMPUTED_VALUE"""),"Oui")</f>
        <v>Oui</v>
      </c>
      <c r="R39" s="2" t="str">
        <f aca="false">IFERROR(__xludf.dummyfunction("""COMPUTED_VALUE"""),"Non")</f>
        <v>Non</v>
      </c>
      <c r="S39" s="2" t="str">
        <f aca="false">IFERROR(__xludf.dummyfunction("""COMPUTED_VALUE"""),"La Crypte")</f>
        <v>La Crypte</v>
      </c>
      <c r="T39" s="2" t="str">
        <f aca="false">IFERROR(__xludf.dummyfunction("""COMPUTED_VALUE"""),"une fi'sel")</f>
        <v>une fi'sel</v>
      </c>
      <c r="U39" s="1" t="str">
        <f aca="false">IFERROR(__xludf.dummyfunction("""COMPUTED_VALUE"""),"")</f>
        <v/>
      </c>
      <c r="V39" s="1" t="str">
        <f aca="false">IFERROR(__xludf.dummyfunction("""COMPUTED_VALUE"""),"")</f>
        <v/>
      </c>
      <c r="W39" s="1" t="str">
        <f aca="false">IFERROR(__xludf.dummyfunction("""COMPUTED_VALUE"""),"")</f>
        <v/>
      </c>
      <c r="X39" s="1" t="str">
        <f aca="false">IFERROR(__xludf.dummyfunction("""COMPUTED_VALUE"""),"")</f>
        <v/>
      </c>
      <c r="Y39" s="1" t="str">
        <f aca="false">IFERROR(__xludf.dummyfunction("""COMPUTED_VALUE"""),"")</f>
        <v/>
      </c>
      <c r="Z39" s="1" t="str">
        <f aca="false">IFERROR(__xludf.dummyfunction("""COMPUTED_VALUE"""),"")</f>
        <v/>
      </c>
      <c r="AA39" s="1" t="str">
        <f aca="false">IFERROR(__xludf.dummyfunction("""COMPUTED_VALUE"""),"")</f>
        <v/>
      </c>
      <c r="AB39" s="1" t="str">
        <f aca="false">IFERROR(__xludf.dummyfunction("""COMPUTED_VALUE"""),"")</f>
        <v/>
      </c>
    </row>
    <row r="40" customFormat="false" ht="15.75" hidden="false" customHeight="false" outlineLevel="0" collapsed="false">
      <c r="A40" s="3" t="n">
        <f aca="false">IFERROR(__xludf.dummyfunction("""COMPUTED_VALUE"""),43633.8157755556)</f>
        <v>43633.81578</v>
      </c>
      <c r="B40" s="2" t="str">
        <f aca="false">IFERROR(__xludf.dummyfunction("""COMPUTED_VALUE"""),"Valentin Antonio")</f>
        <v>Valentin Antonio</v>
      </c>
      <c r="C40" s="2" t="str">
        <f aca="false">IFERROR(__xludf.dummyfunction("""COMPUTED_VALUE"""),"Deux inconnus")</f>
        <v>Deux inconnus</v>
      </c>
      <c r="D40" s="2" t="str">
        <f aca="false">IFERROR(__xludf.dummyfunction("""COMPUTED_VALUE"""),"BDS")</f>
        <v>BDS</v>
      </c>
      <c r="E40" s="2" t="n">
        <f aca="false">IFERROR(__xludf.dummyfunction("""COMPUTED_VALUE"""),3)</f>
        <v>3</v>
      </c>
      <c r="F40" s="2" t="str">
        <f aca="false">IFERROR(__xludf.dummyfunction("""COMPUTED_VALUE"""),"Rock, Electro posée, Rap, Pop")</f>
        <v>Rock, Electro posée, Rap, Pop</v>
      </c>
      <c r="G40" s="2" t="str">
        <f aca="false">IFERROR(__xludf.dummyfunction("""COMPUTED_VALUE"""),"Peinture, Littérature, Cinéma")</f>
        <v>Peinture, Littérature, Cinéma</v>
      </c>
      <c r="H40" s="2" t="str">
        <f aca="false">IFERROR(__xludf.dummyfunction("""COMPUTED_VALUE"""),"Une fois de temps en temps")</f>
        <v>Une fois de temps en temps</v>
      </c>
      <c r="I40" s="2" t="str">
        <f aca="false">IFERROR(__xludf.dummyfunction("""COMPUTED_VALUE"""),"Plusieurs fois par semaine")</f>
        <v>Plusieurs fois par semaine</v>
      </c>
      <c r="J40" s="2" t="str">
        <f aca="false">IFERROR(__xludf.dummyfunction("""COMPUTED_VALUE"""),"Pour la compet")</f>
        <v>Pour la compet</v>
      </c>
      <c r="K40" s="2" t="str">
        <f aca="false">IFERROR(__xludf.dummyfunction("""COMPUTED_VALUE"""),"Sports collectifs, Equitation")</f>
        <v>Sports collectifs, Equitation</v>
      </c>
      <c r="L40" s="2" t="str">
        <f aca="false">IFERROR(__xludf.dummyfunction("""COMPUTED_VALUE"""),"Je fais toujours attention à bien manger")</f>
        <v>Je fais toujours attention à bien manger</v>
      </c>
      <c r="M40" s="2" t="n">
        <f aca="false">IFERROR(__xludf.dummyfunction("""COMPUTED_VALUE"""),8)</f>
        <v>8</v>
      </c>
      <c r="N40" s="2" t="str">
        <f aca="false">IFERROR(__xludf.dummyfunction("""COMPUTED_VALUE"""),"Plusieurs fois par semaine")</f>
        <v>Plusieurs fois par semaine</v>
      </c>
      <c r="O40" s="2" t="str">
        <f aca="false">IFERROR(__xludf.dummyfunction("""COMPUTED_VALUE"""),"T'enflammes le dancefloor")</f>
        <v>T'enflammes le dancefloor</v>
      </c>
      <c r="P40" s="2" t="n">
        <f aca="false">IFERROR(__xludf.dummyfunction("""COMPUTED_VALUE"""),2)</f>
        <v>2</v>
      </c>
      <c r="Q40" s="2" t="str">
        <f aca="false">IFERROR(__xludf.dummyfunction("""COMPUTED_VALUE"""),"Oui")</f>
        <v>Oui</v>
      </c>
      <c r="R40" s="2" t="str">
        <f aca="false">IFERROR(__xludf.dummyfunction("""COMPUTED_VALUE"""),"Non")</f>
        <v>Non</v>
      </c>
      <c r="S40" s="2" t="str">
        <f aca="false">IFERROR(__xludf.dummyfunction("""COMPUTED_VALUE"""),"Dusex")</f>
        <v>Dusex</v>
      </c>
      <c r="T40" s="2" t="str">
        <f aca="false">IFERROR(__xludf.dummyfunction("""COMPUTED_VALUE"""),"une balle de hand")</f>
        <v>une balle de hand</v>
      </c>
      <c r="U40" s="1" t="str">
        <f aca="false">IFERROR(__xludf.dummyfunction("""COMPUTED_VALUE"""),"")</f>
        <v/>
      </c>
      <c r="V40" s="1" t="str">
        <f aca="false">IFERROR(__xludf.dummyfunction("""COMPUTED_VALUE"""),"")</f>
        <v/>
      </c>
      <c r="W40" s="1" t="str">
        <f aca="false">IFERROR(__xludf.dummyfunction("""COMPUTED_VALUE"""),"")</f>
        <v/>
      </c>
      <c r="X40" s="1" t="str">
        <f aca="false">IFERROR(__xludf.dummyfunction("""COMPUTED_VALUE"""),"")</f>
        <v/>
      </c>
      <c r="Y40" s="1" t="str">
        <f aca="false">IFERROR(__xludf.dummyfunction("""COMPUTED_VALUE"""),"")</f>
        <v/>
      </c>
      <c r="Z40" s="1" t="str">
        <f aca="false">IFERROR(__xludf.dummyfunction("""COMPUTED_VALUE"""),"")</f>
        <v/>
      </c>
      <c r="AA40" s="1" t="str">
        <f aca="false">IFERROR(__xludf.dummyfunction("""COMPUTED_VALUE"""),"")</f>
        <v/>
      </c>
      <c r="AB40" s="1" t="str">
        <f aca="false">IFERROR(__xludf.dummyfunction("""COMPUTED_VALUE"""),"")</f>
        <v/>
      </c>
    </row>
    <row r="41" customFormat="false" ht="15.75" hidden="false" customHeight="false" outlineLevel="0" collapsed="false">
      <c r="A41" s="3" t="n">
        <f aca="false">IFERROR(__xludf.dummyfunction("""COMPUTED_VALUE"""),43634.4800061921)</f>
        <v>43634.48001</v>
      </c>
      <c r="B41" s="2" t="str">
        <f aca="false">IFERROR(__xludf.dummyfunction("""COMPUTED_VALUE"""),"Henrique MARTINEZ DE AZEVEDO")</f>
        <v>Henrique MARTINEZ DE AZEVEDO</v>
      </c>
      <c r="C41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41" s="2" t="str">
        <f aca="false">IFERROR(__xludf.dummyfunction("""COMPUTED_VALUE"""),"BDS")</f>
        <v>BDS</v>
      </c>
      <c r="E41" s="2" t="n">
        <f aca="false">IFERROR(__xludf.dummyfunction("""COMPUTED_VALUE"""),3)</f>
        <v>3</v>
      </c>
      <c r="F41" s="2" t="str">
        <f aca="false">IFERROR(__xludf.dummyfunction("""COMPUTED_VALUE"""),"Rock, Electro posée, Rap, Jazz, Autre")</f>
        <v>Rock, Electro posée, Rap, Jazz, Autre</v>
      </c>
      <c r="G41" s="2" t="str">
        <f aca="false">IFERROR(__xludf.dummyfunction("""COMPUTED_VALUE"""),"Peinture, Sculpture, Cinéma")</f>
        <v>Peinture, Sculpture, Cinéma</v>
      </c>
      <c r="H41" s="2" t="str">
        <f aca="false">IFERROR(__xludf.dummyfunction("""COMPUTED_VALUE"""),"Quelques fois par semaine")</f>
        <v>Quelques fois par semaine</v>
      </c>
      <c r="I41" s="2" t="str">
        <f aca="false">IFERROR(__xludf.dummyfunction("""COMPUTED_VALUE"""),"Une fois par semaine")</f>
        <v>Une fois par semaine</v>
      </c>
      <c r="J41" s="2" t="str">
        <f aca="false">IFERROR(__xludf.dummyfunction("""COMPUTED_VALUE"""),"Pour le fun")</f>
        <v>Pour le fun</v>
      </c>
      <c r="K41" s="2" t="str">
        <f aca="false">IFERROR(__xludf.dummyfunction("""COMPUTED_VALUE"""),"Sports collectifs")</f>
        <v>Sports collectifs</v>
      </c>
      <c r="L41" s="2" t="str">
        <f aca="false">IFERROR(__xludf.dummyfunction("""COMPUTED_VALUE"""),"Je fais toujours attention à bien manger")</f>
        <v>Je fais toujours attention à bien manger</v>
      </c>
      <c r="M41" s="2" t="n">
        <f aca="false">IFERROR(__xludf.dummyfunction("""COMPUTED_VALUE"""),8)</f>
        <v>8</v>
      </c>
      <c r="N41" s="2" t="str">
        <f aca="false">IFERROR(__xludf.dummyfunction("""COMPUTED_VALUE"""),"Plusieurs fois par semaine")</f>
        <v>Plusieurs fois par semaine</v>
      </c>
      <c r="O41" s="2" t="str">
        <f aca="false">IFERROR(__xludf.dummyfunction("""COMPUTED_VALUE"""),"T'enflammes le dancefloor")</f>
        <v>T'enflammes le dancefloor</v>
      </c>
      <c r="P41" s="2" t="n">
        <f aca="false">IFERROR(__xludf.dummyfunction("""COMPUTED_VALUE"""),2)</f>
        <v>2</v>
      </c>
      <c r="Q41" s="2" t="str">
        <f aca="false">IFERROR(__xludf.dummyfunction("""COMPUTED_VALUE"""),"Oui")</f>
        <v>Oui</v>
      </c>
      <c r="R41" s="2" t="str">
        <f aca="false">IFERROR(__xludf.dummyfunction("""COMPUTED_VALUE"""),"Non")</f>
        <v>Non</v>
      </c>
      <c r="S41" s="2" t="str">
        <f aca="false">IFERROR(__xludf.dummyfunction("""COMPUTED_VALUE"""),"Les trutitas")</f>
        <v>Les trutitas</v>
      </c>
      <c r="T41" s="2" t="str">
        <f aca="false">IFERROR(__xludf.dummyfunction("""COMPUTED_VALUE"""),"une fausse canne a peche, peut-etre")</f>
        <v>une fausse canne a peche, peut-etre</v>
      </c>
      <c r="U41" s="1" t="str">
        <f aca="false">IFERROR(__xludf.dummyfunction("""COMPUTED_VALUE"""),"")</f>
        <v/>
      </c>
      <c r="V41" s="1" t="str">
        <f aca="false">IFERROR(__xludf.dummyfunction("""COMPUTED_VALUE"""),"")</f>
        <v/>
      </c>
      <c r="W41" s="1" t="str">
        <f aca="false">IFERROR(__xludf.dummyfunction("""COMPUTED_VALUE"""),"")</f>
        <v/>
      </c>
      <c r="X41" s="1" t="str">
        <f aca="false">IFERROR(__xludf.dummyfunction("""COMPUTED_VALUE"""),"")</f>
        <v/>
      </c>
      <c r="Y41" s="1" t="str">
        <f aca="false">IFERROR(__xludf.dummyfunction("""COMPUTED_VALUE"""),"")</f>
        <v/>
      </c>
      <c r="Z41" s="1" t="str">
        <f aca="false">IFERROR(__xludf.dummyfunction("""COMPUTED_VALUE"""),"")</f>
        <v/>
      </c>
      <c r="AA41" s="1" t="str">
        <f aca="false">IFERROR(__xludf.dummyfunction("""COMPUTED_VALUE"""),"")</f>
        <v/>
      </c>
      <c r="AB41" s="1" t="str">
        <f aca="false">IFERROR(__xludf.dummyfunction("""COMPUTED_VALUE"""),"")</f>
        <v/>
      </c>
    </row>
    <row r="42" customFormat="false" ht="15.75" hidden="false" customHeight="false" outlineLevel="0" collapsed="false">
      <c r="A42" s="3" t="n">
        <f aca="false">IFERROR(__xludf.dummyfunction("""COMPUTED_VALUE"""),43634.5643878704)</f>
        <v>43634.56439</v>
      </c>
      <c r="B42" s="2" t="str">
        <f aca="false">IFERROR(__xludf.dummyfunction("""COMPUTED_VALUE"""),"José Ronzel")</f>
        <v>José Ronzel</v>
      </c>
      <c r="C42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42" s="2" t="str">
        <f aca="false">IFERROR(__xludf.dummyfunction("""COMPUTED_VALUE"""),"BDS")</f>
        <v>BDS</v>
      </c>
      <c r="E42" s="2" t="n">
        <f aca="false">IFERROR(__xludf.dummyfunction("""COMPUTED_VALUE"""),3)</f>
        <v>3</v>
      </c>
      <c r="F42" s="2" t="str">
        <f aca="false">IFERROR(__xludf.dummyfunction("""COMPUTED_VALUE"""),"Rock, Metal, Electro posée, Electro hard, Rap, Pop, Musique fançaise, Jazz, Musique classique, Kpop, Autre")</f>
        <v>Rock, Metal, Electro posée, Electro hard, Rap, Pop, Musique fançaise, Jazz, Musique classique, Kpop, Autre</v>
      </c>
      <c r="G42" s="2" t="str">
        <f aca="false">IFERROR(__xludf.dummyfunction("""COMPUTED_VALUE"""),"Peinture, Littérature, Sculpture, Danse, Musique, Théâtre, Cinéma, Graphisme, Autre")</f>
        <v>Peinture, Littérature, Sculpture, Danse, Musique, Théâtre, Cinéma, Graphisme, Autre</v>
      </c>
      <c r="H42" s="2" t="str">
        <f aca="false">IFERROR(__xludf.dummyfunction("""COMPUTED_VALUE"""),"Seulement les soirs de pleine lune")</f>
        <v>Seulement les soirs de pleine lune</v>
      </c>
      <c r="I42" s="2" t="str">
        <f aca="false">IFERROR(__xludf.dummyfunction("""COMPUTED_VALUE"""),"Le dimanche à 15h32 s'il fait beau")</f>
        <v>Le dimanche à 15h32 s'il fait beau</v>
      </c>
      <c r="J42" s="2" t="str">
        <f aca="false">IFERROR(__xludf.dummyfunction("""COMPUTED_VALUE"""),"Pour le fun")</f>
        <v>Pour le fun</v>
      </c>
      <c r="K42" s="2" t="str">
        <f aca="false">IFERROR(__xludf.dummyfunction("""COMPUTED_VALUE"""),"Sports collectifs, Sports de raquette, Athlétisme, Voile, Sports de rames, Sports aquatiques, Sports de combat, Equitation, Escalade, Autre")</f>
        <v>Sports collectifs, Sports de raquette, Athlétisme, Voile, Sports de rames, Sports aquatiques, Sports de combat, Equitation, Escalade, Autre</v>
      </c>
      <c r="L42" s="2" t="str">
        <f aca="false">IFERROR(__xludf.dummyfunction("""COMPUTED_VALUE"""),"J'aime cuisiner le WE ou quand j'ai le temps")</f>
        <v>J'aime cuisiner le WE ou quand j'ai le temps</v>
      </c>
      <c r="M42" s="2" t="n">
        <f aca="false">IFERROR(__xludf.dummyfunction("""COMPUTED_VALUE"""),7)</f>
        <v>7</v>
      </c>
      <c r="N42" s="2" t="str">
        <f aca="false">IFERROR(__xludf.dummyfunction("""COMPUTED_VALUE"""),"Une fois par semaine")</f>
        <v>Une fois par semaine</v>
      </c>
      <c r="O42" s="2" t="str">
        <f aca="false">IFERROR(__xludf.dummyfunction("""COMPUTED_VALUE"""),"Tu te poses dans un coin, chill !!")</f>
        <v>Tu te poses dans un coin, chill !!</v>
      </c>
      <c r="P42" s="2" t="n">
        <f aca="false">IFERROR(__xludf.dummyfunction("""COMPUTED_VALUE"""),3)</f>
        <v>3</v>
      </c>
      <c r="Q42" s="2" t="str">
        <f aca="false">IFERROR(__xludf.dummyfunction("""COMPUTED_VALUE"""),"Oui")</f>
        <v>Oui</v>
      </c>
      <c r="R42" s="2" t="str">
        <f aca="false">IFERROR(__xludf.dummyfunction("""COMPUTED_VALUE"""),"Non")</f>
        <v>Non</v>
      </c>
      <c r="S42" s="2" t="str">
        <f aca="false">IFERROR(__xludf.dummyfunction("""COMPUTED_VALUE"""),"les trutitas")</f>
        <v>les trutitas</v>
      </c>
      <c r="T42" s="2" t="str">
        <f aca="false">IFERROR(__xludf.dummyfunction("""COMPUTED_VALUE"""),"Feo le chat")</f>
        <v>Feo le chat</v>
      </c>
      <c r="U42" s="1" t="str">
        <f aca="false">IFERROR(__xludf.dummyfunction("""COMPUTED_VALUE"""),"")</f>
        <v/>
      </c>
      <c r="V42" s="1" t="str">
        <f aca="false">IFERROR(__xludf.dummyfunction("""COMPUTED_VALUE"""),"")</f>
        <v/>
      </c>
      <c r="W42" s="1" t="str">
        <f aca="false">IFERROR(__xludf.dummyfunction("""COMPUTED_VALUE"""),"")</f>
        <v/>
      </c>
      <c r="X42" s="1" t="str">
        <f aca="false">IFERROR(__xludf.dummyfunction("""COMPUTED_VALUE"""),"")</f>
        <v/>
      </c>
      <c r="Y42" s="1" t="str">
        <f aca="false">IFERROR(__xludf.dummyfunction("""COMPUTED_VALUE"""),"")</f>
        <v/>
      </c>
      <c r="Z42" s="1" t="str">
        <f aca="false">IFERROR(__xludf.dummyfunction("""COMPUTED_VALUE"""),"")</f>
        <v/>
      </c>
      <c r="AA42" s="1" t="str">
        <f aca="false">IFERROR(__xludf.dummyfunction("""COMPUTED_VALUE"""),"")</f>
        <v/>
      </c>
      <c r="AB42" s="1" t="str">
        <f aca="false">IFERROR(__xludf.dummyfunction("""COMPUTED_VALUE"""),"")</f>
        <v/>
      </c>
    </row>
    <row r="43" customFormat="false" ht="15.75" hidden="false" customHeight="false" outlineLevel="0" collapsed="false">
      <c r="A43" s="3" t="n">
        <f aca="false">IFERROR(__xludf.dummyfunction("""COMPUTED_VALUE"""),43634.5912774421)</f>
        <v>43634.59128</v>
      </c>
      <c r="B43" s="2" t="str">
        <f aca="false">IFERROR(__xludf.dummyfunction("""COMPUTED_VALUE"""),"Exequiel")</f>
        <v>Exequiel</v>
      </c>
      <c r="C43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43" s="2" t="str">
        <f aca="false">IFERROR(__xludf.dummyfunction("""COMPUTED_VALUE"""),"Pas de liste")</f>
        <v>Pas de liste</v>
      </c>
      <c r="E43" s="2" t="n">
        <f aca="false">IFERROR(__xludf.dummyfunction("""COMPUTED_VALUE"""),2)</f>
        <v>2</v>
      </c>
      <c r="F43" s="2" t="str">
        <f aca="false">IFERROR(__xludf.dummyfunction("""COMPUTED_VALUE"""),"Musique classique")</f>
        <v>Musique classique</v>
      </c>
      <c r="G43" s="2" t="str">
        <f aca="false">IFERROR(__xludf.dummyfunction("""COMPUTED_VALUE"""),"Littérature, Musique")</f>
        <v>Littérature, Musique</v>
      </c>
      <c r="H43" s="2" t="str">
        <f aca="false">IFERROR(__xludf.dummyfunction("""COMPUTED_VALUE"""),"Seulement les soirs de pleine lune")</f>
        <v>Seulement les soirs de pleine lune</v>
      </c>
      <c r="I43" s="2" t="str">
        <f aca="false">IFERROR(__xludf.dummyfunction("""COMPUTED_VALUE"""),"Plusieurs fois par semaine")</f>
        <v>Plusieurs fois par semaine</v>
      </c>
      <c r="J43" s="2" t="str">
        <f aca="false">IFERROR(__xludf.dummyfunction("""COMPUTED_VALUE"""),"Pour le fun")</f>
        <v>Pour le fun</v>
      </c>
      <c r="K43" s="2" t="str">
        <f aca="false">IFERROR(__xludf.dummyfunction("""COMPUTED_VALUE"""),"Sports collectifs, Sports de raquette")</f>
        <v>Sports collectifs, Sports de raquette</v>
      </c>
      <c r="L43" s="2" t="str">
        <f aca="false">IFERROR(__xludf.dummyfunction("""COMPUTED_VALUE"""),"Je fais toujours attention à bien manger")</f>
        <v>Je fais toujours attention à bien manger</v>
      </c>
      <c r="M43" s="2" t="n">
        <f aca="false">IFERROR(__xludf.dummyfunction("""COMPUTED_VALUE"""),1)</f>
        <v>1</v>
      </c>
      <c r="N43" s="2" t="str">
        <f aca="false">IFERROR(__xludf.dummyfunction("""COMPUTED_VALUE"""),"Une fois par mois")</f>
        <v>Une fois par mois</v>
      </c>
      <c r="O43" s="2" t="str">
        <f aca="false">IFERROR(__xludf.dummyfunction("""COMPUTED_VALUE"""),"Tu viens pas")</f>
        <v>Tu viens pas</v>
      </c>
      <c r="P43" s="2" t="n">
        <f aca="false">IFERROR(__xludf.dummyfunction("""COMPUTED_VALUE"""),1)</f>
        <v>1</v>
      </c>
      <c r="Q43" s="2" t="str">
        <f aca="false">IFERROR(__xludf.dummyfunction("""COMPUTED_VALUE"""),"Oui")</f>
        <v>Oui</v>
      </c>
      <c r="R43" s="2" t="str">
        <f aca="false">IFERROR(__xludf.dummyfunction("""COMPUTED_VALUE"""),"Non")</f>
        <v>Non</v>
      </c>
      <c r="S43" s="2" t="str">
        <f aca="false">IFERROR(__xludf.dummyfunction("""COMPUTED_VALUE"""),"Les trutitas")</f>
        <v>Les trutitas</v>
      </c>
      <c r="T43" s="2" t="str">
        <f aca="false">IFERROR(__xludf.dummyfunction("""COMPUTED_VALUE"""),"Une flute")</f>
        <v>Une flute</v>
      </c>
      <c r="U43" s="1" t="str">
        <f aca="false">IFERROR(__xludf.dummyfunction("""COMPUTED_VALUE"""),"")</f>
        <v/>
      </c>
      <c r="V43" s="1" t="str">
        <f aca="false">IFERROR(__xludf.dummyfunction("""COMPUTED_VALUE"""),"")</f>
        <v/>
      </c>
      <c r="W43" s="1" t="str">
        <f aca="false">IFERROR(__xludf.dummyfunction("""COMPUTED_VALUE"""),"")</f>
        <v/>
      </c>
      <c r="X43" s="1" t="str">
        <f aca="false">IFERROR(__xludf.dummyfunction("""COMPUTED_VALUE"""),"")</f>
        <v/>
      </c>
      <c r="Y43" s="1" t="str">
        <f aca="false">IFERROR(__xludf.dummyfunction("""COMPUTED_VALUE"""),"")</f>
        <v/>
      </c>
      <c r="Z43" s="1" t="str">
        <f aca="false">IFERROR(__xludf.dummyfunction("""COMPUTED_VALUE"""),"")</f>
        <v/>
      </c>
      <c r="AA43" s="1" t="str">
        <f aca="false">IFERROR(__xludf.dummyfunction("""COMPUTED_VALUE"""),"")</f>
        <v/>
      </c>
      <c r="AB43" s="1" t="str">
        <f aca="false">IFERROR(__xludf.dummyfunction("""COMPUTED_VALUE"""),"")</f>
        <v/>
      </c>
    </row>
    <row r="44" customFormat="false" ht="15.75" hidden="false" customHeight="false" outlineLevel="0" collapsed="false">
      <c r="A44" s="3" t="n">
        <f aca="false">IFERROR(__xludf.dummyfunction("""COMPUTED_VALUE"""),43635.5577191551)</f>
        <v>43635.55772</v>
      </c>
      <c r="B44" s="2" t="str">
        <f aca="false">IFERROR(__xludf.dummyfunction("""COMPUTED_VALUE"""),"Eugénie cotte")</f>
        <v>Eugénie cotte</v>
      </c>
      <c r="C44" s="2" t="str">
        <f aca="false">IFERROR(__xludf.dummyfunction("""COMPUTED_VALUE"""),"Le président et un inconnu")</f>
        <v>Le président et un inconnu</v>
      </c>
      <c r="D44" s="2" t="str">
        <f aca="false">IFERROR(__xludf.dummyfunction("""COMPUTED_VALUE"""),"BDE")</f>
        <v>BDE</v>
      </c>
      <c r="E44" s="2" t="n">
        <f aca="false">IFERROR(__xludf.dummyfunction("""COMPUTED_VALUE"""),4)</f>
        <v>4</v>
      </c>
      <c r="F44" s="2" t="str">
        <f aca="false">IFERROR(__xludf.dummyfunction("""COMPUTED_VALUE"""),"Electro posée, Pop, Musique fançaise, Jazz")</f>
        <v>Electro posée, Pop, Musique fançaise, Jazz</v>
      </c>
      <c r="G44" s="2" t="str">
        <f aca="false">IFERROR(__xludf.dummyfunction("""COMPUTED_VALUE"""),"Littérature, Théâtre, Cinéma")</f>
        <v>Littérature, Théâtre, Cinéma</v>
      </c>
      <c r="H44" s="2" t="str">
        <f aca="false">IFERROR(__xludf.dummyfunction("""COMPUTED_VALUE"""),"Seulement les soirs de pleine lune")</f>
        <v>Seulement les soirs de pleine lune</v>
      </c>
      <c r="I44" s="2" t="str">
        <f aca="false">IFERROR(__xludf.dummyfunction("""COMPUTED_VALUE"""),"Plusieurs fois par semaine")</f>
        <v>Plusieurs fois par semaine</v>
      </c>
      <c r="J44" s="2" t="str">
        <f aca="false">IFERROR(__xludf.dummyfunction("""COMPUTED_VALUE"""),"Pour le développement perso et se dépasser")</f>
        <v>Pour le développement perso et se dépasser</v>
      </c>
      <c r="K44" s="2" t="str">
        <f aca="false">IFERROR(__xludf.dummyfunction("""COMPUTED_VALUE"""),"Sports de raquette, Voile, Sports de rames, Sports aquatiques, Sports de combat")</f>
        <v>Sports de raquette, Voile, Sports de rames, Sports aquatiques, Sports de combat</v>
      </c>
      <c r="L44" s="2" t="str">
        <f aca="false">IFERROR(__xludf.dummyfunction("""COMPUTED_VALUE"""),"Je fais toujours attention à bien manger")</f>
        <v>Je fais toujours attention à bien manger</v>
      </c>
      <c r="M44" s="2" t="n">
        <f aca="false">IFERROR(__xludf.dummyfunction("""COMPUTED_VALUE"""),8)</f>
        <v>8</v>
      </c>
      <c r="N44" s="2" t="str">
        <f aca="false">IFERROR(__xludf.dummyfunction("""COMPUTED_VALUE"""),"Plusieurs fois par semaine")</f>
        <v>Plusieurs fois par semaine</v>
      </c>
      <c r="O44" s="2" t="str">
        <f aca="false">IFERROR(__xludf.dummyfunction("""COMPUTED_VALUE"""),"T'enflammes le dancefloor")</f>
        <v>T'enflammes le dancefloor</v>
      </c>
      <c r="P44" s="2" t="n">
        <f aca="false">IFERROR(__xludf.dummyfunction("""COMPUTED_VALUE"""),1)</f>
        <v>1</v>
      </c>
      <c r="Q44" s="2" t="str">
        <f aca="false">IFERROR(__xludf.dummyfunction("""COMPUTED_VALUE"""),"Oui")</f>
        <v>Oui</v>
      </c>
      <c r="R44" s="2" t="str">
        <f aca="false">IFERROR(__xludf.dummyfunction("""COMPUTED_VALUE"""),"Non")</f>
        <v>Non</v>
      </c>
      <c r="S44" s="2" t="str">
        <f aca="false">IFERROR(__xludf.dummyfunction("""COMPUTED_VALUE"""),"sans-abri")</f>
        <v>sans-abri</v>
      </c>
      <c r="T44" s="2" t="str">
        <f aca="false">IFERROR(__xludf.dummyfunction("""COMPUTED_VALUE"""),"Des oreilles de cochon")</f>
        <v>Des oreilles de cochon</v>
      </c>
      <c r="U44" s="1" t="str">
        <f aca="false">IFERROR(__xludf.dummyfunction("""COMPUTED_VALUE"""),"")</f>
        <v/>
      </c>
      <c r="V44" s="1" t="str">
        <f aca="false">IFERROR(__xludf.dummyfunction("""COMPUTED_VALUE"""),"")</f>
        <v/>
      </c>
      <c r="W44" s="1" t="str">
        <f aca="false">IFERROR(__xludf.dummyfunction("""COMPUTED_VALUE"""),"")</f>
        <v/>
      </c>
      <c r="X44" s="1" t="str">
        <f aca="false">IFERROR(__xludf.dummyfunction("""COMPUTED_VALUE"""),"")</f>
        <v/>
      </c>
      <c r="Y44" s="1" t="str">
        <f aca="false">IFERROR(__xludf.dummyfunction("""COMPUTED_VALUE"""),"")</f>
        <v/>
      </c>
      <c r="Z44" s="1" t="str">
        <f aca="false">IFERROR(__xludf.dummyfunction("""COMPUTED_VALUE"""),"")</f>
        <v/>
      </c>
      <c r="AA44" s="1" t="str">
        <f aca="false">IFERROR(__xludf.dummyfunction("""COMPUTED_VALUE"""),"")</f>
        <v/>
      </c>
      <c r="AB44" s="1" t="str">
        <f aca="false">IFERROR(__xludf.dummyfunction("""COMPUTED_VALUE"""),"")</f>
        <v/>
      </c>
    </row>
    <row r="45" customFormat="false" ht="15.75" hidden="false" customHeight="false" outlineLevel="0" collapsed="false">
      <c r="A45" s="3" t="n">
        <f aca="false">IFERROR(__xludf.dummyfunction("""COMPUTED_VALUE"""),43635.6267071412)</f>
        <v>43635.62671</v>
      </c>
      <c r="B45" s="2" t="str">
        <f aca="false">IFERROR(__xludf.dummyfunction("""COMPUTED_VALUE"""),"Victor BLANCART")</f>
        <v>Victor BLANCART</v>
      </c>
      <c r="C45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45" s="2" t="str">
        <f aca="false">IFERROR(__xludf.dummyfunction("""COMPUTED_VALUE"""),"BDS")</f>
        <v>BDS</v>
      </c>
      <c r="E45" s="2" t="n">
        <f aca="false">IFERROR(__xludf.dummyfunction("""COMPUTED_VALUE"""),3)</f>
        <v>3</v>
      </c>
      <c r="F45" s="2" t="str">
        <f aca="false">IFERROR(__xludf.dummyfunction("""COMPUTED_VALUE"""),"Rock, Electro hard, Rap, Musique fançaise, Jazz, Musique classique")</f>
        <v>Rock, Electro hard, Rap, Musique fançaise, Jazz, Musique classique</v>
      </c>
      <c r="G45" s="2" t="str">
        <f aca="false">IFERROR(__xludf.dummyfunction("""COMPUTED_VALUE"""),"Peinture, Littérature, Musique, Cinéma")</f>
        <v>Peinture, Littérature, Musique, Cinéma</v>
      </c>
      <c r="H45" s="2" t="str">
        <f aca="false">IFERROR(__xludf.dummyfunction("""COMPUTED_VALUE"""),"Quelques fois par semaine")</f>
        <v>Quelques fois par semaine</v>
      </c>
      <c r="I45" s="2" t="str">
        <f aca="false">IFERROR(__xludf.dummyfunction("""COMPUTED_VALUE"""),"Plusieurs fois par semaine")</f>
        <v>Plusieurs fois par semaine</v>
      </c>
      <c r="J45" s="2" t="str">
        <f aca="false">IFERROR(__xludf.dummyfunction("""COMPUTED_VALUE"""),"Pour le fun")</f>
        <v>Pour le fun</v>
      </c>
      <c r="K45" s="2" t="str">
        <f aca="false">IFERROR(__xludf.dummyfunction("""COMPUTED_VALUE"""),"Sports collectifs, Sports de raquette")</f>
        <v>Sports collectifs, Sports de raquette</v>
      </c>
      <c r="L45" s="2" t="str">
        <f aca="false">IFERROR(__xludf.dummyfunction("""COMPUTED_VALUE"""),"Je fais toujours attention à bien manger")</f>
        <v>Je fais toujours attention à bien manger</v>
      </c>
      <c r="M45" s="2" t="n">
        <f aca="false">IFERROR(__xludf.dummyfunction("""COMPUTED_VALUE"""),7)</f>
        <v>7</v>
      </c>
      <c r="N45" s="2" t="str">
        <f aca="false">IFERROR(__xludf.dummyfunction("""COMPUTED_VALUE"""),"Une fois par semaine")</f>
        <v>Une fois par semaine</v>
      </c>
      <c r="O45" s="2" t="str">
        <f aca="false">IFERROR(__xludf.dummyfunction("""COMPUTED_VALUE"""),"Tu te poses dans un coin, chill !!")</f>
        <v>Tu te poses dans un coin, chill !!</v>
      </c>
      <c r="P45" s="2" t="n">
        <f aca="false">IFERROR(__xludf.dummyfunction("""COMPUTED_VALUE"""),4)</f>
        <v>4</v>
      </c>
      <c r="Q45" s="2" t="str">
        <f aca="false">IFERROR(__xludf.dummyfunction("""COMPUTED_VALUE"""),"Oui")</f>
        <v>Oui</v>
      </c>
      <c r="R45" s="2" t="str">
        <f aca="false">IFERROR(__xludf.dummyfunction("""COMPUTED_VALUE"""),"Non")</f>
        <v>Non</v>
      </c>
      <c r="S45" s="2" t="str">
        <f aca="false">IFERROR(__xludf.dummyfunction("""COMPUTED_VALUE"""),"Les mages")</f>
        <v>Les mages</v>
      </c>
      <c r="T45" s="2" t="str">
        <f aca="false">IFERROR(__xludf.dummyfunction("""COMPUTED_VALUE"""),"Une gourde")</f>
        <v>Une gourde</v>
      </c>
      <c r="U45" s="1" t="str">
        <f aca="false">IFERROR(__xludf.dummyfunction("""COMPUTED_VALUE"""),"")</f>
        <v/>
      </c>
      <c r="V45" s="1" t="str">
        <f aca="false">IFERROR(__xludf.dummyfunction("""COMPUTED_VALUE"""),"")</f>
        <v/>
      </c>
      <c r="W45" s="1" t="str">
        <f aca="false">IFERROR(__xludf.dummyfunction("""COMPUTED_VALUE"""),"")</f>
        <v/>
      </c>
      <c r="X45" s="1" t="str">
        <f aca="false">IFERROR(__xludf.dummyfunction("""COMPUTED_VALUE"""),"")</f>
        <v/>
      </c>
      <c r="Y45" s="1" t="str">
        <f aca="false">IFERROR(__xludf.dummyfunction("""COMPUTED_VALUE"""),"")</f>
        <v/>
      </c>
      <c r="Z45" s="1" t="str">
        <f aca="false">IFERROR(__xludf.dummyfunction("""COMPUTED_VALUE"""),"")</f>
        <v/>
      </c>
      <c r="AA45" s="1" t="str">
        <f aca="false">IFERROR(__xludf.dummyfunction("""COMPUTED_VALUE"""),"")</f>
        <v/>
      </c>
      <c r="AB45" s="1" t="str">
        <f aca="false">IFERROR(__xludf.dummyfunction("""COMPUTED_VALUE"""),"")</f>
        <v/>
      </c>
    </row>
    <row r="46" customFormat="false" ht="15.75" hidden="false" customHeight="false" outlineLevel="0" collapsed="false">
      <c r="A46" s="3" t="n">
        <f aca="false">IFERROR(__xludf.dummyfunction("""COMPUTED_VALUE"""),43636.4088479745)</f>
        <v>43636.40885</v>
      </c>
      <c r="B46" s="2" t="str">
        <f aca="false">IFERROR(__xludf.dummyfunction("""COMPUTED_VALUE"""),"Léo HUREAU")</f>
        <v>Léo HUREAU</v>
      </c>
      <c r="C46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46" s="2" t="str">
        <f aca="false">IFERROR(__xludf.dummyfunction("""COMPUTED_VALUE"""),"BDS")</f>
        <v>BDS</v>
      </c>
      <c r="E46" s="2" t="n">
        <f aca="false">IFERROR(__xludf.dummyfunction("""COMPUTED_VALUE"""),5)</f>
        <v>5</v>
      </c>
      <c r="F46" s="2" t="str">
        <f aca="false">IFERROR(__xludf.dummyfunction("""COMPUTED_VALUE"""),"Rock, Electro posée, Rap, Pop, Musique fançaise, Musique classique")</f>
        <v>Rock, Electro posée, Rap, Pop, Musique fançaise, Musique classique</v>
      </c>
      <c r="G46" s="2" t="str">
        <f aca="false">IFERROR(__xludf.dummyfunction("""COMPUTED_VALUE"""),"Peinture, Littérature, Sculpture, Musique, Théâtre, Cinéma")</f>
        <v>Peinture, Littérature, Sculpture, Musique, Théâtre, Cinéma</v>
      </c>
      <c r="H46" s="2" t="str">
        <f aca="false">IFERROR(__xludf.dummyfunction("""COMPUTED_VALUE"""),"Quelques fois par semaine")</f>
        <v>Quelques fois par semaine</v>
      </c>
      <c r="I46" s="2" t="str">
        <f aca="false">IFERROR(__xludf.dummyfunction("""COMPUTED_VALUE"""),"Plusieurs fois par semaine")</f>
        <v>Plusieurs fois par semaine</v>
      </c>
      <c r="J46" s="2" t="str">
        <f aca="false">IFERROR(__xludf.dummyfunction("""COMPUTED_VALUE"""),"Pour le développement perso et se dépasser")</f>
        <v>Pour le développement perso et se dépasser</v>
      </c>
      <c r="K46" s="2" t="str">
        <f aca="false">IFERROR(__xludf.dummyfunction("""COMPUTED_VALUE"""),"Sports collectifs, Sports de raquette, Athlétisme")</f>
        <v>Sports collectifs, Sports de raquette, Athlétisme</v>
      </c>
      <c r="L46" s="2" t="str">
        <f aca="false">IFERROR(__xludf.dummyfunction("""COMPUTED_VALUE"""),"J'aime cuisiner le WE ou quand j'ai le temps")</f>
        <v>J'aime cuisiner le WE ou quand j'ai le temps</v>
      </c>
      <c r="M46" s="2" t="n">
        <f aca="false">IFERROR(__xludf.dummyfunction("""COMPUTED_VALUE"""),5)</f>
        <v>5</v>
      </c>
      <c r="N46" s="2" t="str">
        <f aca="false">IFERROR(__xludf.dummyfunction("""COMPUTED_VALUE"""),"Une fois par semaine")</f>
        <v>Une fois par semaine</v>
      </c>
      <c r="O46" s="2" t="str">
        <f aca="false">IFERROR(__xludf.dummyfunction("""COMPUTED_VALUE"""),"Tu te poses dans un coin, chill !!")</f>
        <v>Tu te poses dans un coin, chill !!</v>
      </c>
      <c r="P46" s="2" t="n">
        <f aca="false">IFERROR(__xludf.dummyfunction("""COMPUTED_VALUE"""),1)</f>
        <v>1</v>
      </c>
      <c r="Q46" s="2" t="str">
        <f aca="false">IFERROR(__xludf.dummyfunction("""COMPUTED_VALUE"""),"Oui")</f>
        <v>Oui</v>
      </c>
      <c r="R46" s="2" t="str">
        <f aca="false">IFERROR(__xludf.dummyfunction("""COMPUTED_VALUE"""),"Non")</f>
        <v>Non</v>
      </c>
      <c r="S46" s="2" t="str">
        <f aca="false">IFERROR(__xludf.dummyfunction("""COMPUTED_VALUE"""),"Le Panthéon")</f>
        <v>Le Panthéon</v>
      </c>
      <c r="T46" s="2" t="str">
        <f aca="false">IFERROR(__xludf.dummyfunction("""COMPUTED_VALUE"""),"Une voiture ")</f>
        <v>Une voiture </v>
      </c>
      <c r="U46" s="1" t="str">
        <f aca="false">IFERROR(__xludf.dummyfunction("""COMPUTED_VALUE"""),"")</f>
        <v/>
      </c>
      <c r="V46" s="1" t="str">
        <f aca="false">IFERROR(__xludf.dummyfunction("""COMPUTED_VALUE"""),"")</f>
        <v/>
      </c>
      <c r="W46" s="1" t="str">
        <f aca="false">IFERROR(__xludf.dummyfunction("""COMPUTED_VALUE"""),"")</f>
        <v/>
      </c>
      <c r="X46" s="1" t="str">
        <f aca="false">IFERROR(__xludf.dummyfunction("""COMPUTED_VALUE"""),"")</f>
        <v/>
      </c>
      <c r="Y46" s="1" t="str">
        <f aca="false">IFERROR(__xludf.dummyfunction("""COMPUTED_VALUE"""),"")</f>
        <v/>
      </c>
      <c r="Z46" s="1" t="str">
        <f aca="false">IFERROR(__xludf.dummyfunction("""COMPUTED_VALUE"""),"")</f>
        <v/>
      </c>
      <c r="AA46" s="1" t="str">
        <f aca="false">IFERROR(__xludf.dummyfunction("""COMPUTED_VALUE"""),"")</f>
        <v/>
      </c>
      <c r="AB46" s="1" t="str">
        <f aca="false">IFERROR(__xludf.dummyfunction("""COMPUTED_VALUE"""),"")</f>
        <v/>
      </c>
    </row>
    <row r="47" customFormat="false" ht="15.75" hidden="false" customHeight="false" outlineLevel="0" collapsed="false">
      <c r="A47" s="3" t="n">
        <f aca="false">IFERROR(__xludf.dummyfunction("""COMPUTED_VALUE"""),43636.6373899074)</f>
        <v>43636.63739</v>
      </c>
      <c r="B47" s="2" t="str">
        <f aca="false">IFERROR(__xludf.dummyfunction("""COMPUTED_VALUE"""),"Audrey BOYENVAL")</f>
        <v>Audrey BOYENVAL</v>
      </c>
      <c r="C47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47" s="2" t="str">
        <f aca="false">IFERROR(__xludf.dummyfunction("""COMPUTED_VALUE"""),"BDE")</f>
        <v>BDE</v>
      </c>
      <c r="E47" s="2" t="n">
        <f aca="false">IFERROR(__xludf.dummyfunction("""COMPUTED_VALUE"""),5)</f>
        <v>5</v>
      </c>
      <c r="F47" s="2" t="str">
        <f aca="false">IFERROR(__xludf.dummyfunction("""COMPUTED_VALUE"""),"Rap, Pop, Musique fançaise, Jazz, Musique classique")</f>
        <v>Rap, Pop, Musique fançaise, Jazz, Musique classique</v>
      </c>
      <c r="G47" s="2" t="str">
        <f aca="false">IFERROR(__xludf.dummyfunction("""COMPUTED_VALUE"""),"Danse, Musique, Théâtre, Cinéma")</f>
        <v>Danse, Musique, Théâtre, Cinéma</v>
      </c>
      <c r="H47" s="2" t="str">
        <f aca="false">IFERROR(__xludf.dummyfunction("""COMPUTED_VALUE"""),"Seulement les soirs de pleine lune")</f>
        <v>Seulement les soirs de pleine lune</v>
      </c>
      <c r="I47" s="2" t="str">
        <f aca="false">IFERROR(__xludf.dummyfunction("""COMPUTED_VALUE"""),"Plusieurs fois par semaine")</f>
        <v>Plusieurs fois par semaine</v>
      </c>
      <c r="J47" s="2" t="str">
        <f aca="false">IFERROR(__xludf.dummyfunction("""COMPUTED_VALUE"""),"Pour le fun")</f>
        <v>Pour le fun</v>
      </c>
      <c r="K47" s="2" t="str">
        <f aca="false">IFERROR(__xludf.dummyfunction("""COMPUTED_VALUE"""),"Equitation, Autre")</f>
        <v>Equitation, Autre</v>
      </c>
      <c r="L47" s="2" t="str">
        <f aca="false">IFERROR(__xludf.dummyfunction("""COMPUTED_VALUE"""),"J'aime cuisiner le WE ou quand j'ai le temps")</f>
        <v>J'aime cuisiner le WE ou quand j'ai le temps</v>
      </c>
      <c r="M47" s="2" t="n">
        <f aca="false">IFERROR(__xludf.dummyfunction("""COMPUTED_VALUE"""),1)</f>
        <v>1</v>
      </c>
      <c r="N47" s="2" t="str">
        <f aca="false">IFERROR(__xludf.dummyfunction("""COMPUTED_VALUE"""),"Plusieurs fois par semaine")</f>
        <v>Plusieurs fois par semaine</v>
      </c>
      <c r="O47" s="2" t="str">
        <f aca="false">IFERROR(__xludf.dummyfunction("""COMPUTED_VALUE"""),"T'enflammes le dancefloor")</f>
        <v>T'enflammes le dancefloor</v>
      </c>
      <c r="P47" s="2" t="n">
        <f aca="false">IFERROR(__xludf.dummyfunction("""COMPUTED_VALUE"""),1)</f>
        <v>1</v>
      </c>
      <c r="Q47" s="2" t="str">
        <f aca="false">IFERROR(__xludf.dummyfunction("""COMPUTED_VALUE"""),"Oui")</f>
        <v>Oui</v>
      </c>
      <c r="R47" s="2" t="str">
        <f aca="false">IFERROR(__xludf.dummyfunction("""COMPUTED_VALUE"""),"Non")</f>
        <v>Non</v>
      </c>
      <c r="S47" s="2" t="str">
        <f aca="false">IFERROR(__xludf.dummyfunction("""COMPUTED_VALUE"""),"La Crypte")</f>
        <v>La Crypte</v>
      </c>
      <c r="T47" s="2" t="str">
        <f aca="false">IFERROR(__xludf.dummyfunction("""COMPUTED_VALUE"""),"Un trophée")</f>
        <v>Un trophée</v>
      </c>
      <c r="U47" s="1" t="str">
        <f aca="false">IFERROR(__xludf.dummyfunction("""COMPUTED_VALUE"""),"")</f>
        <v/>
      </c>
      <c r="V47" s="1" t="str">
        <f aca="false">IFERROR(__xludf.dummyfunction("""COMPUTED_VALUE"""),"")</f>
        <v/>
      </c>
      <c r="W47" s="1" t="str">
        <f aca="false">IFERROR(__xludf.dummyfunction("""COMPUTED_VALUE"""),"")</f>
        <v/>
      </c>
      <c r="X47" s="1" t="str">
        <f aca="false">IFERROR(__xludf.dummyfunction("""COMPUTED_VALUE"""),"")</f>
        <v/>
      </c>
      <c r="Y47" s="1" t="str">
        <f aca="false">IFERROR(__xludf.dummyfunction("""COMPUTED_VALUE"""),"")</f>
        <v/>
      </c>
      <c r="Z47" s="1" t="str">
        <f aca="false">IFERROR(__xludf.dummyfunction("""COMPUTED_VALUE"""),"")</f>
        <v/>
      </c>
      <c r="AA47" s="1" t="str">
        <f aca="false">IFERROR(__xludf.dummyfunction("""COMPUTED_VALUE"""),"")</f>
        <v/>
      </c>
      <c r="AB47" s="1" t="str">
        <f aca="false">IFERROR(__xludf.dummyfunction("""COMPUTED_VALUE"""),"")</f>
        <v/>
      </c>
    </row>
    <row r="48" customFormat="false" ht="15.75" hidden="false" customHeight="false" outlineLevel="0" collapsed="false">
      <c r="A48" s="3" t="n">
        <f aca="false">IFERROR(__xludf.dummyfunction("""COMPUTED_VALUE"""),43636.7769742593)</f>
        <v>43636.77697</v>
      </c>
      <c r="B48" s="2" t="str">
        <f aca="false">IFERROR(__xludf.dummyfunction("""COMPUTED_VALUE"""),"Grégoire Turzo")</f>
        <v>Grégoire Turzo</v>
      </c>
      <c r="C48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48" s="2" t="str">
        <f aca="false">IFERROR(__xludf.dummyfunction("""COMPUTED_VALUE"""),"BDE")</f>
        <v>BDE</v>
      </c>
      <c r="E48" s="2" t="n">
        <f aca="false">IFERROR(__xludf.dummyfunction("""COMPUTED_VALUE"""),3)</f>
        <v>3</v>
      </c>
      <c r="F48" s="2" t="str">
        <f aca="false">IFERROR(__xludf.dummyfunction("""COMPUTED_VALUE"""),"Rock, Electro posée, Electro hard, Rap, Pop, Musique fançaise")</f>
        <v>Rock, Electro posée, Electro hard, Rap, Pop, Musique fançaise</v>
      </c>
      <c r="G48" s="2" t="str">
        <f aca="false">IFERROR(__xludf.dummyfunction("""COMPUTED_VALUE"""),"Musique, Cinéma")</f>
        <v>Musique, Cinéma</v>
      </c>
      <c r="H48" s="2" t="str">
        <f aca="false">IFERROR(__xludf.dummyfunction("""COMPUTED_VALUE"""),"Seulement les soirs de pleine lune")</f>
        <v>Seulement les soirs de pleine lune</v>
      </c>
      <c r="I48" s="2" t="str">
        <f aca="false">IFERROR(__xludf.dummyfunction("""COMPUTED_VALUE"""),"Plusieurs fois par semaine")</f>
        <v>Plusieurs fois par semaine</v>
      </c>
      <c r="J48" s="2" t="str">
        <f aca="false">IFERROR(__xludf.dummyfunction("""COMPUTED_VALUE"""),"Pour le fun")</f>
        <v>Pour le fun</v>
      </c>
      <c r="K48" s="2" t="str">
        <f aca="false">IFERROR(__xludf.dummyfunction("""COMPUTED_VALUE"""),"Sports de raquette")</f>
        <v>Sports de raquette</v>
      </c>
      <c r="L48" s="2" t="str">
        <f aca="false">IFERROR(__xludf.dummyfunction("""COMPUTED_VALUE"""),"J'aime cuisiner le WE ou quand j'ai le temps")</f>
        <v>J'aime cuisiner le WE ou quand j'ai le temps</v>
      </c>
      <c r="M48" s="2" t="n">
        <f aca="false">IFERROR(__xludf.dummyfunction("""COMPUTED_VALUE"""),8)</f>
        <v>8</v>
      </c>
      <c r="N48" s="2" t="str">
        <f aca="false">IFERROR(__xludf.dummyfunction("""COMPUTED_VALUE"""),"Une fois par semaine")</f>
        <v>Une fois par semaine</v>
      </c>
      <c r="O48" s="2" t="str">
        <f aca="false">IFERROR(__xludf.dummyfunction("""COMPUTED_VALUE"""),"Objectif grosse défonce")</f>
        <v>Objectif grosse défonce</v>
      </c>
      <c r="P48" s="2" t="n">
        <f aca="false">IFERROR(__xludf.dummyfunction("""COMPUTED_VALUE"""),2)</f>
        <v>2</v>
      </c>
      <c r="Q48" s="2" t="str">
        <f aca="false">IFERROR(__xludf.dummyfunction("""COMPUTED_VALUE"""),"Oui")</f>
        <v>Oui</v>
      </c>
      <c r="R48" s="2" t="str">
        <f aca="false">IFERROR(__xludf.dummyfunction("""COMPUTED_VALUE"""),"Non")</f>
        <v>Non</v>
      </c>
      <c r="S48" s="2" t="str">
        <f aca="false">IFERROR(__xludf.dummyfunction("""COMPUTED_VALUE"""),"Les fortiches")</f>
        <v>Les fortiches</v>
      </c>
      <c r="T48" s="2" t="str">
        <f aca="false">IFERROR(__xludf.dummyfunction("""COMPUTED_VALUE"""),"Lunette de toilettes")</f>
        <v>Lunette de toilettes</v>
      </c>
      <c r="U48" s="1" t="str">
        <f aca="false">IFERROR(__xludf.dummyfunction("""COMPUTED_VALUE"""),"")</f>
        <v/>
      </c>
      <c r="V48" s="1" t="str">
        <f aca="false">IFERROR(__xludf.dummyfunction("""COMPUTED_VALUE"""),"")</f>
        <v/>
      </c>
      <c r="W48" s="1" t="str">
        <f aca="false">IFERROR(__xludf.dummyfunction("""COMPUTED_VALUE"""),"")</f>
        <v/>
      </c>
      <c r="X48" s="1" t="str">
        <f aca="false">IFERROR(__xludf.dummyfunction("""COMPUTED_VALUE"""),"")</f>
        <v/>
      </c>
      <c r="Y48" s="1" t="str">
        <f aca="false">IFERROR(__xludf.dummyfunction("""COMPUTED_VALUE"""),"")</f>
        <v/>
      </c>
      <c r="Z48" s="1" t="str">
        <f aca="false">IFERROR(__xludf.dummyfunction("""COMPUTED_VALUE"""),"")</f>
        <v/>
      </c>
      <c r="AA48" s="1" t="str">
        <f aca="false">IFERROR(__xludf.dummyfunction("""COMPUTED_VALUE"""),"")</f>
        <v/>
      </c>
      <c r="AB48" s="1" t="str">
        <f aca="false">IFERROR(__xludf.dummyfunction("""COMPUTED_VALUE"""),"")</f>
        <v/>
      </c>
    </row>
    <row r="49" customFormat="false" ht="15.75" hidden="false" customHeight="false" outlineLevel="0" collapsed="false">
      <c r="A49" s="3" t="n">
        <f aca="false">IFERROR(__xludf.dummyfunction("""COMPUTED_VALUE"""),43636.7956720833)</f>
        <v>43636.79567</v>
      </c>
      <c r="B49" s="2" t="str">
        <f aca="false">IFERROR(__xludf.dummyfunction("""COMPUTED_VALUE"""),"Henri de Chanterac")</f>
        <v>Henri de Chanterac</v>
      </c>
      <c r="C49" s="2" t="str">
        <f aca="false">IFERROR(__xludf.dummyfunction("""COMPUTED_VALUE"""),"Deux inconnus")</f>
        <v>Deux inconnus</v>
      </c>
      <c r="D49" s="2" t="str">
        <f aca="false">IFERROR(__xludf.dummyfunction("""COMPUTED_VALUE"""),"BDE")</f>
        <v>BDE</v>
      </c>
      <c r="E49" s="2" t="n">
        <f aca="false">IFERROR(__xludf.dummyfunction("""COMPUTED_VALUE"""),5)</f>
        <v>5</v>
      </c>
      <c r="F49" s="2" t="str">
        <f aca="false">IFERROR(__xludf.dummyfunction("""COMPUTED_VALUE"""),"Rock, Electro posée, Pop, Musique fançaise, Jazz, Musique classique")</f>
        <v>Rock, Electro posée, Pop, Musique fançaise, Jazz, Musique classique</v>
      </c>
      <c r="G49" s="2" t="str">
        <f aca="false">IFERROR(__xludf.dummyfunction("""COMPUTED_VALUE"""),"Théâtre")</f>
        <v>Théâtre</v>
      </c>
      <c r="H49" s="2" t="str">
        <f aca="false">IFERROR(__xludf.dummyfunction("""COMPUTED_VALUE"""),"Quelques fois par semaine")</f>
        <v>Quelques fois par semaine</v>
      </c>
      <c r="I49" s="2" t="str">
        <f aca="false">IFERROR(__xludf.dummyfunction("""COMPUTED_VALUE"""),"Une fois par semaine")</f>
        <v>Une fois par semaine</v>
      </c>
      <c r="J49" s="2" t="str">
        <f aca="false">IFERROR(__xludf.dummyfunction("""COMPUTED_VALUE"""),"Pour le fun")</f>
        <v>Pour le fun</v>
      </c>
      <c r="K49" s="2" t="str">
        <f aca="false">IFERROR(__xludf.dummyfunction("""COMPUTED_VALUE"""),"Sports collectifs")</f>
        <v>Sports collectifs</v>
      </c>
      <c r="L49" s="2" t="str">
        <f aca="false">IFERROR(__xludf.dummyfunction("""COMPUTED_VALUE"""),"J'aime cuisiner le WE ou quand j'ai le temps")</f>
        <v>J'aime cuisiner le WE ou quand j'ai le temps</v>
      </c>
      <c r="M49" s="2" t="n">
        <f aca="false">IFERROR(__xludf.dummyfunction("""COMPUTED_VALUE"""),7)</f>
        <v>7</v>
      </c>
      <c r="N49" s="2" t="str">
        <f aca="false">IFERROR(__xludf.dummyfunction("""COMPUTED_VALUE"""),"Une fois par semaine")</f>
        <v>Une fois par semaine</v>
      </c>
      <c r="O49" s="2" t="str">
        <f aca="false">IFERROR(__xludf.dummyfunction("""COMPUTED_VALUE"""),"T'enflammes le dancefloor")</f>
        <v>T'enflammes le dancefloor</v>
      </c>
      <c r="P49" s="2" t="n">
        <f aca="false">IFERROR(__xludf.dummyfunction("""COMPUTED_VALUE"""),2)</f>
        <v>2</v>
      </c>
      <c r="Q49" s="2" t="str">
        <f aca="false">IFERROR(__xludf.dummyfunction("""COMPUTED_VALUE"""),"Oui")</f>
        <v>Oui</v>
      </c>
      <c r="R49" s="2" t="str">
        <f aca="false">IFERROR(__xludf.dummyfunction("""COMPUTED_VALUE"""),"Non")</f>
        <v>Non</v>
      </c>
      <c r="S49" s="2" t="str">
        <f aca="false">IFERROR(__xludf.dummyfunction("""COMPUTED_VALUE"""),"les fortiches")</f>
        <v>les fortiches</v>
      </c>
      <c r="T49" s="2" t="str">
        <f aca="false">IFERROR(__xludf.dummyfunction("""COMPUTED_VALUE"""),"un pochon de houblon")</f>
        <v>un pochon de houblon</v>
      </c>
      <c r="U49" s="1" t="str">
        <f aca="false">IFERROR(__xludf.dummyfunction("""COMPUTED_VALUE"""),"")</f>
        <v/>
      </c>
      <c r="V49" s="1" t="str">
        <f aca="false">IFERROR(__xludf.dummyfunction("""COMPUTED_VALUE"""),"")</f>
        <v/>
      </c>
      <c r="W49" s="1" t="str">
        <f aca="false">IFERROR(__xludf.dummyfunction("""COMPUTED_VALUE"""),"")</f>
        <v/>
      </c>
      <c r="X49" s="1" t="str">
        <f aca="false">IFERROR(__xludf.dummyfunction("""COMPUTED_VALUE"""),"")</f>
        <v/>
      </c>
      <c r="Y49" s="1" t="str">
        <f aca="false">IFERROR(__xludf.dummyfunction("""COMPUTED_VALUE"""),"")</f>
        <v/>
      </c>
      <c r="Z49" s="1" t="str">
        <f aca="false">IFERROR(__xludf.dummyfunction("""COMPUTED_VALUE"""),"")</f>
        <v/>
      </c>
      <c r="AA49" s="1" t="str">
        <f aca="false">IFERROR(__xludf.dummyfunction("""COMPUTED_VALUE"""),"")</f>
        <v/>
      </c>
      <c r="AB49" s="1" t="str">
        <f aca="false">IFERROR(__xludf.dummyfunction("""COMPUTED_VALUE"""),"")</f>
        <v/>
      </c>
    </row>
    <row r="50" customFormat="false" ht="15.75" hidden="false" customHeight="false" outlineLevel="0" collapsed="false">
      <c r="A50" s="3" t="n">
        <f aca="false">IFERROR(__xludf.dummyfunction("""COMPUTED_VALUE"""),43637.249897882)</f>
        <v>43637.2499</v>
      </c>
      <c r="B50" s="2" t="str">
        <f aca="false">IFERROR(__xludf.dummyfunction("""COMPUTED_VALUE"""),"Mathieu Rey-Herme")</f>
        <v>Mathieu Rey-Herme</v>
      </c>
      <c r="C50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50" s="2" t="str">
        <f aca="false">IFERROR(__xludf.dummyfunction("""COMPUTED_VALUE"""),"BDA, BDE")</f>
        <v>BDA, BDE</v>
      </c>
      <c r="E50" s="2" t="n">
        <f aca="false">IFERROR(__xludf.dummyfunction("""COMPUTED_VALUE"""),5)</f>
        <v>5</v>
      </c>
      <c r="F50" s="2" t="str">
        <f aca="false">IFERROR(__xludf.dummyfunction("""COMPUTED_VALUE"""),"Pop, Musique fançaise")</f>
        <v>Pop, Musique fançaise</v>
      </c>
      <c r="G50" s="2" t="str">
        <f aca="false">IFERROR(__xludf.dummyfunction("""COMPUTED_VALUE"""),"Musique, Théâtre")</f>
        <v>Musique, Théâtre</v>
      </c>
      <c r="H50" s="2" t="str">
        <f aca="false">IFERROR(__xludf.dummyfunction("""COMPUTED_VALUE"""),"Une fois de temps en temps")</f>
        <v>Une fois de temps en temps</v>
      </c>
      <c r="I50" s="2" t="str">
        <f aca="false">IFERROR(__xludf.dummyfunction("""COMPUTED_VALUE"""),"Plusieurs fois par semaine")</f>
        <v>Plusieurs fois par semaine</v>
      </c>
      <c r="J50" s="2" t="str">
        <f aca="false">IFERROR(__xludf.dummyfunction("""COMPUTED_VALUE"""),"Pour le fun")</f>
        <v>Pour le fun</v>
      </c>
      <c r="K50" s="2" t="str">
        <f aca="false">IFERROR(__xludf.dummyfunction("""COMPUTED_VALUE"""),"Sports collectifs, Athlétisme")</f>
        <v>Sports collectifs, Athlétisme</v>
      </c>
      <c r="L50" s="2" t="str">
        <f aca="false">IFERROR(__xludf.dummyfunction("""COMPUTED_VALUE"""),"J'aime cuisiner le WE ou quand j'ai le temps")</f>
        <v>J'aime cuisiner le WE ou quand j'ai le temps</v>
      </c>
      <c r="M50" s="2" t="n">
        <f aca="false">IFERROR(__xludf.dummyfunction("""COMPUTED_VALUE"""),4)</f>
        <v>4</v>
      </c>
      <c r="N50" s="2" t="str">
        <f aca="false">IFERROR(__xludf.dummyfunction("""COMPUTED_VALUE"""),"Plusieurs fois par semaine")</f>
        <v>Plusieurs fois par semaine</v>
      </c>
      <c r="O50" s="2" t="str">
        <f aca="false">IFERROR(__xludf.dummyfunction("""COMPUTED_VALUE"""),"T'enflammes le dancefloor")</f>
        <v>T'enflammes le dancefloor</v>
      </c>
      <c r="P50" s="2" t="n">
        <f aca="false">IFERROR(__xludf.dummyfunction("""COMPUTED_VALUE"""),1)</f>
        <v>1</v>
      </c>
      <c r="Q50" s="2" t="str">
        <f aca="false">IFERROR(__xludf.dummyfunction("""COMPUTED_VALUE"""),"Oui")</f>
        <v>Oui</v>
      </c>
      <c r="R50" s="2" t="str">
        <f aca="false">IFERROR(__xludf.dummyfunction("""COMPUTED_VALUE"""),"Non")</f>
        <v>Non</v>
      </c>
      <c r="S50" s="2" t="str">
        <f aca="false">IFERROR(__xludf.dummyfunction("""COMPUTED_VALUE"""),"La Crypte ")</f>
        <v>La Crypte </v>
      </c>
      <c r="T50" s="2" t="str">
        <f aca="false">IFERROR(__xludf.dummyfunction("""COMPUTED_VALUE"""),"Veston du gouverneur (comu)")</f>
        <v>Veston du gouverneur (comu)</v>
      </c>
      <c r="U50" s="1" t="str">
        <f aca="false">IFERROR(__xludf.dummyfunction("""COMPUTED_VALUE"""),"")</f>
        <v/>
      </c>
      <c r="V50" s="1" t="str">
        <f aca="false">IFERROR(__xludf.dummyfunction("""COMPUTED_VALUE"""),"")</f>
        <v/>
      </c>
      <c r="W50" s="1" t="str">
        <f aca="false">IFERROR(__xludf.dummyfunction("""COMPUTED_VALUE"""),"")</f>
        <v/>
      </c>
      <c r="X50" s="1" t="str">
        <f aca="false">IFERROR(__xludf.dummyfunction("""COMPUTED_VALUE"""),"")</f>
        <v/>
      </c>
      <c r="Y50" s="1" t="str">
        <f aca="false">IFERROR(__xludf.dummyfunction("""COMPUTED_VALUE"""),"")</f>
        <v/>
      </c>
      <c r="Z50" s="1" t="str">
        <f aca="false">IFERROR(__xludf.dummyfunction("""COMPUTED_VALUE"""),"")</f>
        <v/>
      </c>
      <c r="AA50" s="1" t="str">
        <f aca="false">IFERROR(__xludf.dummyfunction("""COMPUTED_VALUE"""),"")</f>
        <v/>
      </c>
      <c r="AB50" s="1" t="str">
        <f aca="false">IFERROR(__xludf.dummyfunction("""COMPUTED_VALUE"""),"")</f>
        <v/>
      </c>
    </row>
    <row r="51" customFormat="false" ht="15.75" hidden="false" customHeight="false" outlineLevel="0" collapsed="false">
      <c r="A51" s="3" t="n">
        <f aca="false">IFERROR(__xludf.dummyfunction("""COMPUTED_VALUE"""),43637.4949411227)</f>
        <v>43637.49494</v>
      </c>
      <c r="B51" s="2" t="str">
        <f aca="false">IFERROR(__xludf.dummyfunction("""COMPUTED_VALUE"""),"Manon VLIEGHE")</f>
        <v>Manon VLIEGHE</v>
      </c>
      <c r="C51" s="2" t="str">
        <f aca="false">IFERROR(__xludf.dummyfunction("""COMPUTED_VALUE"""),"Deux inconnus")</f>
        <v>Deux inconnus</v>
      </c>
      <c r="D51" s="2" t="str">
        <f aca="false">IFERROR(__xludf.dummyfunction("""COMPUTED_VALUE"""),"BDA")</f>
        <v>BDA</v>
      </c>
      <c r="E51" s="2" t="n">
        <f aca="false">IFERROR(__xludf.dummyfunction("""COMPUTED_VALUE"""),3)</f>
        <v>3</v>
      </c>
      <c r="F51" s="2" t="str">
        <f aca="false">IFERROR(__xludf.dummyfunction("""COMPUTED_VALUE"""),"Rock, Metal, Musique classique, Kpop")</f>
        <v>Rock, Metal, Musique classique, Kpop</v>
      </c>
      <c r="G51" s="2" t="str">
        <f aca="false">IFERROR(__xludf.dummyfunction("""COMPUTED_VALUE"""),"Peinture, Littérature, Sculpture, Danse, Musique, Théâtre, Cinéma, Graphisme, Autre")</f>
        <v>Peinture, Littérature, Sculpture, Danse, Musique, Théâtre, Cinéma, Graphisme, Autre</v>
      </c>
      <c r="H51" s="2" t="str">
        <f aca="false">IFERROR(__xludf.dummyfunction("""COMPUTED_VALUE"""),"Une fois de temps en temps")</f>
        <v>Une fois de temps en temps</v>
      </c>
      <c r="I51" s="2" t="str">
        <f aca="false">IFERROR(__xludf.dummyfunction("""COMPUTED_VALUE"""),"Une fois par semaine")</f>
        <v>Une fois par semaine</v>
      </c>
      <c r="J51" s="2" t="str">
        <f aca="false">IFERROR(__xludf.dummyfunction("""COMPUTED_VALUE"""),"Pour le développement perso et se dépasser")</f>
        <v>Pour le développement perso et se dépasser</v>
      </c>
      <c r="K51" s="2" t="str">
        <f aca="false">IFERROR(__xludf.dummyfunction("""COMPUTED_VALUE"""),"Autre")</f>
        <v>Autre</v>
      </c>
      <c r="L51" s="2" t="str">
        <f aca="false">IFERROR(__xludf.dummyfunction("""COMPUTED_VALUE"""),"J'aime cuisiner le WE ou quand j'ai le temps")</f>
        <v>J'aime cuisiner le WE ou quand j'ai le temps</v>
      </c>
      <c r="M51" s="2" t="n">
        <f aca="false">IFERROR(__xludf.dummyfunction("""COMPUTED_VALUE"""),5)</f>
        <v>5</v>
      </c>
      <c r="N51" s="2" t="str">
        <f aca="false">IFERROR(__xludf.dummyfunction("""COMPUTED_VALUE"""),"Une fois par semaine")</f>
        <v>Une fois par semaine</v>
      </c>
      <c r="O51" s="2" t="str">
        <f aca="false">IFERROR(__xludf.dummyfunction("""COMPUTED_VALUE"""),"Tu te poses dans un coin, chill !!")</f>
        <v>Tu te poses dans un coin, chill !!</v>
      </c>
      <c r="P51" s="2" t="n">
        <f aca="false">IFERROR(__xludf.dummyfunction("""COMPUTED_VALUE"""),2)</f>
        <v>2</v>
      </c>
      <c r="Q51" s="2" t="str">
        <f aca="false">IFERROR(__xludf.dummyfunction("""COMPUTED_VALUE"""),"Oui")</f>
        <v>Oui</v>
      </c>
      <c r="R51" s="2" t="str">
        <f aca="false">IFERROR(__xludf.dummyfunction("""COMPUTED_VALUE"""),"Non")</f>
        <v>Non</v>
      </c>
      <c r="S51" s="2" t="str">
        <f aca="false">IFERROR(__xludf.dummyfunction("""COMPUTED_VALUE"""),"Auberge-Monastère")</f>
        <v>Auberge-Monastère</v>
      </c>
      <c r="T51" s="2" t="str">
        <f aca="false">IFERROR(__xludf.dummyfunction("""COMPUTED_VALUE"""),"Une valise de matèriel à dessin")</f>
        <v>Une valise de matèriel à dessin</v>
      </c>
      <c r="U51" s="1" t="str">
        <f aca="false">IFERROR(__xludf.dummyfunction("""COMPUTED_VALUE"""),"")</f>
        <v/>
      </c>
      <c r="V51" s="1" t="str">
        <f aca="false">IFERROR(__xludf.dummyfunction("""COMPUTED_VALUE"""),"")</f>
        <v/>
      </c>
      <c r="W51" s="1" t="str">
        <f aca="false">IFERROR(__xludf.dummyfunction("""COMPUTED_VALUE"""),"")</f>
        <v/>
      </c>
      <c r="X51" s="1" t="str">
        <f aca="false">IFERROR(__xludf.dummyfunction("""COMPUTED_VALUE"""),"")</f>
        <v/>
      </c>
      <c r="Y51" s="1" t="str">
        <f aca="false">IFERROR(__xludf.dummyfunction("""COMPUTED_VALUE"""),"")</f>
        <v/>
      </c>
      <c r="Z51" s="1" t="str">
        <f aca="false">IFERROR(__xludf.dummyfunction("""COMPUTED_VALUE"""),"")</f>
        <v/>
      </c>
      <c r="AA51" s="1" t="str">
        <f aca="false">IFERROR(__xludf.dummyfunction("""COMPUTED_VALUE"""),"")</f>
        <v/>
      </c>
      <c r="AB51" s="1" t="str">
        <f aca="false">IFERROR(__xludf.dummyfunction("""COMPUTED_VALUE"""),"")</f>
        <v/>
      </c>
    </row>
    <row r="52" customFormat="false" ht="15.75" hidden="false" customHeight="false" outlineLevel="0" collapsed="false">
      <c r="A52" s="3" t="n">
        <f aca="false">IFERROR(__xludf.dummyfunction("""COMPUTED_VALUE"""),43637.4964358912)</f>
        <v>43637.49644</v>
      </c>
      <c r="B52" s="2" t="str">
        <f aca="false">IFERROR(__xludf.dummyfunction("""COMPUTED_VALUE"""),"Miguel MORENO")</f>
        <v>Miguel MORENO</v>
      </c>
      <c r="C52" s="2" t="str">
        <f aca="false">IFERROR(__xludf.dummyfunction("""COMPUTED_VALUE"""),"Le président et un inconnu")</f>
        <v>Le président et un inconnu</v>
      </c>
      <c r="D52" s="2" t="str">
        <f aca="false">IFERROR(__xludf.dummyfunction("""COMPUTED_VALUE"""),"Pas de liste")</f>
        <v>Pas de liste</v>
      </c>
      <c r="E52" s="2" t="n">
        <f aca="false">IFERROR(__xludf.dummyfunction("""COMPUTED_VALUE"""),2)</f>
        <v>2</v>
      </c>
      <c r="F52" s="2" t="str">
        <f aca="false">IFERROR(__xludf.dummyfunction("""COMPUTED_VALUE"""),"Rock, Metal, Electro hard, Musique fançaise, Jazz, Musique classique")</f>
        <v>Rock, Metal, Electro hard, Musique fançaise, Jazz, Musique classique</v>
      </c>
      <c r="G52" s="2" t="str">
        <f aca="false">IFERROR(__xludf.dummyfunction("""COMPUTED_VALUE"""),"Peinture, Littérature, Musique, Cinéma")</f>
        <v>Peinture, Littérature, Musique, Cinéma</v>
      </c>
      <c r="H52" s="2" t="str">
        <f aca="false">IFERROR(__xludf.dummyfunction("""COMPUTED_VALUE"""),"Une fois de temps en temps")</f>
        <v>Une fois de temps en temps</v>
      </c>
      <c r="I52" s="2" t="str">
        <f aca="false">IFERROR(__xludf.dummyfunction("""COMPUTED_VALUE"""),"Le dimanche à 15h32 s'il fait beau")</f>
        <v>Le dimanche à 15h32 s'il fait beau</v>
      </c>
      <c r="J52" s="2" t="str">
        <f aca="false">IFERROR(__xludf.dummyfunction("""COMPUTED_VALUE"""),"Pour le développement perso et se dépasser")</f>
        <v>Pour le développement perso et se dépasser</v>
      </c>
      <c r="K52" s="2" t="str">
        <f aca="false">IFERROR(__xludf.dummyfunction("""COMPUTED_VALUE"""),"Sports aquatiques, Sports de combat")</f>
        <v>Sports aquatiques, Sports de combat</v>
      </c>
      <c r="L52" s="2" t="str">
        <f aca="false">IFERROR(__xludf.dummyfunction("""COMPUTED_VALUE"""),"J'aime cuisiner le WE ou quand j'ai le temps")</f>
        <v>J'aime cuisiner le WE ou quand j'ai le temps</v>
      </c>
      <c r="M52" s="2" t="n">
        <f aca="false">IFERROR(__xludf.dummyfunction("""COMPUTED_VALUE"""),8)</f>
        <v>8</v>
      </c>
      <c r="N52" s="2" t="str">
        <f aca="false">IFERROR(__xludf.dummyfunction("""COMPUTED_VALUE"""),"Plusieurs fois par semaine")</f>
        <v>Plusieurs fois par semaine</v>
      </c>
      <c r="O52" s="2" t="str">
        <f aca="false">IFERROR(__xludf.dummyfunction("""COMPUTED_VALUE"""),"Objectif grosse défonce")</f>
        <v>Objectif grosse défonce</v>
      </c>
      <c r="P52" s="2" t="n">
        <f aca="false">IFERROR(__xludf.dummyfunction("""COMPUTED_VALUE"""),3)</f>
        <v>3</v>
      </c>
      <c r="Q52" s="2" t="str">
        <f aca="false">IFERROR(__xludf.dummyfunction("""COMPUTED_VALUE"""),"Oui")</f>
        <v>Oui</v>
      </c>
      <c r="R52" s="2" t="str">
        <f aca="false">IFERROR(__xludf.dummyfunction("""COMPUTED_VALUE"""),"Non")</f>
        <v>Non</v>
      </c>
      <c r="S52" s="2" t="str">
        <f aca="false">IFERROR(__xludf.dummyfunction("""COMPUTED_VALUE"""),"LePatio")</f>
        <v>LePatio</v>
      </c>
      <c r="T52" s="2" t="str">
        <f aca="false">IFERROR(__xludf.dummyfunction("""COMPUTED_VALUE"""),"Conseills académiques et pour bien s'amuser pendant ses études dans la façon Latinoaméricaine ")</f>
        <v>Conseills académiques et pour bien s'amuser pendant ses études dans la façon Latinoaméricaine </v>
      </c>
      <c r="U52" s="1" t="str">
        <f aca="false">IFERROR(__xludf.dummyfunction("""COMPUTED_VALUE"""),"")</f>
        <v/>
      </c>
      <c r="V52" s="1" t="str">
        <f aca="false">IFERROR(__xludf.dummyfunction("""COMPUTED_VALUE"""),"")</f>
        <v/>
      </c>
      <c r="W52" s="1" t="str">
        <f aca="false">IFERROR(__xludf.dummyfunction("""COMPUTED_VALUE"""),"")</f>
        <v/>
      </c>
      <c r="X52" s="1" t="str">
        <f aca="false">IFERROR(__xludf.dummyfunction("""COMPUTED_VALUE"""),"")</f>
        <v/>
      </c>
      <c r="Y52" s="1" t="str">
        <f aca="false">IFERROR(__xludf.dummyfunction("""COMPUTED_VALUE"""),"")</f>
        <v/>
      </c>
      <c r="Z52" s="1" t="str">
        <f aca="false">IFERROR(__xludf.dummyfunction("""COMPUTED_VALUE"""),"")</f>
        <v/>
      </c>
      <c r="AA52" s="1" t="str">
        <f aca="false">IFERROR(__xludf.dummyfunction("""COMPUTED_VALUE"""),"")</f>
        <v/>
      </c>
      <c r="AB52" s="1" t="str">
        <f aca="false">IFERROR(__xludf.dummyfunction("""COMPUTED_VALUE"""),"")</f>
        <v/>
      </c>
    </row>
    <row r="53" customFormat="false" ht="15.75" hidden="false" customHeight="false" outlineLevel="0" collapsed="false">
      <c r="A53" s="3" t="n">
        <f aca="false">IFERROR(__xludf.dummyfunction("""COMPUTED_VALUE"""),43637.5573260995)</f>
        <v>43637.55733</v>
      </c>
      <c r="B53" s="2" t="str">
        <f aca="false">IFERROR(__xludf.dummyfunction("""COMPUTED_VALUE"""),"Baptiste Marlet")</f>
        <v>Baptiste Marlet</v>
      </c>
      <c r="C53" s="2" t="str">
        <f aca="false">IFERROR(__xludf.dummyfunction("""COMPUTED_VALUE"""),"Le président et un inconnu")</f>
        <v>Le président et un inconnu</v>
      </c>
      <c r="D53" s="2" t="str">
        <f aca="false">IFERROR(__xludf.dummyfunction("""COMPUTED_VALUE"""),"BDA")</f>
        <v>BDA</v>
      </c>
      <c r="E53" s="2" t="n">
        <f aca="false">IFERROR(__xludf.dummyfunction("""COMPUTED_VALUE"""),5)</f>
        <v>5</v>
      </c>
      <c r="F53" s="2" t="str">
        <f aca="false">IFERROR(__xludf.dummyfunction("""COMPUTED_VALUE"""),"Metal")</f>
        <v>Metal</v>
      </c>
      <c r="G53" s="2" t="str">
        <f aca="false">IFERROR(__xludf.dummyfunction("""COMPUTED_VALUE"""),"Littérature, Musique, Théâtre")</f>
        <v>Littérature, Musique, Théâtre</v>
      </c>
      <c r="H53" s="2" t="str">
        <f aca="false">IFERROR(__xludf.dummyfunction("""COMPUTED_VALUE"""),"Seulement les soirs de pleine lune")</f>
        <v>Seulement les soirs de pleine lune</v>
      </c>
      <c r="I53" s="2" t="str">
        <f aca="false">IFERROR(__xludf.dummyfunction("""COMPUTED_VALUE"""),"Le dimanche à 15h32 s'il fait beau")</f>
        <v>Le dimanche à 15h32 s'il fait beau</v>
      </c>
      <c r="J53" s="2" t="str">
        <f aca="false">IFERROR(__xludf.dummyfunction("""COMPUTED_VALUE"""),"Pour les autres")</f>
        <v>Pour les autres</v>
      </c>
      <c r="K53" s="2" t="str">
        <f aca="false">IFERROR(__xludf.dummyfunction("""COMPUTED_VALUE"""),"Pas de sport")</f>
        <v>Pas de sport</v>
      </c>
      <c r="L53" s="2" t="str">
        <f aca="false">IFERROR(__xludf.dummyfunction("""COMPUTED_VALUE"""),"J'aime cuisiner le WE ou quand j'ai le temps")</f>
        <v>J'aime cuisiner le WE ou quand j'ai le temps</v>
      </c>
      <c r="M53" s="2" t="n">
        <f aca="false">IFERROR(__xludf.dummyfunction("""COMPUTED_VALUE"""),4)</f>
        <v>4</v>
      </c>
      <c r="N53" s="2" t="str">
        <f aca="false">IFERROR(__xludf.dummyfunction("""COMPUTED_VALUE"""),"Une fois par mois")</f>
        <v>Une fois par mois</v>
      </c>
      <c r="O53" s="2" t="str">
        <f aca="false">IFERROR(__xludf.dummyfunction("""COMPUTED_VALUE"""),"Tu te poses dans un coin, chill !!")</f>
        <v>Tu te poses dans un coin, chill !!</v>
      </c>
      <c r="P53" s="2" t="n">
        <f aca="false">IFERROR(__xludf.dummyfunction("""COMPUTED_VALUE"""),1)</f>
        <v>1</v>
      </c>
      <c r="Q53" s="2" t="str">
        <f aca="false">IFERROR(__xludf.dummyfunction("""COMPUTED_VALUE"""),"Oui")</f>
        <v>Oui</v>
      </c>
      <c r="R53" s="2" t="str">
        <f aca="false">IFERROR(__xludf.dummyfunction("""COMPUTED_VALUE"""),"Non")</f>
        <v>Non</v>
      </c>
      <c r="S53" s="2" t="str">
        <f aca="false">IFERROR(__xludf.dummyfunction("""COMPUTED_VALUE"""),"Les coulisses")</f>
        <v>Les coulisses</v>
      </c>
      <c r="T53" s="2" t="str">
        <f aca="false">IFERROR(__xludf.dummyfunction("""COMPUTED_VALUE"""),"Le set de dés du JDR")</f>
        <v>Le set de dés du JDR</v>
      </c>
      <c r="U53" s="1" t="str">
        <f aca="false">IFERROR(__xludf.dummyfunction("""COMPUTED_VALUE"""),"")</f>
        <v/>
      </c>
      <c r="V53" s="1" t="str">
        <f aca="false">IFERROR(__xludf.dummyfunction("""COMPUTED_VALUE"""),"")</f>
        <v/>
      </c>
      <c r="W53" s="1" t="str">
        <f aca="false">IFERROR(__xludf.dummyfunction("""COMPUTED_VALUE"""),"")</f>
        <v/>
      </c>
      <c r="X53" s="1" t="str">
        <f aca="false">IFERROR(__xludf.dummyfunction("""COMPUTED_VALUE"""),"")</f>
        <v/>
      </c>
      <c r="Y53" s="1" t="str">
        <f aca="false">IFERROR(__xludf.dummyfunction("""COMPUTED_VALUE"""),"")</f>
        <v/>
      </c>
      <c r="Z53" s="1" t="str">
        <f aca="false">IFERROR(__xludf.dummyfunction("""COMPUTED_VALUE"""),"")</f>
        <v/>
      </c>
      <c r="AA53" s="1" t="str">
        <f aca="false">IFERROR(__xludf.dummyfunction("""COMPUTED_VALUE"""),"")</f>
        <v/>
      </c>
      <c r="AB53" s="1" t="str">
        <f aca="false">IFERROR(__xludf.dummyfunction("""COMPUTED_VALUE"""),"")</f>
        <v/>
      </c>
    </row>
    <row r="54" customFormat="false" ht="15.75" hidden="false" customHeight="false" outlineLevel="0" collapsed="false">
      <c r="A54" s="3" t="n">
        <f aca="false">IFERROR(__xludf.dummyfunction("""COMPUTED_VALUE"""),43638.6928370718)</f>
        <v>43638.69284</v>
      </c>
      <c r="B54" s="2" t="str">
        <f aca="false">IFERROR(__xludf.dummyfunction("""COMPUTED_VALUE"""),"Pierre-Jean POLLOT")</f>
        <v>Pierre-Jean POLLOT</v>
      </c>
      <c r="C54" s="2" t="str">
        <f aca="false">IFERROR(__xludf.dummyfunction("""COMPUTED_VALUE"""),"Deux inconnus")</f>
        <v>Deux inconnus</v>
      </c>
      <c r="D54" s="2" t="str">
        <f aca="false">IFERROR(__xludf.dummyfunction("""COMPUTED_VALUE"""),"BDA")</f>
        <v>BDA</v>
      </c>
      <c r="E54" s="2" t="n">
        <f aca="false">IFERROR(__xludf.dummyfunction("""COMPUTED_VALUE"""),3)</f>
        <v>3</v>
      </c>
      <c r="F54" s="2" t="str">
        <f aca="false">IFERROR(__xludf.dummyfunction("""COMPUTED_VALUE"""),"Electro posée, Rap, Pop, Musique fançaise, Musique classique")</f>
        <v>Electro posée, Rap, Pop, Musique fançaise, Musique classique</v>
      </c>
      <c r="G54" s="2" t="str">
        <f aca="false">IFERROR(__xludf.dummyfunction("""COMPUTED_VALUE"""),"Danse, Musique, Théâtre, Graphisme, Autre")</f>
        <v>Danse, Musique, Théâtre, Graphisme, Autre</v>
      </c>
      <c r="H54" s="2" t="str">
        <f aca="false">IFERROR(__xludf.dummyfunction("""COMPUTED_VALUE"""),"Seulement les soirs de pleine lune")</f>
        <v>Seulement les soirs de pleine lune</v>
      </c>
      <c r="I54" s="2" t="str">
        <f aca="false">IFERROR(__xludf.dummyfunction("""COMPUTED_VALUE"""),"Une fois par jour")</f>
        <v>Une fois par jour</v>
      </c>
      <c r="J54" s="2" t="str">
        <f aca="false">IFERROR(__xludf.dummyfunction("""COMPUTED_VALUE"""),"Pour le développement perso et se dépasser")</f>
        <v>Pour le développement perso et se dépasser</v>
      </c>
      <c r="K54" s="2" t="str">
        <f aca="false">IFERROR(__xludf.dummyfunction("""COMPUTED_VALUE"""),"Autre")</f>
        <v>Autre</v>
      </c>
      <c r="L54" s="2" t="str">
        <f aca="false">IFERROR(__xludf.dummyfunction("""COMPUTED_VALUE"""),"Je fais toujours attention à bien manger")</f>
        <v>Je fais toujours attention à bien manger</v>
      </c>
      <c r="M54" s="2" t="n">
        <f aca="false">IFERROR(__xludf.dummyfunction("""COMPUTED_VALUE"""),8)</f>
        <v>8</v>
      </c>
      <c r="N54" s="2" t="str">
        <f aca="false">IFERROR(__xludf.dummyfunction("""COMPUTED_VALUE"""),"Une fois par semaine")</f>
        <v>Une fois par semaine</v>
      </c>
      <c r="O54" s="2" t="str">
        <f aca="false">IFERROR(__xludf.dummyfunction("""COMPUTED_VALUE"""),"Tu te poses dans un coin, chill !!")</f>
        <v>Tu te poses dans un coin, chill !!</v>
      </c>
      <c r="P54" s="2" t="n">
        <f aca="false">IFERROR(__xludf.dummyfunction("""COMPUTED_VALUE"""),2)</f>
        <v>2</v>
      </c>
      <c r="Q54" s="2" t="str">
        <f aca="false">IFERROR(__xludf.dummyfunction("""COMPUTED_VALUE"""),"Oui")</f>
        <v>Oui</v>
      </c>
      <c r="R54" s="2" t="str">
        <f aca="false">IFERROR(__xludf.dummyfunction("""COMPUTED_VALUE"""),"Non")</f>
        <v>Non</v>
      </c>
      <c r="S54" s="2" t="str">
        <f aca="false">IFERROR(__xludf.dummyfunction("""COMPUTED_VALUE"""),"Les coulisses")</f>
        <v>Les coulisses</v>
      </c>
      <c r="T54" s="2" t="str">
        <f aca="false">IFERROR(__xludf.dummyfunction("""COMPUTED_VALUE"""),"Un noeud papillon")</f>
        <v>Un noeud papillon</v>
      </c>
      <c r="U54" s="1" t="str">
        <f aca="false">IFERROR(__xludf.dummyfunction("""COMPUTED_VALUE"""),"")</f>
        <v/>
      </c>
      <c r="V54" s="1" t="str">
        <f aca="false">IFERROR(__xludf.dummyfunction("""COMPUTED_VALUE"""),"")</f>
        <v/>
      </c>
      <c r="W54" s="1" t="str">
        <f aca="false">IFERROR(__xludf.dummyfunction("""COMPUTED_VALUE"""),"")</f>
        <v/>
      </c>
      <c r="X54" s="1" t="str">
        <f aca="false">IFERROR(__xludf.dummyfunction("""COMPUTED_VALUE"""),"")</f>
        <v/>
      </c>
      <c r="Y54" s="1" t="str">
        <f aca="false">IFERROR(__xludf.dummyfunction("""COMPUTED_VALUE"""),"")</f>
        <v/>
      </c>
      <c r="Z54" s="1" t="str">
        <f aca="false">IFERROR(__xludf.dummyfunction("""COMPUTED_VALUE"""),"")</f>
        <v/>
      </c>
      <c r="AA54" s="1" t="str">
        <f aca="false">IFERROR(__xludf.dummyfunction("""COMPUTED_VALUE"""),"")</f>
        <v/>
      </c>
      <c r="AB54" s="1" t="str">
        <f aca="false">IFERROR(__xludf.dummyfunction("""COMPUTED_VALUE"""),"")</f>
        <v/>
      </c>
    </row>
    <row r="55" customFormat="false" ht="15.75" hidden="false" customHeight="false" outlineLevel="0" collapsed="false">
      <c r="A55" s="3" t="n">
        <f aca="false">IFERROR(__xludf.dummyfunction("""COMPUTED_VALUE"""),43638.816961794)</f>
        <v>43638.81696</v>
      </c>
      <c r="B55" s="2" t="str">
        <f aca="false">IFERROR(__xludf.dummyfunction("""COMPUTED_VALUE"""),"Alexandre MERASLI")</f>
        <v>Alexandre MERASLI</v>
      </c>
      <c r="C55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55" s="2" t="str">
        <f aca="false">IFERROR(__xludf.dummyfunction("""COMPUTED_VALUE"""),"BDA")</f>
        <v>BDA</v>
      </c>
      <c r="E55" s="2" t="n">
        <f aca="false">IFERROR(__xludf.dummyfunction("""COMPUTED_VALUE"""),4)</f>
        <v>4</v>
      </c>
      <c r="F55" s="2" t="str">
        <f aca="false">IFERROR(__xludf.dummyfunction("""COMPUTED_VALUE"""),"Rock, Metal, Electro posée, Pop, Musique classique")</f>
        <v>Rock, Metal, Electro posée, Pop, Musique classique</v>
      </c>
      <c r="G55" s="2" t="str">
        <f aca="false">IFERROR(__xludf.dummyfunction("""COMPUTED_VALUE"""),"Musique, Cinéma")</f>
        <v>Musique, Cinéma</v>
      </c>
      <c r="H55" s="2" t="str">
        <f aca="false">IFERROR(__xludf.dummyfunction("""COMPUTED_VALUE"""),"Une fois de temps en temps")</f>
        <v>Une fois de temps en temps</v>
      </c>
      <c r="I55" s="2" t="str">
        <f aca="false">IFERROR(__xludf.dummyfunction("""COMPUTED_VALUE"""),"Une fois par jour")</f>
        <v>Une fois par jour</v>
      </c>
      <c r="J55" s="2" t="str">
        <f aca="false">IFERROR(__xludf.dummyfunction("""COMPUTED_VALUE"""),"Pour le fun")</f>
        <v>Pour le fun</v>
      </c>
      <c r="K55" s="2" t="str">
        <f aca="false">IFERROR(__xludf.dummyfunction("""COMPUTED_VALUE"""),"Sports collectifs, Sports de raquette")</f>
        <v>Sports collectifs, Sports de raquette</v>
      </c>
      <c r="L55" s="2" t="str">
        <f aca="false">IFERROR(__xludf.dummyfunction("""COMPUTED_VALUE"""),"Alterner entre grec et coquillettes ça compte ?")</f>
        <v>Alterner entre grec et coquillettes ça compte ?</v>
      </c>
      <c r="M55" s="2" t="n">
        <f aca="false">IFERROR(__xludf.dummyfunction("""COMPUTED_VALUE"""),2)</f>
        <v>2</v>
      </c>
      <c r="N55" s="2" t="str">
        <f aca="false">IFERROR(__xludf.dummyfunction("""COMPUTED_VALUE"""),"Une fois par mois")</f>
        <v>Une fois par mois</v>
      </c>
      <c r="O55" s="2" t="str">
        <f aca="false">IFERROR(__xludf.dummyfunction("""COMPUTED_VALUE"""),"Tu te poses dans un coin, chill !!")</f>
        <v>Tu te poses dans un coin, chill !!</v>
      </c>
      <c r="P55" s="2" t="n">
        <f aca="false">IFERROR(__xludf.dummyfunction("""COMPUTED_VALUE"""),1)</f>
        <v>1</v>
      </c>
      <c r="Q55" s="2" t="str">
        <f aca="false">IFERROR(__xludf.dummyfunction("""COMPUTED_VALUE"""),"Oui")</f>
        <v>Oui</v>
      </c>
      <c r="R55" s="2" t="str">
        <f aca="false">IFERROR(__xludf.dummyfunction("""COMPUTED_VALUE"""),"Non")</f>
        <v>Non</v>
      </c>
      <c r="S55" s="2" t="str">
        <f aca="false">IFERROR(__xludf.dummyfunction("""COMPUTED_VALUE"""),"Bastion")</f>
        <v>Bastion</v>
      </c>
      <c r="T55" s="2" t="str">
        <f aca="false">IFERROR(__xludf.dummyfunction("""COMPUTED_VALUE"""),"Une balle de ping pong")</f>
        <v>Une balle de ping pong</v>
      </c>
      <c r="U55" s="1" t="str">
        <f aca="false">IFERROR(__xludf.dummyfunction("""COMPUTED_VALUE"""),"")</f>
        <v/>
      </c>
      <c r="V55" s="1" t="str">
        <f aca="false">IFERROR(__xludf.dummyfunction("""COMPUTED_VALUE"""),"")</f>
        <v/>
      </c>
      <c r="W55" s="1" t="str">
        <f aca="false">IFERROR(__xludf.dummyfunction("""COMPUTED_VALUE"""),"")</f>
        <v/>
      </c>
      <c r="X55" s="1" t="str">
        <f aca="false">IFERROR(__xludf.dummyfunction("""COMPUTED_VALUE"""),"")</f>
        <v/>
      </c>
      <c r="Y55" s="1" t="str">
        <f aca="false">IFERROR(__xludf.dummyfunction("""COMPUTED_VALUE"""),"")</f>
        <v/>
      </c>
      <c r="Z55" s="1" t="str">
        <f aca="false">IFERROR(__xludf.dummyfunction("""COMPUTED_VALUE"""),"")</f>
        <v/>
      </c>
      <c r="AA55" s="1" t="str">
        <f aca="false">IFERROR(__xludf.dummyfunction("""COMPUTED_VALUE"""),"")</f>
        <v/>
      </c>
      <c r="AB55" s="1" t="str">
        <f aca="false">IFERROR(__xludf.dummyfunction("""COMPUTED_VALUE"""),"")</f>
        <v/>
      </c>
    </row>
    <row r="56" customFormat="false" ht="15.75" hidden="false" customHeight="false" outlineLevel="0" collapsed="false">
      <c r="A56" s="3" t="n">
        <f aca="false">IFERROR(__xludf.dummyfunction("""COMPUTED_VALUE"""),43638.832439537)</f>
        <v>43638.83244</v>
      </c>
      <c r="B56" s="2" t="str">
        <f aca="false">IFERROR(__xludf.dummyfunction("""COMPUTED_VALUE"""),"Charlotte BEAUNE")</f>
        <v>Charlotte BEAUNE</v>
      </c>
      <c r="C56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56" s="2" t="str">
        <f aca="false">IFERROR(__xludf.dummyfunction("""COMPUTED_VALUE"""),"BDE")</f>
        <v>BDE</v>
      </c>
      <c r="E56" s="2" t="n">
        <f aca="false">IFERROR(__xludf.dummyfunction("""COMPUTED_VALUE"""),5)</f>
        <v>5</v>
      </c>
      <c r="F56" s="2" t="str">
        <f aca="false">IFERROR(__xludf.dummyfunction("""COMPUTED_VALUE"""),"Rock, Electro posée, Rap, Pop, Musique fançaise, Jazz, Musique classique")</f>
        <v>Rock, Electro posée, Rap, Pop, Musique fançaise, Jazz, Musique classique</v>
      </c>
      <c r="G56" s="2" t="str">
        <f aca="false">IFERROR(__xludf.dummyfunction("""COMPUTED_VALUE"""),"Danse, Musique, Cinéma, Graphisme")</f>
        <v>Danse, Musique, Cinéma, Graphisme</v>
      </c>
      <c r="H56" s="2" t="str">
        <f aca="false">IFERROR(__xludf.dummyfunction("""COMPUTED_VALUE"""),"Une fois de temps en temps")</f>
        <v>Une fois de temps en temps</v>
      </c>
      <c r="I56" s="2" t="str">
        <f aca="false">IFERROR(__xludf.dummyfunction("""COMPUTED_VALUE"""),"Plusieurs fois par semaine")</f>
        <v>Plusieurs fois par semaine</v>
      </c>
      <c r="J56" s="2" t="str">
        <f aca="false">IFERROR(__xludf.dummyfunction("""COMPUTED_VALUE"""),"Pour le fun")</f>
        <v>Pour le fun</v>
      </c>
      <c r="K56" s="2" t="str">
        <f aca="false">IFERROR(__xludf.dummyfunction("""COMPUTED_VALUE"""),"Sports collectifs")</f>
        <v>Sports collectifs</v>
      </c>
      <c r="L56" s="2" t="str">
        <f aca="false">IFERROR(__xludf.dummyfunction("""COMPUTED_VALUE"""),"J'aime cuisiner le WE ou quand j'ai le temps")</f>
        <v>J'aime cuisiner le WE ou quand j'ai le temps</v>
      </c>
      <c r="M56" s="2" t="n">
        <f aca="false">IFERROR(__xludf.dummyfunction("""COMPUTED_VALUE"""),8)</f>
        <v>8</v>
      </c>
      <c r="N56" s="2" t="str">
        <f aca="false">IFERROR(__xludf.dummyfunction("""COMPUTED_VALUE"""),"Plusieurs fois par semaine")</f>
        <v>Plusieurs fois par semaine</v>
      </c>
      <c r="O56" s="2" t="str">
        <f aca="false">IFERROR(__xludf.dummyfunction("""COMPUTED_VALUE"""),"T'enflammes le dancefloor")</f>
        <v>T'enflammes le dancefloor</v>
      </c>
      <c r="P56" s="2" t="n">
        <f aca="false">IFERROR(__xludf.dummyfunction("""COMPUTED_VALUE"""),3)</f>
        <v>3</v>
      </c>
      <c r="Q56" s="2" t="str">
        <f aca="false">IFERROR(__xludf.dummyfunction("""COMPUTED_VALUE"""),"Oui")</f>
        <v>Oui</v>
      </c>
      <c r="R56" s="2" t="str">
        <f aca="false">IFERROR(__xludf.dummyfunction("""COMPUTED_VALUE"""),"Non")</f>
        <v>Non</v>
      </c>
      <c r="S56" s="2" t="str">
        <f aca="false">IFERROR(__xludf.dummyfunction("""COMPUTED_VALUE"""),"Le Squat")</f>
        <v>Le Squat</v>
      </c>
      <c r="T56" s="2" t="str">
        <f aca="false">IFERROR(__xludf.dummyfunction("""COMPUTED_VALUE"""),"Mon attelle de genou flingué")</f>
        <v>Mon attelle de genou flingué</v>
      </c>
      <c r="U56" s="2" t="str">
        <f aca="false">IFERROR(__xludf.dummyfunction("""COMPUTED_VALUE"""),"")</f>
        <v/>
      </c>
      <c r="V56" s="1" t="str">
        <f aca="false">IFERROR(__xludf.dummyfunction("""COMPUTED_VALUE"""),"")</f>
        <v/>
      </c>
      <c r="W56" s="1" t="str">
        <f aca="false">IFERROR(__xludf.dummyfunction("""COMPUTED_VALUE"""),"")</f>
        <v/>
      </c>
      <c r="X56" s="1" t="str">
        <f aca="false">IFERROR(__xludf.dummyfunction("""COMPUTED_VALUE"""),"")</f>
        <v/>
      </c>
      <c r="Y56" s="1" t="str">
        <f aca="false">IFERROR(__xludf.dummyfunction("""COMPUTED_VALUE"""),"")</f>
        <v/>
      </c>
      <c r="Z56" s="1" t="str">
        <f aca="false">IFERROR(__xludf.dummyfunction("""COMPUTED_VALUE"""),"")</f>
        <v/>
      </c>
      <c r="AA56" s="1" t="str">
        <f aca="false">IFERROR(__xludf.dummyfunction("""COMPUTED_VALUE"""),"")</f>
        <v/>
      </c>
      <c r="AB56" s="1" t="str">
        <f aca="false">IFERROR(__xludf.dummyfunction("""COMPUTED_VALUE"""),"")</f>
        <v/>
      </c>
    </row>
    <row r="57" customFormat="false" ht="15.75" hidden="false" customHeight="false" outlineLevel="0" collapsed="false">
      <c r="A57" s="3" t="n">
        <f aca="false">IFERROR(__xludf.dummyfunction("""COMPUTED_VALUE"""),43638.833346412)</f>
        <v>43638.83335</v>
      </c>
      <c r="B57" s="2" t="str">
        <f aca="false">IFERROR(__xludf.dummyfunction("""COMPUTED_VALUE"""),"Helena Delmotte")</f>
        <v>Helena Delmotte</v>
      </c>
      <c r="C57" s="2" t="str">
        <f aca="false">IFERROR(__xludf.dummyfunction("""COMPUTED_VALUE"""),"Deux inconnus")</f>
        <v>Deux inconnus</v>
      </c>
      <c r="D57" s="2" t="str">
        <f aca="false">IFERROR(__xludf.dummyfunction("""COMPUTED_VALUE"""),"BDE")</f>
        <v>BDE</v>
      </c>
      <c r="E57" s="2" t="n">
        <f aca="false">IFERROR(__xludf.dummyfunction("""COMPUTED_VALUE"""),5)</f>
        <v>5</v>
      </c>
      <c r="F57" s="2" t="str">
        <f aca="false">IFERROR(__xludf.dummyfunction("""COMPUTED_VALUE"""),"Rock, Electro posée, Rap, Pop, Musique fançaise, Jazz, Musique classique")</f>
        <v>Rock, Electro posée, Rap, Pop, Musique fançaise, Jazz, Musique classique</v>
      </c>
      <c r="G57" s="2" t="str">
        <f aca="false">IFERROR(__xludf.dummyfunction("""COMPUTED_VALUE"""),"Littérature, Danse, Musique, Théâtre")</f>
        <v>Littérature, Danse, Musique, Théâtre</v>
      </c>
      <c r="H57" s="2" t="str">
        <f aca="false">IFERROR(__xludf.dummyfunction("""COMPUTED_VALUE"""),"Une fois de temps en temps")</f>
        <v>Une fois de temps en temps</v>
      </c>
      <c r="I57" s="2" t="str">
        <f aca="false">IFERROR(__xludf.dummyfunction("""COMPUTED_VALUE"""),"Le dimanche à 15h32 s'il fait beau")</f>
        <v>Le dimanche à 15h32 s'il fait beau</v>
      </c>
      <c r="J57" s="2" t="str">
        <f aca="false">IFERROR(__xludf.dummyfunction("""COMPUTED_VALUE"""),"Pour le fun")</f>
        <v>Pour le fun</v>
      </c>
      <c r="K57" s="2" t="str">
        <f aca="false">IFERROR(__xludf.dummyfunction("""COMPUTED_VALUE"""),"Pas de sport")</f>
        <v>Pas de sport</v>
      </c>
      <c r="L57" s="2" t="str">
        <f aca="false">IFERROR(__xludf.dummyfunction("""COMPUTED_VALUE"""),"J'aime cuisiner le WE ou quand j'ai le temps")</f>
        <v>J'aime cuisiner le WE ou quand j'ai le temps</v>
      </c>
      <c r="M57" s="2" t="n">
        <f aca="false">IFERROR(__xludf.dummyfunction("""COMPUTED_VALUE"""),8)</f>
        <v>8</v>
      </c>
      <c r="N57" s="2" t="str">
        <f aca="false">IFERROR(__xludf.dummyfunction("""COMPUTED_VALUE"""),"Plusieurs fois par semaine")</f>
        <v>Plusieurs fois par semaine</v>
      </c>
      <c r="O57" s="2" t="str">
        <f aca="false">IFERROR(__xludf.dummyfunction("""COMPUTED_VALUE"""),"T'enflammes le dancefloor")</f>
        <v>T'enflammes le dancefloor</v>
      </c>
      <c r="P57" s="2" t="n">
        <f aca="false">IFERROR(__xludf.dummyfunction("""COMPUTED_VALUE"""),1)</f>
        <v>1</v>
      </c>
      <c r="Q57" s="2" t="str">
        <f aca="false">IFERROR(__xludf.dummyfunction("""COMPUTED_VALUE"""),"Oui")</f>
        <v>Oui</v>
      </c>
      <c r="R57" s="2" t="str">
        <f aca="false">IFERROR(__xludf.dummyfunction("""COMPUTED_VALUE"""),"Non")</f>
        <v>Non</v>
      </c>
      <c r="S57" s="2" t="str">
        <f aca="false">IFERROR(__xludf.dummyfunction("""COMPUTED_VALUE"""),"Le Squat")</f>
        <v>Le Squat</v>
      </c>
      <c r="T57" s="2" t="str">
        <f aca="false">IFERROR(__xludf.dummyfunction("""COMPUTED_VALUE"""),"Une affiche de la COMU")</f>
        <v>Une affiche de la COMU</v>
      </c>
      <c r="U57" s="1" t="str">
        <f aca="false">IFERROR(__xludf.dummyfunction("""COMPUTED_VALUE"""),"")</f>
        <v/>
      </c>
      <c r="V57" s="1" t="str">
        <f aca="false">IFERROR(__xludf.dummyfunction("""COMPUTED_VALUE"""),"")</f>
        <v/>
      </c>
      <c r="W57" s="1" t="str">
        <f aca="false">IFERROR(__xludf.dummyfunction("""COMPUTED_VALUE"""),"")</f>
        <v/>
      </c>
      <c r="X57" s="1" t="str">
        <f aca="false">IFERROR(__xludf.dummyfunction("""COMPUTED_VALUE"""),"")</f>
        <v/>
      </c>
      <c r="Y57" s="1" t="str">
        <f aca="false">IFERROR(__xludf.dummyfunction("""COMPUTED_VALUE"""),"")</f>
        <v/>
      </c>
      <c r="Z57" s="1" t="str">
        <f aca="false">IFERROR(__xludf.dummyfunction("""COMPUTED_VALUE"""),"")</f>
        <v/>
      </c>
      <c r="AA57" s="1" t="str">
        <f aca="false">IFERROR(__xludf.dummyfunction("""COMPUTED_VALUE"""),"")</f>
        <v/>
      </c>
      <c r="AB57" s="1" t="str">
        <f aca="false">IFERROR(__xludf.dummyfunction("""COMPUTED_VALUE"""),"")</f>
        <v/>
      </c>
    </row>
    <row r="58" customFormat="false" ht="15.75" hidden="false" customHeight="false" outlineLevel="0" collapsed="false">
      <c r="A58" s="3" t="n">
        <f aca="false">IFERROR(__xludf.dummyfunction("""COMPUTED_VALUE"""),43638.8524869792)</f>
        <v>43638.85249</v>
      </c>
      <c r="B58" s="2" t="str">
        <f aca="false">IFERROR(__xludf.dummyfunction("""COMPUTED_VALUE"""),"Anis KHEZNADJI")</f>
        <v>Anis KHEZNADJI</v>
      </c>
      <c r="C58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58" s="2" t="str">
        <f aca="false">IFERROR(__xludf.dummyfunction("""COMPUTED_VALUE"""),"BDE")</f>
        <v>BDE</v>
      </c>
      <c r="E58" s="2" t="n">
        <f aca="false">IFERROR(__xludf.dummyfunction("""COMPUTED_VALUE"""),5)</f>
        <v>5</v>
      </c>
      <c r="F58" s="2" t="str">
        <f aca="false">IFERROR(__xludf.dummyfunction("""COMPUTED_VALUE"""),"Rap")</f>
        <v>Rap</v>
      </c>
      <c r="G58" s="2" t="str">
        <f aca="false">IFERROR(__xludf.dummyfunction("""COMPUTED_VALUE"""),"Musique")</f>
        <v>Musique</v>
      </c>
      <c r="H58" s="2" t="str">
        <f aca="false">IFERROR(__xludf.dummyfunction("""COMPUTED_VALUE"""),"Une fois de temps en temps")</f>
        <v>Une fois de temps en temps</v>
      </c>
      <c r="I58" s="2" t="str">
        <f aca="false">IFERROR(__xludf.dummyfunction("""COMPUTED_VALUE"""),"Une fois par semaine")</f>
        <v>Une fois par semaine</v>
      </c>
      <c r="J58" s="2" t="str">
        <f aca="false">IFERROR(__xludf.dummyfunction("""COMPUTED_VALUE"""),"Pour le fun")</f>
        <v>Pour le fun</v>
      </c>
      <c r="K58" s="2" t="str">
        <f aca="false">IFERROR(__xludf.dummyfunction("""COMPUTED_VALUE"""),"Pas de sport, Sports aquatiques")</f>
        <v>Pas de sport, Sports aquatiques</v>
      </c>
      <c r="L58" s="2" t="str">
        <f aca="false">IFERROR(__xludf.dummyfunction("""COMPUTED_VALUE"""),"Oh oui, et les trucs bien gras ça me connait !")</f>
        <v>Oh oui, et les trucs bien gras ça me connait !</v>
      </c>
      <c r="M58" s="2" t="n">
        <f aca="false">IFERROR(__xludf.dummyfunction("""COMPUTED_VALUE"""),2)</f>
        <v>2</v>
      </c>
      <c r="N58" s="2" t="str">
        <f aca="false">IFERROR(__xludf.dummyfunction("""COMPUTED_VALUE"""),"Plusieurs fois par semaine")</f>
        <v>Plusieurs fois par semaine</v>
      </c>
      <c r="O58" s="2" t="str">
        <f aca="false">IFERROR(__xludf.dummyfunction("""COMPUTED_VALUE"""),"Tu te poses dans un coin, chill !!")</f>
        <v>Tu te poses dans un coin, chill !!</v>
      </c>
      <c r="P58" s="2" t="n">
        <f aca="false">IFERROR(__xludf.dummyfunction("""COMPUTED_VALUE"""),1)</f>
        <v>1</v>
      </c>
      <c r="Q58" s="2" t="str">
        <f aca="false">IFERROR(__xludf.dummyfunction("""COMPUTED_VALUE"""),"Oui")</f>
        <v>Oui</v>
      </c>
      <c r="R58" s="2" t="str">
        <f aca="false">IFERROR(__xludf.dummyfunction("""COMPUTED_VALUE"""),"Non")</f>
        <v>Non</v>
      </c>
      <c r="S58" s="2" t="str">
        <f aca="false">IFERROR(__xludf.dummyfunction("""COMPUTED_VALUE"""),"Le squat")</f>
        <v>Le squat</v>
      </c>
      <c r="T58" s="2" t="str">
        <f aca="false">IFERROR(__xludf.dummyfunction("""COMPUTED_VALUE"""),"Un kebab")</f>
        <v>Un kebab</v>
      </c>
      <c r="U58" s="1" t="str">
        <f aca="false">IFERROR(__xludf.dummyfunction("""COMPUTED_VALUE"""),"")</f>
        <v/>
      </c>
      <c r="V58" s="1" t="str">
        <f aca="false">IFERROR(__xludf.dummyfunction("""COMPUTED_VALUE"""),"")</f>
        <v/>
      </c>
      <c r="W58" s="1" t="str">
        <f aca="false">IFERROR(__xludf.dummyfunction("""COMPUTED_VALUE"""),"")</f>
        <v/>
      </c>
      <c r="X58" s="1" t="str">
        <f aca="false">IFERROR(__xludf.dummyfunction("""COMPUTED_VALUE"""),"")</f>
        <v/>
      </c>
      <c r="Y58" s="1" t="str">
        <f aca="false">IFERROR(__xludf.dummyfunction("""COMPUTED_VALUE"""),"")</f>
        <v/>
      </c>
      <c r="Z58" s="1" t="str">
        <f aca="false">IFERROR(__xludf.dummyfunction("""COMPUTED_VALUE"""),"")</f>
        <v/>
      </c>
      <c r="AA58" s="1" t="str">
        <f aca="false">IFERROR(__xludf.dummyfunction("""COMPUTED_VALUE"""),"")</f>
        <v/>
      </c>
      <c r="AB58" s="1" t="str">
        <f aca="false">IFERROR(__xludf.dummyfunction("""COMPUTED_VALUE"""),"")</f>
        <v/>
      </c>
    </row>
    <row r="59" customFormat="false" ht="15.75" hidden="false" customHeight="false" outlineLevel="0" collapsed="false">
      <c r="A59" s="3" t="n">
        <f aca="false">IFERROR(__xludf.dummyfunction("""COMPUTED_VALUE"""),43638.9089748032)</f>
        <v>43638.90897</v>
      </c>
      <c r="B59" s="2" t="str">
        <f aca="false">IFERROR(__xludf.dummyfunction("""COMPUTED_VALUE"""),"Marie COUPÉ")</f>
        <v>Marie COUPÉ</v>
      </c>
      <c r="C59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59" s="2" t="str">
        <f aca="false">IFERROR(__xludf.dummyfunction("""COMPUTED_VALUE"""),"BDA")</f>
        <v>BDA</v>
      </c>
      <c r="E59" s="2" t="n">
        <f aca="false">IFERROR(__xludf.dummyfunction("""COMPUTED_VALUE"""),3)</f>
        <v>3</v>
      </c>
      <c r="F59" s="2" t="str">
        <f aca="false">IFERROR(__xludf.dummyfunction("""COMPUTED_VALUE"""),"Electro posée, Electro hard, Pop, Jazz")</f>
        <v>Electro posée, Electro hard, Pop, Jazz</v>
      </c>
      <c r="G59" s="2" t="str">
        <f aca="false">IFERROR(__xludf.dummyfunction("""COMPUTED_VALUE"""),"Peinture")</f>
        <v>Peinture</v>
      </c>
      <c r="H59" s="2" t="str">
        <f aca="false">IFERROR(__xludf.dummyfunction("""COMPUTED_VALUE"""),"Seulement les soirs de pleine lune")</f>
        <v>Seulement les soirs de pleine lune</v>
      </c>
      <c r="I59" s="2" t="str">
        <f aca="false">IFERROR(__xludf.dummyfunction("""COMPUTED_VALUE"""),"Une fois par semaine")</f>
        <v>Une fois par semaine</v>
      </c>
      <c r="J59" s="2" t="str">
        <f aca="false">IFERROR(__xludf.dummyfunction("""COMPUTED_VALUE"""),"Pour les autres")</f>
        <v>Pour les autres</v>
      </c>
      <c r="K59" s="2" t="str">
        <f aca="false">IFERROR(__xludf.dummyfunction("""COMPUTED_VALUE"""),"Sports collectifs, Voile")</f>
        <v>Sports collectifs, Voile</v>
      </c>
      <c r="L59" s="2" t="str">
        <f aca="false">IFERROR(__xludf.dummyfunction("""COMPUTED_VALUE"""),"J'aime cuisiner le WE ou quand j'ai le temps")</f>
        <v>J'aime cuisiner le WE ou quand j'ai le temps</v>
      </c>
      <c r="M59" s="2" t="n">
        <f aca="false">IFERROR(__xludf.dummyfunction("""COMPUTED_VALUE"""),6)</f>
        <v>6</v>
      </c>
      <c r="N59" s="2" t="str">
        <f aca="false">IFERROR(__xludf.dummyfunction("""COMPUTED_VALUE"""),"Une fois par semaine")</f>
        <v>Une fois par semaine</v>
      </c>
      <c r="O59" s="2" t="str">
        <f aca="false">IFERROR(__xludf.dummyfunction("""COMPUTED_VALUE"""),"T'enflammes le dancefloor")</f>
        <v>T'enflammes le dancefloor</v>
      </c>
      <c r="P59" s="2" t="n">
        <f aca="false">IFERROR(__xludf.dummyfunction("""COMPUTED_VALUE"""),1)</f>
        <v>1</v>
      </c>
      <c r="Q59" s="2" t="str">
        <f aca="false">IFERROR(__xludf.dummyfunction("""COMPUTED_VALUE"""),"Oui")</f>
        <v>Oui</v>
      </c>
      <c r="R59" s="2" t="str">
        <f aca="false">IFERROR(__xludf.dummyfunction("""COMPUTED_VALUE"""),"Oui")</f>
        <v>Oui</v>
      </c>
      <c r="S59" s="2" t="str">
        <f aca="false">IFERROR(__xludf.dummyfunction("""COMPUTED_VALUE"""),"Barton")</f>
        <v>Barton</v>
      </c>
      <c r="T59" s="2" t="str">
        <f aca="false">IFERROR(__xludf.dummyfunction("""COMPUTED_VALUE"""),"Une girafe en plastique")</f>
        <v>Une girafe en plastique</v>
      </c>
      <c r="U59" s="1" t="str">
        <f aca="false">IFERROR(__xludf.dummyfunction("""COMPUTED_VALUE"""),"")</f>
        <v/>
      </c>
      <c r="V59" s="1" t="str">
        <f aca="false">IFERROR(__xludf.dummyfunction("""COMPUTED_VALUE"""),"")</f>
        <v/>
      </c>
      <c r="W59" s="1" t="str">
        <f aca="false">IFERROR(__xludf.dummyfunction("""COMPUTED_VALUE"""),"")</f>
        <v/>
      </c>
      <c r="X59" s="1" t="str">
        <f aca="false">IFERROR(__xludf.dummyfunction("""COMPUTED_VALUE"""),"")</f>
        <v/>
      </c>
      <c r="Y59" s="1" t="str">
        <f aca="false">IFERROR(__xludf.dummyfunction("""COMPUTED_VALUE"""),"")</f>
        <v/>
      </c>
      <c r="Z59" s="1" t="str">
        <f aca="false">IFERROR(__xludf.dummyfunction("""COMPUTED_VALUE"""),"")</f>
        <v/>
      </c>
      <c r="AA59" s="1" t="str">
        <f aca="false">IFERROR(__xludf.dummyfunction("""COMPUTED_VALUE"""),"")</f>
        <v/>
      </c>
      <c r="AB59" s="1" t="str">
        <f aca="false">IFERROR(__xludf.dummyfunction("""COMPUTED_VALUE"""),"")</f>
        <v/>
      </c>
    </row>
    <row r="60" customFormat="false" ht="15.75" hidden="false" customHeight="false" outlineLevel="0" collapsed="false">
      <c r="A60" s="3" t="n">
        <f aca="false">IFERROR(__xludf.dummyfunction("""COMPUTED_VALUE"""),43638.9512883681)</f>
        <v>43638.95129</v>
      </c>
      <c r="B60" s="2" t="str">
        <f aca="false">IFERROR(__xludf.dummyfunction("""COMPUTED_VALUE"""),"Geoffroy LECONTE")</f>
        <v>Geoffroy LECONTE</v>
      </c>
      <c r="C60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60" s="2" t="str">
        <f aca="false">IFERROR(__xludf.dummyfunction("""COMPUTED_VALUE"""),"BDA")</f>
        <v>BDA</v>
      </c>
      <c r="E60" s="2" t="n">
        <f aca="false">IFERROR(__xludf.dummyfunction("""COMPUTED_VALUE"""),3)</f>
        <v>3</v>
      </c>
      <c r="F60" s="2" t="str">
        <f aca="false">IFERROR(__xludf.dummyfunction("""COMPUTED_VALUE"""),"Electro posée, Jazz, Musique classique")</f>
        <v>Electro posée, Jazz, Musique classique</v>
      </c>
      <c r="G60" s="2" t="str">
        <f aca="false">IFERROR(__xludf.dummyfunction("""COMPUTED_VALUE"""),"Musique")</f>
        <v>Musique</v>
      </c>
      <c r="H60" s="2" t="str">
        <f aca="false">IFERROR(__xludf.dummyfunction("""COMPUTED_VALUE"""),"Seulement les soirs de pleine lune")</f>
        <v>Seulement les soirs de pleine lune</v>
      </c>
      <c r="I60" s="2" t="str">
        <f aca="false">IFERROR(__xludf.dummyfunction("""COMPUTED_VALUE"""),"Plusieurs fois par semaine")</f>
        <v>Plusieurs fois par semaine</v>
      </c>
      <c r="J60" s="2" t="str">
        <f aca="false">IFERROR(__xludf.dummyfunction("""COMPUTED_VALUE"""),"Pour le fun")</f>
        <v>Pour le fun</v>
      </c>
      <c r="K60" s="2" t="str">
        <f aca="false">IFERROR(__xludf.dummyfunction("""COMPUTED_VALUE"""),"Sports collectifs")</f>
        <v>Sports collectifs</v>
      </c>
      <c r="L60" s="2" t="str">
        <f aca="false">IFERROR(__xludf.dummyfunction("""COMPUTED_VALUE"""),"Alterner entre grec et coquillettes ça compte ?")</f>
        <v>Alterner entre grec et coquillettes ça compte ?</v>
      </c>
      <c r="M60" s="2" t="n">
        <f aca="false">IFERROR(__xludf.dummyfunction("""COMPUTED_VALUE"""),5)</f>
        <v>5</v>
      </c>
      <c r="N60" s="2" t="str">
        <f aca="false">IFERROR(__xludf.dummyfunction("""COMPUTED_VALUE"""),"Une fois par mois")</f>
        <v>Une fois par mois</v>
      </c>
      <c r="O60" s="2" t="str">
        <f aca="false">IFERROR(__xludf.dummyfunction("""COMPUTED_VALUE"""),"Tu te poses dans un coin, chill !!")</f>
        <v>Tu te poses dans un coin, chill !!</v>
      </c>
      <c r="P60" s="2" t="n">
        <f aca="false">IFERROR(__xludf.dummyfunction("""COMPUTED_VALUE"""),1)</f>
        <v>1</v>
      </c>
      <c r="Q60" s="2" t="str">
        <f aca="false">IFERROR(__xludf.dummyfunction("""COMPUTED_VALUE"""),"Oui")</f>
        <v>Oui</v>
      </c>
      <c r="R60" s="2" t="str">
        <f aca="false">IFERROR(__xludf.dummyfunction("""COMPUTED_VALUE"""),"Non")</f>
        <v>Non</v>
      </c>
      <c r="S60" s="2" t="str">
        <f aca="false">IFERROR(__xludf.dummyfunction("""COMPUTED_VALUE"""),"Bart'on")</f>
        <v>Bart'on</v>
      </c>
      <c r="T60" s="2" t="str">
        <f aca="false">IFERROR(__xludf.dummyfunction("""COMPUTED_VALUE"""),"Pas encore décidé")</f>
        <v>Pas encore décidé</v>
      </c>
      <c r="U60" s="1" t="str">
        <f aca="false">IFERROR(__xludf.dummyfunction("""COMPUTED_VALUE"""),"")</f>
        <v/>
      </c>
      <c r="V60" s="1" t="str">
        <f aca="false">IFERROR(__xludf.dummyfunction("""COMPUTED_VALUE"""),"")</f>
        <v/>
      </c>
      <c r="W60" s="1" t="str">
        <f aca="false">IFERROR(__xludf.dummyfunction("""COMPUTED_VALUE"""),"")</f>
        <v/>
      </c>
      <c r="X60" s="1" t="str">
        <f aca="false">IFERROR(__xludf.dummyfunction("""COMPUTED_VALUE"""),"")</f>
        <v/>
      </c>
      <c r="Y60" s="1" t="str">
        <f aca="false">IFERROR(__xludf.dummyfunction("""COMPUTED_VALUE"""),"")</f>
        <v/>
      </c>
      <c r="Z60" s="1" t="str">
        <f aca="false">IFERROR(__xludf.dummyfunction("""COMPUTED_VALUE"""),"")</f>
        <v/>
      </c>
      <c r="AA60" s="1" t="str">
        <f aca="false">IFERROR(__xludf.dummyfunction("""COMPUTED_VALUE"""),"")</f>
        <v/>
      </c>
      <c r="AB60" s="1" t="str">
        <f aca="false">IFERROR(__xludf.dummyfunction("""COMPUTED_VALUE"""),"")</f>
        <v/>
      </c>
    </row>
    <row r="61" customFormat="false" ht="15.75" hidden="false" customHeight="false" outlineLevel="0" collapsed="false">
      <c r="A61" s="3" t="n">
        <f aca="false">IFERROR(__xludf.dummyfunction("""COMPUTED_VALUE"""),43639.4453492593)</f>
        <v>43639.44535</v>
      </c>
      <c r="B61" s="2" t="str">
        <f aca="false">IFERROR(__xludf.dummyfunction("""COMPUTED_VALUE"""),"Pierre BOURREAU")</f>
        <v>Pierre BOURREAU</v>
      </c>
      <c r="C61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61" s="2" t="str">
        <f aca="false">IFERROR(__xludf.dummyfunction("""COMPUTED_VALUE"""),"BDE")</f>
        <v>BDE</v>
      </c>
      <c r="E61" s="2" t="n">
        <f aca="false">IFERROR(__xludf.dummyfunction("""COMPUTED_VALUE"""),3)</f>
        <v>3</v>
      </c>
      <c r="F61" s="2" t="str">
        <f aca="false">IFERROR(__xludf.dummyfunction("""COMPUTED_VALUE"""),"Rock, Rap")</f>
        <v>Rock, Rap</v>
      </c>
      <c r="G61" s="2" t="str">
        <f aca="false">IFERROR(__xludf.dummyfunction("""COMPUTED_VALUE"""),"Peinture, Littérature, Musique, Théâtre, Cinéma")</f>
        <v>Peinture, Littérature, Musique, Théâtre, Cinéma</v>
      </c>
      <c r="H61" s="2" t="str">
        <f aca="false">IFERROR(__xludf.dummyfunction("""COMPUTED_VALUE"""),"Une fois par jour")</f>
        <v>Une fois par jour</v>
      </c>
      <c r="I61" s="2" t="str">
        <f aca="false">IFERROR(__xludf.dummyfunction("""COMPUTED_VALUE"""),"Plusieurs fois par semaine")</f>
        <v>Plusieurs fois par semaine</v>
      </c>
      <c r="J61" s="2" t="str">
        <f aca="false">IFERROR(__xludf.dummyfunction("""COMPUTED_VALUE"""),"Pour le fun")</f>
        <v>Pour le fun</v>
      </c>
      <c r="K61" s="2" t="str">
        <f aca="false">IFERROR(__xludf.dummyfunction("""COMPUTED_VALUE"""),"Autre")</f>
        <v>Autre</v>
      </c>
      <c r="L61" s="2" t="str">
        <f aca="false">IFERROR(__xludf.dummyfunction("""COMPUTED_VALUE"""),"Oh oui, et les trucs bien gras ça me connait !")</f>
        <v>Oh oui, et les trucs bien gras ça me connait !</v>
      </c>
      <c r="M61" s="2" t="n">
        <f aca="false">IFERROR(__xludf.dummyfunction("""COMPUTED_VALUE"""),7)</f>
        <v>7</v>
      </c>
      <c r="N61" s="2" t="str">
        <f aca="false">IFERROR(__xludf.dummyfunction("""COMPUTED_VALUE"""),"Plusieurs fois par semaine")</f>
        <v>Plusieurs fois par semaine</v>
      </c>
      <c r="O61" s="2" t="str">
        <f aca="false">IFERROR(__xludf.dummyfunction("""COMPUTED_VALUE"""),"Objectif grosse défonce")</f>
        <v>Objectif grosse défonce</v>
      </c>
      <c r="P61" s="2" t="n">
        <f aca="false">IFERROR(__xludf.dummyfunction("""COMPUTED_VALUE"""),2)</f>
        <v>2</v>
      </c>
      <c r="Q61" s="2" t="str">
        <f aca="false">IFERROR(__xludf.dummyfunction("""COMPUTED_VALUE"""),"Oui")</f>
        <v>Oui</v>
      </c>
      <c r="R61" s="2" t="str">
        <f aca="false">IFERROR(__xludf.dummyfunction("""COMPUTED_VALUE"""),"Non")</f>
        <v>Non</v>
      </c>
      <c r="S61" s="2" t="str">
        <f aca="false">IFERROR(__xludf.dummyfunction("""COMPUTED_VALUE"""),"La Boisson")</f>
        <v>La Boisson</v>
      </c>
      <c r="T61" s="2" t="str">
        <f aca="false">IFERROR(__xludf.dummyfunction("""COMPUTED_VALUE"""),"Du vin")</f>
        <v>Du vin</v>
      </c>
      <c r="U61" s="1" t="str">
        <f aca="false">IFERROR(__xludf.dummyfunction("""COMPUTED_VALUE"""),"")</f>
        <v/>
      </c>
      <c r="V61" s="1" t="str">
        <f aca="false">IFERROR(__xludf.dummyfunction("""COMPUTED_VALUE"""),"")</f>
        <v/>
      </c>
      <c r="W61" s="1" t="str">
        <f aca="false">IFERROR(__xludf.dummyfunction("""COMPUTED_VALUE"""),"")</f>
        <v/>
      </c>
      <c r="X61" s="1" t="str">
        <f aca="false">IFERROR(__xludf.dummyfunction("""COMPUTED_VALUE"""),"")</f>
        <v/>
      </c>
      <c r="Y61" s="1" t="str">
        <f aca="false">IFERROR(__xludf.dummyfunction("""COMPUTED_VALUE"""),"")</f>
        <v/>
      </c>
      <c r="Z61" s="1" t="str">
        <f aca="false">IFERROR(__xludf.dummyfunction("""COMPUTED_VALUE"""),"")</f>
        <v/>
      </c>
      <c r="AA61" s="1" t="str">
        <f aca="false">IFERROR(__xludf.dummyfunction("""COMPUTED_VALUE"""),"")</f>
        <v/>
      </c>
      <c r="AB61" s="1" t="str">
        <f aca="false">IFERROR(__xludf.dummyfunction("""COMPUTED_VALUE"""),"")</f>
        <v/>
      </c>
    </row>
    <row r="62" customFormat="false" ht="15.75" hidden="false" customHeight="false" outlineLevel="0" collapsed="false">
      <c r="A62" s="3" t="n">
        <f aca="false">IFERROR(__xludf.dummyfunction("""COMPUTED_VALUE"""),43639.4501057176)</f>
        <v>43639.45011</v>
      </c>
      <c r="B62" s="2" t="str">
        <f aca="false">IFERROR(__xludf.dummyfunction("""COMPUTED_VALUE"""),"Antoine SENELLART")</f>
        <v>Antoine SENELLART</v>
      </c>
      <c r="C62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62" s="2" t="str">
        <f aca="false">IFERROR(__xludf.dummyfunction("""COMPUTED_VALUE"""),"BDS")</f>
        <v>BDS</v>
      </c>
      <c r="E62" s="2" t="n">
        <f aca="false">IFERROR(__xludf.dummyfunction("""COMPUTED_VALUE"""),3)</f>
        <v>3</v>
      </c>
      <c r="F62" s="2" t="str">
        <f aca="false">IFERROR(__xludf.dummyfunction("""COMPUTED_VALUE"""),"Rock, Electro posée, Rap, Pop, Musique fançaise, Jazz, Musique classique, Autre")</f>
        <v>Rock, Electro posée, Rap, Pop, Musique fançaise, Jazz, Musique classique, Autre</v>
      </c>
      <c r="G62" s="2" t="str">
        <f aca="false">IFERROR(__xludf.dummyfunction("""COMPUTED_VALUE"""),"Littérature, Musique, Cinéma, Graphisme")</f>
        <v>Littérature, Musique, Cinéma, Graphisme</v>
      </c>
      <c r="H62" s="2" t="str">
        <f aca="false">IFERROR(__xludf.dummyfunction("""COMPUTED_VALUE"""),"Quelques fois par semaine")</f>
        <v>Quelques fois par semaine</v>
      </c>
      <c r="I62" s="2" t="str">
        <f aca="false">IFERROR(__xludf.dummyfunction("""COMPUTED_VALUE"""),"Le dimanche à 15h32 s'il fait beau")</f>
        <v>Le dimanche à 15h32 s'il fait beau</v>
      </c>
      <c r="J62" s="2" t="str">
        <f aca="false">IFERROR(__xludf.dummyfunction("""COMPUTED_VALUE"""),"Pour le développement perso et se dépasser")</f>
        <v>Pour le développement perso et se dépasser</v>
      </c>
      <c r="K62" s="2" t="str">
        <f aca="false">IFERROR(__xludf.dummyfunction("""COMPUTED_VALUE"""),"Pas de sport")</f>
        <v>Pas de sport</v>
      </c>
      <c r="L62" s="2" t="str">
        <f aca="false">IFERROR(__xludf.dummyfunction("""COMPUTED_VALUE"""),"Alterner entre grec et coquillettes ça compte ?")</f>
        <v>Alterner entre grec et coquillettes ça compte ?</v>
      </c>
      <c r="M62" s="2" t="n">
        <f aca="false">IFERROR(__xludf.dummyfunction("""COMPUTED_VALUE"""),2)</f>
        <v>2</v>
      </c>
      <c r="N62" s="2" t="str">
        <f aca="false">IFERROR(__xludf.dummyfunction("""COMPUTED_VALUE"""),"Une fois par mois")</f>
        <v>Une fois par mois</v>
      </c>
      <c r="O62" s="2" t="str">
        <f aca="false">IFERROR(__xludf.dummyfunction("""COMPUTED_VALUE"""),"Tu viens pas")</f>
        <v>Tu viens pas</v>
      </c>
      <c r="P62" s="2" t="n">
        <f aca="false">IFERROR(__xludf.dummyfunction("""COMPUTED_VALUE"""),1)</f>
        <v>1</v>
      </c>
      <c r="Q62" s="2" t="str">
        <f aca="false">IFERROR(__xludf.dummyfunction("""COMPUTED_VALUE"""),"Oui")</f>
        <v>Oui</v>
      </c>
      <c r="R62" s="2" t="str">
        <f aca="false">IFERROR(__xludf.dummyfunction("""COMPUTED_VALUE"""),"Non")</f>
        <v>Non</v>
      </c>
      <c r="S62" s="2" t="str">
        <f aca="false">IFERROR(__xludf.dummyfunction("""COMPUTED_VALUE"""),"La Boisson")</f>
        <v>La Boisson</v>
      </c>
      <c r="T62" s="2" t="str">
        <f aca="false">IFERROR(__xludf.dummyfunction("""COMPUTED_VALUE"""),"Un Khalot")</f>
        <v>Un Khalot</v>
      </c>
      <c r="U62" s="1" t="str">
        <f aca="false">IFERROR(__xludf.dummyfunction("""COMPUTED_VALUE"""),"")</f>
        <v/>
      </c>
      <c r="V62" s="1" t="str">
        <f aca="false">IFERROR(__xludf.dummyfunction("""COMPUTED_VALUE"""),"")</f>
        <v/>
      </c>
      <c r="W62" s="1" t="str">
        <f aca="false">IFERROR(__xludf.dummyfunction("""COMPUTED_VALUE"""),"")</f>
        <v/>
      </c>
      <c r="X62" s="1" t="str">
        <f aca="false">IFERROR(__xludf.dummyfunction("""COMPUTED_VALUE"""),"")</f>
        <v/>
      </c>
      <c r="Y62" s="1" t="str">
        <f aca="false">IFERROR(__xludf.dummyfunction("""COMPUTED_VALUE"""),"")</f>
        <v/>
      </c>
      <c r="Z62" s="1" t="str">
        <f aca="false">IFERROR(__xludf.dummyfunction("""COMPUTED_VALUE"""),"")</f>
        <v/>
      </c>
      <c r="AA62" s="1" t="str">
        <f aca="false">IFERROR(__xludf.dummyfunction("""COMPUTED_VALUE"""),"")</f>
        <v/>
      </c>
      <c r="AB62" s="1" t="str">
        <f aca="false">IFERROR(__xludf.dummyfunction("""COMPUTED_VALUE"""),"")</f>
        <v/>
      </c>
    </row>
    <row r="63" customFormat="false" ht="15.75" hidden="false" customHeight="false" outlineLevel="0" collapsed="false">
      <c r="A63" s="3" t="n">
        <f aca="false">IFERROR(__xludf.dummyfunction("""COMPUTED_VALUE"""),43639.4515565741)</f>
        <v>43639.45156</v>
      </c>
      <c r="B63" s="2" t="str">
        <f aca="false">IFERROR(__xludf.dummyfunction("""COMPUTED_VALUE"""),"Louis LEQUES")</f>
        <v>Louis LEQUES</v>
      </c>
      <c r="C63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63" s="2" t="str">
        <f aca="false">IFERROR(__xludf.dummyfunction("""COMPUTED_VALUE"""),"BDE")</f>
        <v>BDE</v>
      </c>
      <c r="E63" s="2" t="n">
        <f aca="false">IFERROR(__xludf.dummyfunction("""COMPUTED_VALUE"""),1)</f>
        <v>1</v>
      </c>
      <c r="F63" s="2" t="str">
        <f aca="false">IFERROR(__xludf.dummyfunction("""COMPUTED_VALUE"""),"Rock, Electro posée, Rap, Autre")</f>
        <v>Rock, Electro posée, Rap, Autre</v>
      </c>
      <c r="G63" s="2" t="str">
        <f aca="false">IFERROR(__xludf.dummyfunction("""COMPUTED_VALUE"""),"Pas du tout")</f>
        <v>Pas du tout</v>
      </c>
      <c r="H63" s="2" t="str">
        <f aca="false">IFERROR(__xludf.dummyfunction("""COMPUTED_VALUE"""),"Seulement les soirs de pleine lune")</f>
        <v>Seulement les soirs de pleine lune</v>
      </c>
      <c r="I63" s="2" t="str">
        <f aca="false">IFERROR(__xludf.dummyfunction("""COMPUTED_VALUE"""),"Le dimanche à 15h32 s'il fait beau")</f>
        <v>Le dimanche à 15h32 s'il fait beau</v>
      </c>
      <c r="J63" s="2" t="str">
        <f aca="false">IFERROR(__xludf.dummyfunction("""COMPUTED_VALUE"""),"Pour les autres")</f>
        <v>Pour les autres</v>
      </c>
      <c r="K63" s="2" t="str">
        <f aca="false">IFERROR(__xludf.dummyfunction("""COMPUTED_VALUE"""),"Sports de raquette")</f>
        <v>Sports de raquette</v>
      </c>
      <c r="L63" s="2" t="str">
        <f aca="false">IFERROR(__xludf.dummyfunction("""COMPUTED_VALUE"""),"Oh oui, et les trucs bien gras ça me connait !")</f>
        <v>Oh oui, et les trucs bien gras ça me connait !</v>
      </c>
      <c r="M63" s="2" t="n">
        <f aca="false">IFERROR(__xludf.dummyfunction("""COMPUTED_VALUE"""),10)</f>
        <v>10</v>
      </c>
      <c r="N63" s="2" t="str">
        <f aca="false">IFERROR(__xludf.dummyfunction("""COMPUTED_VALUE"""),"Plusieurs fois par semaine")</f>
        <v>Plusieurs fois par semaine</v>
      </c>
      <c r="O63" s="2" t="str">
        <f aca="false">IFERROR(__xludf.dummyfunction("""COMPUTED_VALUE"""),"Objectif grosse défonce")</f>
        <v>Objectif grosse défonce</v>
      </c>
      <c r="P63" s="2" t="n">
        <f aca="false">IFERROR(__xludf.dummyfunction("""COMPUTED_VALUE"""),5)</f>
        <v>5</v>
      </c>
      <c r="Q63" s="2" t="str">
        <f aca="false">IFERROR(__xludf.dummyfunction("""COMPUTED_VALUE"""),"Oui")</f>
        <v>Oui</v>
      </c>
      <c r="R63" s="2" t="str">
        <f aca="false">IFERROR(__xludf.dummyfunction("""COMPUTED_VALUE"""),"Non")</f>
        <v>Non</v>
      </c>
      <c r="S63" s="2" t="str">
        <f aca="false">IFERROR(__xludf.dummyfunction("""COMPUTED_VALUE"""),"Les Topeurs")</f>
        <v>Les Topeurs</v>
      </c>
      <c r="T63" s="2" t="str">
        <f aca="false">IFERROR(__xludf.dummyfunction("""COMPUTED_VALUE"""),"un oinj")</f>
        <v>un oinj</v>
      </c>
      <c r="U63" s="1" t="str">
        <f aca="false">IFERROR(__xludf.dummyfunction("""COMPUTED_VALUE"""),"")</f>
        <v/>
      </c>
      <c r="V63" s="1" t="str">
        <f aca="false">IFERROR(__xludf.dummyfunction("""COMPUTED_VALUE"""),"")</f>
        <v/>
      </c>
      <c r="W63" s="1" t="str">
        <f aca="false">IFERROR(__xludf.dummyfunction("""COMPUTED_VALUE"""),"")</f>
        <v/>
      </c>
      <c r="X63" s="1" t="str">
        <f aca="false">IFERROR(__xludf.dummyfunction("""COMPUTED_VALUE"""),"")</f>
        <v/>
      </c>
      <c r="Y63" s="1" t="str">
        <f aca="false">IFERROR(__xludf.dummyfunction("""COMPUTED_VALUE"""),"")</f>
        <v/>
      </c>
      <c r="Z63" s="1" t="str">
        <f aca="false">IFERROR(__xludf.dummyfunction("""COMPUTED_VALUE"""),"")</f>
        <v/>
      </c>
      <c r="AA63" s="1" t="str">
        <f aca="false">IFERROR(__xludf.dummyfunction("""COMPUTED_VALUE"""),"")</f>
        <v/>
      </c>
      <c r="AB63" s="1" t="str">
        <f aca="false">IFERROR(__xludf.dummyfunction("""COMPUTED_VALUE"""),"")</f>
        <v/>
      </c>
    </row>
    <row r="64" customFormat="false" ht="15.75" hidden="false" customHeight="false" outlineLevel="0" collapsed="false">
      <c r="A64" s="3" t="n">
        <f aca="false">IFERROR(__xludf.dummyfunction("""COMPUTED_VALUE"""),43639.4566401157)</f>
        <v>43639.45664</v>
      </c>
      <c r="B64" s="2" t="str">
        <f aca="false">IFERROR(__xludf.dummyfunction("""COMPUTED_VALUE"""),"Louis CLAUCE")</f>
        <v>Louis CLAUCE</v>
      </c>
      <c r="C64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64" s="2" t="str">
        <f aca="false">IFERROR(__xludf.dummyfunction("""COMPUTED_VALUE"""),"BDS")</f>
        <v>BDS</v>
      </c>
      <c r="E64" s="2" t="n">
        <f aca="false">IFERROR(__xludf.dummyfunction("""COMPUTED_VALUE"""),4)</f>
        <v>4</v>
      </c>
      <c r="F64" s="2" t="str">
        <f aca="false">IFERROR(__xludf.dummyfunction("""COMPUTED_VALUE"""),"Rock, Metal, Electro posée, Jazz, Musique classique")</f>
        <v>Rock, Metal, Electro posée, Jazz, Musique classique</v>
      </c>
      <c r="G64" s="2" t="str">
        <f aca="false">IFERROR(__xludf.dummyfunction("""COMPUTED_VALUE"""),"Peinture, Sculpture, Musique")</f>
        <v>Peinture, Sculpture, Musique</v>
      </c>
      <c r="H64" s="2" t="str">
        <f aca="false">IFERROR(__xludf.dummyfunction("""COMPUTED_VALUE"""),"Quelques fois par semaine")</f>
        <v>Quelques fois par semaine</v>
      </c>
      <c r="I64" s="2" t="str">
        <f aca="false">IFERROR(__xludf.dummyfunction("""COMPUTED_VALUE"""),"Une fois par semaine")</f>
        <v>Une fois par semaine</v>
      </c>
      <c r="J64" s="2" t="str">
        <f aca="false">IFERROR(__xludf.dummyfunction("""COMPUTED_VALUE"""),"Pour le développement perso et se dépasser")</f>
        <v>Pour le développement perso et se dépasser</v>
      </c>
      <c r="K64" s="2" t="str">
        <f aca="false">IFERROR(__xludf.dummyfunction("""COMPUTED_VALUE"""),"Sports de combat")</f>
        <v>Sports de combat</v>
      </c>
      <c r="L64" s="2" t="str">
        <f aca="false">IFERROR(__xludf.dummyfunction("""COMPUTED_VALUE"""),"J'aime cuisiner le WE ou quand j'ai le temps")</f>
        <v>J'aime cuisiner le WE ou quand j'ai le temps</v>
      </c>
      <c r="M64" s="2" t="n">
        <f aca="false">IFERROR(__xludf.dummyfunction("""COMPUTED_VALUE"""),10)</f>
        <v>10</v>
      </c>
      <c r="N64" s="2" t="str">
        <f aca="false">IFERROR(__xludf.dummyfunction("""COMPUTED_VALUE"""),"Plusieurs fois par semaine")</f>
        <v>Plusieurs fois par semaine</v>
      </c>
      <c r="O64" s="2" t="str">
        <f aca="false">IFERROR(__xludf.dummyfunction("""COMPUTED_VALUE"""),"Tu te poses dans un coin, chill !!")</f>
        <v>Tu te poses dans un coin, chill !!</v>
      </c>
      <c r="P64" s="2" t="n">
        <f aca="false">IFERROR(__xludf.dummyfunction("""COMPUTED_VALUE"""),1)</f>
        <v>1</v>
      </c>
      <c r="Q64" s="2" t="str">
        <f aca="false">IFERROR(__xludf.dummyfunction("""COMPUTED_VALUE"""),"Oui")</f>
        <v>Oui</v>
      </c>
      <c r="R64" s="2" t="str">
        <f aca="false">IFERROR(__xludf.dummyfunction("""COMPUTED_VALUE"""),"Non")</f>
        <v>Non</v>
      </c>
      <c r="S64" s="2" t="str">
        <f aca="false">IFERROR(__xludf.dummyfunction("""COMPUTED_VALUE"""),"La Boisson ")</f>
        <v>La Boisson </v>
      </c>
      <c r="T64" s="2" t="str">
        <f aca="false">IFERROR(__xludf.dummyfunction("""COMPUTED_VALUE"""),"un coupe cigare")</f>
        <v>un coupe cigare</v>
      </c>
      <c r="U64" s="1" t="str">
        <f aca="false">IFERROR(__xludf.dummyfunction("""COMPUTED_VALUE"""),"")</f>
        <v/>
      </c>
      <c r="V64" s="1" t="str">
        <f aca="false">IFERROR(__xludf.dummyfunction("""COMPUTED_VALUE"""),"")</f>
        <v/>
      </c>
      <c r="W64" s="1" t="str">
        <f aca="false">IFERROR(__xludf.dummyfunction("""COMPUTED_VALUE"""),"")</f>
        <v/>
      </c>
      <c r="X64" s="1" t="str">
        <f aca="false">IFERROR(__xludf.dummyfunction("""COMPUTED_VALUE"""),"")</f>
        <v/>
      </c>
      <c r="Y64" s="1" t="str">
        <f aca="false">IFERROR(__xludf.dummyfunction("""COMPUTED_VALUE"""),"")</f>
        <v/>
      </c>
      <c r="Z64" s="1" t="str">
        <f aca="false">IFERROR(__xludf.dummyfunction("""COMPUTED_VALUE"""),"")</f>
        <v/>
      </c>
      <c r="AA64" s="1" t="str">
        <f aca="false">IFERROR(__xludf.dummyfunction("""COMPUTED_VALUE"""),"")</f>
        <v/>
      </c>
      <c r="AB64" s="1" t="str">
        <f aca="false">IFERROR(__xludf.dummyfunction("""COMPUTED_VALUE"""),"")</f>
        <v/>
      </c>
    </row>
    <row r="65" customFormat="false" ht="15.75" hidden="false" customHeight="false" outlineLevel="0" collapsed="false">
      <c r="A65" s="3" t="n">
        <f aca="false">IFERROR(__xludf.dummyfunction("""COMPUTED_VALUE"""),43639.5897317824)</f>
        <v>43639.58973</v>
      </c>
      <c r="B65" s="2" t="str">
        <f aca="false">IFERROR(__xludf.dummyfunction("""COMPUTED_VALUE"""),"Mikaël Farje")</f>
        <v>Mikaël Farje</v>
      </c>
      <c r="C65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65" s="2" t="str">
        <f aca="false">IFERROR(__xludf.dummyfunction("""COMPUTED_VALUE"""),"BDE")</f>
        <v>BDE</v>
      </c>
      <c r="E65" s="2" t="n">
        <f aca="false">IFERROR(__xludf.dummyfunction("""COMPUTED_VALUE"""),3)</f>
        <v>3</v>
      </c>
      <c r="F65" s="2" t="str">
        <f aca="false">IFERROR(__xludf.dummyfunction("""COMPUTED_VALUE"""),"Rock, Rap")</f>
        <v>Rock, Rap</v>
      </c>
      <c r="G65" s="2" t="str">
        <f aca="false">IFERROR(__xludf.dummyfunction("""COMPUTED_VALUE"""),"Pas du tout")</f>
        <v>Pas du tout</v>
      </c>
      <c r="H65" s="2" t="str">
        <f aca="false">IFERROR(__xludf.dummyfunction("""COMPUTED_VALUE"""),"Quelques fois par semaine")</f>
        <v>Quelques fois par semaine</v>
      </c>
      <c r="I65" s="2" t="str">
        <f aca="false">IFERROR(__xludf.dummyfunction("""COMPUTED_VALUE"""),"Plusieurs fois par semaine")</f>
        <v>Plusieurs fois par semaine</v>
      </c>
      <c r="J65" s="2" t="str">
        <f aca="false">IFERROR(__xludf.dummyfunction("""COMPUTED_VALUE"""),"Pour la compet")</f>
        <v>Pour la compet</v>
      </c>
      <c r="K65" s="2" t="str">
        <f aca="false">IFERROR(__xludf.dummyfunction("""COMPUTED_VALUE"""),"Sports collectifs")</f>
        <v>Sports collectifs</v>
      </c>
      <c r="L65" s="2" t="str">
        <f aca="false">IFERROR(__xludf.dummyfunction("""COMPUTED_VALUE"""),"Alterner entre grec et coquillettes ça compte ?")</f>
        <v>Alterner entre grec et coquillettes ça compte ?</v>
      </c>
      <c r="M65" s="2" t="n">
        <f aca="false">IFERROR(__xludf.dummyfunction("""COMPUTED_VALUE"""),7)</f>
        <v>7</v>
      </c>
      <c r="N65" s="2" t="str">
        <f aca="false">IFERROR(__xludf.dummyfunction("""COMPUTED_VALUE"""),"Une fois par semaine")</f>
        <v>Une fois par semaine</v>
      </c>
      <c r="O65" s="2" t="str">
        <f aca="false">IFERROR(__xludf.dummyfunction("""COMPUTED_VALUE"""),"Tu te poses dans un coin, chill !!")</f>
        <v>Tu te poses dans un coin, chill !!</v>
      </c>
      <c r="P65" s="2" t="n">
        <f aca="false">IFERROR(__xludf.dummyfunction("""COMPUTED_VALUE"""),5)</f>
        <v>5</v>
      </c>
      <c r="Q65" s="2" t="str">
        <f aca="false">IFERROR(__xludf.dummyfunction("""COMPUTED_VALUE"""),"Oui")</f>
        <v>Oui</v>
      </c>
      <c r="R65" s="2" t="str">
        <f aca="false">IFERROR(__xludf.dummyfunction("""COMPUTED_VALUE"""),"Non")</f>
        <v>Non</v>
      </c>
      <c r="S65" s="2" t="str">
        <f aca="false">IFERROR(__xludf.dummyfunction("""COMPUTED_VALUE"""),"Les Topeurs")</f>
        <v>Les Topeurs</v>
      </c>
      <c r="T65" s="2" t="str">
        <f aca="false">IFERROR(__xludf.dummyfunction("""COMPUTED_VALUE"""),"Un maillot de foot ")</f>
        <v>Un maillot de foot </v>
      </c>
      <c r="U65" s="1" t="str">
        <f aca="false">IFERROR(__xludf.dummyfunction("""COMPUTED_VALUE"""),"")</f>
        <v/>
      </c>
      <c r="V65" s="1" t="str">
        <f aca="false">IFERROR(__xludf.dummyfunction("""COMPUTED_VALUE"""),"")</f>
        <v/>
      </c>
      <c r="W65" s="1" t="str">
        <f aca="false">IFERROR(__xludf.dummyfunction("""COMPUTED_VALUE"""),"")</f>
        <v/>
      </c>
      <c r="X65" s="1" t="str">
        <f aca="false">IFERROR(__xludf.dummyfunction("""COMPUTED_VALUE"""),"")</f>
        <v/>
      </c>
      <c r="Y65" s="1" t="str">
        <f aca="false">IFERROR(__xludf.dummyfunction("""COMPUTED_VALUE"""),"")</f>
        <v/>
      </c>
      <c r="Z65" s="1" t="str">
        <f aca="false">IFERROR(__xludf.dummyfunction("""COMPUTED_VALUE"""),"")</f>
        <v/>
      </c>
      <c r="AA65" s="1" t="str">
        <f aca="false">IFERROR(__xludf.dummyfunction("""COMPUTED_VALUE"""),"")</f>
        <v/>
      </c>
      <c r="AB65" s="1" t="str">
        <f aca="false">IFERROR(__xludf.dummyfunction("""COMPUTED_VALUE"""),"")</f>
        <v/>
      </c>
    </row>
    <row r="66" customFormat="false" ht="15.75" hidden="false" customHeight="false" outlineLevel="0" collapsed="false">
      <c r="A66" s="3" t="n">
        <f aca="false">IFERROR(__xludf.dummyfunction("""COMPUTED_VALUE"""),43639.6050166667)</f>
        <v>43639.60502</v>
      </c>
      <c r="B66" s="2" t="str">
        <f aca="false">IFERROR(__xludf.dummyfunction("""COMPUTED_VALUE"""),"Allouache")</f>
        <v>Allouache</v>
      </c>
      <c r="C66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66" s="2" t="str">
        <f aca="false">IFERROR(__xludf.dummyfunction("""COMPUTED_VALUE"""),"BDS")</f>
        <v>BDS</v>
      </c>
      <c r="E66" s="2" t="n">
        <f aca="false">IFERROR(__xludf.dummyfunction("""COMPUTED_VALUE"""),5)</f>
        <v>5</v>
      </c>
      <c r="F66" s="2" t="str">
        <f aca="false">IFERROR(__xludf.dummyfunction("""COMPUTED_VALUE"""),"Rock, Rap, Pop, Musique fançaise")</f>
        <v>Rock, Rap, Pop, Musique fançaise</v>
      </c>
      <c r="G66" s="2" t="str">
        <f aca="false">IFERROR(__xludf.dummyfunction("""COMPUTED_VALUE"""),"Cinéma")</f>
        <v>Cinéma</v>
      </c>
      <c r="H66" s="2" t="str">
        <f aca="false">IFERROR(__xludf.dummyfunction("""COMPUTED_VALUE"""),"Une fois de temps en temps")</f>
        <v>Une fois de temps en temps</v>
      </c>
      <c r="I66" s="2" t="str">
        <f aca="false">IFERROR(__xludf.dummyfunction("""COMPUTED_VALUE"""),"Plusieurs fois par semaine")</f>
        <v>Plusieurs fois par semaine</v>
      </c>
      <c r="J66" s="2" t="str">
        <f aca="false">IFERROR(__xludf.dummyfunction("""COMPUTED_VALUE"""),"Pour le développement perso et se dépasser")</f>
        <v>Pour le développement perso et se dépasser</v>
      </c>
      <c r="K66" s="2" t="str">
        <f aca="false">IFERROR(__xludf.dummyfunction("""COMPUTED_VALUE"""),"Sports de rames")</f>
        <v>Sports de rames</v>
      </c>
      <c r="L66" s="2" t="str">
        <f aca="false">IFERROR(__xludf.dummyfunction("""COMPUTED_VALUE"""),"J'aime cuisiner le WE ou quand j'ai le temps")</f>
        <v>J'aime cuisiner le WE ou quand j'ai le temps</v>
      </c>
      <c r="M66" s="2" t="n">
        <f aca="false">IFERROR(__xludf.dummyfunction("""COMPUTED_VALUE"""),6)</f>
        <v>6</v>
      </c>
      <c r="N66" s="2" t="str">
        <f aca="false">IFERROR(__xludf.dummyfunction("""COMPUTED_VALUE"""),"Une fois par semaine")</f>
        <v>Une fois par semaine</v>
      </c>
      <c r="O66" s="2" t="str">
        <f aca="false">IFERROR(__xludf.dummyfunction("""COMPUTED_VALUE"""),"T'enflammes le dancefloor")</f>
        <v>T'enflammes le dancefloor</v>
      </c>
      <c r="P66" s="2" t="n">
        <f aca="false">IFERROR(__xludf.dummyfunction("""COMPUTED_VALUE"""),1)</f>
        <v>1</v>
      </c>
      <c r="Q66" s="2" t="str">
        <f aca="false">IFERROR(__xludf.dummyfunction("""COMPUTED_VALUE"""),"Oui")</f>
        <v>Oui</v>
      </c>
      <c r="R66" s="2" t="str">
        <f aca="false">IFERROR(__xludf.dummyfunction("""COMPUTED_VALUE"""),"Non")</f>
        <v>Non</v>
      </c>
      <c r="S66" s="2" t="str">
        <f aca="false">IFERROR(__xludf.dummyfunction("""COMPUTED_VALUE"""),"La Boisson")</f>
        <v>La Boisson</v>
      </c>
      <c r="T66" s="2" t="str">
        <f aca="false">IFERROR(__xludf.dummyfunction("""COMPUTED_VALUE"""),"Des ailes d’ange ")</f>
        <v>Des ailes d’ange </v>
      </c>
      <c r="U66" s="1" t="str">
        <f aca="false">IFERROR(__xludf.dummyfunction("""COMPUTED_VALUE"""),"")</f>
        <v/>
      </c>
      <c r="V66" s="1" t="str">
        <f aca="false">IFERROR(__xludf.dummyfunction("""COMPUTED_VALUE"""),"")</f>
        <v/>
      </c>
      <c r="W66" s="1" t="str">
        <f aca="false">IFERROR(__xludf.dummyfunction("""COMPUTED_VALUE"""),"")</f>
        <v/>
      </c>
      <c r="X66" s="1" t="str">
        <f aca="false">IFERROR(__xludf.dummyfunction("""COMPUTED_VALUE"""),"")</f>
        <v/>
      </c>
      <c r="Y66" s="1" t="str">
        <f aca="false">IFERROR(__xludf.dummyfunction("""COMPUTED_VALUE"""),"")</f>
        <v/>
      </c>
      <c r="Z66" s="1" t="str">
        <f aca="false">IFERROR(__xludf.dummyfunction("""COMPUTED_VALUE"""),"")</f>
        <v/>
      </c>
      <c r="AA66" s="1" t="str">
        <f aca="false">IFERROR(__xludf.dummyfunction("""COMPUTED_VALUE"""),"")</f>
        <v/>
      </c>
      <c r="AB66" s="1" t="str">
        <f aca="false">IFERROR(__xludf.dummyfunction("""COMPUTED_VALUE"""),"")</f>
        <v/>
      </c>
    </row>
    <row r="67" customFormat="false" ht="15.75" hidden="false" customHeight="false" outlineLevel="0" collapsed="false">
      <c r="A67" s="3" t="n">
        <f aca="false">IFERROR(__xludf.dummyfunction("""COMPUTED_VALUE"""),43639.643611875)</f>
        <v>43639.64361</v>
      </c>
      <c r="B67" s="2" t="str">
        <f aca="false">IFERROR(__xludf.dummyfunction("""COMPUTED_VALUE"""),"Noémie RABILLOUD")</f>
        <v>Noémie RABILLOUD</v>
      </c>
      <c r="C67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67" s="2" t="str">
        <f aca="false">IFERROR(__xludf.dummyfunction("""COMPUTED_VALUE"""),"BDE")</f>
        <v>BDE</v>
      </c>
      <c r="E67" s="2" t="n">
        <f aca="false">IFERROR(__xludf.dummyfunction("""COMPUTED_VALUE"""),5)</f>
        <v>5</v>
      </c>
      <c r="F67" s="2" t="str">
        <f aca="false">IFERROR(__xludf.dummyfunction("""COMPUTED_VALUE"""),"Rock, Metal, Pop")</f>
        <v>Rock, Metal, Pop</v>
      </c>
      <c r="G67" s="2" t="str">
        <f aca="false">IFERROR(__xludf.dummyfunction("""COMPUTED_VALUE"""),"Danse, Musique, Théâtre, Cinéma")</f>
        <v>Danse, Musique, Théâtre, Cinéma</v>
      </c>
      <c r="H67" s="2" t="str">
        <f aca="false">IFERROR(__xludf.dummyfunction("""COMPUTED_VALUE"""),"Une fois de temps en temps")</f>
        <v>Une fois de temps en temps</v>
      </c>
      <c r="I67" s="2" t="str">
        <f aca="false">IFERROR(__xludf.dummyfunction("""COMPUTED_VALUE"""),"Une fois par semaine")</f>
        <v>Une fois par semaine</v>
      </c>
      <c r="J67" s="2" t="str">
        <f aca="false">IFERROR(__xludf.dummyfunction("""COMPUTED_VALUE"""),"Pour le développement perso et se dépasser")</f>
        <v>Pour le développement perso et se dépasser</v>
      </c>
      <c r="K67" s="2" t="str">
        <f aca="false">IFERROR(__xludf.dummyfunction("""COMPUTED_VALUE"""),"Sports collectifs")</f>
        <v>Sports collectifs</v>
      </c>
      <c r="L67" s="2" t="str">
        <f aca="false">IFERROR(__xludf.dummyfunction("""COMPUTED_VALUE"""),"J'aime cuisiner le WE ou quand j'ai le temps")</f>
        <v>J'aime cuisiner le WE ou quand j'ai le temps</v>
      </c>
      <c r="M67" s="2" t="n">
        <f aca="false">IFERROR(__xludf.dummyfunction("""COMPUTED_VALUE"""),3)</f>
        <v>3</v>
      </c>
      <c r="N67" s="2" t="str">
        <f aca="false">IFERROR(__xludf.dummyfunction("""COMPUTED_VALUE"""),"Une fois par semaine")</f>
        <v>Une fois par semaine</v>
      </c>
      <c r="O67" s="2" t="str">
        <f aca="false">IFERROR(__xludf.dummyfunction("""COMPUTED_VALUE"""),"T'enflammes le dancefloor")</f>
        <v>T'enflammes le dancefloor</v>
      </c>
      <c r="P67" s="2" t="n">
        <f aca="false">IFERROR(__xludf.dummyfunction("""COMPUTED_VALUE"""),1)</f>
        <v>1</v>
      </c>
      <c r="Q67" s="2" t="str">
        <f aca="false">IFERROR(__xludf.dummyfunction("""COMPUTED_VALUE"""),"Oui")</f>
        <v>Oui</v>
      </c>
      <c r="R67" s="2" t="str">
        <f aca="false">IFERROR(__xludf.dummyfunction("""COMPUTED_VALUE"""),"Non")</f>
        <v>Non</v>
      </c>
      <c r="S67" s="2" t="str">
        <f aca="false">IFERROR(__xludf.dummyfunction("""COMPUTED_VALUE"""),"Le Squat")</f>
        <v>Le Squat</v>
      </c>
      <c r="T67" s="2" t="str">
        <f aca="false">IFERROR(__xludf.dummyfunction("""COMPUTED_VALUE"""),"Un ras du cou (collier)")</f>
        <v>Un ras du cou (collier)</v>
      </c>
      <c r="U67" s="1" t="str">
        <f aca="false">IFERROR(__xludf.dummyfunction("""COMPUTED_VALUE"""),"")</f>
        <v/>
      </c>
      <c r="V67" s="1" t="str">
        <f aca="false">IFERROR(__xludf.dummyfunction("""COMPUTED_VALUE"""),"")</f>
        <v/>
      </c>
      <c r="W67" s="1" t="str">
        <f aca="false">IFERROR(__xludf.dummyfunction("""COMPUTED_VALUE"""),"")</f>
        <v/>
      </c>
      <c r="X67" s="1" t="str">
        <f aca="false">IFERROR(__xludf.dummyfunction("""COMPUTED_VALUE"""),"")</f>
        <v/>
      </c>
      <c r="Y67" s="1" t="str">
        <f aca="false">IFERROR(__xludf.dummyfunction("""COMPUTED_VALUE"""),"")</f>
        <v/>
      </c>
      <c r="Z67" s="1" t="str">
        <f aca="false">IFERROR(__xludf.dummyfunction("""COMPUTED_VALUE"""),"")</f>
        <v/>
      </c>
      <c r="AA67" s="1" t="str">
        <f aca="false">IFERROR(__xludf.dummyfunction("""COMPUTED_VALUE"""),"")</f>
        <v/>
      </c>
      <c r="AB67" s="1" t="str">
        <f aca="false">IFERROR(__xludf.dummyfunction("""COMPUTED_VALUE"""),"")</f>
        <v/>
      </c>
    </row>
    <row r="68" customFormat="false" ht="15.75" hidden="false" customHeight="false" outlineLevel="0" collapsed="false">
      <c r="A68" s="3" t="n">
        <f aca="false">IFERROR(__xludf.dummyfunction("""COMPUTED_VALUE"""),43639.7585134491)</f>
        <v>43639.75851</v>
      </c>
      <c r="B68" s="2" t="str">
        <f aca="false">IFERROR(__xludf.dummyfunction("""COMPUTED_VALUE"""),"Théo Hennion")</f>
        <v>Théo Hennion</v>
      </c>
      <c r="C68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68" s="2" t="str">
        <f aca="false">IFERROR(__xludf.dummyfunction("""COMPUTED_VALUE"""),"BDS")</f>
        <v>BDS</v>
      </c>
      <c r="E68" s="2" t="n">
        <f aca="false">IFERROR(__xludf.dummyfunction("""COMPUTED_VALUE"""),1)</f>
        <v>1</v>
      </c>
      <c r="F68" s="2" t="str">
        <f aca="false">IFERROR(__xludf.dummyfunction("""COMPUTED_VALUE"""),"Rock, Electro posée, Rap, Pop, Musique fançaise, Jazz, Kpop, Autre")</f>
        <v>Rock, Electro posée, Rap, Pop, Musique fançaise, Jazz, Kpop, Autre</v>
      </c>
      <c r="G68" s="2" t="str">
        <f aca="false">IFERROR(__xludf.dummyfunction("""COMPUTED_VALUE"""),"Peinture, Danse, Musique, Théâtre, Cinéma, Graphisme")</f>
        <v>Peinture, Danse, Musique, Théâtre, Cinéma, Graphisme</v>
      </c>
      <c r="H68" s="2" t="str">
        <f aca="false">IFERROR(__xludf.dummyfunction("""COMPUTED_VALUE"""),"Une fois par jour")</f>
        <v>Une fois par jour</v>
      </c>
      <c r="I68" s="2" t="str">
        <f aca="false">IFERROR(__xludf.dummyfunction("""COMPUTED_VALUE"""),"Une fois par jour")</f>
        <v>Une fois par jour</v>
      </c>
      <c r="J68" s="2" t="str">
        <f aca="false">IFERROR(__xludf.dummyfunction("""COMPUTED_VALUE"""),"Pour la compet")</f>
        <v>Pour la compet</v>
      </c>
      <c r="K68" s="2" t="str">
        <f aca="false">IFERROR(__xludf.dummyfunction("""COMPUTED_VALUE"""),"Sports de raquette, Athlétisme, Sports de combat, Escalade, Autre")</f>
        <v>Sports de raquette, Athlétisme, Sports de combat, Escalade, Autre</v>
      </c>
      <c r="L68" s="2" t="str">
        <f aca="false">IFERROR(__xludf.dummyfunction("""COMPUTED_VALUE"""),"J'aime cuisiner le WE ou quand j'ai le temps")</f>
        <v>J'aime cuisiner le WE ou quand j'ai le temps</v>
      </c>
      <c r="M68" s="2" t="n">
        <f aca="false">IFERROR(__xludf.dummyfunction("""COMPUTED_VALUE"""),9)</f>
        <v>9</v>
      </c>
      <c r="N68" s="2" t="str">
        <f aca="false">IFERROR(__xludf.dummyfunction("""COMPUTED_VALUE"""),"Plusieurs fois par semaine")</f>
        <v>Plusieurs fois par semaine</v>
      </c>
      <c r="O68" s="2" t="str">
        <f aca="false">IFERROR(__xludf.dummyfunction("""COMPUTED_VALUE"""),"T'enflammes le dancefloor")</f>
        <v>T'enflammes le dancefloor</v>
      </c>
      <c r="P68" s="2" t="n">
        <f aca="false">IFERROR(__xludf.dummyfunction("""COMPUTED_VALUE"""),4)</f>
        <v>4</v>
      </c>
      <c r="Q68" s="2" t="str">
        <f aca="false">IFERROR(__xludf.dummyfunction("""COMPUTED_VALUE"""),"Oui")</f>
        <v>Oui</v>
      </c>
      <c r="R68" s="2" t="str">
        <f aca="false">IFERROR(__xludf.dummyfunction("""COMPUTED_VALUE"""),"Non")</f>
        <v>Non</v>
      </c>
      <c r="S68" s="2" t="str">
        <f aca="false">IFERROR(__xludf.dummyfunction("""COMPUTED_VALUE"""),"Parainplégiques")</f>
        <v>Parainplégiques</v>
      </c>
      <c r="T68" s="2" t="str">
        <f aca="false">IFERROR(__xludf.dummyfunction("""COMPUTED_VALUE"""),"Un truc de boxe ou un truc de switch")</f>
        <v>Un truc de boxe ou un truc de switch</v>
      </c>
      <c r="U68" s="1" t="str">
        <f aca="false">IFERROR(__xludf.dummyfunction("""COMPUTED_VALUE"""),"")</f>
        <v/>
      </c>
      <c r="V68" s="1" t="str">
        <f aca="false">IFERROR(__xludf.dummyfunction("""COMPUTED_VALUE"""),"")</f>
        <v/>
      </c>
      <c r="W68" s="1" t="str">
        <f aca="false">IFERROR(__xludf.dummyfunction("""COMPUTED_VALUE"""),"")</f>
        <v/>
      </c>
      <c r="X68" s="1" t="str">
        <f aca="false">IFERROR(__xludf.dummyfunction("""COMPUTED_VALUE"""),"")</f>
        <v/>
      </c>
      <c r="Y68" s="1" t="str">
        <f aca="false">IFERROR(__xludf.dummyfunction("""COMPUTED_VALUE"""),"")</f>
        <v/>
      </c>
      <c r="Z68" s="1" t="str">
        <f aca="false">IFERROR(__xludf.dummyfunction("""COMPUTED_VALUE"""),"")</f>
        <v/>
      </c>
      <c r="AA68" s="1" t="str">
        <f aca="false">IFERROR(__xludf.dummyfunction("""COMPUTED_VALUE"""),"")</f>
        <v/>
      </c>
      <c r="AB68" s="1" t="str">
        <f aca="false">IFERROR(__xludf.dummyfunction("""COMPUTED_VALUE"""),"")</f>
        <v/>
      </c>
    </row>
    <row r="69" customFormat="false" ht="15.75" hidden="false" customHeight="false" outlineLevel="0" collapsed="false">
      <c r="A69" s="3" t="n">
        <f aca="false">IFERROR(__xludf.dummyfunction("""COMPUTED_VALUE"""),43639.8457947222)</f>
        <v>43639.84579</v>
      </c>
      <c r="B69" s="2" t="str">
        <f aca="false">IFERROR(__xludf.dummyfunction("""COMPUTED_VALUE"""),"Marius MENAULT")</f>
        <v>Marius MENAULT</v>
      </c>
      <c r="C69" s="2" t="str">
        <f aca="false">IFERROR(__xludf.dummyfunction("""COMPUTED_VALUE"""),"Le président et un inconnu")</f>
        <v>Le président et un inconnu</v>
      </c>
      <c r="D69" s="2" t="str">
        <f aca="false">IFERROR(__xludf.dummyfunction("""COMPUTED_VALUE"""),"BDE")</f>
        <v>BDE</v>
      </c>
      <c r="E69" s="2" t="n">
        <f aca="false">IFERROR(__xludf.dummyfunction("""COMPUTED_VALUE"""),4)</f>
        <v>4</v>
      </c>
      <c r="F69" s="2" t="str">
        <f aca="false">IFERROR(__xludf.dummyfunction("""COMPUTED_VALUE"""),"Rock, Electro posée, Electro hard, Rap, Pop")</f>
        <v>Rock, Electro posée, Electro hard, Rap, Pop</v>
      </c>
      <c r="G69" s="2" t="str">
        <f aca="false">IFERROR(__xludf.dummyfunction("""COMPUTED_VALUE"""),"Peinture, Sculpture, Danse, Musique, Théâtre, Cinéma, Graphisme, Autre")</f>
        <v>Peinture, Sculpture, Danse, Musique, Théâtre, Cinéma, Graphisme, Autre</v>
      </c>
      <c r="H69" s="2" t="str">
        <f aca="false">IFERROR(__xludf.dummyfunction("""COMPUTED_VALUE"""),"Une fois de temps en temps")</f>
        <v>Une fois de temps en temps</v>
      </c>
      <c r="I69" s="2" t="str">
        <f aca="false">IFERROR(__xludf.dummyfunction("""COMPUTED_VALUE"""),"Plusieurs fois par semaine")</f>
        <v>Plusieurs fois par semaine</v>
      </c>
      <c r="J69" s="2" t="str">
        <f aca="false">IFERROR(__xludf.dummyfunction("""COMPUTED_VALUE"""),"Pour le fun")</f>
        <v>Pour le fun</v>
      </c>
      <c r="K69" s="2" t="str">
        <f aca="false">IFERROR(__xludf.dummyfunction("""COMPUTED_VALUE"""),"Sports collectifs, Sports de raquette, Sports de rames, Sports aquatiques, Escalade, Autre")</f>
        <v>Sports collectifs, Sports de raquette, Sports de rames, Sports aquatiques, Escalade, Autre</v>
      </c>
      <c r="L69" s="2" t="str">
        <f aca="false">IFERROR(__xludf.dummyfunction("""COMPUTED_VALUE"""),"Je fais toujours attention à bien manger")</f>
        <v>Je fais toujours attention à bien manger</v>
      </c>
      <c r="M69" s="2" t="n">
        <f aca="false">IFERROR(__xludf.dummyfunction("""COMPUTED_VALUE"""),8)</f>
        <v>8</v>
      </c>
      <c r="N69" s="2" t="str">
        <f aca="false">IFERROR(__xludf.dummyfunction("""COMPUTED_VALUE"""),"Une fois par semaine")</f>
        <v>Une fois par semaine</v>
      </c>
      <c r="O69" s="2" t="str">
        <f aca="false">IFERROR(__xludf.dummyfunction("""COMPUTED_VALUE"""),"T'enflammes le dancefloor")</f>
        <v>T'enflammes le dancefloor</v>
      </c>
      <c r="P69" s="2" t="n">
        <f aca="false">IFERROR(__xludf.dummyfunction("""COMPUTED_VALUE"""),4)</f>
        <v>4</v>
      </c>
      <c r="Q69" s="2" t="str">
        <f aca="false">IFERROR(__xludf.dummyfunction("""COMPUTED_VALUE"""),"Oui")</f>
        <v>Oui</v>
      </c>
      <c r="R69" s="2" t="str">
        <f aca="false">IFERROR(__xludf.dummyfunction("""COMPUTED_VALUE"""),"Non")</f>
        <v>Non</v>
      </c>
      <c r="S69" s="2" t="str">
        <f aca="false">IFERROR(__xludf.dummyfunction("""COMPUTED_VALUE"""),"La dezing")</f>
        <v>La dezing</v>
      </c>
      <c r="T69" s="2" t="str">
        <f aca="false">IFERROR(__xludf.dummyfunction("""COMPUTED_VALUE"""),"Des chaussettes")</f>
        <v>Des chaussettes</v>
      </c>
      <c r="U69" s="1" t="str">
        <f aca="false">IFERROR(__xludf.dummyfunction("""COMPUTED_VALUE"""),"")</f>
        <v/>
      </c>
      <c r="V69" s="1" t="str">
        <f aca="false">IFERROR(__xludf.dummyfunction("""COMPUTED_VALUE"""),"")</f>
        <v/>
      </c>
      <c r="W69" s="1" t="str">
        <f aca="false">IFERROR(__xludf.dummyfunction("""COMPUTED_VALUE"""),"")</f>
        <v/>
      </c>
      <c r="X69" s="1" t="str">
        <f aca="false">IFERROR(__xludf.dummyfunction("""COMPUTED_VALUE"""),"")</f>
        <v/>
      </c>
      <c r="Y69" s="1" t="str">
        <f aca="false">IFERROR(__xludf.dummyfunction("""COMPUTED_VALUE"""),"")</f>
        <v/>
      </c>
      <c r="Z69" s="1" t="str">
        <f aca="false">IFERROR(__xludf.dummyfunction("""COMPUTED_VALUE"""),"")</f>
        <v/>
      </c>
      <c r="AA69" s="1" t="str">
        <f aca="false">IFERROR(__xludf.dummyfunction("""COMPUTED_VALUE"""),"")</f>
        <v/>
      </c>
      <c r="AB69" s="1" t="str">
        <f aca="false">IFERROR(__xludf.dummyfunction("""COMPUTED_VALUE"""),"")</f>
        <v/>
      </c>
    </row>
    <row r="70" customFormat="false" ht="15.75" hidden="false" customHeight="false" outlineLevel="0" collapsed="false">
      <c r="A70" s="3" t="n">
        <f aca="false">IFERROR(__xludf.dummyfunction("""COMPUTED_VALUE"""),43639.877032963)</f>
        <v>43639.87703</v>
      </c>
      <c r="B70" s="2" t="str">
        <f aca="false">IFERROR(__xludf.dummyfunction("""COMPUTED_VALUE"""),"Léonce AUDIBERT")</f>
        <v>Léonce AUDIBERT</v>
      </c>
      <c r="C70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0" s="2" t="str">
        <f aca="false">IFERROR(__xludf.dummyfunction("""COMPUTED_VALUE"""),"BDE")</f>
        <v>BDE</v>
      </c>
      <c r="E70" s="2" t="n">
        <f aca="false">IFERROR(__xludf.dummyfunction("""COMPUTED_VALUE"""),3)</f>
        <v>3</v>
      </c>
      <c r="F70" s="2" t="str">
        <f aca="false">IFERROR(__xludf.dummyfunction("""COMPUTED_VALUE"""),"Rock, Electro posée, Rap, Pop, Musique fançaise, Jazz")</f>
        <v>Rock, Electro posée, Rap, Pop, Musique fançaise, Jazz</v>
      </c>
      <c r="G70" s="2" t="str">
        <f aca="false">IFERROR(__xludf.dummyfunction("""COMPUTED_VALUE"""),"Musique, Cinéma")</f>
        <v>Musique, Cinéma</v>
      </c>
      <c r="H70" s="2" t="str">
        <f aca="false">IFERROR(__xludf.dummyfunction("""COMPUTED_VALUE"""),"Une fois de temps en temps")</f>
        <v>Une fois de temps en temps</v>
      </c>
      <c r="I70" s="2" t="str">
        <f aca="false">IFERROR(__xludf.dummyfunction("""COMPUTED_VALUE"""),"Plusieurs fois par semaine")</f>
        <v>Plusieurs fois par semaine</v>
      </c>
      <c r="J70" s="2" t="str">
        <f aca="false">IFERROR(__xludf.dummyfunction("""COMPUTED_VALUE"""),"Pour le développement perso et se dépasser")</f>
        <v>Pour le développement perso et se dépasser</v>
      </c>
      <c r="K70" s="2" t="str">
        <f aca="false">IFERROR(__xludf.dummyfunction("""COMPUTED_VALUE"""),"Sports collectifs")</f>
        <v>Sports collectifs</v>
      </c>
      <c r="L70" s="2" t="str">
        <f aca="false">IFERROR(__xludf.dummyfunction("""COMPUTED_VALUE"""),"J'aime cuisiner le WE ou quand j'ai le temps")</f>
        <v>J'aime cuisiner le WE ou quand j'ai le temps</v>
      </c>
      <c r="M70" s="2" t="n">
        <f aca="false">IFERROR(__xludf.dummyfunction("""COMPUTED_VALUE"""),7)</f>
        <v>7</v>
      </c>
      <c r="N70" s="2" t="str">
        <f aca="false">IFERROR(__xludf.dummyfunction("""COMPUTED_VALUE"""),"Plusieurs fois par semaine")</f>
        <v>Plusieurs fois par semaine</v>
      </c>
      <c r="O70" s="2" t="str">
        <f aca="false">IFERROR(__xludf.dummyfunction("""COMPUTED_VALUE"""),"T'enflammes le dancefloor")</f>
        <v>T'enflammes le dancefloor</v>
      </c>
      <c r="P70" s="2" t="n">
        <f aca="false">IFERROR(__xludf.dummyfunction("""COMPUTED_VALUE"""),1)</f>
        <v>1</v>
      </c>
      <c r="Q70" s="2" t="str">
        <f aca="false">IFERROR(__xludf.dummyfunction("""COMPUTED_VALUE"""),"Oui")</f>
        <v>Oui</v>
      </c>
      <c r="R70" s="2" t="str">
        <f aca="false">IFERROR(__xludf.dummyfunction("""COMPUTED_VALUE"""),"Non")</f>
        <v>Non</v>
      </c>
      <c r="S70" s="2" t="str">
        <f aca="false">IFERROR(__xludf.dummyfunction("""COMPUTED_VALUE"""),"La Dezing ")</f>
        <v>La Dezing </v>
      </c>
      <c r="T70" s="2" t="str">
        <f aca="false">IFERROR(__xludf.dummyfunction("""COMPUTED_VALUE"""),"Désolé je sais pas du tout mon bon Adrien la mif et Lucas  la mif ")</f>
        <v>Désolé je sais pas du tout mon bon Adrien la mif et Lucas  la mif </v>
      </c>
      <c r="U70" s="1" t="str">
        <f aca="false">IFERROR(__xludf.dummyfunction("""COMPUTED_VALUE"""),"")</f>
        <v/>
      </c>
      <c r="V70" s="1" t="str">
        <f aca="false">IFERROR(__xludf.dummyfunction("""COMPUTED_VALUE"""),"")</f>
        <v/>
      </c>
      <c r="W70" s="1" t="str">
        <f aca="false">IFERROR(__xludf.dummyfunction("""COMPUTED_VALUE"""),"")</f>
        <v/>
      </c>
      <c r="X70" s="1" t="str">
        <f aca="false">IFERROR(__xludf.dummyfunction("""COMPUTED_VALUE"""),"")</f>
        <v/>
      </c>
      <c r="Y70" s="1" t="str">
        <f aca="false">IFERROR(__xludf.dummyfunction("""COMPUTED_VALUE"""),"")</f>
        <v/>
      </c>
      <c r="Z70" s="1" t="str">
        <f aca="false">IFERROR(__xludf.dummyfunction("""COMPUTED_VALUE"""),"")</f>
        <v/>
      </c>
      <c r="AA70" s="1" t="str">
        <f aca="false">IFERROR(__xludf.dummyfunction("""COMPUTED_VALUE"""),"")</f>
        <v/>
      </c>
      <c r="AB70" s="1" t="str">
        <f aca="false">IFERROR(__xludf.dummyfunction("""COMPUTED_VALUE"""),"")</f>
        <v/>
      </c>
    </row>
    <row r="71" customFormat="false" ht="15.75" hidden="false" customHeight="false" outlineLevel="0" collapsed="false">
      <c r="A71" s="3" t="n">
        <f aca="false">IFERROR(__xludf.dummyfunction("""COMPUTED_VALUE"""),43639.8837949074)</f>
        <v>43639.88379</v>
      </c>
      <c r="B71" s="2" t="str">
        <f aca="false">IFERROR(__xludf.dummyfunction("""COMPUTED_VALUE"""),"Antoine Chillet")</f>
        <v>Antoine Chillet</v>
      </c>
      <c r="C71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1" s="2" t="str">
        <f aca="false">IFERROR(__xludf.dummyfunction("""COMPUTED_VALUE"""),"BDE")</f>
        <v>BDE</v>
      </c>
      <c r="E71" s="2" t="n">
        <f aca="false">IFERROR(__xludf.dummyfunction("""COMPUTED_VALUE"""),5)</f>
        <v>5</v>
      </c>
      <c r="F71" s="2" t="str">
        <f aca="false">IFERROR(__xludf.dummyfunction("""COMPUTED_VALUE"""),"Pop, Musique fançaise")</f>
        <v>Pop, Musique fançaise</v>
      </c>
      <c r="G71" s="2" t="str">
        <f aca="false">IFERROR(__xludf.dummyfunction("""COMPUTED_VALUE"""),"Théâtre, Cinéma")</f>
        <v>Théâtre, Cinéma</v>
      </c>
      <c r="H71" s="2" t="str">
        <f aca="false">IFERROR(__xludf.dummyfunction("""COMPUTED_VALUE"""),"Une fois de temps en temps")</f>
        <v>Une fois de temps en temps</v>
      </c>
      <c r="I71" s="2" t="str">
        <f aca="false">IFERROR(__xludf.dummyfunction("""COMPUTED_VALUE"""),"Plusieurs fois par semaine")</f>
        <v>Plusieurs fois par semaine</v>
      </c>
      <c r="J71" s="2" t="str">
        <f aca="false">IFERROR(__xludf.dummyfunction("""COMPUTED_VALUE"""),"Pour le développement perso et se dépasser")</f>
        <v>Pour le développement perso et se dépasser</v>
      </c>
      <c r="K71" s="2" t="str">
        <f aca="false">IFERROR(__xludf.dummyfunction("""COMPUTED_VALUE"""),"Sports collectifs, Sports de raquette")</f>
        <v>Sports collectifs, Sports de raquette</v>
      </c>
      <c r="L71" s="2" t="str">
        <f aca="false">IFERROR(__xludf.dummyfunction("""COMPUTED_VALUE"""),"J'aime cuisiner le WE ou quand j'ai le temps")</f>
        <v>J'aime cuisiner le WE ou quand j'ai le temps</v>
      </c>
      <c r="M71" s="2" t="n">
        <f aca="false">IFERROR(__xludf.dummyfunction("""COMPUTED_VALUE"""),7)</f>
        <v>7</v>
      </c>
      <c r="N71" s="2" t="str">
        <f aca="false">IFERROR(__xludf.dummyfunction("""COMPUTED_VALUE"""),"Une fois par semaine")</f>
        <v>Une fois par semaine</v>
      </c>
      <c r="O71" s="2" t="str">
        <f aca="false">IFERROR(__xludf.dummyfunction("""COMPUTED_VALUE"""),"Tu te poses dans un coin, chill !!")</f>
        <v>Tu te poses dans un coin, chill !!</v>
      </c>
      <c r="P71" s="2" t="n">
        <f aca="false">IFERROR(__xludf.dummyfunction("""COMPUTED_VALUE"""),1)</f>
        <v>1</v>
      </c>
      <c r="Q71" s="2" t="str">
        <f aca="false">IFERROR(__xludf.dummyfunction("""COMPUTED_VALUE"""),"Oui")</f>
        <v>Oui</v>
      </c>
      <c r="R71" s="2" t="str">
        <f aca="false">IFERROR(__xludf.dummyfunction("""COMPUTED_VALUE"""),"Non")</f>
        <v>Non</v>
      </c>
      <c r="S71" s="2" t="str">
        <f aca="false">IFERROR(__xludf.dummyfunction("""COMPUTED_VALUE"""),"La dezing")</f>
        <v>La dezing</v>
      </c>
      <c r="T71" s="2" t="str">
        <f aca="false">IFERROR(__xludf.dummyfunction("""COMPUTED_VALUE"""),"Balle de ping avec le logo d'Enactus ")</f>
        <v>Balle de ping avec le logo d'Enactus </v>
      </c>
      <c r="U71" s="1" t="str">
        <f aca="false">IFERROR(__xludf.dummyfunction("""COMPUTED_VALUE"""),"")</f>
        <v/>
      </c>
      <c r="V71" s="1" t="str">
        <f aca="false">IFERROR(__xludf.dummyfunction("""COMPUTED_VALUE"""),"")</f>
        <v/>
      </c>
      <c r="W71" s="1" t="str">
        <f aca="false">IFERROR(__xludf.dummyfunction("""COMPUTED_VALUE"""),"")</f>
        <v/>
      </c>
      <c r="X71" s="1" t="str">
        <f aca="false">IFERROR(__xludf.dummyfunction("""COMPUTED_VALUE"""),"")</f>
        <v/>
      </c>
      <c r="Y71" s="1" t="str">
        <f aca="false">IFERROR(__xludf.dummyfunction("""COMPUTED_VALUE"""),"")</f>
        <v/>
      </c>
      <c r="Z71" s="1" t="str">
        <f aca="false">IFERROR(__xludf.dummyfunction("""COMPUTED_VALUE"""),"")</f>
        <v/>
      </c>
      <c r="AA71" s="1" t="str">
        <f aca="false">IFERROR(__xludf.dummyfunction("""COMPUTED_VALUE"""),"")</f>
        <v/>
      </c>
      <c r="AB71" s="1" t="str">
        <f aca="false">IFERROR(__xludf.dummyfunction("""COMPUTED_VALUE"""),"")</f>
        <v/>
      </c>
    </row>
    <row r="72" customFormat="false" ht="15.75" hidden="false" customHeight="false" outlineLevel="0" collapsed="false">
      <c r="A72" s="4" t="n">
        <f aca="false">IFERROR(__xludf.dummyfunction("""COMPUTED_VALUE"""),43639.8928028125)</f>
        <v>43639.8928</v>
      </c>
      <c r="B72" s="1" t="str">
        <f aca="false">IFERROR(__xludf.dummyfunction("""COMPUTED_VALUE"""),"Richard ARNAUD")</f>
        <v>Richard ARNAUD</v>
      </c>
      <c r="C72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2" s="1" t="str">
        <f aca="false">IFERROR(__xludf.dummyfunction("""COMPUTED_VALUE"""),"BDA")</f>
        <v>BDA</v>
      </c>
      <c r="E72" s="1" t="n">
        <f aca="false">IFERROR(__xludf.dummyfunction("""COMPUTED_VALUE"""),2)</f>
        <v>2</v>
      </c>
      <c r="F72" s="1" t="str">
        <f aca="false">IFERROR(__xludf.dummyfunction("""COMPUTED_VALUE"""),"Rock, Metal, Electro posée, Electro hard, Pop, Musique fançaise, Jazz, Musique classique, Autre")</f>
        <v>Rock, Metal, Electro posée, Electro hard, Pop, Musique fançaise, Jazz, Musique classique, Autre</v>
      </c>
      <c r="G72" s="1" t="str">
        <f aca="false">IFERROR(__xludf.dummyfunction("""COMPUTED_VALUE"""),"Musique, Théâtre, Cinéma")</f>
        <v>Musique, Théâtre, Cinéma</v>
      </c>
      <c r="H72" s="1" t="str">
        <f aca="false">IFERROR(__xludf.dummyfunction("""COMPUTED_VALUE"""),"Quelques fois par semaine")</f>
        <v>Quelques fois par semaine</v>
      </c>
      <c r="I72" s="1" t="str">
        <f aca="false">IFERROR(__xludf.dummyfunction("""COMPUTED_VALUE"""),"Une fois par jour")</f>
        <v>Une fois par jour</v>
      </c>
      <c r="J72" s="1" t="str">
        <f aca="false">IFERROR(__xludf.dummyfunction("""COMPUTED_VALUE"""),"Pour la compet")</f>
        <v>Pour la compet</v>
      </c>
      <c r="K72" s="1" t="str">
        <f aca="false">IFERROR(__xludf.dummyfunction("""COMPUTED_VALUE"""),"Sports collectifs")</f>
        <v>Sports collectifs</v>
      </c>
      <c r="L72" s="1" t="str">
        <f aca="false">IFERROR(__xludf.dummyfunction("""COMPUTED_VALUE"""),"Alterner entre grec et coquillettes ça compte ?")</f>
        <v>Alterner entre grec et coquillettes ça compte ?</v>
      </c>
      <c r="M72" s="1" t="n">
        <f aca="false">IFERROR(__xludf.dummyfunction("""COMPUTED_VALUE"""),7)</f>
        <v>7</v>
      </c>
      <c r="N72" s="1" t="str">
        <f aca="false">IFERROR(__xludf.dummyfunction("""COMPUTED_VALUE"""),"Une fois par semaine")</f>
        <v>Une fois par semaine</v>
      </c>
      <c r="O72" s="1" t="str">
        <f aca="false">IFERROR(__xludf.dummyfunction("""COMPUTED_VALUE"""),"Tu te poses dans un coin, chill !!")</f>
        <v>Tu te poses dans un coin, chill !!</v>
      </c>
      <c r="P72" s="1" t="n">
        <f aca="false">IFERROR(__xludf.dummyfunction("""COMPUTED_VALUE"""),4)</f>
        <v>4</v>
      </c>
      <c r="Q72" s="1" t="str">
        <f aca="false">IFERROR(__xludf.dummyfunction("""COMPUTED_VALUE"""),"Oui")</f>
        <v>Oui</v>
      </c>
      <c r="R72" s="1" t="str">
        <f aca="false">IFERROR(__xludf.dummyfunction("""COMPUTED_VALUE"""),"Non")</f>
        <v>Non</v>
      </c>
      <c r="S72" s="1" t="str">
        <f aca="false">IFERROR(__xludf.dummyfunction("""COMPUTED_VALUE"""),"Famille Discorde")</f>
        <v>Famille Discorde</v>
      </c>
      <c r="T72" s="1" t="str">
        <f aca="false">IFERROR(__xludf.dummyfunction("""COMPUTED_VALUE"""),"J'improserai")</f>
        <v>J'improserai</v>
      </c>
      <c r="U72" s="1" t="str">
        <f aca="false">IFERROR(__xludf.dummyfunction("""COMPUTED_VALUE"""),"")</f>
        <v/>
      </c>
      <c r="V72" s="1" t="str">
        <f aca="false">IFERROR(__xludf.dummyfunction("""COMPUTED_VALUE"""),"")</f>
        <v/>
      </c>
      <c r="W72" s="1" t="str">
        <f aca="false">IFERROR(__xludf.dummyfunction("""COMPUTED_VALUE"""),"")</f>
        <v/>
      </c>
      <c r="X72" s="1" t="str">
        <f aca="false">IFERROR(__xludf.dummyfunction("""COMPUTED_VALUE"""),"")</f>
        <v/>
      </c>
      <c r="Y72" s="1" t="str">
        <f aca="false">IFERROR(__xludf.dummyfunction("""COMPUTED_VALUE"""),"")</f>
        <v/>
      </c>
      <c r="Z72" s="1" t="str">
        <f aca="false">IFERROR(__xludf.dummyfunction("""COMPUTED_VALUE"""),"")</f>
        <v/>
      </c>
      <c r="AA72" s="1" t="str">
        <f aca="false">IFERROR(__xludf.dummyfunction("""COMPUTED_VALUE"""),"")</f>
        <v/>
      </c>
      <c r="AB72" s="1" t="str">
        <f aca="false">IFERROR(__xludf.dummyfunction("""COMPUTED_VALUE"""),"")</f>
        <v/>
      </c>
    </row>
    <row r="73" customFormat="false" ht="15.75" hidden="false" customHeight="false" outlineLevel="0" collapsed="false">
      <c r="A73" s="4" t="n">
        <f aca="false">IFERROR(__xludf.dummyfunction("""COMPUTED_VALUE"""),43639.9058432755)</f>
        <v>43639.90584</v>
      </c>
      <c r="B73" s="1" t="str">
        <f aca="false">IFERROR(__xludf.dummyfunction("""COMPUTED_VALUE"""),"Lilie BOIZUMAULT")</f>
        <v>Lilie BOIZUMAULT</v>
      </c>
      <c r="C73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3" s="1" t="str">
        <f aca="false">IFERROR(__xludf.dummyfunction("""COMPUTED_VALUE"""),"BDE")</f>
        <v>BDE</v>
      </c>
      <c r="E73" s="1" t="n">
        <f aca="false">IFERROR(__xludf.dummyfunction("""COMPUTED_VALUE"""),3)</f>
        <v>3</v>
      </c>
      <c r="F73" s="1" t="str">
        <f aca="false">IFERROR(__xludf.dummyfunction("""COMPUTED_VALUE"""),"Rap, Pop, Musique fançaise")</f>
        <v>Rap, Pop, Musique fançaise</v>
      </c>
      <c r="G73" s="1" t="str">
        <f aca="false">IFERROR(__xludf.dummyfunction("""COMPUTED_VALUE"""),"Musique, Théâtre, Cinéma")</f>
        <v>Musique, Théâtre, Cinéma</v>
      </c>
      <c r="H73" s="1" t="str">
        <f aca="false">IFERROR(__xludf.dummyfunction("""COMPUTED_VALUE"""),"Une fois de temps en temps")</f>
        <v>Une fois de temps en temps</v>
      </c>
      <c r="I73" s="1" t="str">
        <f aca="false">IFERROR(__xludf.dummyfunction("""COMPUTED_VALUE"""),"Plusieurs fois par semaine")</f>
        <v>Plusieurs fois par semaine</v>
      </c>
      <c r="J73" s="1" t="str">
        <f aca="false">IFERROR(__xludf.dummyfunction("""COMPUTED_VALUE"""),"Pour le développement perso et se dépasser")</f>
        <v>Pour le développement perso et se dépasser</v>
      </c>
      <c r="K73" s="1" t="str">
        <f aca="false">IFERROR(__xludf.dummyfunction("""COMPUTED_VALUE"""),"Sports collectifs")</f>
        <v>Sports collectifs</v>
      </c>
      <c r="L73" s="1" t="str">
        <f aca="false">IFERROR(__xludf.dummyfunction("""COMPUTED_VALUE"""),"Alterner entre grec et coquillettes ça compte ?")</f>
        <v>Alterner entre grec et coquillettes ça compte ?</v>
      </c>
      <c r="M73" s="1" t="n">
        <f aca="false">IFERROR(__xludf.dummyfunction("""COMPUTED_VALUE"""),9)</f>
        <v>9</v>
      </c>
      <c r="N73" s="1" t="str">
        <f aca="false">IFERROR(__xludf.dummyfunction("""COMPUTED_VALUE"""),"Une fois par semaine")</f>
        <v>Une fois par semaine</v>
      </c>
      <c r="O73" s="1" t="str">
        <f aca="false">IFERROR(__xludf.dummyfunction("""COMPUTED_VALUE"""),"T'enflammes le dancefloor")</f>
        <v>T'enflammes le dancefloor</v>
      </c>
      <c r="P73" s="1" t="n">
        <f aca="false">IFERROR(__xludf.dummyfunction("""COMPUTED_VALUE"""),5)</f>
        <v>5</v>
      </c>
      <c r="Q73" s="1" t="str">
        <f aca="false">IFERROR(__xludf.dummyfunction("""COMPUTED_VALUE"""),"Oui")</f>
        <v>Oui</v>
      </c>
      <c r="R73" s="1" t="str">
        <f aca="false">IFERROR(__xludf.dummyfunction("""COMPUTED_VALUE"""),"Non")</f>
        <v>Non</v>
      </c>
      <c r="S73" s="1" t="str">
        <f aca="false">IFERROR(__xludf.dummyfunction("""COMPUTED_VALUE"""),"La dézing")</f>
        <v>La dézing</v>
      </c>
      <c r="T73" s="1" t="str">
        <f aca="false">IFERROR(__xludf.dummyfunction("""COMPUTED_VALUE"""),"Pochtard avec du gazon dedans ")</f>
        <v>Pochtard avec du gazon dedans </v>
      </c>
      <c r="U73" s="1" t="str">
        <f aca="false">IFERROR(__xludf.dummyfunction("""COMPUTED_VALUE"""),"")</f>
        <v/>
      </c>
      <c r="V73" s="1" t="str">
        <f aca="false">IFERROR(__xludf.dummyfunction("""COMPUTED_VALUE"""),"")</f>
        <v/>
      </c>
      <c r="W73" s="1" t="str">
        <f aca="false">IFERROR(__xludf.dummyfunction("""COMPUTED_VALUE"""),"")</f>
        <v/>
      </c>
      <c r="X73" s="1" t="str">
        <f aca="false">IFERROR(__xludf.dummyfunction("""COMPUTED_VALUE"""),"")</f>
        <v/>
      </c>
      <c r="Y73" s="1" t="str">
        <f aca="false">IFERROR(__xludf.dummyfunction("""COMPUTED_VALUE"""),"")</f>
        <v/>
      </c>
      <c r="Z73" s="1" t="str">
        <f aca="false">IFERROR(__xludf.dummyfunction("""COMPUTED_VALUE"""),"")</f>
        <v/>
      </c>
      <c r="AA73" s="1" t="str">
        <f aca="false">IFERROR(__xludf.dummyfunction("""COMPUTED_VALUE"""),"")</f>
        <v/>
      </c>
      <c r="AB73" s="1" t="str">
        <f aca="false">IFERROR(__xludf.dummyfunction("""COMPUTED_VALUE"""),"")</f>
        <v/>
      </c>
    </row>
    <row r="74" customFormat="false" ht="15.75" hidden="false" customHeight="false" outlineLevel="0" collapsed="false">
      <c r="A74" s="3" t="n">
        <f aca="false">IFERROR(__xludf.dummyfunction("""COMPUTED_VALUE"""),43639.9341598148)</f>
        <v>43639.93416</v>
      </c>
      <c r="B74" s="1" t="str">
        <f aca="false">IFERROR(__xludf.dummyfunction("""COMPUTED_VALUE"""),"Amine MEHMOUDEN")</f>
        <v>Amine MEHMOUDEN</v>
      </c>
      <c r="C74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4" s="1" t="str">
        <f aca="false">IFERROR(__xludf.dummyfunction("""COMPUTED_VALUE"""),"BDE")</f>
        <v>BDE</v>
      </c>
      <c r="E74" s="1" t="n">
        <f aca="false">IFERROR(__xludf.dummyfunction("""COMPUTED_VALUE"""),5)</f>
        <v>5</v>
      </c>
      <c r="F74" s="1" t="str">
        <f aca="false">IFERROR(__xludf.dummyfunction("""COMPUTED_VALUE"""),"Rap, Pop")</f>
        <v>Rap, Pop</v>
      </c>
      <c r="G74" s="1" t="str">
        <f aca="false">IFERROR(__xludf.dummyfunction("""COMPUTED_VALUE"""),"Danse, Musique, Cinéma, Graphisme")</f>
        <v>Danse, Musique, Cinéma, Graphisme</v>
      </c>
      <c r="H74" s="1" t="str">
        <f aca="false">IFERROR(__xludf.dummyfunction("""COMPUTED_VALUE"""),"Une fois de temps en temps")</f>
        <v>Une fois de temps en temps</v>
      </c>
      <c r="I74" s="1" t="str">
        <f aca="false">IFERROR(__xludf.dummyfunction("""COMPUTED_VALUE"""),"Plusieurs fois par semaine")</f>
        <v>Plusieurs fois par semaine</v>
      </c>
      <c r="J74" s="1" t="str">
        <f aca="false">IFERROR(__xludf.dummyfunction("""COMPUTED_VALUE"""),"Pour le développement perso et se dépasser")</f>
        <v>Pour le développement perso et se dépasser</v>
      </c>
      <c r="K74" s="1" t="str">
        <f aca="false">IFERROR(__xludf.dummyfunction("""COMPUTED_VALUE"""),"Sports collectifs")</f>
        <v>Sports collectifs</v>
      </c>
      <c r="L74" s="1" t="str">
        <f aca="false">IFERROR(__xludf.dummyfunction("""COMPUTED_VALUE"""),"J'aime cuisiner le WE ou quand j'ai le temps")</f>
        <v>J'aime cuisiner le WE ou quand j'ai le temps</v>
      </c>
      <c r="M74" s="1" t="n">
        <f aca="false">IFERROR(__xludf.dummyfunction("""COMPUTED_VALUE"""),1)</f>
        <v>1</v>
      </c>
      <c r="N74" s="1" t="str">
        <f aca="false">IFERROR(__xludf.dummyfunction("""COMPUTED_VALUE"""),"Plusieurs fois par semaine")</f>
        <v>Plusieurs fois par semaine</v>
      </c>
      <c r="O74" s="1" t="str">
        <f aca="false">IFERROR(__xludf.dummyfunction("""COMPUTED_VALUE"""),"T'enflammes le dancefloor")</f>
        <v>T'enflammes le dancefloor</v>
      </c>
      <c r="P74" s="1" t="n">
        <f aca="false">IFERROR(__xludf.dummyfunction("""COMPUTED_VALUE"""),1)</f>
        <v>1</v>
      </c>
      <c r="Q74" s="1" t="str">
        <f aca="false">IFERROR(__xludf.dummyfunction("""COMPUTED_VALUE"""),"Oui")</f>
        <v>Oui</v>
      </c>
      <c r="R74" s="1" t="str">
        <f aca="false">IFERROR(__xludf.dummyfunction("""COMPUTED_VALUE"""),"Non")</f>
        <v>Non</v>
      </c>
      <c r="S74" s="1" t="str">
        <f aca="false">IFERROR(__xludf.dummyfunction("""COMPUTED_VALUE"""),"le squat")</f>
        <v>le squat</v>
      </c>
      <c r="T74" s="1" t="str">
        <f aca="false">IFERROR(__xludf.dummyfunction("""COMPUTED_VALUE"""),"je sais pas encore")</f>
        <v>je sais pas encore</v>
      </c>
      <c r="U74" s="1" t="str">
        <f aca="false">IFERROR(__xludf.dummyfunction("""COMPUTED_VALUE"""),"")</f>
        <v/>
      </c>
      <c r="V74" s="1" t="str">
        <f aca="false">IFERROR(__xludf.dummyfunction("""COMPUTED_VALUE"""),"")</f>
        <v/>
      </c>
      <c r="W74" s="1" t="str">
        <f aca="false">IFERROR(__xludf.dummyfunction("""COMPUTED_VALUE"""),"")</f>
        <v/>
      </c>
      <c r="X74" s="1" t="str">
        <f aca="false">IFERROR(__xludf.dummyfunction("""COMPUTED_VALUE"""),"")</f>
        <v/>
      </c>
      <c r="Y74" s="1" t="str">
        <f aca="false">IFERROR(__xludf.dummyfunction("""COMPUTED_VALUE"""),"")</f>
        <v/>
      </c>
      <c r="Z74" s="1" t="str">
        <f aca="false">IFERROR(__xludf.dummyfunction("""COMPUTED_VALUE"""),"")</f>
        <v/>
      </c>
      <c r="AA74" s="1" t="str">
        <f aca="false">IFERROR(__xludf.dummyfunction("""COMPUTED_VALUE"""),"")</f>
        <v/>
      </c>
      <c r="AB74" s="1" t="str">
        <f aca="false">IFERROR(__xludf.dummyfunction("""COMPUTED_VALUE"""),"")</f>
        <v/>
      </c>
    </row>
    <row r="75" customFormat="false" ht="15.75" hidden="false" customHeight="false" outlineLevel="0" collapsed="false">
      <c r="A75" s="3" t="n">
        <f aca="false">IFERROR(__xludf.dummyfunction("""COMPUTED_VALUE"""),43640.2222334722)</f>
        <v>43640.22223</v>
      </c>
      <c r="B75" s="2" t="str">
        <f aca="false">IFERROR(__xludf.dummyfunction("""COMPUTED_VALUE"""),"Eric Ali Mehenni")</f>
        <v>Eric Ali Mehenni</v>
      </c>
      <c r="C75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5" s="2" t="str">
        <f aca="false">IFERROR(__xludf.dummyfunction("""COMPUTED_VALUE"""),"BDA")</f>
        <v>BDA</v>
      </c>
      <c r="E75" s="2" t="n">
        <f aca="false">IFERROR(__xludf.dummyfunction("""COMPUTED_VALUE"""),5)</f>
        <v>5</v>
      </c>
      <c r="F75" s="2" t="str">
        <f aca="false">IFERROR(__xludf.dummyfunction("""COMPUTED_VALUE"""),"Rock, Electro posée, Rap, Pop, Musique classique")</f>
        <v>Rock, Electro posée, Rap, Pop, Musique classique</v>
      </c>
      <c r="G75" s="2" t="str">
        <f aca="false">IFERROR(__xludf.dummyfunction("""COMPUTED_VALUE"""),"Littérature, Musique, Théâtre, Cinéma")</f>
        <v>Littérature, Musique, Théâtre, Cinéma</v>
      </c>
      <c r="H75" s="2" t="str">
        <f aca="false">IFERROR(__xludf.dummyfunction("""COMPUTED_VALUE"""),"Une fois de temps en temps")</f>
        <v>Une fois de temps en temps</v>
      </c>
      <c r="I75" s="2" t="str">
        <f aca="false">IFERROR(__xludf.dummyfunction("""COMPUTED_VALUE"""),"Une fois par semaine")</f>
        <v>Une fois par semaine</v>
      </c>
      <c r="J75" s="2" t="str">
        <f aca="false">IFERROR(__xludf.dummyfunction("""COMPUTED_VALUE"""),"Pour le fun")</f>
        <v>Pour le fun</v>
      </c>
      <c r="K75" s="2" t="str">
        <f aca="false">IFERROR(__xludf.dummyfunction("""COMPUTED_VALUE"""),"Sports collectifs, Sports de rames")</f>
        <v>Sports collectifs, Sports de rames</v>
      </c>
      <c r="L75" s="2" t="str">
        <f aca="false">IFERROR(__xludf.dummyfunction("""COMPUTED_VALUE"""),"J'aime cuisiner le WE ou quand j'ai le temps")</f>
        <v>J'aime cuisiner le WE ou quand j'ai le temps</v>
      </c>
      <c r="M75" s="2" t="n">
        <f aca="false">IFERROR(__xludf.dummyfunction("""COMPUTED_VALUE"""),8)</f>
        <v>8</v>
      </c>
      <c r="N75" s="2" t="str">
        <f aca="false">IFERROR(__xludf.dummyfunction("""COMPUTED_VALUE"""),"Plusieurs fois par semaine")</f>
        <v>Plusieurs fois par semaine</v>
      </c>
      <c r="O75" s="2" t="str">
        <f aca="false">IFERROR(__xludf.dummyfunction("""COMPUTED_VALUE"""),"Tu te poses dans un coin, chill !!")</f>
        <v>Tu te poses dans un coin, chill !!</v>
      </c>
      <c r="P75" s="2" t="n">
        <f aca="false">IFERROR(__xludf.dummyfunction("""COMPUTED_VALUE"""),2)</f>
        <v>2</v>
      </c>
      <c r="Q75" s="2" t="str">
        <f aca="false">IFERROR(__xludf.dummyfunction("""COMPUTED_VALUE"""),"Oui")</f>
        <v>Oui</v>
      </c>
      <c r="R75" s="2" t="str">
        <f aca="false">IFERROR(__xludf.dummyfunction("""COMPUTED_VALUE"""),"Non")</f>
        <v>Non</v>
      </c>
      <c r="S75" s="2" t="str">
        <f aca="false">IFERROR(__xludf.dummyfunction("""COMPUTED_VALUE"""),"Badge")</f>
        <v>Badge</v>
      </c>
      <c r="T75" s="2" t="str">
        <f aca="false">IFERROR(__xludf.dummyfunction("""COMPUTED_VALUE"""),"Une carte")</f>
        <v>Une carte</v>
      </c>
      <c r="U75" s="1" t="str">
        <f aca="false">IFERROR(__xludf.dummyfunction("""COMPUTED_VALUE"""),"")</f>
        <v/>
      </c>
      <c r="V75" s="1" t="str">
        <f aca="false">IFERROR(__xludf.dummyfunction("""COMPUTED_VALUE"""),"")</f>
        <v/>
      </c>
      <c r="W75" s="1" t="str">
        <f aca="false">IFERROR(__xludf.dummyfunction("""COMPUTED_VALUE"""),"")</f>
        <v/>
      </c>
      <c r="X75" s="1" t="str">
        <f aca="false">IFERROR(__xludf.dummyfunction("""COMPUTED_VALUE"""),"")</f>
        <v/>
      </c>
      <c r="Y75" s="1" t="str">
        <f aca="false">IFERROR(__xludf.dummyfunction("""COMPUTED_VALUE"""),"")</f>
        <v/>
      </c>
      <c r="Z75" s="1" t="str">
        <f aca="false">IFERROR(__xludf.dummyfunction("""COMPUTED_VALUE"""),"")</f>
        <v/>
      </c>
      <c r="AA75" s="1" t="str">
        <f aca="false">IFERROR(__xludf.dummyfunction("""COMPUTED_VALUE"""),"")</f>
        <v/>
      </c>
      <c r="AB75" s="1" t="str">
        <f aca="false">IFERROR(__xludf.dummyfunction("""COMPUTED_VALUE"""),"")</f>
        <v/>
      </c>
    </row>
    <row r="76" customFormat="false" ht="15.75" hidden="false" customHeight="false" outlineLevel="0" collapsed="false">
      <c r="A76" s="3" t="n">
        <f aca="false">IFERROR(__xludf.dummyfunction("""COMPUTED_VALUE"""),43640.3424198611)</f>
        <v>43640.34242</v>
      </c>
      <c r="B76" s="1" t="str">
        <f aca="false">IFERROR(__xludf.dummyfunction("""COMPUTED_VALUE"""),"Antoine DAROUX")</f>
        <v>Antoine DAROUX</v>
      </c>
      <c r="C76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6" s="1" t="str">
        <f aca="false">IFERROR(__xludf.dummyfunction("""COMPUTED_VALUE"""),"BDE")</f>
        <v>BDE</v>
      </c>
      <c r="E76" s="1" t="n">
        <f aca="false">IFERROR(__xludf.dummyfunction("""COMPUTED_VALUE"""),3)</f>
        <v>3</v>
      </c>
      <c r="F76" s="1" t="str">
        <f aca="false">IFERROR(__xludf.dummyfunction("""COMPUTED_VALUE"""),"Rock, Rap, Pop, Musique fançaise")</f>
        <v>Rock, Rap, Pop, Musique fançaise</v>
      </c>
      <c r="G76" s="1" t="str">
        <f aca="false">IFERROR(__xludf.dummyfunction("""COMPUTED_VALUE"""),"Littérature")</f>
        <v>Littérature</v>
      </c>
      <c r="H76" s="1" t="str">
        <f aca="false">IFERROR(__xludf.dummyfunction("""COMPUTED_VALUE"""),"Quelques fois par semaine")</f>
        <v>Quelques fois par semaine</v>
      </c>
      <c r="I76" s="1" t="str">
        <f aca="false">IFERROR(__xludf.dummyfunction("""COMPUTED_VALUE"""),"Une fois par semaine")</f>
        <v>Une fois par semaine</v>
      </c>
      <c r="J76" s="1" t="str">
        <f aca="false">IFERROR(__xludf.dummyfunction("""COMPUTED_VALUE"""),"Pour le fun")</f>
        <v>Pour le fun</v>
      </c>
      <c r="K76" s="1" t="str">
        <f aca="false">IFERROR(__xludf.dummyfunction("""COMPUTED_VALUE"""),"Sports de raquette")</f>
        <v>Sports de raquette</v>
      </c>
      <c r="L76" s="1" t="str">
        <f aca="false">IFERROR(__xludf.dummyfunction("""COMPUTED_VALUE"""),"Oh oui, et les trucs bien gras ça me connait !")</f>
        <v>Oh oui, et les trucs bien gras ça me connait !</v>
      </c>
      <c r="M76" s="1" t="n">
        <f aca="false">IFERROR(__xludf.dummyfunction("""COMPUTED_VALUE"""),5)</f>
        <v>5</v>
      </c>
      <c r="N76" s="1" t="str">
        <f aca="false">IFERROR(__xludf.dummyfunction("""COMPUTED_VALUE"""),"Une fois par semaine")</f>
        <v>Une fois par semaine</v>
      </c>
      <c r="O76" s="1" t="str">
        <f aca="false">IFERROR(__xludf.dummyfunction("""COMPUTED_VALUE"""),"Objectif grosse défonce")</f>
        <v>Objectif grosse défonce</v>
      </c>
      <c r="P76" s="1" t="n">
        <f aca="false">IFERROR(__xludf.dummyfunction("""COMPUTED_VALUE"""),2)</f>
        <v>2</v>
      </c>
      <c r="Q76" s="1" t="str">
        <f aca="false">IFERROR(__xludf.dummyfunction("""COMPUTED_VALUE"""),"Oui")</f>
        <v>Oui</v>
      </c>
      <c r="R76" s="1" t="str">
        <f aca="false">IFERROR(__xludf.dummyfunction("""COMPUTED_VALUE"""),"Non")</f>
        <v>Non</v>
      </c>
      <c r="S76" s="1" t="str">
        <f aca="false">IFERROR(__xludf.dummyfunction("""COMPUTED_VALUE"""),"EI3 Mous'cancers")</f>
        <v>EI3 Mous'cancers</v>
      </c>
      <c r="T76" s="1" t="str">
        <f aca="false">IFERROR(__xludf.dummyfunction("""COMPUTED_VALUE"""),"Un planning du BDE des Fox")</f>
        <v>Un planning du BDE des Fox</v>
      </c>
      <c r="U76" s="1" t="str">
        <f aca="false">IFERROR(__xludf.dummyfunction("""COMPUTED_VALUE"""),"")</f>
        <v/>
      </c>
      <c r="V76" s="1" t="str">
        <f aca="false">IFERROR(__xludf.dummyfunction("""COMPUTED_VALUE"""),"")</f>
        <v/>
      </c>
      <c r="W76" s="1" t="str">
        <f aca="false">IFERROR(__xludf.dummyfunction("""COMPUTED_VALUE"""),"")</f>
        <v/>
      </c>
      <c r="X76" s="1" t="str">
        <f aca="false">IFERROR(__xludf.dummyfunction("""COMPUTED_VALUE"""),"")</f>
        <v/>
      </c>
      <c r="Y76" s="1" t="str">
        <f aca="false">IFERROR(__xludf.dummyfunction("""COMPUTED_VALUE"""),"")</f>
        <v/>
      </c>
      <c r="Z76" s="1" t="str">
        <f aca="false">IFERROR(__xludf.dummyfunction("""COMPUTED_VALUE"""),"")</f>
        <v/>
      </c>
      <c r="AA76" s="1" t="str">
        <f aca="false">IFERROR(__xludf.dummyfunction("""COMPUTED_VALUE"""),"")</f>
        <v/>
      </c>
      <c r="AB76" s="1" t="str">
        <f aca="false">IFERROR(__xludf.dummyfunction("""COMPUTED_VALUE"""),"")</f>
        <v/>
      </c>
    </row>
    <row r="77" customFormat="false" ht="15.75" hidden="false" customHeight="false" outlineLevel="0" collapsed="false">
      <c r="A77" s="3" t="n">
        <f aca="false">IFERROR(__xludf.dummyfunction("""COMPUTED_VALUE"""),43640.3427582523)</f>
        <v>43640.34276</v>
      </c>
      <c r="B77" s="2" t="str">
        <f aca="false">IFERROR(__xludf.dummyfunction("""COMPUTED_VALUE"""),"Lucas SANCIET--MUNIER")</f>
        <v>Lucas SANCIET--MUNIER</v>
      </c>
      <c r="C77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7" s="2" t="str">
        <f aca="false">IFERROR(__xludf.dummyfunction("""COMPUTED_VALUE"""),"BDA")</f>
        <v>BDA</v>
      </c>
      <c r="E77" s="2" t="n">
        <f aca="false">IFERROR(__xludf.dummyfunction("""COMPUTED_VALUE"""),3)</f>
        <v>3</v>
      </c>
      <c r="F77" s="2" t="str">
        <f aca="false">IFERROR(__xludf.dummyfunction("""COMPUTED_VALUE"""),"Electro posée, Electro hard, Rap, Musique fançaise, Autre")</f>
        <v>Electro posée, Electro hard, Rap, Musique fançaise, Autre</v>
      </c>
      <c r="G77" s="2" t="str">
        <f aca="false">IFERROR(__xludf.dummyfunction("""COMPUTED_VALUE"""),"Peinture, Musique, Cinéma")</f>
        <v>Peinture, Musique, Cinéma</v>
      </c>
      <c r="H77" s="2" t="str">
        <f aca="false">IFERROR(__xludf.dummyfunction("""COMPUTED_VALUE"""),"Quelques fois par semaine")</f>
        <v>Quelques fois par semaine</v>
      </c>
      <c r="I77" s="2" t="str">
        <f aca="false">IFERROR(__xludf.dummyfunction("""COMPUTED_VALUE"""),"Le dimanche à 15h32 s'il fait beau")</f>
        <v>Le dimanche à 15h32 s'il fait beau</v>
      </c>
      <c r="J77" s="2" t="str">
        <f aca="false">IFERROR(__xludf.dummyfunction("""COMPUTED_VALUE"""),"Pour le fun")</f>
        <v>Pour le fun</v>
      </c>
      <c r="K77" s="2" t="str">
        <f aca="false">IFERROR(__xludf.dummyfunction("""COMPUTED_VALUE"""),"Pas de sport")</f>
        <v>Pas de sport</v>
      </c>
      <c r="L77" s="2" t="str">
        <f aca="false">IFERROR(__xludf.dummyfunction("""COMPUTED_VALUE"""),"J'aime cuisiner le WE ou quand j'ai le temps")</f>
        <v>J'aime cuisiner le WE ou quand j'ai le temps</v>
      </c>
      <c r="M77" s="2" t="n">
        <f aca="false">IFERROR(__xludf.dummyfunction("""COMPUTED_VALUE"""),7)</f>
        <v>7</v>
      </c>
      <c r="N77" s="2" t="str">
        <f aca="false">IFERROR(__xludf.dummyfunction("""COMPUTED_VALUE"""),"Une fois par semaine")</f>
        <v>Une fois par semaine</v>
      </c>
      <c r="O77" s="2" t="str">
        <f aca="false">IFERROR(__xludf.dummyfunction("""COMPUTED_VALUE"""),"Tu te poses dans un coin, chill !!")</f>
        <v>Tu te poses dans un coin, chill !!</v>
      </c>
      <c r="P77" s="2" t="n">
        <f aca="false">IFERROR(__xludf.dummyfunction("""COMPUTED_VALUE"""),2)</f>
        <v>2</v>
      </c>
      <c r="Q77" s="2" t="str">
        <f aca="false">IFERROR(__xludf.dummyfunction("""COMPUTED_VALUE"""),"Oui")</f>
        <v>Oui</v>
      </c>
      <c r="R77" s="2" t="str">
        <f aca="false">IFERROR(__xludf.dummyfunction("""COMPUTED_VALUE"""),"Non")</f>
        <v>Non</v>
      </c>
      <c r="S77" s="2" t="str">
        <f aca="false">IFERROR(__xludf.dummyfunction("""COMPUTED_VALUE"""),"Les ei3-Mous'cancers")</f>
        <v>Les ei3-Mous'cancers</v>
      </c>
      <c r="T77" s="2" t="str">
        <f aca="false">IFERROR(__xludf.dummyfunction("""COMPUTED_VALUE"""),"Un saucisson de Savoie")</f>
        <v>Un saucisson de Savoie</v>
      </c>
      <c r="U77" s="1" t="str">
        <f aca="false">IFERROR(__xludf.dummyfunction("""COMPUTED_VALUE"""),"")</f>
        <v/>
      </c>
      <c r="V77" s="1" t="str">
        <f aca="false">IFERROR(__xludf.dummyfunction("""COMPUTED_VALUE"""),"")</f>
        <v/>
      </c>
      <c r="W77" s="1" t="str">
        <f aca="false">IFERROR(__xludf.dummyfunction("""COMPUTED_VALUE"""),"")</f>
        <v/>
      </c>
      <c r="X77" s="1" t="str">
        <f aca="false">IFERROR(__xludf.dummyfunction("""COMPUTED_VALUE"""),"")</f>
        <v/>
      </c>
      <c r="Y77" s="1" t="str">
        <f aca="false">IFERROR(__xludf.dummyfunction("""COMPUTED_VALUE"""),"")</f>
        <v/>
      </c>
      <c r="Z77" s="1" t="str">
        <f aca="false">IFERROR(__xludf.dummyfunction("""COMPUTED_VALUE"""),"")</f>
        <v/>
      </c>
      <c r="AA77" s="1" t="str">
        <f aca="false">IFERROR(__xludf.dummyfunction("""COMPUTED_VALUE"""),"")</f>
        <v/>
      </c>
      <c r="AB77" s="1" t="str">
        <f aca="false">IFERROR(__xludf.dummyfunction("""COMPUTED_VALUE"""),"")</f>
        <v/>
      </c>
    </row>
    <row r="78" customFormat="false" ht="15.75" hidden="false" customHeight="false" outlineLevel="0" collapsed="false">
      <c r="A78" s="3" t="n">
        <f aca="false">IFERROR(__xludf.dummyfunction("""COMPUTED_VALUE"""),43640.3482767708)</f>
        <v>43640.34828</v>
      </c>
      <c r="B78" s="2" t="str">
        <f aca="false">IFERROR(__xludf.dummyfunction("""COMPUTED_VALUE"""),"Hugo GAYRARD")</f>
        <v>Hugo GAYRARD</v>
      </c>
      <c r="C78" s="2" t="str">
        <f aca="false">IFERROR(__xludf.dummyfunction("""COMPUTED_VALUE"""),"Deux inconnus")</f>
        <v>Deux inconnus</v>
      </c>
      <c r="D78" s="2" t="str">
        <f aca="false">IFERROR(__xludf.dummyfunction("""COMPUTED_VALUE"""),"BDE")</f>
        <v>BDE</v>
      </c>
      <c r="E78" s="2" t="n">
        <f aca="false">IFERROR(__xludf.dummyfunction("""COMPUTED_VALUE"""),2)</f>
        <v>2</v>
      </c>
      <c r="F78" s="2" t="str">
        <f aca="false">IFERROR(__xludf.dummyfunction("""COMPUTED_VALUE"""),"Rock, Electro posée, Rap, Musique fançaise, Jazz, Musique classique, Autre")</f>
        <v>Rock, Electro posée, Rap, Musique fançaise, Jazz, Musique classique, Autre</v>
      </c>
      <c r="G78" s="2" t="str">
        <f aca="false">IFERROR(__xludf.dummyfunction("""COMPUTED_VALUE"""),"Littérature, Musique, Cinéma")</f>
        <v>Littérature, Musique, Cinéma</v>
      </c>
      <c r="H78" s="2" t="str">
        <f aca="false">IFERROR(__xludf.dummyfunction("""COMPUTED_VALUE"""),"Seulement les soirs de pleine lune")</f>
        <v>Seulement les soirs de pleine lune</v>
      </c>
      <c r="I78" s="2" t="str">
        <f aca="false">IFERROR(__xludf.dummyfunction("""COMPUTED_VALUE"""),"Le dimanche à 15h32 s'il fait beau")</f>
        <v>Le dimanche à 15h32 s'il fait beau</v>
      </c>
      <c r="J78" s="2" t="str">
        <f aca="false">IFERROR(__xludf.dummyfunction("""COMPUTED_VALUE"""),"Pour le développement perso et se dépasser")</f>
        <v>Pour le développement perso et se dépasser</v>
      </c>
      <c r="K78" s="2" t="str">
        <f aca="false">IFERROR(__xludf.dummyfunction("""COMPUTED_VALUE"""),"Sports de raquette, Escalade")</f>
        <v>Sports de raquette, Escalade</v>
      </c>
      <c r="L78" s="2" t="str">
        <f aca="false">IFERROR(__xludf.dummyfunction("""COMPUTED_VALUE"""),"J'aime cuisiner le WE ou quand j'ai le temps")</f>
        <v>J'aime cuisiner le WE ou quand j'ai le temps</v>
      </c>
      <c r="M78" s="2" t="n">
        <f aca="false">IFERROR(__xludf.dummyfunction("""COMPUTED_VALUE"""),6)</f>
        <v>6</v>
      </c>
      <c r="N78" s="2" t="str">
        <f aca="false">IFERROR(__xludf.dummyfunction("""COMPUTED_VALUE"""),"Plusieurs fois par semaine")</f>
        <v>Plusieurs fois par semaine</v>
      </c>
      <c r="O78" s="2" t="str">
        <f aca="false">IFERROR(__xludf.dummyfunction("""COMPUTED_VALUE"""),"Tu te poses dans un coin, chill !!")</f>
        <v>Tu te poses dans un coin, chill !!</v>
      </c>
      <c r="P78" s="2" t="n">
        <f aca="false">IFERROR(__xludf.dummyfunction("""COMPUTED_VALUE"""),2)</f>
        <v>2</v>
      </c>
      <c r="Q78" s="2" t="str">
        <f aca="false">IFERROR(__xludf.dummyfunction("""COMPUTED_VALUE"""),"Oui")</f>
        <v>Oui</v>
      </c>
      <c r="R78" s="2" t="str">
        <f aca="false">IFERROR(__xludf.dummyfunction("""COMPUTED_VALUE"""),"Non")</f>
        <v>Non</v>
      </c>
      <c r="S78" s="2" t="str">
        <f aca="false">IFERROR(__xludf.dummyfunction("""COMPUTED_VALUE"""),"Ei3 mous cancer ")</f>
        <v>Ei3 mous cancer </v>
      </c>
      <c r="T78" s="2" t="str">
        <f aca="false">IFERROR(__xludf.dummyfunction("""COMPUTED_VALUE"""),"Un déguisement")</f>
        <v>Un déguisement</v>
      </c>
      <c r="U78" s="1" t="str">
        <f aca="false">IFERROR(__xludf.dummyfunction("""COMPUTED_VALUE"""),"")</f>
        <v/>
      </c>
      <c r="V78" s="1" t="str">
        <f aca="false">IFERROR(__xludf.dummyfunction("""COMPUTED_VALUE"""),"")</f>
        <v/>
      </c>
      <c r="W78" s="1" t="str">
        <f aca="false">IFERROR(__xludf.dummyfunction("""COMPUTED_VALUE"""),"")</f>
        <v/>
      </c>
      <c r="X78" s="1" t="str">
        <f aca="false">IFERROR(__xludf.dummyfunction("""COMPUTED_VALUE"""),"")</f>
        <v/>
      </c>
      <c r="Y78" s="1" t="str">
        <f aca="false">IFERROR(__xludf.dummyfunction("""COMPUTED_VALUE"""),"")</f>
        <v/>
      </c>
      <c r="Z78" s="1" t="str">
        <f aca="false">IFERROR(__xludf.dummyfunction("""COMPUTED_VALUE"""),"")</f>
        <v/>
      </c>
      <c r="AA78" s="1" t="str">
        <f aca="false">IFERROR(__xludf.dummyfunction("""COMPUTED_VALUE"""),"")</f>
        <v/>
      </c>
      <c r="AB78" s="1" t="str">
        <f aca="false">IFERROR(__xludf.dummyfunction("""COMPUTED_VALUE"""),"")</f>
        <v/>
      </c>
    </row>
    <row r="79" customFormat="false" ht="15.75" hidden="false" customHeight="false" outlineLevel="0" collapsed="false">
      <c r="A79" s="3" t="n">
        <f aca="false">IFERROR(__xludf.dummyfunction("""COMPUTED_VALUE"""),43640.3518975116)</f>
        <v>43640.3519</v>
      </c>
      <c r="B79" s="2" t="str">
        <f aca="false">IFERROR(__xludf.dummyfunction("""COMPUTED_VALUE"""),"Loïc")</f>
        <v>Loïc</v>
      </c>
      <c r="C79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9" s="2" t="str">
        <f aca="false">IFERROR(__xludf.dummyfunction("""COMPUTED_VALUE"""),"BDA")</f>
        <v>BDA</v>
      </c>
      <c r="E79" s="2" t="n">
        <f aca="false">IFERROR(__xludf.dummyfunction("""COMPUTED_VALUE"""),3)</f>
        <v>3</v>
      </c>
      <c r="F79" s="2" t="str">
        <f aca="false">IFERROR(__xludf.dummyfunction("""COMPUTED_VALUE"""),"Pop")</f>
        <v>Pop</v>
      </c>
      <c r="G79" s="2" t="str">
        <f aca="false">IFERROR(__xludf.dummyfunction("""COMPUTED_VALUE"""),"Musique, Cinéma")</f>
        <v>Musique, Cinéma</v>
      </c>
      <c r="H79" s="2" t="str">
        <f aca="false">IFERROR(__xludf.dummyfunction("""COMPUTED_VALUE"""),"Seulement les soirs de pleine lune")</f>
        <v>Seulement les soirs de pleine lune</v>
      </c>
      <c r="I79" s="2" t="str">
        <f aca="false">IFERROR(__xludf.dummyfunction("""COMPUTED_VALUE"""),"Une fois par jour")</f>
        <v>Une fois par jour</v>
      </c>
      <c r="J79" s="2" t="str">
        <f aca="false">IFERROR(__xludf.dummyfunction("""COMPUTED_VALUE"""),"Pour le développement perso et se dépasser")</f>
        <v>Pour le développement perso et se dépasser</v>
      </c>
      <c r="K79" s="2" t="str">
        <f aca="false">IFERROR(__xludf.dummyfunction("""COMPUTED_VALUE"""),"Autre")</f>
        <v>Autre</v>
      </c>
      <c r="L79" s="2" t="str">
        <f aca="false">IFERROR(__xludf.dummyfunction("""COMPUTED_VALUE"""),"Je fais toujours attention à bien manger")</f>
        <v>Je fais toujours attention à bien manger</v>
      </c>
      <c r="M79" s="2" t="n">
        <f aca="false">IFERROR(__xludf.dummyfunction("""COMPUTED_VALUE"""),3)</f>
        <v>3</v>
      </c>
      <c r="N79" s="2" t="str">
        <f aca="false">IFERROR(__xludf.dummyfunction("""COMPUTED_VALUE"""),"Une fois par semaine")</f>
        <v>Une fois par semaine</v>
      </c>
      <c r="O79" s="2" t="str">
        <f aca="false">IFERROR(__xludf.dummyfunction("""COMPUTED_VALUE"""),"Tu te poses dans un coin, chill !!")</f>
        <v>Tu te poses dans un coin, chill !!</v>
      </c>
      <c r="P79" s="2" t="n">
        <f aca="false">IFERROR(__xludf.dummyfunction("""COMPUTED_VALUE"""),1)</f>
        <v>1</v>
      </c>
      <c r="Q79" s="2" t="str">
        <f aca="false">IFERROR(__xludf.dummyfunction("""COMPUTED_VALUE"""),"Oui")</f>
        <v>Oui</v>
      </c>
      <c r="R79" s="2" t="str">
        <f aca="false">IFERROR(__xludf.dummyfunction("""COMPUTED_VALUE"""),"Non")</f>
        <v>Non</v>
      </c>
      <c r="S79" s="2" t="str">
        <f aca="false">IFERROR(__xludf.dummyfunction("""COMPUTED_VALUE"""),"EI3 mous cancer")</f>
        <v>EI3 mous cancer</v>
      </c>
      <c r="T79" s="2" t="str">
        <f aca="false">IFERROR(__xludf.dummyfunction("""COMPUTED_VALUE"""),"Toute ma bienveillance")</f>
        <v>Toute ma bienveillance</v>
      </c>
      <c r="U79" s="1" t="str">
        <f aca="false">IFERROR(__xludf.dummyfunction("""COMPUTED_VALUE"""),"")</f>
        <v/>
      </c>
      <c r="V79" s="1" t="str">
        <f aca="false">IFERROR(__xludf.dummyfunction("""COMPUTED_VALUE"""),"")</f>
        <v/>
      </c>
      <c r="W79" s="1" t="str">
        <f aca="false">IFERROR(__xludf.dummyfunction("""COMPUTED_VALUE"""),"")</f>
        <v/>
      </c>
      <c r="X79" s="1" t="str">
        <f aca="false">IFERROR(__xludf.dummyfunction("""COMPUTED_VALUE"""),"")</f>
        <v/>
      </c>
      <c r="Y79" s="1" t="str">
        <f aca="false">IFERROR(__xludf.dummyfunction("""COMPUTED_VALUE"""),"")</f>
        <v/>
      </c>
      <c r="Z79" s="1" t="str">
        <f aca="false">IFERROR(__xludf.dummyfunction("""COMPUTED_VALUE"""),"")</f>
        <v/>
      </c>
      <c r="AA79" s="1" t="str">
        <f aca="false">IFERROR(__xludf.dummyfunction("""COMPUTED_VALUE"""),"")</f>
        <v/>
      </c>
      <c r="AB79" s="1" t="str">
        <f aca="false">IFERROR(__xludf.dummyfunction("""COMPUTED_VALUE"""),"")</f>
        <v/>
      </c>
    </row>
    <row r="80" customFormat="false" ht="15.75" hidden="false" customHeight="false" outlineLevel="0" collapsed="false">
      <c r="A80" s="3" t="n">
        <f aca="false">IFERROR(__xludf.dummyfunction("""COMPUTED_VALUE"""),43640.3546000232)</f>
        <v>43640.3546</v>
      </c>
      <c r="B80" s="2" t="str">
        <f aca="false">IFERROR(__xludf.dummyfunction("""COMPUTED_VALUE"""),"Pierre Veillard")</f>
        <v>Pierre Veillard</v>
      </c>
      <c r="C80" s="2" t="str">
        <f aca="false">IFERROR(__xludf.dummyfunction("""COMPUTED_VALUE"""),"Deux inconnus")</f>
        <v>Deux inconnus</v>
      </c>
      <c r="D80" s="2" t="str">
        <f aca="false">IFERROR(__xludf.dummyfunction("""COMPUTED_VALUE"""),"BDE")</f>
        <v>BDE</v>
      </c>
      <c r="E80" s="2" t="n">
        <f aca="false">IFERROR(__xludf.dummyfunction("""COMPUTED_VALUE"""),2)</f>
        <v>2</v>
      </c>
      <c r="F80" s="2" t="str">
        <f aca="false">IFERROR(__xludf.dummyfunction("""COMPUTED_VALUE"""),"Rock, Electro posée, Pop, Musique fançaise, Jazz")</f>
        <v>Rock, Electro posée, Pop, Musique fançaise, Jazz</v>
      </c>
      <c r="G80" s="2" t="str">
        <f aca="false">IFERROR(__xludf.dummyfunction("""COMPUTED_VALUE"""),"Peinture, Littérature, Sculpture, Musique, Cinéma")</f>
        <v>Peinture, Littérature, Sculpture, Musique, Cinéma</v>
      </c>
      <c r="H80" s="2" t="str">
        <f aca="false">IFERROR(__xludf.dummyfunction("""COMPUTED_VALUE"""),"Une fois de temps en temps")</f>
        <v>Une fois de temps en temps</v>
      </c>
      <c r="I80" s="2" t="str">
        <f aca="false">IFERROR(__xludf.dummyfunction("""COMPUTED_VALUE"""),"Une fois par semaine")</f>
        <v>Une fois par semaine</v>
      </c>
      <c r="J80" s="2" t="str">
        <f aca="false">IFERROR(__xludf.dummyfunction("""COMPUTED_VALUE"""),"Pour les autres")</f>
        <v>Pour les autres</v>
      </c>
      <c r="K80" s="2" t="str">
        <f aca="false">IFERROR(__xludf.dummyfunction("""COMPUTED_VALUE"""),"Athlétisme")</f>
        <v>Athlétisme</v>
      </c>
      <c r="L80" s="2" t="str">
        <f aca="false">IFERROR(__xludf.dummyfunction("""COMPUTED_VALUE"""),"J'aime cuisiner le WE ou quand j'ai le temps")</f>
        <v>J'aime cuisiner le WE ou quand j'ai le temps</v>
      </c>
      <c r="M80" s="2" t="n">
        <f aca="false">IFERROR(__xludf.dummyfunction("""COMPUTED_VALUE"""),7)</f>
        <v>7</v>
      </c>
      <c r="N80" s="2" t="str">
        <f aca="false">IFERROR(__xludf.dummyfunction("""COMPUTED_VALUE"""),"Une fois par semaine")</f>
        <v>Une fois par semaine</v>
      </c>
      <c r="O80" s="2" t="str">
        <f aca="false">IFERROR(__xludf.dummyfunction("""COMPUTED_VALUE"""),"T'enflammes le dancefloor")</f>
        <v>T'enflammes le dancefloor</v>
      </c>
      <c r="P80" s="2" t="n">
        <f aca="false">IFERROR(__xludf.dummyfunction("""COMPUTED_VALUE"""),1)</f>
        <v>1</v>
      </c>
      <c r="Q80" s="2" t="str">
        <f aca="false">IFERROR(__xludf.dummyfunction("""COMPUTED_VALUE"""),"Oui")</f>
        <v>Oui</v>
      </c>
      <c r="R80" s="2" t="str">
        <f aca="false">IFERROR(__xludf.dummyfunction("""COMPUTED_VALUE"""),"Non")</f>
        <v>Non</v>
      </c>
      <c r="S80" s="2" t="str">
        <f aca="false">IFERROR(__xludf.dummyfunction("""COMPUTED_VALUE"""),"EI3 Mous'cancers")</f>
        <v>EI3 Mous'cancers</v>
      </c>
      <c r="T80" s="2" t="str">
        <f aca="false">IFERROR(__xludf.dummyfunction("""COMPUTED_VALUE"""),"Un poney")</f>
        <v>Un poney</v>
      </c>
      <c r="U80" s="1" t="str">
        <f aca="false">IFERROR(__xludf.dummyfunction("""COMPUTED_VALUE"""),"")</f>
        <v/>
      </c>
      <c r="V80" s="1" t="str">
        <f aca="false">IFERROR(__xludf.dummyfunction("""COMPUTED_VALUE"""),"")</f>
        <v/>
      </c>
      <c r="W80" s="1" t="str">
        <f aca="false">IFERROR(__xludf.dummyfunction("""COMPUTED_VALUE"""),"")</f>
        <v/>
      </c>
      <c r="X80" s="1" t="str">
        <f aca="false">IFERROR(__xludf.dummyfunction("""COMPUTED_VALUE"""),"")</f>
        <v/>
      </c>
      <c r="Y80" s="1" t="str">
        <f aca="false">IFERROR(__xludf.dummyfunction("""COMPUTED_VALUE"""),"")</f>
        <v/>
      </c>
      <c r="Z80" s="1" t="str">
        <f aca="false">IFERROR(__xludf.dummyfunction("""COMPUTED_VALUE"""),"")</f>
        <v/>
      </c>
      <c r="AA80" s="1" t="str">
        <f aca="false">IFERROR(__xludf.dummyfunction("""COMPUTED_VALUE"""),"")</f>
        <v/>
      </c>
      <c r="AB80" s="1" t="str">
        <f aca="false">IFERROR(__xludf.dummyfunction("""COMPUTED_VALUE"""),"")</f>
        <v/>
      </c>
    </row>
    <row r="81" customFormat="false" ht="15.75" hidden="false" customHeight="false" outlineLevel="0" collapsed="false">
      <c r="A81" s="3" t="n">
        <f aca="false">IFERROR(__xludf.dummyfunction("""COMPUTED_VALUE"""),43640.3825268287)</f>
        <v>43640.38253</v>
      </c>
      <c r="B81" s="2" t="str">
        <f aca="false">IFERROR(__xludf.dummyfunction("""COMPUTED_VALUE"""),"Manon DUBREIL")</f>
        <v>Manon DUBREIL</v>
      </c>
      <c r="C81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81" s="2" t="str">
        <f aca="false">IFERROR(__xludf.dummyfunction("""COMPUTED_VALUE"""),"BDS")</f>
        <v>BDS</v>
      </c>
      <c r="E81" s="2" t="n">
        <f aca="false">IFERROR(__xludf.dummyfunction("""COMPUTED_VALUE"""),3)</f>
        <v>3</v>
      </c>
      <c r="F81" s="2" t="str">
        <f aca="false">IFERROR(__xludf.dummyfunction("""COMPUTED_VALUE"""),"Rock, Electro posée, Electro hard, Pop, Musique fançaise, Jazz, Musique classique")</f>
        <v>Rock, Electro posée, Electro hard, Pop, Musique fançaise, Jazz, Musique classique</v>
      </c>
      <c r="G81" s="2" t="str">
        <f aca="false">IFERROR(__xludf.dummyfunction("""COMPUTED_VALUE"""),"Peinture, Littérature, Sculpture, Danse, Musique, Cinéma, Graphisme")</f>
        <v>Peinture, Littérature, Sculpture, Danse, Musique, Cinéma, Graphisme</v>
      </c>
      <c r="H81" s="2" t="str">
        <f aca="false">IFERROR(__xludf.dummyfunction("""COMPUTED_VALUE"""),"Une fois de temps en temps")</f>
        <v>Une fois de temps en temps</v>
      </c>
      <c r="I81" s="2" t="str">
        <f aca="false">IFERROR(__xludf.dummyfunction("""COMPUTED_VALUE"""),"Une fois par semaine")</f>
        <v>Une fois par semaine</v>
      </c>
      <c r="J81" s="2" t="str">
        <f aca="false">IFERROR(__xludf.dummyfunction("""COMPUTED_VALUE"""),"Pour le fun")</f>
        <v>Pour le fun</v>
      </c>
      <c r="K81" s="2" t="str">
        <f aca="false">IFERROR(__xludf.dummyfunction("""COMPUTED_VALUE"""),"Sports de rames")</f>
        <v>Sports de rames</v>
      </c>
      <c r="L81" s="2" t="str">
        <f aca="false">IFERROR(__xludf.dummyfunction("""COMPUTED_VALUE"""),"Oh oui, et les trucs bien gras ça me connait !")</f>
        <v>Oh oui, et les trucs bien gras ça me connait !</v>
      </c>
      <c r="M81" s="2" t="n">
        <f aca="false">IFERROR(__xludf.dummyfunction("""COMPUTED_VALUE"""),8)</f>
        <v>8</v>
      </c>
      <c r="N81" s="2" t="str">
        <f aca="false">IFERROR(__xludf.dummyfunction("""COMPUTED_VALUE"""),"Plusieurs fois par semaine")</f>
        <v>Plusieurs fois par semaine</v>
      </c>
      <c r="O81" s="2" t="str">
        <f aca="false">IFERROR(__xludf.dummyfunction("""COMPUTED_VALUE"""),"T'enflammes le dancefloor")</f>
        <v>T'enflammes le dancefloor</v>
      </c>
      <c r="P81" s="2" t="n">
        <f aca="false">IFERROR(__xludf.dummyfunction("""COMPUTED_VALUE"""),4)</f>
        <v>4</v>
      </c>
      <c r="Q81" s="2" t="str">
        <f aca="false">IFERROR(__xludf.dummyfunction("""COMPUTED_VALUE"""),"Oui")</f>
        <v>Oui</v>
      </c>
      <c r="R81" s="2" t="str">
        <f aca="false">IFERROR(__xludf.dummyfunction("""COMPUTED_VALUE"""),"Non")</f>
        <v>Non</v>
      </c>
      <c r="S81" s="2" t="str">
        <f aca="false">IFERROR(__xludf.dummyfunction("""COMPUTED_VALUE"""),"l'Alliance")</f>
        <v>l'Alliance</v>
      </c>
      <c r="T81" s="2" t="str">
        <f aca="false">IFERROR(__xludf.dummyfunction("""COMPUTED_VALUE"""),"ADUNNO")</f>
        <v>ADUNNO</v>
      </c>
      <c r="U81" s="1" t="str">
        <f aca="false">IFERROR(__xludf.dummyfunction("""COMPUTED_VALUE"""),"")</f>
        <v/>
      </c>
      <c r="V81" s="1" t="str">
        <f aca="false">IFERROR(__xludf.dummyfunction("""COMPUTED_VALUE"""),"")</f>
        <v/>
      </c>
      <c r="W81" s="1" t="str">
        <f aca="false">IFERROR(__xludf.dummyfunction("""COMPUTED_VALUE"""),"")</f>
        <v/>
      </c>
      <c r="X81" s="1" t="str">
        <f aca="false">IFERROR(__xludf.dummyfunction("""COMPUTED_VALUE"""),"")</f>
        <v/>
      </c>
      <c r="Y81" s="1" t="str">
        <f aca="false">IFERROR(__xludf.dummyfunction("""COMPUTED_VALUE"""),"")</f>
        <v/>
      </c>
      <c r="Z81" s="1" t="str">
        <f aca="false">IFERROR(__xludf.dummyfunction("""COMPUTED_VALUE"""),"")</f>
        <v/>
      </c>
      <c r="AA81" s="1" t="str">
        <f aca="false">IFERROR(__xludf.dummyfunction("""COMPUTED_VALUE"""),"")</f>
        <v/>
      </c>
      <c r="AB81" s="1" t="str">
        <f aca="false">IFERROR(__xludf.dummyfunction("""COMPUTED_VALUE"""),"")</f>
        <v/>
      </c>
    </row>
    <row r="82" customFormat="false" ht="15.75" hidden="false" customHeight="false" outlineLevel="0" collapsed="false">
      <c r="A82" s="3" t="n">
        <f aca="false">IFERROR(__xludf.dummyfunction("""COMPUTED_VALUE"""),43640.4271621412)</f>
        <v>43640.42716</v>
      </c>
      <c r="B82" s="2" t="str">
        <f aca="false">IFERROR(__xludf.dummyfunction("""COMPUTED_VALUE"""),"Maëlenn COLSON")</f>
        <v>Maëlenn COLSON</v>
      </c>
      <c r="C82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82" s="2" t="str">
        <f aca="false">IFERROR(__xludf.dummyfunction("""COMPUTED_VALUE"""),"BDS")</f>
        <v>BDS</v>
      </c>
      <c r="E82" s="2" t="n">
        <f aca="false">IFERROR(__xludf.dummyfunction("""COMPUTED_VALUE"""),2)</f>
        <v>2</v>
      </c>
      <c r="F82" s="2" t="str">
        <f aca="false">IFERROR(__xludf.dummyfunction("""COMPUTED_VALUE"""),"Rock, Electro posée, Pop, Musique fançaise, Jazz, Musique classique")</f>
        <v>Rock, Electro posée, Pop, Musique fançaise, Jazz, Musique classique</v>
      </c>
      <c r="G82" s="2" t="str">
        <f aca="false">IFERROR(__xludf.dummyfunction("""COMPUTED_VALUE"""),"Peinture, Littérature, Sculpture, Danse, Musique, Cinéma, Graphisme")</f>
        <v>Peinture, Littérature, Sculpture, Danse, Musique, Cinéma, Graphisme</v>
      </c>
      <c r="H82" s="2" t="str">
        <f aca="false">IFERROR(__xludf.dummyfunction("""COMPUTED_VALUE"""),"Seulement les soirs de pleine lune")</f>
        <v>Seulement les soirs de pleine lune</v>
      </c>
      <c r="I82" s="2" t="str">
        <f aca="false">IFERROR(__xludf.dummyfunction("""COMPUTED_VALUE"""),"Plusieurs fois par semaine")</f>
        <v>Plusieurs fois par semaine</v>
      </c>
      <c r="J82" s="2" t="str">
        <f aca="false">IFERROR(__xludf.dummyfunction("""COMPUTED_VALUE"""),"Pour le développement perso et se dépasser")</f>
        <v>Pour le développement perso et se dépasser</v>
      </c>
      <c r="K82" s="2" t="str">
        <f aca="false">IFERROR(__xludf.dummyfunction("""COMPUTED_VALUE"""),"Athlétisme, Sports aquatiques")</f>
        <v>Athlétisme, Sports aquatiques</v>
      </c>
      <c r="L82" s="2" t="str">
        <f aca="false">IFERROR(__xludf.dummyfunction("""COMPUTED_VALUE"""),"Je fais toujours attention à bien manger")</f>
        <v>Je fais toujours attention à bien manger</v>
      </c>
      <c r="M82" s="2" t="n">
        <f aca="false">IFERROR(__xludf.dummyfunction("""COMPUTED_VALUE"""),6)</f>
        <v>6</v>
      </c>
      <c r="N82" s="2" t="str">
        <f aca="false">IFERROR(__xludf.dummyfunction("""COMPUTED_VALUE"""),"Une fois par semaine")</f>
        <v>Une fois par semaine</v>
      </c>
      <c r="O82" s="2" t="str">
        <f aca="false">IFERROR(__xludf.dummyfunction("""COMPUTED_VALUE"""),"T'enflammes le dancefloor")</f>
        <v>T'enflammes le dancefloor</v>
      </c>
      <c r="P82" s="2" t="n">
        <f aca="false">IFERROR(__xludf.dummyfunction("""COMPUTED_VALUE"""),1)</f>
        <v>1</v>
      </c>
      <c r="Q82" s="2" t="str">
        <f aca="false">IFERROR(__xludf.dummyfunction("""COMPUTED_VALUE"""),"Oui")</f>
        <v>Oui</v>
      </c>
      <c r="R82" s="2" t="str">
        <f aca="false">IFERROR(__xludf.dummyfunction("""COMPUTED_VALUE"""),"Non")</f>
        <v>Non</v>
      </c>
      <c r="S82" s="2" t="str">
        <f aca="false">IFERROR(__xludf.dummyfunction("""COMPUTED_VALUE"""),"l'Alliance")</f>
        <v>l'Alliance</v>
      </c>
      <c r="T82" s="2" t="str">
        <f aca="false">IFERROR(__xludf.dummyfunction("""COMPUTED_VALUE"""),"Des paillettes &lt;3")</f>
        <v>Des paillettes &lt;3</v>
      </c>
      <c r="U82" s="1" t="str">
        <f aca="false">IFERROR(__xludf.dummyfunction("""COMPUTED_VALUE"""),"")</f>
        <v/>
      </c>
      <c r="V82" s="1" t="str">
        <f aca="false">IFERROR(__xludf.dummyfunction("""COMPUTED_VALUE"""),"")</f>
        <v/>
      </c>
      <c r="W82" s="1" t="str">
        <f aca="false">IFERROR(__xludf.dummyfunction("""COMPUTED_VALUE"""),"")</f>
        <v/>
      </c>
      <c r="X82" s="1" t="str">
        <f aca="false">IFERROR(__xludf.dummyfunction("""COMPUTED_VALUE"""),"")</f>
        <v/>
      </c>
      <c r="Y82" s="1" t="str">
        <f aca="false">IFERROR(__xludf.dummyfunction("""COMPUTED_VALUE"""),"")</f>
        <v/>
      </c>
      <c r="Z82" s="1" t="str">
        <f aca="false">IFERROR(__xludf.dummyfunction("""COMPUTED_VALUE"""),"")</f>
        <v/>
      </c>
      <c r="AA82" s="1" t="str">
        <f aca="false">IFERROR(__xludf.dummyfunction("""COMPUTED_VALUE"""),"")</f>
        <v/>
      </c>
      <c r="AB82" s="1" t="str">
        <f aca="false">IFERROR(__xludf.dummyfunction("""COMPUTED_VALUE"""),"")</f>
        <v/>
      </c>
    </row>
    <row r="83" customFormat="false" ht="15.75" hidden="false" customHeight="false" outlineLevel="0" collapsed="false">
      <c r="A83" s="3" t="n">
        <f aca="false">IFERROR(__xludf.dummyfunction("""COMPUTED_VALUE"""),43640.6086070602)</f>
        <v>43640.60861</v>
      </c>
      <c r="B83" s="2" t="str">
        <f aca="false">IFERROR(__xludf.dummyfunction("""COMPUTED_VALUE"""),"TOMAZ AMORIM")</f>
        <v>TOMAZ AMORIM</v>
      </c>
      <c r="C83" s="2" t="str">
        <f aca="false">IFERROR(__xludf.dummyfunction("""COMPUTED_VALUE"""),"Le président et un inconnu")</f>
        <v>Le président et un inconnu</v>
      </c>
      <c r="D83" s="2" t="str">
        <f aca="false">IFERROR(__xludf.dummyfunction("""COMPUTED_VALUE"""),"Pas de liste")</f>
        <v>Pas de liste</v>
      </c>
      <c r="E83" s="2" t="n">
        <f aca="false">IFERROR(__xludf.dummyfunction("""COMPUTED_VALUE"""),3)</f>
        <v>3</v>
      </c>
      <c r="F83" s="2" t="str">
        <f aca="false">IFERROR(__xludf.dummyfunction("""COMPUTED_VALUE"""),"Rock, Jazz, Musique classique, Autre")</f>
        <v>Rock, Jazz, Musique classique, Autre</v>
      </c>
      <c r="G83" s="2" t="str">
        <f aca="false">IFERROR(__xludf.dummyfunction("""COMPUTED_VALUE"""),"Musique, Cinéma, Graphisme, Autre")</f>
        <v>Musique, Cinéma, Graphisme, Autre</v>
      </c>
      <c r="H83" s="2" t="str">
        <f aca="false">IFERROR(__xludf.dummyfunction("""COMPUTED_VALUE"""),"Seulement les soirs de pleine lune")</f>
        <v>Seulement les soirs de pleine lune</v>
      </c>
      <c r="I83" s="2" t="str">
        <f aca="false">IFERROR(__xludf.dummyfunction("""COMPUTED_VALUE"""),"Le dimanche à 15h32 s'il fait beau")</f>
        <v>Le dimanche à 15h32 s'il fait beau</v>
      </c>
      <c r="J83" s="2" t="str">
        <f aca="false">IFERROR(__xludf.dummyfunction("""COMPUTED_VALUE"""),"Pour le développement perso et se dépasser")</f>
        <v>Pour le développement perso et se dépasser</v>
      </c>
      <c r="K83" s="2" t="str">
        <f aca="false">IFERROR(__xludf.dummyfunction("""COMPUTED_VALUE"""),"Pas de sport")</f>
        <v>Pas de sport</v>
      </c>
      <c r="L83" s="2" t="str">
        <f aca="false">IFERROR(__xludf.dummyfunction("""COMPUTED_VALUE"""),"Je fais toujours attention à bien manger")</f>
        <v>Je fais toujours attention à bien manger</v>
      </c>
      <c r="M83" s="2" t="n">
        <f aca="false">IFERROR(__xludf.dummyfunction("""COMPUTED_VALUE"""),3)</f>
        <v>3</v>
      </c>
      <c r="N83" s="2" t="str">
        <f aca="false">IFERROR(__xludf.dummyfunction("""COMPUTED_VALUE"""),"Une fois par semaine")</f>
        <v>Une fois par semaine</v>
      </c>
      <c r="O83" s="2" t="str">
        <f aca="false">IFERROR(__xludf.dummyfunction("""COMPUTED_VALUE"""),"Tu viens pas")</f>
        <v>Tu viens pas</v>
      </c>
      <c r="P83" s="2" t="n">
        <f aca="false">IFERROR(__xludf.dummyfunction("""COMPUTED_VALUE"""),1)</f>
        <v>1</v>
      </c>
      <c r="Q83" s="2" t="str">
        <f aca="false">IFERROR(__xludf.dummyfunction("""COMPUTED_VALUE"""),"Oui")</f>
        <v>Oui</v>
      </c>
      <c r="R83" s="2" t="str">
        <f aca="false">IFERROR(__xludf.dummyfunction("""COMPUTED_VALUE"""),"Oui")</f>
        <v>Oui</v>
      </c>
      <c r="S83" s="2" t="str">
        <f aca="false">IFERROR(__xludf.dummyfunction("""COMPUTED_VALUE"""),"Grande Famille")</f>
        <v>Grande Famille</v>
      </c>
      <c r="T83" s="2" t="str">
        <f aca="false">IFERROR(__xludf.dummyfunction("""COMPUTED_VALUE"""),"Une tasse de café")</f>
        <v>Une tasse de café</v>
      </c>
      <c r="U83" s="1" t="str">
        <f aca="false">IFERROR(__xludf.dummyfunction("""COMPUTED_VALUE"""),"")</f>
        <v/>
      </c>
      <c r="V83" s="1" t="str">
        <f aca="false">IFERROR(__xludf.dummyfunction("""COMPUTED_VALUE"""),"")</f>
        <v/>
      </c>
      <c r="W83" s="1" t="str">
        <f aca="false">IFERROR(__xludf.dummyfunction("""COMPUTED_VALUE"""),"")</f>
        <v/>
      </c>
      <c r="X83" s="1" t="str">
        <f aca="false">IFERROR(__xludf.dummyfunction("""COMPUTED_VALUE"""),"")</f>
        <v/>
      </c>
      <c r="Y83" s="1" t="str">
        <f aca="false">IFERROR(__xludf.dummyfunction("""COMPUTED_VALUE"""),"")</f>
        <v/>
      </c>
      <c r="Z83" s="1" t="str">
        <f aca="false">IFERROR(__xludf.dummyfunction("""COMPUTED_VALUE"""),"")</f>
        <v/>
      </c>
      <c r="AA83" s="1" t="str">
        <f aca="false">IFERROR(__xludf.dummyfunction("""COMPUTED_VALUE"""),"")</f>
        <v/>
      </c>
      <c r="AB83" s="1" t="str">
        <f aca="false">IFERROR(__xludf.dummyfunction("""COMPUTED_VALUE"""),"")</f>
        <v/>
      </c>
    </row>
    <row r="84" customFormat="false" ht="15.75" hidden="false" customHeight="false" outlineLevel="0" collapsed="false">
      <c r="A84" s="3" t="n">
        <f aca="false">IFERROR(__xludf.dummyfunction("""COMPUTED_VALUE"""),43640.6565635185)</f>
        <v>43640.65656</v>
      </c>
      <c r="B84" s="2" t="str">
        <f aca="false">IFERROR(__xludf.dummyfunction("""COMPUTED_VALUE"""),"Maxime Canard")</f>
        <v>Maxime Canard</v>
      </c>
      <c r="C84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84" s="2" t="str">
        <f aca="false">IFERROR(__xludf.dummyfunction("""COMPUTED_VALUE"""),"BDE")</f>
        <v>BDE</v>
      </c>
      <c r="E84" s="2" t="n">
        <f aca="false">IFERROR(__xludf.dummyfunction("""COMPUTED_VALUE"""),2)</f>
        <v>2</v>
      </c>
      <c r="F84" s="2" t="str">
        <f aca="false">IFERROR(__xludf.dummyfunction("""COMPUTED_VALUE"""),"Rock, Rap, Pop, Musique fançaise, Jazz, Musique classique")</f>
        <v>Rock, Rap, Pop, Musique fançaise, Jazz, Musique classique</v>
      </c>
      <c r="G84" s="2" t="str">
        <f aca="false">IFERROR(__xludf.dummyfunction("""COMPUTED_VALUE"""),"Littérature, Musique, Théâtre, Cinéma")</f>
        <v>Littérature, Musique, Théâtre, Cinéma</v>
      </c>
      <c r="H84" s="2" t="str">
        <f aca="false">IFERROR(__xludf.dummyfunction("""COMPUTED_VALUE"""),"Une fois de temps en temps")</f>
        <v>Une fois de temps en temps</v>
      </c>
      <c r="I84" s="2" t="str">
        <f aca="false">IFERROR(__xludf.dummyfunction("""COMPUTED_VALUE"""),"Plusieurs fois par semaine")</f>
        <v>Plusieurs fois par semaine</v>
      </c>
      <c r="J84" s="2" t="str">
        <f aca="false">IFERROR(__xludf.dummyfunction("""COMPUTED_VALUE"""),"Pour le fun")</f>
        <v>Pour le fun</v>
      </c>
      <c r="K84" s="2" t="str">
        <f aca="false">IFERROR(__xludf.dummyfunction("""COMPUTED_VALUE"""),"Sports de raquette, Athlétisme")</f>
        <v>Sports de raquette, Athlétisme</v>
      </c>
      <c r="L84" s="2" t="str">
        <f aca="false">IFERROR(__xludf.dummyfunction("""COMPUTED_VALUE"""),"J'aime cuisiner le WE ou quand j'ai le temps")</f>
        <v>J'aime cuisiner le WE ou quand j'ai le temps</v>
      </c>
      <c r="M84" s="2" t="n">
        <f aca="false">IFERROR(__xludf.dummyfunction("""COMPUTED_VALUE"""),7)</f>
        <v>7</v>
      </c>
      <c r="N84" s="2" t="str">
        <f aca="false">IFERROR(__xludf.dummyfunction("""COMPUTED_VALUE"""),"Une fois par jour (voire plus)")</f>
        <v>Une fois par jour (voire plus)</v>
      </c>
      <c r="O84" s="2" t="str">
        <f aca="false">IFERROR(__xludf.dummyfunction("""COMPUTED_VALUE"""),"T'enflammes le dancefloor")</f>
        <v>T'enflammes le dancefloor</v>
      </c>
      <c r="P84" s="2" t="n">
        <f aca="false">IFERROR(__xludf.dummyfunction("""COMPUTED_VALUE"""),2)</f>
        <v>2</v>
      </c>
      <c r="Q84" s="2" t="str">
        <f aca="false">IFERROR(__xludf.dummyfunction("""COMPUTED_VALUE"""),"Oui")</f>
        <v>Oui</v>
      </c>
      <c r="R84" s="2" t="str">
        <f aca="false">IFERROR(__xludf.dummyfunction("""COMPUTED_VALUE"""),"Non")</f>
        <v>Non</v>
      </c>
      <c r="S84" s="2" t="str">
        <f aca="false">IFERROR(__xludf.dummyfunction("""COMPUTED_VALUE"""),"Les Ei3 Mous'cancer")</f>
        <v>Les Ei3 Mous'cancer</v>
      </c>
      <c r="T84" s="2" t="str">
        <f aca="false">IFERROR(__xludf.dummyfunction("""COMPUTED_VALUE"""),"Je sais pas encore")</f>
        <v>Je sais pas encore</v>
      </c>
      <c r="U84" s="1" t="str">
        <f aca="false">IFERROR(__xludf.dummyfunction("""COMPUTED_VALUE"""),"")</f>
        <v/>
      </c>
      <c r="V84" s="1" t="str">
        <f aca="false">IFERROR(__xludf.dummyfunction("""COMPUTED_VALUE"""),"")</f>
        <v/>
      </c>
      <c r="W84" s="1" t="str">
        <f aca="false">IFERROR(__xludf.dummyfunction("""COMPUTED_VALUE"""),"")</f>
        <v/>
      </c>
      <c r="X84" s="1" t="str">
        <f aca="false">IFERROR(__xludf.dummyfunction("""COMPUTED_VALUE"""),"")</f>
        <v/>
      </c>
      <c r="Y84" s="1" t="str">
        <f aca="false">IFERROR(__xludf.dummyfunction("""COMPUTED_VALUE"""),"")</f>
        <v/>
      </c>
      <c r="Z84" s="1" t="str">
        <f aca="false">IFERROR(__xludf.dummyfunction("""COMPUTED_VALUE"""),"")</f>
        <v/>
      </c>
      <c r="AA84" s="1" t="str">
        <f aca="false">IFERROR(__xludf.dummyfunction("""COMPUTED_VALUE"""),"")</f>
        <v/>
      </c>
      <c r="AB84" s="1" t="str">
        <f aca="false">IFERROR(__xludf.dummyfunction("""COMPUTED_VALUE"""),"")</f>
        <v/>
      </c>
    </row>
    <row r="85" customFormat="false" ht="15.75" hidden="false" customHeight="false" outlineLevel="0" collapsed="false">
      <c r="A85" s="3" t="n">
        <f aca="false">IFERROR(__xludf.dummyfunction("""COMPUTED_VALUE"""),43640.6896556482)</f>
        <v>43640.68966</v>
      </c>
      <c r="B85" s="2" t="str">
        <f aca="false">IFERROR(__xludf.dummyfunction("""COMPUTED_VALUE"""),"Corentin GILBERT")</f>
        <v>Corentin GILBERT</v>
      </c>
      <c r="C85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85" s="2" t="str">
        <f aca="false">IFERROR(__xludf.dummyfunction("""COMPUTED_VALUE"""),"BDA")</f>
        <v>BDA</v>
      </c>
      <c r="E85" s="2" t="n">
        <f aca="false">IFERROR(__xludf.dummyfunction("""COMPUTED_VALUE"""),3)</f>
        <v>3</v>
      </c>
      <c r="F85" s="2" t="str">
        <f aca="false">IFERROR(__xludf.dummyfunction("""COMPUTED_VALUE"""),"Metal, Electro posée, Electro hard, Rap, Jazz, Musique classique")</f>
        <v>Metal, Electro posée, Electro hard, Rap, Jazz, Musique classique</v>
      </c>
      <c r="G85" s="2" t="str">
        <f aca="false">IFERROR(__xludf.dummyfunction("""COMPUTED_VALUE"""),"Peinture, Littérature, Sculpture, Danse, Musique, Cinéma, Graphisme")</f>
        <v>Peinture, Littérature, Sculpture, Danse, Musique, Cinéma, Graphisme</v>
      </c>
      <c r="H85" s="2" t="str">
        <f aca="false">IFERROR(__xludf.dummyfunction("""COMPUTED_VALUE"""),"Quelques fois par semaine")</f>
        <v>Quelques fois par semaine</v>
      </c>
      <c r="I85" s="2" t="str">
        <f aca="false">IFERROR(__xludf.dummyfunction("""COMPUTED_VALUE"""),"Une fois par semaine")</f>
        <v>Une fois par semaine</v>
      </c>
      <c r="J85" s="2" t="str">
        <f aca="false">IFERROR(__xludf.dummyfunction("""COMPUTED_VALUE"""),"Pour le fun")</f>
        <v>Pour le fun</v>
      </c>
      <c r="K85" s="2" t="str">
        <f aca="false">IFERROR(__xludf.dummyfunction("""COMPUTED_VALUE"""),"Sports de raquette, Escalade")</f>
        <v>Sports de raquette, Escalade</v>
      </c>
      <c r="L85" s="2" t="str">
        <f aca="false">IFERROR(__xludf.dummyfunction("""COMPUTED_VALUE"""),"J'aime cuisiner le WE ou quand j'ai le temps")</f>
        <v>J'aime cuisiner le WE ou quand j'ai le temps</v>
      </c>
      <c r="M85" s="2" t="n">
        <f aca="false">IFERROR(__xludf.dummyfunction("""COMPUTED_VALUE"""),5)</f>
        <v>5</v>
      </c>
      <c r="N85" s="2" t="str">
        <f aca="false">IFERROR(__xludf.dummyfunction("""COMPUTED_VALUE"""),"Une fois par semaine")</f>
        <v>Une fois par semaine</v>
      </c>
      <c r="O85" s="2" t="str">
        <f aca="false">IFERROR(__xludf.dummyfunction("""COMPUTED_VALUE"""),"Tu te poses dans un coin, chill !!")</f>
        <v>Tu te poses dans un coin, chill !!</v>
      </c>
      <c r="P85" s="2" t="n">
        <f aca="false">IFERROR(__xludf.dummyfunction("""COMPUTED_VALUE"""),1)</f>
        <v>1</v>
      </c>
      <c r="Q85" s="2" t="str">
        <f aca="false">IFERROR(__xludf.dummyfunction("""COMPUTED_VALUE"""),"Oui")</f>
        <v>Oui</v>
      </c>
      <c r="R85" s="2" t="str">
        <f aca="false">IFERROR(__xludf.dummyfunction("""COMPUTED_VALUE"""),"Non")</f>
        <v>Non</v>
      </c>
      <c r="S85" s="2" t="str">
        <f aca="false">IFERROR(__xludf.dummyfunction("""COMPUTED_VALUE"""),"La vigie")</f>
        <v>La vigie</v>
      </c>
      <c r="T85" s="2" t="str">
        <f aca="false">IFERROR(__xludf.dummyfunction("""COMPUTED_VALUE"""),"boite a musique / partition")</f>
        <v>boite a musique / partition</v>
      </c>
      <c r="U85" s="1" t="str">
        <f aca="false">IFERROR(__xludf.dummyfunction("""COMPUTED_VALUE"""),"")</f>
        <v/>
      </c>
      <c r="V85" s="1" t="str">
        <f aca="false">IFERROR(__xludf.dummyfunction("""COMPUTED_VALUE"""),"")</f>
        <v/>
      </c>
      <c r="W85" s="1" t="str">
        <f aca="false">IFERROR(__xludf.dummyfunction("""COMPUTED_VALUE"""),"")</f>
        <v/>
      </c>
      <c r="X85" s="1" t="str">
        <f aca="false">IFERROR(__xludf.dummyfunction("""COMPUTED_VALUE"""),"")</f>
        <v/>
      </c>
      <c r="Y85" s="1" t="str">
        <f aca="false">IFERROR(__xludf.dummyfunction("""COMPUTED_VALUE"""),"")</f>
        <v/>
      </c>
      <c r="Z85" s="1" t="str">
        <f aca="false">IFERROR(__xludf.dummyfunction("""COMPUTED_VALUE"""),"")</f>
        <v/>
      </c>
      <c r="AA85" s="1" t="str">
        <f aca="false">IFERROR(__xludf.dummyfunction("""COMPUTED_VALUE"""),"")</f>
        <v/>
      </c>
      <c r="AB85" s="1" t="str">
        <f aca="false">IFERROR(__xludf.dummyfunction("""COMPUTED_VALUE"""),"")</f>
        <v/>
      </c>
    </row>
    <row r="86" customFormat="false" ht="15.75" hidden="false" customHeight="false" outlineLevel="0" collapsed="false">
      <c r="A86" s="3" t="n">
        <f aca="false">IFERROR(__xludf.dummyfunction("""COMPUTED_VALUE"""),43641.2413149884)</f>
        <v>43641.24131</v>
      </c>
      <c r="B86" s="2" t="str">
        <f aca="false">IFERROR(__xludf.dummyfunction("""COMPUTED_VALUE"""),"Ananda VANDERWEGEN")</f>
        <v>Ananda VANDERWEGEN</v>
      </c>
      <c r="C86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86" s="2" t="str">
        <f aca="false">IFERROR(__xludf.dummyfunction("""COMPUTED_VALUE"""),"BDA")</f>
        <v>BDA</v>
      </c>
      <c r="E86" s="2" t="n">
        <f aca="false">IFERROR(__xludf.dummyfunction("""COMPUTED_VALUE"""),2)</f>
        <v>2</v>
      </c>
      <c r="F86" s="2" t="str">
        <f aca="false">IFERROR(__xludf.dummyfunction("""COMPUTED_VALUE"""),"Rock, Pop, Jazz, Musique classique, Autre")</f>
        <v>Rock, Pop, Jazz, Musique classique, Autre</v>
      </c>
      <c r="G86" s="2" t="str">
        <f aca="false">IFERROR(__xludf.dummyfunction("""COMPUTED_VALUE"""),"Peinture, Littérature, Danse, Musique, Théâtre, Cinéma")</f>
        <v>Peinture, Littérature, Danse, Musique, Théâtre, Cinéma</v>
      </c>
      <c r="H86" s="2" t="str">
        <f aca="false">IFERROR(__xludf.dummyfunction("""COMPUTED_VALUE"""),"Seulement les soirs de pleine lune")</f>
        <v>Seulement les soirs de pleine lune</v>
      </c>
      <c r="I86" s="2" t="str">
        <f aca="false">IFERROR(__xludf.dummyfunction("""COMPUTED_VALUE"""),"Une fois par semaine")</f>
        <v>Une fois par semaine</v>
      </c>
      <c r="J86" s="2" t="str">
        <f aca="false">IFERROR(__xludf.dummyfunction("""COMPUTED_VALUE"""),"Pour les autres")</f>
        <v>Pour les autres</v>
      </c>
      <c r="K86" s="2" t="str">
        <f aca="false">IFERROR(__xludf.dummyfunction("""COMPUTED_VALUE"""),"Sports de combat")</f>
        <v>Sports de combat</v>
      </c>
      <c r="L86" s="2" t="str">
        <f aca="false">IFERROR(__xludf.dummyfunction("""COMPUTED_VALUE"""),"J'aime cuisiner le WE ou quand j'ai le temps")</f>
        <v>J'aime cuisiner le WE ou quand j'ai le temps</v>
      </c>
      <c r="M86" s="2" t="n">
        <f aca="false">IFERROR(__xludf.dummyfunction("""COMPUTED_VALUE"""),3)</f>
        <v>3</v>
      </c>
      <c r="N86" s="2" t="str">
        <f aca="false">IFERROR(__xludf.dummyfunction("""COMPUTED_VALUE"""),"Une fois par mois")</f>
        <v>Une fois par mois</v>
      </c>
      <c r="O86" s="2" t="str">
        <f aca="false">IFERROR(__xludf.dummyfunction("""COMPUTED_VALUE"""),"Tu te poses dans un coin, chill !!")</f>
        <v>Tu te poses dans un coin, chill !!</v>
      </c>
      <c r="P86" s="2" t="n">
        <f aca="false">IFERROR(__xludf.dummyfunction("""COMPUTED_VALUE"""),1)</f>
        <v>1</v>
      </c>
      <c r="Q86" s="2" t="str">
        <f aca="false">IFERROR(__xludf.dummyfunction("""COMPUTED_VALUE"""),"Oui")</f>
        <v>Oui</v>
      </c>
      <c r="R86" s="2" t="str">
        <f aca="false">IFERROR(__xludf.dummyfunction("""COMPUTED_VALUE"""),"Non")</f>
        <v>Non</v>
      </c>
      <c r="S86" s="2" t="str">
        <f aca="false">IFERROR(__xludf.dummyfunction("""COMPUTED_VALUE"""),"Grande famille ")</f>
        <v>Grande famille </v>
      </c>
      <c r="T86" s="2" t="str">
        <f aca="false">IFERROR(__xludf.dummyfunction("""COMPUTED_VALUE"""),"T shirt ")</f>
        <v>T shirt </v>
      </c>
      <c r="U86" s="1" t="str">
        <f aca="false">IFERROR(__xludf.dummyfunction("""COMPUTED_VALUE"""),"")</f>
        <v/>
      </c>
      <c r="V86" s="1" t="str">
        <f aca="false">IFERROR(__xludf.dummyfunction("""COMPUTED_VALUE"""),"")</f>
        <v/>
      </c>
      <c r="W86" s="1" t="str">
        <f aca="false">IFERROR(__xludf.dummyfunction("""COMPUTED_VALUE"""),"")</f>
        <v/>
      </c>
      <c r="X86" s="1" t="str">
        <f aca="false">IFERROR(__xludf.dummyfunction("""COMPUTED_VALUE"""),"")</f>
        <v/>
      </c>
      <c r="Y86" s="1" t="str">
        <f aca="false">IFERROR(__xludf.dummyfunction("""COMPUTED_VALUE"""),"")</f>
        <v/>
      </c>
      <c r="Z86" s="1" t="str">
        <f aca="false">IFERROR(__xludf.dummyfunction("""COMPUTED_VALUE"""),"")</f>
        <v/>
      </c>
      <c r="AA86" s="1" t="str">
        <f aca="false">IFERROR(__xludf.dummyfunction("""COMPUTED_VALUE"""),"")</f>
        <v/>
      </c>
      <c r="AB86" s="1" t="str">
        <f aca="false">IFERROR(__xludf.dummyfunction("""COMPUTED_VALUE"""),"")</f>
        <v/>
      </c>
    </row>
    <row r="87" customFormat="false" ht="15.75" hidden="false" customHeight="false" outlineLevel="0" collapsed="false">
      <c r="A87" s="3" t="n">
        <f aca="false">IFERROR(__xludf.dummyfunction("""COMPUTED_VALUE"""),43641.33044)</f>
        <v>43641.33044</v>
      </c>
      <c r="B87" s="2" t="str">
        <f aca="false">IFERROR(__xludf.dummyfunction("""COMPUTED_VALUE"""),"Pierre Libault")</f>
        <v>Pierre Libault</v>
      </c>
      <c r="C87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87" s="2" t="str">
        <f aca="false">IFERROR(__xludf.dummyfunction("""COMPUTED_VALUE"""),"BDS")</f>
        <v>BDS</v>
      </c>
      <c r="E87" s="2" t="n">
        <f aca="false">IFERROR(__xludf.dummyfunction("""COMPUTED_VALUE"""),3)</f>
        <v>3</v>
      </c>
      <c r="F87" s="2" t="str">
        <f aca="false">IFERROR(__xludf.dummyfunction("""COMPUTED_VALUE"""),"Electro posée, Rap")</f>
        <v>Electro posée, Rap</v>
      </c>
      <c r="G87" s="2" t="str">
        <f aca="false">IFERROR(__xludf.dummyfunction("""COMPUTED_VALUE"""),"Peinture, Cinéma, Graphisme")</f>
        <v>Peinture, Cinéma, Graphisme</v>
      </c>
      <c r="H87" s="2" t="str">
        <f aca="false">IFERROR(__xludf.dummyfunction("""COMPUTED_VALUE"""),"Une fois de temps en temps")</f>
        <v>Une fois de temps en temps</v>
      </c>
      <c r="I87" s="2" t="str">
        <f aca="false">IFERROR(__xludf.dummyfunction("""COMPUTED_VALUE"""),"Plusieurs fois par semaine")</f>
        <v>Plusieurs fois par semaine</v>
      </c>
      <c r="J87" s="2" t="str">
        <f aca="false">IFERROR(__xludf.dummyfunction("""COMPUTED_VALUE"""),"Pour le fun")</f>
        <v>Pour le fun</v>
      </c>
      <c r="K87" s="2" t="str">
        <f aca="false">IFERROR(__xludf.dummyfunction("""COMPUTED_VALUE"""),"Sports collectifs")</f>
        <v>Sports collectifs</v>
      </c>
      <c r="L87" s="2" t="str">
        <f aca="false">IFERROR(__xludf.dummyfunction("""COMPUTED_VALUE"""),"Oh oui, et les trucs bien gras ça me connait !")</f>
        <v>Oh oui, et les trucs bien gras ça me connait !</v>
      </c>
      <c r="M87" s="2" t="n">
        <f aca="false">IFERROR(__xludf.dummyfunction("""COMPUTED_VALUE"""),8)</f>
        <v>8</v>
      </c>
      <c r="N87" s="2" t="str">
        <f aca="false">IFERROR(__xludf.dummyfunction("""COMPUTED_VALUE"""),"Plusieurs fois par semaine")</f>
        <v>Plusieurs fois par semaine</v>
      </c>
      <c r="O87" s="2" t="str">
        <f aca="false">IFERROR(__xludf.dummyfunction("""COMPUTED_VALUE"""),"Tu te poses dans un coin, chill !!")</f>
        <v>Tu te poses dans un coin, chill !!</v>
      </c>
      <c r="P87" s="2" t="n">
        <f aca="false">IFERROR(__xludf.dummyfunction("""COMPUTED_VALUE"""),2)</f>
        <v>2</v>
      </c>
      <c r="Q87" s="2" t="str">
        <f aca="false">IFERROR(__xludf.dummyfunction("""COMPUTED_VALUE"""),"Oui")</f>
        <v>Oui</v>
      </c>
      <c r="R87" s="2" t="str">
        <f aca="false">IFERROR(__xludf.dummyfunction("""COMPUTED_VALUE"""),"Non")</f>
        <v>Non</v>
      </c>
      <c r="S87" s="2" t="str">
        <f aca="false">IFERROR(__xludf.dummyfunction("""COMPUTED_VALUE"""),"Les 6 salopards")</f>
        <v>Les 6 salopards</v>
      </c>
      <c r="T87" s="2" t="str">
        <f aca="false">IFERROR(__xludf.dummyfunction("""COMPUTED_VALUE"""),"En réflexion ")</f>
        <v>En réflexion </v>
      </c>
      <c r="U87" s="1" t="str">
        <f aca="false">IFERROR(__xludf.dummyfunction("""COMPUTED_VALUE"""),"")</f>
        <v/>
      </c>
      <c r="V87" s="1" t="str">
        <f aca="false">IFERROR(__xludf.dummyfunction("""COMPUTED_VALUE"""),"")</f>
        <v/>
      </c>
      <c r="W87" s="1" t="str">
        <f aca="false">IFERROR(__xludf.dummyfunction("""COMPUTED_VALUE"""),"")</f>
        <v/>
      </c>
      <c r="X87" s="1" t="str">
        <f aca="false">IFERROR(__xludf.dummyfunction("""COMPUTED_VALUE"""),"")</f>
        <v/>
      </c>
      <c r="Y87" s="1" t="str">
        <f aca="false">IFERROR(__xludf.dummyfunction("""COMPUTED_VALUE"""),"")</f>
        <v/>
      </c>
      <c r="Z87" s="1" t="str">
        <f aca="false">IFERROR(__xludf.dummyfunction("""COMPUTED_VALUE"""),"")</f>
        <v/>
      </c>
      <c r="AA87" s="1" t="str">
        <f aca="false">IFERROR(__xludf.dummyfunction("""COMPUTED_VALUE"""),"")</f>
        <v/>
      </c>
      <c r="AB87" s="1" t="str">
        <f aca="false">IFERROR(__xludf.dummyfunction("""COMPUTED_VALUE"""),"")</f>
        <v/>
      </c>
    </row>
    <row r="88" customFormat="false" ht="15.75" hidden="false" customHeight="false" outlineLevel="0" collapsed="false">
      <c r="A88" s="3" t="n">
        <f aca="false">IFERROR(__xludf.dummyfunction("""COMPUTED_VALUE"""),43641.6102805556)</f>
        <v>43641.61028</v>
      </c>
      <c r="B88" s="2" t="str">
        <f aca="false">IFERROR(__xludf.dummyfunction("""COMPUTED_VALUE"""),"Vincent ESPINASSE")</f>
        <v>Vincent ESPINASSE</v>
      </c>
      <c r="C88" s="2" t="str">
        <f aca="false">IFERROR(__xludf.dummyfunction("""COMPUTED_VALUE"""),"Deux inconnus")</f>
        <v>Deux inconnus</v>
      </c>
      <c r="D88" s="2" t="str">
        <f aca="false">IFERROR(__xludf.dummyfunction("""COMPUTED_VALUE"""),"BDA")</f>
        <v>BDA</v>
      </c>
      <c r="E88" s="2" t="n">
        <f aca="false">IFERROR(__xludf.dummyfunction("""COMPUTED_VALUE"""),4)</f>
        <v>4</v>
      </c>
      <c r="F88" s="2" t="str">
        <f aca="false">IFERROR(__xludf.dummyfunction("""COMPUTED_VALUE"""),"Metal")</f>
        <v>Metal</v>
      </c>
      <c r="G88" s="2" t="str">
        <f aca="false">IFERROR(__xludf.dummyfunction("""COMPUTED_VALUE"""),"Littérature, Sculpture, Théâtre, Cinéma, Graphisme")</f>
        <v>Littérature, Sculpture, Théâtre, Cinéma, Graphisme</v>
      </c>
      <c r="H88" s="2" t="str">
        <f aca="false">IFERROR(__xludf.dummyfunction("""COMPUTED_VALUE"""),"Une fois par jour")</f>
        <v>Une fois par jour</v>
      </c>
      <c r="I88" s="2" t="str">
        <f aca="false">IFERROR(__xludf.dummyfunction("""COMPUTED_VALUE"""),"Le dimanche à 15h32 s'il fait beau")</f>
        <v>Le dimanche à 15h32 s'il fait beau</v>
      </c>
      <c r="J88" s="2" t="str">
        <f aca="false">IFERROR(__xludf.dummyfunction("""COMPUTED_VALUE"""),"Pour les autres")</f>
        <v>Pour les autres</v>
      </c>
      <c r="K88" s="2" t="str">
        <f aca="false">IFERROR(__xludf.dummyfunction("""COMPUTED_VALUE"""),"Pas de sport")</f>
        <v>Pas de sport</v>
      </c>
      <c r="L88" s="2" t="str">
        <f aca="false">IFERROR(__xludf.dummyfunction("""COMPUTED_VALUE"""),"Oh oui, et les trucs bien gras ça me connait !")</f>
        <v>Oh oui, et les trucs bien gras ça me connait !</v>
      </c>
      <c r="M88" s="2" t="n">
        <f aca="false">IFERROR(__xludf.dummyfunction("""COMPUTED_VALUE"""),7)</f>
        <v>7</v>
      </c>
      <c r="N88" s="2" t="str">
        <f aca="false">IFERROR(__xludf.dummyfunction("""COMPUTED_VALUE"""),"Une fois par semaine")</f>
        <v>Une fois par semaine</v>
      </c>
      <c r="O88" s="2" t="str">
        <f aca="false">IFERROR(__xludf.dummyfunction("""COMPUTED_VALUE"""),"Tu te poses dans un coin, chill !!")</f>
        <v>Tu te poses dans un coin, chill !!</v>
      </c>
      <c r="P88" s="2" t="n">
        <f aca="false">IFERROR(__xludf.dummyfunction("""COMPUTED_VALUE"""),3)</f>
        <v>3</v>
      </c>
      <c r="Q88" s="2" t="str">
        <f aca="false">IFERROR(__xludf.dummyfunction("""COMPUTED_VALUE"""),"Oui")</f>
        <v>Oui</v>
      </c>
      <c r="R88" s="2" t="str">
        <f aca="false">IFERROR(__xludf.dummyfunction("""COMPUTED_VALUE"""),"Non")</f>
        <v>Non</v>
      </c>
      <c r="S88" s="2" t="str">
        <f aca="false">IFERROR(__xludf.dummyfunction("""COMPUTED_VALUE"""),"PB-Nuage")</f>
        <v>PB-Nuage</v>
      </c>
      <c r="T88" s="2" t="str">
        <f aca="false">IFERROR(__xludf.dummyfunction("""COMPUTED_VALUE"""),"un masque de lapin")</f>
        <v>un masque de lapin</v>
      </c>
      <c r="U88" s="1" t="str">
        <f aca="false">IFERROR(__xludf.dummyfunction("""COMPUTED_VALUE"""),"")</f>
        <v/>
      </c>
      <c r="V88" s="1" t="str">
        <f aca="false">IFERROR(__xludf.dummyfunction("""COMPUTED_VALUE"""),"")</f>
        <v/>
      </c>
      <c r="W88" s="1" t="str">
        <f aca="false">IFERROR(__xludf.dummyfunction("""COMPUTED_VALUE"""),"")</f>
        <v/>
      </c>
      <c r="X88" s="1" t="str">
        <f aca="false">IFERROR(__xludf.dummyfunction("""COMPUTED_VALUE"""),"")</f>
        <v/>
      </c>
      <c r="Y88" s="1" t="str">
        <f aca="false">IFERROR(__xludf.dummyfunction("""COMPUTED_VALUE"""),"")</f>
        <v/>
      </c>
      <c r="Z88" s="1" t="str">
        <f aca="false">IFERROR(__xludf.dummyfunction("""COMPUTED_VALUE"""),"")</f>
        <v/>
      </c>
      <c r="AA88" s="1" t="str">
        <f aca="false">IFERROR(__xludf.dummyfunction("""COMPUTED_VALUE"""),"")</f>
        <v/>
      </c>
      <c r="AB88" s="1" t="str">
        <f aca="false">IFERROR(__xludf.dummyfunction("""COMPUTED_VALUE"""),"")</f>
        <v/>
      </c>
    </row>
    <row r="89" customFormat="false" ht="13.8" hidden="false" customHeight="false" outlineLevel="0" collapsed="false">
      <c r="A89" s="3" t="n">
        <f aca="false">IFERROR(__xludf.dummyfunction("""COMPUTED_VALUE"""),43641.9032175579)</f>
        <v>43641.9032175579</v>
      </c>
      <c r="B89" s="2" t="str">
        <f aca="false">IFERROR(__xludf.dummyfunction("""COMPUTED_VALUE"""),"Félix-Olivier Ngangue Nseke")</f>
        <v>Félix-Olivier Ngangue Nseke</v>
      </c>
      <c r="C89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89" s="2" t="str">
        <f aca="false">IFERROR(__xludf.dummyfunction("""COMPUTED_VALUE"""),"BDS")</f>
        <v>BDS</v>
      </c>
      <c r="E89" s="2" t="n">
        <f aca="false">IFERROR(__xludf.dummyfunction("""COMPUTED_VALUE"""),3)</f>
        <v>3</v>
      </c>
      <c r="F89" s="2" t="str">
        <f aca="false">IFERROR(__xludf.dummyfunction("""COMPUTED_VALUE"""),"Rap")</f>
        <v>Rap</v>
      </c>
      <c r="G89" s="2" t="str">
        <f aca="false">IFERROR(__xludf.dummyfunction("""COMPUTED_VALUE"""),"Cinéma")</f>
        <v>Cinéma</v>
      </c>
      <c r="H89" s="2" t="str">
        <f aca="false">IFERROR(__xludf.dummyfunction("""COMPUTED_VALUE"""),"Une fois de temps en temps")</f>
        <v>Une fois de temps en temps</v>
      </c>
      <c r="I89" s="2" t="str">
        <f aca="false">IFERROR(__xludf.dummyfunction("""COMPUTED_VALUE"""),"Plusieurs fois par semaine")</f>
        <v>Plusieurs fois par semaine</v>
      </c>
      <c r="J89" s="2" t="str">
        <f aca="false">IFERROR(__xludf.dummyfunction("""COMPUTED_VALUE"""),"Pour le fun")</f>
        <v>Pour le fun</v>
      </c>
      <c r="K89" s="2" t="str">
        <f aca="false">IFERROR(__xludf.dummyfunction("""COMPUTED_VALUE"""),"Sports collectifs")</f>
        <v>Sports collectifs</v>
      </c>
      <c r="L89" s="2" t="str">
        <f aca="false">IFERROR(__xludf.dummyfunction("""COMPUTED_VALUE"""),"Alterner entre grec et coquillettes ça compte ?")</f>
        <v>Alterner entre grec et coquillettes ça compte ?</v>
      </c>
      <c r="M89" s="2" t="n">
        <f aca="false">IFERROR(__xludf.dummyfunction("""COMPUTED_VALUE"""),6)</f>
        <v>6</v>
      </c>
      <c r="N89" s="2" t="str">
        <f aca="false">IFERROR(__xludf.dummyfunction("""COMPUTED_VALUE"""),"Une fois par semaine")</f>
        <v>Une fois par semaine</v>
      </c>
      <c r="O89" s="2" t="str">
        <f aca="false">IFERROR(__xludf.dummyfunction("""COMPUTED_VALUE"""),"Tu te poses dans un coin, chill !!")</f>
        <v>Tu te poses dans un coin, chill !!</v>
      </c>
      <c r="P89" s="2" t="n">
        <f aca="false">IFERROR(__xludf.dummyfunction("""COMPUTED_VALUE"""),1)</f>
        <v>1</v>
      </c>
      <c r="Q89" s="2" t="str">
        <f aca="false">IFERROR(__xludf.dummyfunction("""COMPUTED_VALUE"""),"Oui")</f>
        <v>Oui</v>
      </c>
      <c r="R89" s="2" t="str">
        <f aca="false">IFERROR(__xludf.dummyfunction("""COMPUTED_VALUE"""),"Non")</f>
        <v>Non</v>
      </c>
      <c r="S89" s="2" t="str">
        <f aca="false">IFERROR(__xludf.dummyfunction("""COMPUTED_VALUE"""),"Les 6 salopards")</f>
        <v>Les 6 salopards</v>
      </c>
      <c r="T89" s="2" t="str">
        <f aca="false">IFERROR(__xludf.dummyfunction("""COMPUTED_VALUE"""),"maillot de foot")</f>
        <v>maillot de foot</v>
      </c>
      <c r="U89" s="1" t="str">
        <f aca="false">IFERROR(__xludf.dummyfunction("""COMPUTED_VALUE"""),"")</f>
        <v/>
      </c>
      <c r="V89" s="1" t="str">
        <f aca="false">IFERROR(__xludf.dummyfunction("""COMPUTED_VALUE"""),"")</f>
        <v/>
      </c>
      <c r="W89" s="1" t="str">
        <f aca="false">IFERROR(__xludf.dummyfunction("""COMPUTED_VALUE"""),"")</f>
        <v/>
      </c>
      <c r="X89" s="1" t="str">
        <f aca="false">IFERROR(__xludf.dummyfunction("""COMPUTED_VALUE"""),"")</f>
        <v/>
      </c>
      <c r="Y89" s="1" t="str">
        <f aca="false">IFERROR(__xludf.dummyfunction("""COMPUTED_VALUE"""),"")</f>
        <v/>
      </c>
      <c r="Z89" s="1" t="str">
        <f aca="false">IFERROR(__xludf.dummyfunction("""COMPUTED_VALUE"""),"")</f>
        <v/>
      </c>
      <c r="AA89" s="1" t="str">
        <f aca="false">IFERROR(__xludf.dummyfunction("""COMPUTED_VALUE"""),"")</f>
        <v/>
      </c>
      <c r="AB89" s="1" t="str">
        <f aca="false">IFERROR(__xludf.dummyfunction("""COMPUTED_VALUE"""),"")</f>
        <v/>
      </c>
    </row>
    <row r="90" customFormat="false" ht="15.75" hidden="false" customHeight="false" outlineLevel="0" collapsed="false">
      <c r="A90" s="3" t="n">
        <f aca="false">IFERROR(__xludf.dummyfunction("""COMPUTED_VALUE"""),43642.9126212037)</f>
        <v>43642.91262</v>
      </c>
      <c r="B90" s="2" t="str">
        <f aca="false">IFERROR(__xludf.dummyfunction("""COMPUTED_VALUE"""),"Tanguy CABARET")</f>
        <v>Tanguy CABARET</v>
      </c>
      <c r="C90" s="2" t="str">
        <f aca="false">IFERROR(__xludf.dummyfunction("""COMPUTED_VALUE"""),"Le président et un inconnu")</f>
        <v>Le président et un inconnu</v>
      </c>
      <c r="D90" s="2" t="str">
        <f aca="false">IFERROR(__xludf.dummyfunction("""COMPUTED_VALUE"""),"BDE")</f>
        <v>BDE</v>
      </c>
      <c r="E90" s="2" t="n">
        <f aca="false">IFERROR(__xludf.dummyfunction("""COMPUTED_VALUE"""),5)</f>
        <v>5</v>
      </c>
      <c r="F90" s="2" t="str">
        <f aca="false">IFERROR(__xludf.dummyfunction("""COMPUTED_VALUE"""),"Rock, Metal, Electro posée, Electro hard, Rap, Pop, Musique fançaise, Jazz, Musique classique")</f>
        <v>Rock, Metal, Electro posée, Electro hard, Rap, Pop, Musique fançaise, Jazz, Musique classique</v>
      </c>
      <c r="G90" s="2" t="str">
        <f aca="false">IFERROR(__xludf.dummyfunction("""COMPUTED_VALUE"""),"Peinture, Danse, Musique, Cinéma")</f>
        <v>Peinture, Danse, Musique, Cinéma</v>
      </c>
      <c r="H90" s="2" t="str">
        <f aca="false">IFERROR(__xludf.dummyfunction("""COMPUTED_VALUE"""),"Une fois de temps en temps")</f>
        <v>Une fois de temps en temps</v>
      </c>
      <c r="I90" s="2" t="str">
        <f aca="false">IFERROR(__xludf.dummyfunction("""COMPUTED_VALUE"""),"Une fois par semaine")</f>
        <v>Une fois par semaine</v>
      </c>
      <c r="J90" s="2" t="str">
        <f aca="false">IFERROR(__xludf.dummyfunction("""COMPUTED_VALUE"""),"Pour le fun")</f>
        <v>Pour le fun</v>
      </c>
      <c r="K90" s="2" t="str">
        <f aca="false">IFERROR(__xludf.dummyfunction("""COMPUTED_VALUE"""),"Voile, Sports de combat, Autre")</f>
        <v>Voile, Sports de combat, Autre</v>
      </c>
      <c r="L90" s="2" t="str">
        <f aca="false">IFERROR(__xludf.dummyfunction("""COMPUTED_VALUE"""),"Alterner entre grec et coquillettes ça compte ?")</f>
        <v>Alterner entre grec et coquillettes ça compte ?</v>
      </c>
      <c r="M90" s="2" t="n">
        <f aca="false">IFERROR(__xludf.dummyfunction("""COMPUTED_VALUE"""),10)</f>
        <v>10</v>
      </c>
      <c r="N90" s="2" t="str">
        <f aca="false">IFERROR(__xludf.dummyfunction("""COMPUTED_VALUE"""),"Plusieurs fois par semaine")</f>
        <v>Plusieurs fois par semaine</v>
      </c>
      <c r="O90" s="2" t="str">
        <f aca="false">IFERROR(__xludf.dummyfunction("""COMPUTED_VALUE"""),"T'enflammes le dancefloor")</f>
        <v>T'enflammes le dancefloor</v>
      </c>
      <c r="P90" s="2" t="n">
        <f aca="false">IFERROR(__xludf.dummyfunction("""COMPUTED_VALUE"""),2)</f>
        <v>2</v>
      </c>
      <c r="Q90" s="2" t="str">
        <f aca="false">IFERROR(__xludf.dummyfunction("""COMPUTED_VALUE"""),"Oui")</f>
        <v>Oui</v>
      </c>
      <c r="R90" s="2" t="str">
        <f aca="false">IFERROR(__xludf.dummyfunction("""COMPUTED_VALUE"""),"Non")</f>
        <v>Non</v>
      </c>
      <c r="S90" s="2" t="str">
        <f aca="false">IFERROR(__xludf.dummyfunction("""COMPUTED_VALUE"""),"Les 6 salopards")</f>
        <v>Les 6 salopards</v>
      </c>
      <c r="T90" s="2" t="str">
        <f aca="false">IFERROR(__xludf.dummyfunction("""COMPUTED_VALUE"""),"Une piece de bagnole mais je sais pas encore quoi ")</f>
        <v>Une piece de bagnole mais je sais pas encore quoi </v>
      </c>
      <c r="U90" s="1" t="str">
        <f aca="false">IFERROR(__xludf.dummyfunction("""COMPUTED_VALUE"""),"")</f>
        <v/>
      </c>
      <c r="V90" s="1" t="str">
        <f aca="false">IFERROR(__xludf.dummyfunction("""COMPUTED_VALUE"""),"")</f>
        <v/>
      </c>
      <c r="W90" s="1" t="str">
        <f aca="false">IFERROR(__xludf.dummyfunction("""COMPUTED_VALUE"""),"")</f>
        <v/>
      </c>
      <c r="X90" s="1" t="str">
        <f aca="false">IFERROR(__xludf.dummyfunction("""COMPUTED_VALUE"""),"")</f>
        <v/>
      </c>
      <c r="Y90" s="1" t="str">
        <f aca="false">IFERROR(__xludf.dummyfunction("""COMPUTED_VALUE"""),"")</f>
        <v/>
      </c>
      <c r="Z90" s="1" t="str">
        <f aca="false">IFERROR(__xludf.dummyfunction("""COMPUTED_VALUE"""),"")</f>
        <v/>
      </c>
      <c r="AA90" s="1" t="str">
        <f aca="false">IFERROR(__xludf.dummyfunction("""COMPUTED_VALUE"""),"")</f>
        <v/>
      </c>
      <c r="AB90" s="1" t="str">
        <f aca="false">IFERROR(__xludf.dummyfunction("""COMPUTED_VALUE"""),"")</f>
        <v/>
      </c>
    </row>
    <row r="91" customFormat="false" ht="15.75" hidden="false" customHeight="false" outlineLevel="0" collapsed="false">
      <c r="A91" s="3" t="n">
        <f aca="false">IFERROR(__xludf.dummyfunction("""COMPUTED_VALUE"""),43643.2750428588)</f>
        <v>43643.27504</v>
      </c>
      <c r="B91" s="2" t="str">
        <f aca="false">IFERROR(__xludf.dummyfunction("""COMPUTED_VALUE"""),"Romane CARIOU")</f>
        <v>Romane CARIOU</v>
      </c>
      <c r="C91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91" s="2" t="str">
        <f aca="false">IFERROR(__xludf.dummyfunction("""COMPUTED_VALUE"""),"BDS")</f>
        <v>BDS</v>
      </c>
      <c r="E91" s="2" t="n">
        <f aca="false">IFERROR(__xludf.dummyfunction("""COMPUTED_VALUE"""),5)</f>
        <v>5</v>
      </c>
      <c r="F91" s="2" t="str">
        <f aca="false">IFERROR(__xludf.dummyfunction("""COMPUTED_VALUE"""),"Rock, Metal, Pop, Musique fançaise, Jazz, Musique classique")</f>
        <v>Rock, Metal, Pop, Musique fançaise, Jazz, Musique classique</v>
      </c>
      <c r="G91" s="2" t="str">
        <f aca="false">IFERROR(__xludf.dummyfunction("""COMPUTED_VALUE"""),"Littérature, Danse, Musique, Théâtre, Cinéma")</f>
        <v>Littérature, Danse, Musique, Théâtre, Cinéma</v>
      </c>
      <c r="H91" s="2" t="str">
        <f aca="false">IFERROR(__xludf.dummyfunction("""COMPUTED_VALUE"""),"Seulement les soirs de pleine lune")</f>
        <v>Seulement les soirs de pleine lune</v>
      </c>
      <c r="I91" s="2" t="str">
        <f aca="false">IFERROR(__xludf.dummyfunction("""COMPUTED_VALUE"""),"Plusieurs fois par semaine")</f>
        <v>Plusieurs fois par semaine</v>
      </c>
      <c r="J91" s="2" t="str">
        <f aca="false">IFERROR(__xludf.dummyfunction("""COMPUTED_VALUE"""),"Pour le développement perso et se dépasser")</f>
        <v>Pour le développement perso et se dépasser</v>
      </c>
      <c r="K91" s="2" t="str">
        <f aca="false">IFERROR(__xludf.dummyfunction("""COMPUTED_VALUE"""),"Sports collectifs, Sports de rames, Sports aquatiques, Escalade")</f>
        <v>Sports collectifs, Sports de rames, Sports aquatiques, Escalade</v>
      </c>
      <c r="L91" s="2" t="str">
        <f aca="false">IFERROR(__xludf.dummyfunction("""COMPUTED_VALUE"""),"Je fais toujours attention à bien manger")</f>
        <v>Je fais toujours attention à bien manger</v>
      </c>
      <c r="M91" s="2" t="n">
        <f aca="false">IFERROR(__xludf.dummyfunction("""COMPUTED_VALUE"""),4)</f>
        <v>4</v>
      </c>
      <c r="N91" s="2" t="str">
        <f aca="false">IFERROR(__xludf.dummyfunction("""COMPUTED_VALUE"""),"Une fois par semaine")</f>
        <v>Une fois par semaine</v>
      </c>
      <c r="O91" s="2" t="str">
        <f aca="false">IFERROR(__xludf.dummyfunction("""COMPUTED_VALUE"""),"T'enflammes le dancefloor")</f>
        <v>T'enflammes le dancefloor</v>
      </c>
      <c r="P91" s="2" t="n">
        <f aca="false">IFERROR(__xludf.dummyfunction("""COMPUTED_VALUE"""),3)</f>
        <v>3</v>
      </c>
      <c r="Q91" s="2" t="str">
        <f aca="false">IFERROR(__xludf.dummyfunction("""COMPUTED_VALUE"""),"Oui")</f>
        <v>Oui</v>
      </c>
      <c r="R91" s="2" t="str">
        <f aca="false">IFERROR(__xludf.dummyfunction("""COMPUTED_VALUE"""),"Non")</f>
        <v>Non</v>
      </c>
      <c r="S91" s="2" t="str">
        <f aca="false">IFERROR(__xludf.dummyfunction("""COMPUTED_VALUE"""),"La Crypte ")</f>
        <v>La Crypte </v>
      </c>
      <c r="T91" s="2" t="str">
        <f aca="false">IFERROR(__xludf.dummyfunction("""COMPUTED_VALUE"""),"une corde de harpe ")</f>
        <v>une corde de harpe </v>
      </c>
      <c r="U91" s="1" t="str">
        <f aca="false">IFERROR(__xludf.dummyfunction("""COMPUTED_VALUE"""),"")</f>
        <v/>
      </c>
      <c r="V91" s="1" t="str">
        <f aca="false">IFERROR(__xludf.dummyfunction("""COMPUTED_VALUE"""),"")</f>
        <v/>
      </c>
      <c r="W91" s="1" t="str">
        <f aca="false">IFERROR(__xludf.dummyfunction("""COMPUTED_VALUE"""),"")</f>
        <v/>
      </c>
      <c r="X91" s="1" t="str">
        <f aca="false">IFERROR(__xludf.dummyfunction("""COMPUTED_VALUE"""),"")</f>
        <v/>
      </c>
      <c r="Y91" s="1" t="str">
        <f aca="false">IFERROR(__xludf.dummyfunction("""COMPUTED_VALUE"""),"")</f>
        <v/>
      </c>
      <c r="Z91" s="1" t="str">
        <f aca="false">IFERROR(__xludf.dummyfunction("""COMPUTED_VALUE"""),"")</f>
        <v/>
      </c>
      <c r="AA91" s="1" t="str">
        <f aca="false">IFERROR(__xludf.dummyfunction("""COMPUTED_VALUE"""),"")</f>
        <v/>
      </c>
      <c r="AB91" s="1" t="str">
        <f aca="false">IFERROR(__xludf.dummyfunction("""COMPUTED_VALUE"""),"")</f>
        <v/>
      </c>
    </row>
    <row r="92" customFormat="false" ht="15.75" hidden="false" customHeight="false" outlineLevel="0" collapsed="false">
      <c r="A92" s="3" t="n">
        <f aca="false">IFERROR(__xludf.dummyfunction("""COMPUTED_VALUE"""),43647.8517620139)</f>
        <v>43647.85176</v>
      </c>
      <c r="B92" s="2" t="str">
        <f aca="false">IFERROR(__xludf.dummyfunction("""COMPUTED_VALUE"""),"Romain SUCCHE")</f>
        <v>Romain SUCCHE</v>
      </c>
      <c r="C92" s="2" t="str">
        <f aca="false">IFERROR(__xludf.dummyfunction("""COMPUTED_VALUE"""),"Le président et un inconnu")</f>
        <v>Le président et un inconnu</v>
      </c>
      <c r="D92" s="2" t="str">
        <f aca="false">IFERROR(__xludf.dummyfunction("""COMPUTED_VALUE"""),"BDE")</f>
        <v>BDE</v>
      </c>
      <c r="E92" s="2" t="n">
        <f aca="false">IFERROR(__xludf.dummyfunction("""COMPUTED_VALUE"""),5)</f>
        <v>5</v>
      </c>
      <c r="F92" s="2" t="str">
        <f aca="false">IFERROR(__xludf.dummyfunction("""COMPUTED_VALUE"""),"Electro posée, Pop, Musique fançaise")</f>
        <v>Electro posée, Pop, Musique fançaise</v>
      </c>
      <c r="G92" s="2" t="str">
        <f aca="false">IFERROR(__xludf.dummyfunction("""COMPUTED_VALUE"""),"Pas du tout")</f>
        <v>Pas du tout</v>
      </c>
      <c r="H92" s="2" t="str">
        <f aca="false">IFERROR(__xludf.dummyfunction("""COMPUTED_VALUE"""),"Seulement les soirs de pleine lune")</f>
        <v>Seulement les soirs de pleine lune</v>
      </c>
      <c r="I92" s="2" t="str">
        <f aca="false">IFERROR(__xludf.dummyfunction("""COMPUTED_VALUE"""),"Plusieurs fois par semaine")</f>
        <v>Plusieurs fois par semaine</v>
      </c>
      <c r="J92" s="2" t="str">
        <f aca="false">IFERROR(__xludf.dummyfunction("""COMPUTED_VALUE"""),"Pour le fun")</f>
        <v>Pour le fun</v>
      </c>
      <c r="K92" s="2" t="str">
        <f aca="false">IFERROR(__xludf.dummyfunction("""COMPUTED_VALUE"""),"Sports collectifs")</f>
        <v>Sports collectifs</v>
      </c>
      <c r="L92" s="2" t="str">
        <f aca="false">IFERROR(__xludf.dummyfunction("""COMPUTED_VALUE"""),"J'aime cuisiner le WE ou quand j'ai le temps")</f>
        <v>J'aime cuisiner le WE ou quand j'ai le temps</v>
      </c>
      <c r="M92" s="2" t="n">
        <f aca="false">IFERROR(__xludf.dummyfunction("""COMPUTED_VALUE"""),7)</f>
        <v>7</v>
      </c>
      <c r="N92" s="2" t="str">
        <f aca="false">IFERROR(__xludf.dummyfunction("""COMPUTED_VALUE"""),"Une fois par semaine")</f>
        <v>Une fois par semaine</v>
      </c>
      <c r="O92" s="2" t="str">
        <f aca="false">IFERROR(__xludf.dummyfunction("""COMPUTED_VALUE"""),"T'enflammes le dancefloor")</f>
        <v>T'enflammes le dancefloor</v>
      </c>
      <c r="P92" s="2" t="n">
        <f aca="false">IFERROR(__xludf.dummyfunction("""COMPUTED_VALUE"""),1)</f>
        <v>1</v>
      </c>
      <c r="Q92" s="2" t="str">
        <f aca="false">IFERROR(__xludf.dummyfunction("""COMPUTED_VALUE"""),"Oui")</f>
        <v>Oui</v>
      </c>
      <c r="R92" s="2" t="str">
        <f aca="false">IFERROR(__xludf.dummyfunction("""COMPUTED_VALUE"""),"Non")</f>
        <v>Non</v>
      </c>
      <c r="S92" s="2" t="str">
        <f aca="false">IFERROR(__xludf.dummyfunction("""COMPUTED_VALUE"""),"Les cyclistes ")</f>
        <v>Les cyclistes </v>
      </c>
      <c r="T92" s="2" t="str">
        <f aca="false">IFERROR(__xludf.dummyfunction("""COMPUTED_VALUE"""),"Lunettes cassées ")</f>
        <v>Lunettes cassées </v>
      </c>
      <c r="U92" s="1" t="str">
        <f aca="false">IFERROR(__xludf.dummyfunction("""COMPUTED_VALUE"""),"")</f>
        <v/>
      </c>
      <c r="V92" s="1" t="str">
        <f aca="false">IFERROR(__xludf.dummyfunction("""COMPUTED_VALUE"""),"")</f>
        <v/>
      </c>
      <c r="W92" s="1" t="str">
        <f aca="false">IFERROR(__xludf.dummyfunction("""COMPUTED_VALUE"""),"")</f>
        <v/>
      </c>
      <c r="X92" s="1" t="str">
        <f aca="false">IFERROR(__xludf.dummyfunction("""COMPUTED_VALUE"""),"")</f>
        <v/>
      </c>
      <c r="Y92" s="1" t="str">
        <f aca="false">IFERROR(__xludf.dummyfunction("""COMPUTED_VALUE"""),"")</f>
        <v/>
      </c>
      <c r="Z92" s="1" t="str">
        <f aca="false">IFERROR(__xludf.dummyfunction("""COMPUTED_VALUE"""),"")</f>
        <v/>
      </c>
      <c r="AA92" s="1" t="str">
        <f aca="false">IFERROR(__xludf.dummyfunction("""COMPUTED_VALUE"""),"")</f>
        <v/>
      </c>
      <c r="AB92" s="1" t="str">
        <f aca="false">IFERROR(__xludf.dummyfunction("""COMPUTED_VALUE"""),"")</f>
        <v/>
      </c>
    </row>
    <row r="93" customFormat="false" ht="15.75" hidden="false" customHeight="false" outlineLevel="0" collapsed="false">
      <c r="A93" s="3" t="n">
        <f aca="false">IFERROR(__xludf.dummyfunction("""COMPUTED_VALUE"""),43650.6859524884)</f>
        <v>43650.68595</v>
      </c>
      <c r="B93" s="2" t="str">
        <f aca="false">IFERROR(__xludf.dummyfunction("""COMPUTED_VALUE"""),"Borget")</f>
        <v>Borget</v>
      </c>
      <c r="C93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93" s="2" t="str">
        <f aca="false">IFERROR(__xludf.dummyfunction("""COMPUTED_VALUE"""),"BDE")</f>
        <v>BDE</v>
      </c>
      <c r="E93" s="2" t="n">
        <f aca="false">IFERROR(__xludf.dummyfunction("""COMPUTED_VALUE"""),3)</f>
        <v>3</v>
      </c>
      <c r="F93" s="2" t="str">
        <f aca="false">IFERROR(__xludf.dummyfunction("""COMPUTED_VALUE"""),"Electro posée, Electro hard, Musique fançaise, Jazz")</f>
        <v>Electro posée, Electro hard, Musique fançaise, Jazz</v>
      </c>
      <c r="G93" s="2" t="str">
        <f aca="false">IFERROR(__xludf.dummyfunction("""COMPUTED_VALUE"""),"Peinture, Littérature, Musique, Théâtre, Cinéma")</f>
        <v>Peinture, Littérature, Musique, Théâtre, Cinéma</v>
      </c>
      <c r="H93" s="2" t="str">
        <f aca="false">IFERROR(__xludf.dummyfunction("""COMPUTED_VALUE"""),"Seulement les soirs de pleine lune")</f>
        <v>Seulement les soirs de pleine lune</v>
      </c>
      <c r="I93" s="2" t="str">
        <f aca="false">IFERROR(__xludf.dummyfunction("""COMPUTED_VALUE"""),"Plusieurs fois par semaine")</f>
        <v>Plusieurs fois par semaine</v>
      </c>
      <c r="J93" s="2" t="str">
        <f aca="false">IFERROR(__xludf.dummyfunction("""COMPUTED_VALUE"""),"Pour le fun")</f>
        <v>Pour le fun</v>
      </c>
      <c r="K93" s="2" t="str">
        <f aca="false">IFERROR(__xludf.dummyfunction("""COMPUTED_VALUE"""),"Sports aquatiques, Equitation")</f>
        <v>Sports aquatiques, Equitation</v>
      </c>
      <c r="L93" s="2" t="str">
        <f aca="false">IFERROR(__xludf.dummyfunction("""COMPUTED_VALUE"""),"Je fais toujours attention à bien manger")</f>
        <v>Je fais toujours attention à bien manger</v>
      </c>
      <c r="M93" s="2" t="n">
        <f aca="false">IFERROR(__xludf.dummyfunction("""COMPUTED_VALUE"""),7)</f>
        <v>7</v>
      </c>
      <c r="N93" s="2" t="str">
        <f aca="false">IFERROR(__xludf.dummyfunction("""COMPUTED_VALUE"""),"Une fois par semaine")</f>
        <v>Une fois par semaine</v>
      </c>
      <c r="O93" s="2" t="str">
        <f aca="false">IFERROR(__xludf.dummyfunction("""COMPUTED_VALUE"""),"T'enflammes le dancefloor")</f>
        <v>T'enflammes le dancefloor</v>
      </c>
      <c r="P93" s="2" t="n">
        <f aca="false">IFERROR(__xludf.dummyfunction("""COMPUTED_VALUE"""),3)</f>
        <v>3</v>
      </c>
      <c r="Q93" s="2" t="str">
        <f aca="false">IFERROR(__xludf.dummyfunction("""COMPUTED_VALUE"""),"Oui")</f>
        <v>Oui</v>
      </c>
      <c r="R93" s="2" t="str">
        <f aca="false">IFERROR(__xludf.dummyfunction("""COMPUTED_VALUE"""),"Non")</f>
        <v>Non</v>
      </c>
      <c r="S93" s="2" t="str">
        <f aca="false">IFERROR(__xludf.dummyfunction("""COMPUTED_VALUE"""),"Sans abris")</f>
        <v>Sans abris</v>
      </c>
      <c r="T93" s="2" t="str">
        <f aca="false">IFERROR(__xludf.dummyfunction("""COMPUTED_VALUE"""),"Un cochon")</f>
        <v>Un cochon</v>
      </c>
      <c r="U93" s="1" t="str">
        <f aca="false">IFERROR(__xludf.dummyfunction("""COMPUTED_VALUE"""),"")</f>
        <v/>
      </c>
      <c r="V93" s="1" t="str">
        <f aca="false">IFERROR(__xludf.dummyfunction("""COMPUTED_VALUE"""),"")</f>
        <v/>
      </c>
      <c r="W93" s="1" t="str">
        <f aca="false">IFERROR(__xludf.dummyfunction("""COMPUTED_VALUE"""),"")</f>
        <v/>
      </c>
      <c r="X93" s="1" t="str">
        <f aca="false">IFERROR(__xludf.dummyfunction("""COMPUTED_VALUE"""),"")</f>
        <v/>
      </c>
      <c r="Y93" s="1" t="str">
        <f aca="false">IFERROR(__xludf.dummyfunction("""COMPUTED_VALUE"""),"")</f>
        <v/>
      </c>
      <c r="Z93" s="1" t="str">
        <f aca="false">IFERROR(__xludf.dummyfunction("""COMPUTED_VALUE"""),"")</f>
        <v/>
      </c>
      <c r="AA93" s="1" t="str">
        <f aca="false">IFERROR(__xludf.dummyfunction("""COMPUTED_VALUE"""),"")</f>
        <v/>
      </c>
      <c r="AB93" s="1" t="str">
        <f aca="false">IFERROR(__xludf.dummyfunction("""COMPUTED_VALUE"""),"")</f>
        <v/>
      </c>
    </row>
    <row r="94" customFormat="false" ht="15.75" hidden="false" customHeight="false" outlineLevel="0" collapsed="false">
      <c r="A94" s="3" t="n">
        <f aca="false">IFERROR(__xludf.dummyfunction("""COMPUTED_VALUE"""),43661.5232694329)</f>
        <v>43661.52327</v>
      </c>
      <c r="B94" s="2" t="str">
        <f aca="false">IFERROR(__xludf.dummyfunction("""COMPUTED_VALUE"""),"Raúl VILLAFUERTE")</f>
        <v>Raúl VILLAFUERTE</v>
      </c>
      <c r="C94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94" s="2" t="str">
        <f aca="false">IFERROR(__xludf.dummyfunction("""COMPUTED_VALUE"""),"Pas de liste")</f>
        <v>Pas de liste</v>
      </c>
      <c r="E94" s="2" t="n">
        <f aca="false">IFERROR(__xludf.dummyfunction("""COMPUTED_VALUE"""),3)</f>
        <v>3</v>
      </c>
      <c r="F94" s="2" t="str">
        <f aca="false">IFERROR(__xludf.dummyfunction("""COMPUTED_VALUE"""),"Rock, Pop, Musique fançaise, Autre")</f>
        <v>Rock, Pop, Musique fançaise, Autre</v>
      </c>
      <c r="G94" s="2" t="str">
        <f aca="false">IFERROR(__xludf.dummyfunction("""COMPUTED_VALUE"""),"Littérature, Sculpture, Danse, Graphisme, Autre")</f>
        <v>Littérature, Sculpture, Danse, Graphisme, Autre</v>
      </c>
      <c r="H94" s="2" t="str">
        <f aca="false">IFERROR(__xludf.dummyfunction("""COMPUTED_VALUE"""),"Une fois de temps en temps")</f>
        <v>Une fois de temps en temps</v>
      </c>
      <c r="I94" s="2" t="str">
        <f aca="false">IFERROR(__xludf.dummyfunction("""COMPUTED_VALUE"""),"Le dimanche à 15h32 s'il fait beau")</f>
        <v>Le dimanche à 15h32 s'il fait beau</v>
      </c>
      <c r="J94" s="2" t="str">
        <f aca="false">IFERROR(__xludf.dummyfunction("""COMPUTED_VALUE"""),"Pour le développement perso et se dépasser")</f>
        <v>Pour le développement perso et se dépasser</v>
      </c>
      <c r="K94" s="2" t="str">
        <f aca="false">IFERROR(__xludf.dummyfunction("""COMPUTED_VALUE"""),"Autre")</f>
        <v>Autre</v>
      </c>
      <c r="L94" s="2" t="str">
        <f aca="false">IFERROR(__xludf.dummyfunction("""COMPUTED_VALUE"""),"Je fais toujours attention à bien manger")</f>
        <v>Je fais toujours attention à bien manger</v>
      </c>
      <c r="M94" s="2" t="n">
        <f aca="false">IFERROR(__xludf.dummyfunction("""COMPUTED_VALUE"""),8)</f>
        <v>8</v>
      </c>
      <c r="N94" s="2" t="str">
        <f aca="false">IFERROR(__xludf.dummyfunction("""COMPUTED_VALUE"""),"Plusieurs fois par semaine")</f>
        <v>Plusieurs fois par semaine</v>
      </c>
      <c r="O94" s="2" t="str">
        <f aca="false">IFERROR(__xludf.dummyfunction("""COMPUTED_VALUE"""),"T'enflammes le dancefloor")</f>
        <v>T'enflammes le dancefloor</v>
      </c>
      <c r="P94" s="2" t="n">
        <f aca="false">IFERROR(__xludf.dummyfunction("""COMPUTED_VALUE"""),4)</f>
        <v>4</v>
      </c>
      <c r="Q94" s="2" t="str">
        <f aca="false">IFERROR(__xludf.dummyfunction("""COMPUTED_VALUE"""),"Oui")</f>
        <v>Oui</v>
      </c>
      <c r="R94" s="2" t="str">
        <f aca="false">IFERROR(__xludf.dummyfunction("""COMPUTED_VALUE"""),"Oui")</f>
        <v>Oui</v>
      </c>
      <c r="S94" s="2" t="str">
        <f aca="false">IFERROR(__xludf.dummyfunction("""COMPUTED_VALUE"""),"Malandros team")</f>
        <v>Malandros team</v>
      </c>
      <c r="T94" s="2" t="str">
        <f aca="false">IFERROR(__xludf.dummyfunction("""COMPUTED_VALUE"""),"Tequila")</f>
        <v>Tequila</v>
      </c>
      <c r="U94" s="1" t="str">
        <f aca="false">IFERROR(__xludf.dummyfunction("""COMPUTED_VALUE"""),"")</f>
        <v/>
      </c>
      <c r="V94" s="1" t="str">
        <f aca="false">IFERROR(__xludf.dummyfunction("""COMPUTED_VALUE"""),"")</f>
        <v/>
      </c>
      <c r="W94" s="1" t="str">
        <f aca="false">IFERROR(__xludf.dummyfunction("""COMPUTED_VALUE"""),"")</f>
        <v/>
      </c>
      <c r="X94" s="1" t="str">
        <f aca="false">IFERROR(__xludf.dummyfunction("""COMPUTED_VALUE"""),"")</f>
        <v/>
      </c>
      <c r="Y94" s="1" t="str">
        <f aca="false">IFERROR(__xludf.dummyfunction("""COMPUTED_VALUE"""),"")</f>
        <v/>
      </c>
      <c r="Z94" s="1" t="str">
        <f aca="false">IFERROR(__xludf.dummyfunction("""COMPUTED_VALUE"""),"")</f>
        <v/>
      </c>
      <c r="AA94" s="1" t="str">
        <f aca="false">IFERROR(__xludf.dummyfunction("""COMPUTED_VALUE"""),"")</f>
        <v/>
      </c>
      <c r="AB94" s="1" t="str">
        <f aca="false">IFERROR(__xludf.dummyfunction("""COMPUTED_VALUE"""),"")</f>
        <v/>
      </c>
    </row>
    <row r="95" customFormat="false" ht="15.75" hidden="false" customHeight="false" outlineLevel="0" collapsed="false">
      <c r="A95" s="3" t="n">
        <f aca="false">IFERROR(__xludf.dummyfunction("""COMPUTED_VALUE"""),43673.7527962847)</f>
        <v>43673.7528</v>
      </c>
      <c r="B95" s="2" t="str">
        <f aca="false">IFERROR(__xludf.dummyfunction("""COMPUTED_VALUE"""),"Paul SAUBION")</f>
        <v>Paul SAUBION</v>
      </c>
      <c r="C95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95" s="2" t="str">
        <f aca="false">IFERROR(__xludf.dummyfunction("""COMPUTED_VALUE"""),"BDA")</f>
        <v>BDA</v>
      </c>
      <c r="E95" s="2" t="n">
        <f aca="false">IFERROR(__xludf.dummyfunction("""COMPUTED_VALUE"""),3)</f>
        <v>3</v>
      </c>
      <c r="F95" s="2" t="str">
        <f aca="false">IFERROR(__xludf.dummyfunction("""COMPUTED_VALUE"""),"Rock, Metal, Electro posée, Pop, Musique fançaise, Jazz, Musique classique")</f>
        <v>Rock, Metal, Electro posée, Pop, Musique fançaise, Jazz, Musique classique</v>
      </c>
      <c r="G95" s="2" t="str">
        <f aca="false">IFERROR(__xludf.dummyfunction("""COMPUTED_VALUE"""),"Cinéma")</f>
        <v>Cinéma</v>
      </c>
      <c r="H95" s="2" t="str">
        <f aca="false">IFERROR(__xludf.dummyfunction("""COMPUTED_VALUE"""),"Une fois de temps en temps")</f>
        <v>Une fois de temps en temps</v>
      </c>
      <c r="I95" s="2" t="str">
        <f aca="false">IFERROR(__xludf.dummyfunction("""COMPUTED_VALUE"""),"Plusieurs fois par semaine")</f>
        <v>Plusieurs fois par semaine</v>
      </c>
      <c r="J95" s="2" t="str">
        <f aca="false">IFERROR(__xludf.dummyfunction("""COMPUTED_VALUE"""),"Pour le développement perso et se dépasser")</f>
        <v>Pour le développement perso et se dépasser</v>
      </c>
      <c r="K95" s="2" t="str">
        <f aca="false">IFERROR(__xludf.dummyfunction("""COMPUTED_VALUE"""),"Sports collectifs, Sports de raquette, Athlétisme, Sports aquatiques")</f>
        <v>Sports collectifs, Sports de raquette, Athlétisme, Sports aquatiques</v>
      </c>
      <c r="L95" s="2" t="str">
        <f aca="false">IFERROR(__xludf.dummyfunction("""COMPUTED_VALUE"""),"Alterner entre grec et coquillettes ça compte ?")</f>
        <v>Alterner entre grec et coquillettes ça compte ?</v>
      </c>
      <c r="M95" s="2" t="n">
        <f aca="false">IFERROR(__xludf.dummyfunction("""COMPUTED_VALUE"""),6)</f>
        <v>6</v>
      </c>
      <c r="N95" s="2" t="str">
        <f aca="false">IFERROR(__xludf.dummyfunction("""COMPUTED_VALUE"""),"Plusieurs fois par semaine")</f>
        <v>Plusieurs fois par semaine</v>
      </c>
      <c r="O95" s="2" t="str">
        <f aca="false">IFERROR(__xludf.dummyfunction("""COMPUTED_VALUE"""),"Tu te poses dans un coin, chill !!")</f>
        <v>Tu te poses dans un coin, chill !!</v>
      </c>
      <c r="P95" s="2" t="n">
        <f aca="false">IFERROR(__xludf.dummyfunction("""COMPUTED_VALUE"""),1)</f>
        <v>1</v>
      </c>
      <c r="Q95" s="2" t="str">
        <f aca="false">IFERROR(__xludf.dummyfunction("""COMPUTED_VALUE"""),"Oui")</f>
        <v>Oui</v>
      </c>
      <c r="R95" s="2" t="str">
        <f aca="false">IFERROR(__xludf.dummyfunction("""COMPUTED_VALUE"""),"Non")</f>
        <v>Non</v>
      </c>
      <c r="S95" s="2" t="str">
        <f aca="false">IFERROR(__xludf.dummyfunction("""COMPUTED_VALUE"""),"Juaman’GI Reloaded")</f>
        <v>Juaman’GI Reloaded</v>
      </c>
      <c r="T95" s="2" t="str">
        <f aca="false">IFERROR(__xludf.dummyfunction("""COMPUTED_VALUE"""),"Une porte")</f>
        <v>Une porte</v>
      </c>
      <c r="U95" s="1" t="str">
        <f aca="false">IFERROR(__xludf.dummyfunction("""COMPUTED_VALUE"""),"")</f>
        <v/>
      </c>
      <c r="V95" s="1" t="str">
        <f aca="false">IFERROR(__xludf.dummyfunction("""COMPUTED_VALUE"""),"")</f>
        <v/>
      </c>
      <c r="W95" s="1" t="str">
        <f aca="false">IFERROR(__xludf.dummyfunction("""COMPUTED_VALUE"""),"")</f>
        <v/>
      </c>
      <c r="X95" s="1" t="str">
        <f aca="false">IFERROR(__xludf.dummyfunction("""COMPUTED_VALUE"""),"")</f>
        <v/>
      </c>
      <c r="Y95" s="1" t="str">
        <f aca="false">IFERROR(__xludf.dummyfunction("""COMPUTED_VALUE"""),"")</f>
        <v/>
      </c>
      <c r="Z95" s="1" t="str">
        <f aca="false">IFERROR(__xludf.dummyfunction("""COMPUTED_VALUE"""),"")</f>
        <v/>
      </c>
      <c r="AA95" s="1" t="str">
        <f aca="false">IFERROR(__xludf.dummyfunction("""COMPUTED_VALUE"""),"")</f>
        <v/>
      </c>
      <c r="AB95" s="1" t="str">
        <f aca="false">IFERROR(__xludf.dummyfunction("""COMPUTED_VALUE"""),"")</f>
        <v/>
      </c>
    </row>
    <row r="96" customFormat="false" ht="15.75" hidden="false" customHeight="false" outlineLevel="0" collapsed="false">
      <c r="A96" s="3" t="n">
        <f aca="false">IFERROR(__xludf.dummyfunction("""COMPUTED_VALUE"""),43682.4080797801)</f>
        <v>43682.40808</v>
      </c>
      <c r="B96" s="2" t="str">
        <f aca="false">IFERROR(__xludf.dummyfunction("""COMPUTED_VALUE"""),"Aygalic JARA")</f>
        <v>Aygalic JARA</v>
      </c>
      <c r="C96" s="2" t="str">
        <f aca="false">IFERROR(__xludf.dummyfunction("""COMPUTED_VALUE"""),"Deux inconnus")</f>
        <v>Deux inconnus</v>
      </c>
      <c r="D96" s="2" t="str">
        <f aca="false">IFERROR(__xludf.dummyfunction("""COMPUTED_VALUE"""),"BDE")</f>
        <v>BDE</v>
      </c>
      <c r="E96" s="2" t="n">
        <f aca="false">IFERROR(__xludf.dummyfunction("""COMPUTED_VALUE"""),2)</f>
        <v>2</v>
      </c>
      <c r="F96" s="2" t="str">
        <f aca="false">IFERROR(__xludf.dummyfunction("""COMPUTED_VALUE"""),"Rap")</f>
        <v>Rap</v>
      </c>
      <c r="G96" s="2" t="str">
        <f aca="false">IFERROR(__xludf.dummyfunction("""COMPUTED_VALUE"""),"Pas du tout")</f>
        <v>Pas du tout</v>
      </c>
      <c r="H96" s="2" t="str">
        <f aca="false">IFERROR(__xludf.dummyfunction("""COMPUTED_VALUE"""),"Quelques fois par semaine")</f>
        <v>Quelques fois par semaine</v>
      </c>
      <c r="I96" s="2" t="str">
        <f aca="false">IFERROR(__xludf.dummyfunction("""COMPUTED_VALUE"""),"Plusieurs fois par semaine")</f>
        <v>Plusieurs fois par semaine</v>
      </c>
      <c r="J96" s="2" t="str">
        <f aca="false">IFERROR(__xludf.dummyfunction("""COMPUTED_VALUE"""),"Pour le fun")</f>
        <v>Pour le fun</v>
      </c>
      <c r="K96" s="2" t="str">
        <f aca="false">IFERROR(__xludf.dummyfunction("""COMPUTED_VALUE"""),"Athlétisme")</f>
        <v>Athlétisme</v>
      </c>
      <c r="L96" s="2" t="str">
        <f aca="false">IFERROR(__xludf.dummyfunction("""COMPUTED_VALUE"""),"Alterner entre grec et coquillettes ça compte ?")</f>
        <v>Alterner entre grec et coquillettes ça compte ?</v>
      </c>
      <c r="M96" s="2" t="n">
        <f aca="false">IFERROR(__xludf.dummyfunction("""COMPUTED_VALUE"""),10)</f>
        <v>10</v>
      </c>
      <c r="N96" s="2" t="str">
        <f aca="false">IFERROR(__xludf.dummyfunction("""COMPUTED_VALUE"""),"Plusieurs fois par semaine")</f>
        <v>Plusieurs fois par semaine</v>
      </c>
      <c r="O96" s="2" t="str">
        <f aca="false">IFERROR(__xludf.dummyfunction("""COMPUTED_VALUE"""),"Tu te poses dans un coin, chill !!")</f>
        <v>Tu te poses dans un coin, chill !!</v>
      </c>
      <c r="P96" s="2" t="n">
        <f aca="false">IFERROR(__xludf.dummyfunction("""COMPUTED_VALUE"""),1)</f>
        <v>1</v>
      </c>
      <c r="Q96" s="2" t="str">
        <f aca="false">IFERROR(__xludf.dummyfunction("""COMPUTED_VALUE"""),"Oui")</f>
        <v>Oui</v>
      </c>
      <c r="R96" s="2" t="str">
        <f aca="false">IFERROR(__xludf.dummyfunction("""COMPUTED_VALUE"""),"Non")</f>
        <v>Non</v>
      </c>
      <c r="S96" s="2" t="str">
        <f aca="false">IFERROR(__xludf.dummyfunction("""COMPUTED_VALUE"""),"Le squat")</f>
        <v>Le squat</v>
      </c>
      <c r="T96" s="2" t="str">
        <f aca="false">IFERROR(__xludf.dummyfunction("""COMPUTED_VALUE"""),"Une ecocup ")</f>
        <v>Une ecocup </v>
      </c>
      <c r="U96" s="1" t="str">
        <f aca="false">IFERROR(__xludf.dummyfunction("""COMPUTED_VALUE"""),"")</f>
        <v/>
      </c>
      <c r="V96" s="1" t="str">
        <f aca="false">IFERROR(__xludf.dummyfunction("""COMPUTED_VALUE"""),"")</f>
        <v/>
      </c>
      <c r="W96" s="1" t="str">
        <f aca="false">IFERROR(__xludf.dummyfunction("""COMPUTED_VALUE"""),"")</f>
        <v/>
      </c>
      <c r="X96" s="1" t="str">
        <f aca="false">IFERROR(__xludf.dummyfunction("""COMPUTED_VALUE"""),"")</f>
        <v/>
      </c>
      <c r="Y96" s="1" t="str">
        <f aca="false">IFERROR(__xludf.dummyfunction("""COMPUTED_VALUE"""),"")</f>
        <v/>
      </c>
      <c r="Z96" s="1" t="str">
        <f aca="false">IFERROR(__xludf.dummyfunction("""COMPUTED_VALUE"""),"")</f>
        <v/>
      </c>
      <c r="AA96" s="1" t="str">
        <f aca="false">IFERROR(__xludf.dummyfunction("""COMPUTED_VALUE"""),"")</f>
        <v/>
      </c>
      <c r="AB96" s="1" t="str">
        <f aca="false">IFERROR(__xludf.dummyfunction("""COMPUTED_VALUE"""),"")</f>
        <v/>
      </c>
    </row>
    <row r="97" customFormat="false" ht="15.75" hidden="false" customHeight="false" outlineLevel="0" collapsed="false">
      <c r="A97" s="3" t="n">
        <f aca="false">IFERROR(__xludf.dummyfunction("""COMPUTED_VALUE"""),43705.855070162)</f>
        <v>43705.85507</v>
      </c>
      <c r="B97" s="2" t="str">
        <f aca="false">IFERROR(__xludf.dummyfunction("""COMPUTED_VALUE"""),"Thomas HERRBACH")</f>
        <v>Thomas HERRBACH</v>
      </c>
      <c r="C97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97" s="2" t="str">
        <f aca="false">IFERROR(__xludf.dummyfunction("""COMPUTED_VALUE"""),"BDE")</f>
        <v>BDE</v>
      </c>
      <c r="E97" s="2" t="n">
        <f aca="false">IFERROR(__xludf.dummyfunction("""COMPUTED_VALUE"""),4)</f>
        <v>4</v>
      </c>
      <c r="F97" s="2" t="str">
        <f aca="false">IFERROR(__xludf.dummyfunction("""COMPUTED_VALUE"""),"Je suis aigri et j'aime pas la musique, Rock, Metal, Electro hard, Musique fançaise, Musique classique")</f>
        <v>Je suis aigri et j'aime pas la musique, Rock, Metal, Electro hard, Musique fançaise, Musique classique</v>
      </c>
      <c r="G97" s="2" t="str">
        <f aca="false">IFERROR(__xludf.dummyfunction("""COMPUTED_VALUE"""),"Littérature")</f>
        <v>Littérature</v>
      </c>
      <c r="H97" s="2" t="str">
        <f aca="false">IFERROR(__xludf.dummyfunction("""COMPUTED_VALUE"""),"Quelques fois par semaine")</f>
        <v>Quelques fois par semaine</v>
      </c>
      <c r="I97" s="2" t="str">
        <f aca="false">IFERROR(__xludf.dummyfunction("""COMPUTED_VALUE"""),"Plusieurs fois par semaine")</f>
        <v>Plusieurs fois par semaine</v>
      </c>
      <c r="J97" s="2" t="str">
        <f aca="false">IFERROR(__xludf.dummyfunction("""COMPUTED_VALUE"""),"Pour le fun")</f>
        <v>Pour le fun</v>
      </c>
      <c r="K97" s="2" t="str">
        <f aca="false">IFERROR(__xludf.dummyfunction("""COMPUTED_VALUE"""),"Sports collectifs, Athlétisme")</f>
        <v>Sports collectifs, Athlétisme</v>
      </c>
      <c r="L97" s="2" t="str">
        <f aca="false">IFERROR(__xludf.dummyfunction("""COMPUTED_VALUE"""),"J'aime cuisiner le WE ou quand j'ai le temps")</f>
        <v>J'aime cuisiner le WE ou quand j'ai le temps</v>
      </c>
      <c r="M97" s="2" t="n">
        <f aca="false">IFERROR(__xludf.dummyfunction("""COMPUTED_VALUE"""),7)</f>
        <v>7</v>
      </c>
      <c r="N97" s="2" t="str">
        <f aca="false">IFERROR(__xludf.dummyfunction("""COMPUTED_VALUE"""),"Une fois par mois")</f>
        <v>Une fois par mois</v>
      </c>
      <c r="O97" s="2" t="str">
        <f aca="false">IFERROR(__xludf.dummyfunction("""COMPUTED_VALUE"""),"Tu te poses dans un coin, chill !!")</f>
        <v>Tu te poses dans un coin, chill !!</v>
      </c>
      <c r="P97" s="2" t="n">
        <f aca="false">IFERROR(__xludf.dummyfunction("""COMPUTED_VALUE"""),1)</f>
        <v>1</v>
      </c>
      <c r="Q97" s="2" t="str">
        <f aca="false">IFERROR(__xludf.dummyfunction("""COMPUTED_VALUE"""),"Oui")</f>
        <v>Oui</v>
      </c>
      <c r="R97" s="2" t="str">
        <f aca="false">IFERROR(__xludf.dummyfunction("""COMPUTED_VALUE"""),"Non")</f>
        <v>Non</v>
      </c>
      <c r="S97" s="2" t="str">
        <f aca="false">IFERROR(__xludf.dummyfunction("""COMPUTED_VALUE"""),"La Vigie")</f>
        <v>La Vigie</v>
      </c>
      <c r="T97" s="2" t="str">
        <f aca="false">IFERROR(__xludf.dummyfunction("""COMPUTED_VALUE"""),"Une bouture de romarin")</f>
        <v>Une bouture de romarin</v>
      </c>
      <c r="U97" s="1" t="str">
        <f aca="false">IFERROR(__xludf.dummyfunction("""COMPUTED_VALUE"""),"")</f>
        <v/>
      </c>
      <c r="V97" s="1" t="str">
        <f aca="false">IFERROR(__xludf.dummyfunction("""COMPUTED_VALUE"""),"")</f>
        <v/>
      </c>
      <c r="W97" s="1" t="str">
        <f aca="false">IFERROR(__xludf.dummyfunction("""COMPUTED_VALUE"""),"")</f>
        <v/>
      </c>
      <c r="X97" s="1" t="str">
        <f aca="false">IFERROR(__xludf.dummyfunction("""COMPUTED_VALUE"""),"")</f>
        <v/>
      </c>
      <c r="Y97" s="1" t="str">
        <f aca="false">IFERROR(__xludf.dummyfunction("""COMPUTED_VALUE"""),"")</f>
        <v/>
      </c>
      <c r="Z97" s="1" t="str">
        <f aca="false">IFERROR(__xludf.dummyfunction("""COMPUTED_VALUE"""),"")</f>
        <v/>
      </c>
      <c r="AA97" s="1" t="str">
        <f aca="false">IFERROR(__xludf.dummyfunction("""COMPUTED_VALUE"""),"")</f>
        <v/>
      </c>
      <c r="AB97" s="1" t="str">
        <f aca="false">IFERROR(__xludf.dummyfunction("""COMPUTED_VALUE"""),"")</f>
        <v/>
      </c>
    </row>
    <row r="98" customFormat="false" ht="15.75" hidden="false" customHeight="false" outlineLevel="0" collapsed="false">
      <c r="A98" s="3" t="n">
        <f aca="false">IFERROR(__xludf.dummyfunction("""COMPUTED_VALUE"""),43705.8697238426)</f>
        <v>43705.86972</v>
      </c>
      <c r="B98" s="2" t="str">
        <f aca="false">IFERROR(__xludf.dummyfunction("""COMPUTED_VALUE"""),"Márcio Bruno DOS SANTOS CORREIA")</f>
        <v>Márcio Bruno DOS SANTOS CORREIA</v>
      </c>
      <c r="C98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98" s="2" t="str">
        <f aca="false">IFERROR(__xludf.dummyfunction("""COMPUTED_VALUE"""),"Pas de liste")</f>
        <v>Pas de liste</v>
      </c>
      <c r="E98" s="2" t="n">
        <f aca="false">IFERROR(__xludf.dummyfunction("""COMPUTED_VALUE"""),2)</f>
        <v>2</v>
      </c>
      <c r="F98" s="2" t="str">
        <f aca="false">IFERROR(__xludf.dummyfunction("""COMPUTED_VALUE"""),"Rock, Pop, Jazz")</f>
        <v>Rock, Pop, Jazz</v>
      </c>
      <c r="G98" s="2" t="str">
        <f aca="false">IFERROR(__xludf.dummyfunction("""COMPUTED_VALUE"""),"Musique, Cinéma")</f>
        <v>Musique, Cinéma</v>
      </c>
      <c r="H98" s="2" t="str">
        <f aca="false">IFERROR(__xludf.dummyfunction("""COMPUTED_VALUE"""),"Une fois de temps en temps")</f>
        <v>Une fois de temps en temps</v>
      </c>
      <c r="I98" s="2" t="str">
        <f aca="false">IFERROR(__xludf.dummyfunction("""COMPUTED_VALUE"""),"Une fois par semaine")</f>
        <v>Une fois par semaine</v>
      </c>
      <c r="J98" s="2" t="str">
        <f aca="false">IFERROR(__xludf.dummyfunction("""COMPUTED_VALUE"""),"Pour le développement perso et se dépasser")</f>
        <v>Pour le développement perso et se dépasser</v>
      </c>
      <c r="K98" s="2" t="str">
        <f aca="false">IFERROR(__xludf.dummyfunction("""COMPUTED_VALUE"""),"Sports collectifs")</f>
        <v>Sports collectifs</v>
      </c>
      <c r="L98" s="2" t="str">
        <f aca="false">IFERROR(__xludf.dummyfunction("""COMPUTED_VALUE"""),"J'aime cuisiner le WE ou quand j'ai le temps")</f>
        <v>J'aime cuisiner le WE ou quand j'ai le temps</v>
      </c>
      <c r="M98" s="2" t="n">
        <f aca="false">IFERROR(__xludf.dummyfunction("""COMPUTED_VALUE"""),2)</f>
        <v>2</v>
      </c>
      <c r="N98" s="2" t="str">
        <f aca="false">IFERROR(__xludf.dummyfunction("""COMPUTED_VALUE"""),"Une fois par semaine")</f>
        <v>Une fois par semaine</v>
      </c>
      <c r="O98" s="2" t="str">
        <f aca="false">IFERROR(__xludf.dummyfunction("""COMPUTED_VALUE"""),"Tu te poses dans un coin, chill !!")</f>
        <v>Tu te poses dans un coin, chill !!</v>
      </c>
      <c r="P98" s="2" t="n">
        <f aca="false">IFERROR(__xludf.dummyfunction("""COMPUTED_VALUE"""),1)</f>
        <v>1</v>
      </c>
      <c r="Q98" s="2" t="str">
        <f aca="false">IFERROR(__xludf.dummyfunction("""COMPUTED_VALUE"""),"Oui")</f>
        <v>Oui</v>
      </c>
      <c r="R98" s="2" t="str">
        <f aca="false">IFERROR(__xludf.dummyfunction("""COMPUTED_VALUE"""),"Non")</f>
        <v>Non</v>
      </c>
      <c r="S98" s="2" t="str">
        <f aca="false">IFERROR(__xludf.dummyfunction("""COMPUTED_VALUE"""),"Grande famille")</f>
        <v>Grande famille</v>
      </c>
      <c r="T98" s="2" t="str">
        <f aca="false">IFERROR(__xludf.dummyfunction("""COMPUTED_VALUE"""),"Livre")</f>
        <v>Livre</v>
      </c>
      <c r="U98" s="1" t="str">
        <f aca="false">IFERROR(__xludf.dummyfunction("""COMPUTED_VALUE"""),"")</f>
        <v/>
      </c>
      <c r="V98" s="1" t="str">
        <f aca="false">IFERROR(__xludf.dummyfunction("""COMPUTED_VALUE"""),"")</f>
        <v/>
      </c>
      <c r="W98" s="1" t="str">
        <f aca="false">IFERROR(__xludf.dummyfunction("""COMPUTED_VALUE"""),"")</f>
        <v/>
      </c>
      <c r="X98" s="1" t="str">
        <f aca="false">IFERROR(__xludf.dummyfunction("""COMPUTED_VALUE"""),"")</f>
        <v/>
      </c>
      <c r="Y98" s="1" t="str">
        <f aca="false">IFERROR(__xludf.dummyfunction("""COMPUTED_VALUE"""),"")</f>
        <v/>
      </c>
      <c r="Z98" s="1" t="str">
        <f aca="false">IFERROR(__xludf.dummyfunction("""COMPUTED_VALUE"""),"")</f>
        <v/>
      </c>
      <c r="AA98" s="1" t="str">
        <f aca="false">IFERROR(__xludf.dummyfunction("""COMPUTED_VALUE"""),"")</f>
        <v/>
      </c>
      <c r="AB98" s="1" t="str">
        <f aca="false">IFERROR(__xludf.dummyfunction("""COMPUTED_VALUE"""),"")</f>
        <v/>
      </c>
    </row>
    <row r="99" customFormat="false" ht="15.75" hidden="false" customHeight="false" outlineLevel="0" collapsed="false">
      <c r="A99" s="3" t="n">
        <f aca="false">IFERROR(__xludf.dummyfunction("""COMPUTED_VALUE"""),43709.8398779977)</f>
        <v>43709.83988</v>
      </c>
      <c r="B99" s="2" t="str">
        <f aca="false">IFERROR(__xludf.dummyfunction("""COMPUTED_VALUE"""),"Adrien BOUVIER")</f>
        <v>Adrien BOUVIER</v>
      </c>
      <c r="C99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99" s="2" t="str">
        <f aca="false">IFERROR(__xludf.dummyfunction("""COMPUTED_VALUE"""),"BDE")</f>
        <v>BDE</v>
      </c>
      <c r="E99" s="2" t="n">
        <f aca="false">IFERROR(__xludf.dummyfunction("""COMPUTED_VALUE"""),5)</f>
        <v>5</v>
      </c>
      <c r="F99" s="2" t="str">
        <f aca="false">IFERROR(__xludf.dummyfunction("""COMPUTED_VALUE"""),"Rap")</f>
        <v>Rap</v>
      </c>
      <c r="G99" s="2" t="str">
        <f aca="false">IFERROR(__xludf.dummyfunction("""COMPUTED_VALUE"""),"Pas du tout")</f>
        <v>Pas du tout</v>
      </c>
      <c r="H99" s="2" t="str">
        <f aca="false">IFERROR(__xludf.dummyfunction("""COMPUTED_VALUE"""),"Une fois de temps en temps")</f>
        <v>Une fois de temps en temps</v>
      </c>
      <c r="I99" s="2" t="str">
        <f aca="false">IFERROR(__xludf.dummyfunction("""COMPUTED_VALUE"""),"Plusieurs fois par semaine")</f>
        <v>Plusieurs fois par semaine</v>
      </c>
      <c r="J99" s="2" t="str">
        <f aca="false">IFERROR(__xludf.dummyfunction("""COMPUTED_VALUE"""),"Pour le développement perso et se dépasser")</f>
        <v>Pour le développement perso et se dépasser</v>
      </c>
      <c r="K99" s="2" t="str">
        <f aca="false">IFERROR(__xludf.dummyfunction("""COMPUTED_VALUE"""),"Autre")</f>
        <v>Autre</v>
      </c>
      <c r="L99" s="2" t="str">
        <f aca="false">IFERROR(__xludf.dummyfunction("""COMPUTED_VALUE"""),"Je fais toujours attention à bien manger")</f>
        <v>Je fais toujours attention à bien manger</v>
      </c>
      <c r="M99" s="2" t="n">
        <f aca="false">IFERROR(__xludf.dummyfunction("""COMPUTED_VALUE"""),6)</f>
        <v>6</v>
      </c>
      <c r="N99" s="2" t="str">
        <f aca="false">IFERROR(__xludf.dummyfunction("""COMPUTED_VALUE"""),"Une fois par semaine")</f>
        <v>Une fois par semaine</v>
      </c>
      <c r="O99" s="2" t="str">
        <f aca="false">IFERROR(__xludf.dummyfunction("""COMPUTED_VALUE"""),"Tu te poses dans un coin, chill !!")</f>
        <v>Tu te poses dans un coin, chill !!</v>
      </c>
      <c r="P99" s="2" t="n">
        <f aca="false">IFERROR(__xludf.dummyfunction("""COMPUTED_VALUE"""),1)</f>
        <v>1</v>
      </c>
      <c r="Q99" s="2" t="str">
        <f aca="false">IFERROR(__xludf.dummyfunction("""COMPUTED_VALUE"""),"Oui")</f>
        <v>Oui</v>
      </c>
      <c r="R99" s="2" t="str">
        <f aca="false">IFERROR(__xludf.dummyfunction("""COMPUTED_VALUE"""),"Non")</f>
        <v>Non</v>
      </c>
      <c r="S99" s="2" t="str">
        <f aca="false">IFERROR(__xludf.dummyfunction("""COMPUTED_VALUE"""),"pimp my ride")</f>
        <v>pimp my ride</v>
      </c>
      <c r="T99" s="2" t="str">
        <f aca="false">IFERROR(__xludf.dummyfunction("""COMPUTED_VALUE"""),"Un poids pour barre olympique ")</f>
        <v>Un poids pour barre olympique </v>
      </c>
      <c r="U99" s="1" t="str">
        <f aca="false">IFERROR(__xludf.dummyfunction("""COMPUTED_VALUE"""),"")</f>
        <v/>
      </c>
      <c r="V99" s="1" t="str">
        <f aca="false">IFERROR(__xludf.dummyfunction("""COMPUTED_VALUE"""),"")</f>
        <v/>
      </c>
      <c r="W99" s="1" t="str">
        <f aca="false">IFERROR(__xludf.dummyfunction("""COMPUTED_VALUE"""),"")</f>
        <v/>
      </c>
      <c r="X99" s="1" t="str">
        <f aca="false">IFERROR(__xludf.dummyfunction("""COMPUTED_VALUE"""),"")</f>
        <v/>
      </c>
      <c r="Y99" s="1" t="str">
        <f aca="false">IFERROR(__xludf.dummyfunction("""COMPUTED_VALUE"""),"")</f>
        <v/>
      </c>
      <c r="Z99" s="1" t="str">
        <f aca="false">IFERROR(__xludf.dummyfunction("""COMPUTED_VALUE"""),"")</f>
        <v/>
      </c>
      <c r="AA99" s="1" t="str">
        <f aca="false">IFERROR(__xludf.dummyfunction("""COMPUTED_VALUE"""),"")</f>
        <v/>
      </c>
      <c r="AB99" s="1" t="str">
        <f aca="false">IFERROR(__xludf.dummyfunction("""COMPUTED_VALUE"""),"")</f>
        <v/>
      </c>
    </row>
    <row r="100" customFormat="false" ht="15.75" hidden="false" customHeight="false" outlineLevel="0" collapsed="false">
      <c r="A100" s="3" t="n">
        <f aca="false">IFERROR(__xludf.dummyfunction("""COMPUTED_VALUE"""),43711.6139424537)</f>
        <v>43711.61394</v>
      </c>
      <c r="B100" s="2" t="str">
        <f aca="false">IFERROR(__xludf.dummyfunction("""COMPUTED_VALUE"""),"Bastien")</f>
        <v>Bastien</v>
      </c>
      <c r="C100" s="2" t="str">
        <f aca="false">IFERROR(__xludf.dummyfunction("""COMPUTED_VALUE"""),"Le président et un inconnu")</f>
        <v>Le président et un inconnu</v>
      </c>
      <c r="D100" s="2" t="str">
        <f aca="false">IFERROR(__xludf.dummyfunction("""COMPUTED_VALUE"""),"BDE")</f>
        <v>BDE</v>
      </c>
      <c r="E100" s="2" t="n">
        <f aca="false">IFERROR(__xludf.dummyfunction("""COMPUTED_VALUE"""),1)</f>
        <v>1</v>
      </c>
      <c r="F100" s="2" t="str">
        <f aca="false">IFERROR(__xludf.dummyfunction("""COMPUTED_VALUE"""),"Electro posée, Rap, Pop")</f>
        <v>Electro posée, Rap, Pop</v>
      </c>
      <c r="G100" s="2" t="str">
        <f aca="false">IFERROR(__xludf.dummyfunction("""COMPUTED_VALUE"""),"Pas du tout")</f>
        <v>Pas du tout</v>
      </c>
      <c r="H100" s="2" t="str">
        <f aca="false">IFERROR(__xludf.dummyfunction("""COMPUTED_VALUE"""),"Une fois de temps en temps")</f>
        <v>Une fois de temps en temps</v>
      </c>
      <c r="I100" s="2" t="str">
        <f aca="false">IFERROR(__xludf.dummyfunction("""COMPUTED_VALUE"""),"Une fois par jour")</f>
        <v>Une fois par jour</v>
      </c>
      <c r="J100" s="2" t="str">
        <f aca="false">IFERROR(__xludf.dummyfunction("""COMPUTED_VALUE"""),"Pour la compet")</f>
        <v>Pour la compet</v>
      </c>
      <c r="K100" s="2" t="str">
        <f aca="false">IFERROR(__xludf.dummyfunction("""COMPUTED_VALUE"""),"Sports collectifs")</f>
        <v>Sports collectifs</v>
      </c>
      <c r="L100" s="2" t="str">
        <f aca="false">IFERROR(__xludf.dummyfunction("""COMPUTED_VALUE"""),"Je fais toujours attention à bien manger")</f>
        <v>Je fais toujours attention à bien manger</v>
      </c>
      <c r="M100" s="2" t="n">
        <f aca="false">IFERROR(__xludf.dummyfunction("""COMPUTED_VALUE"""),7)</f>
        <v>7</v>
      </c>
      <c r="N100" s="2" t="str">
        <f aca="false">IFERROR(__xludf.dummyfunction("""COMPUTED_VALUE"""),"Une fois par semaine")</f>
        <v>Une fois par semaine</v>
      </c>
      <c r="O100" s="2" t="str">
        <f aca="false">IFERROR(__xludf.dummyfunction("""COMPUTED_VALUE"""),"T'enflammes le dancefloor")</f>
        <v>T'enflammes le dancefloor</v>
      </c>
      <c r="P100" s="2" t="n">
        <f aca="false">IFERROR(__xludf.dummyfunction("""COMPUTED_VALUE"""),1)</f>
        <v>1</v>
      </c>
      <c r="Q100" s="2" t="str">
        <f aca="false">IFERROR(__xludf.dummyfunction("""COMPUTED_VALUE"""),"Oui")</f>
        <v>Oui</v>
      </c>
      <c r="R100" s="2" t="str">
        <f aca="false">IFERROR(__xludf.dummyfunction("""COMPUTED_VALUE"""),"Non")</f>
        <v>Non</v>
      </c>
      <c r="S100" s="2" t="str">
        <f aca="false">IFERROR(__xludf.dummyfunction("""COMPUTED_VALUE"""),"La dézingue")</f>
        <v>La dézingue</v>
      </c>
      <c r="T100" s="2" t="str">
        <f aca="false">IFERROR(__xludf.dummyfunction("""COMPUTED_VALUE"""),"Pique de brochette")</f>
        <v>Pique de brochette</v>
      </c>
      <c r="U100" s="1" t="str">
        <f aca="false">IFERROR(__xludf.dummyfunction("""COMPUTED_VALUE"""),"")</f>
        <v/>
      </c>
      <c r="V100" s="1" t="str">
        <f aca="false">IFERROR(__xludf.dummyfunction("""COMPUTED_VALUE"""),"")</f>
        <v/>
      </c>
      <c r="W100" s="1" t="str">
        <f aca="false">IFERROR(__xludf.dummyfunction("""COMPUTED_VALUE"""),"")</f>
        <v/>
      </c>
      <c r="X100" s="1" t="str">
        <f aca="false">IFERROR(__xludf.dummyfunction("""COMPUTED_VALUE"""),"")</f>
        <v/>
      </c>
      <c r="Y100" s="1" t="str">
        <f aca="false">IFERROR(__xludf.dummyfunction("""COMPUTED_VALUE"""),"")</f>
        <v/>
      </c>
      <c r="Z100" s="1" t="str">
        <f aca="false">IFERROR(__xludf.dummyfunction("""COMPUTED_VALUE"""),"")</f>
        <v/>
      </c>
      <c r="AA100" s="1" t="str">
        <f aca="false">IFERROR(__xludf.dummyfunction("""COMPUTED_VALUE"""),"")</f>
        <v/>
      </c>
      <c r="AB100" s="1" t="str">
        <f aca="false">IFERROR(__xludf.dummyfunction("""COMPUTED_VALUE"""),"")</f>
        <v/>
      </c>
    </row>
    <row r="101" customFormat="false" ht="15.75" hidden="false" customHeight="false" outlineLevel="0" collapsed="false">
      <c r="A101" s="3" t="n">
        <f aca="false">IFERROR(__xludf.dummyfunction("""COMPUTED_VALUE"""),43711.7528366319)</f>
        <v>43711.75284</v>
      </c>
      <c r="B101" s="2" t="str">
        <f aca="false">IFERROR(__xludf.dummyfunction("""COMPUTED_VALUE"""),"Audric BALSSA")</f>
        <v>Audric BALSSA</v>
      </c>
      <c r="C101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01" s="2" t="str">
        <f aca="false">IFERROR(__xludf.dummyfunction("""COMPUTED_VALUE"""),"BDA")</f>
        <v>BDA</v>
      </c>
      <c r="E101" s="2" t="n">
        <f aca="false">IFERROR(__xludf.dummyfunction("""COMPUTED_VALUE"""),1)</f>
        <v>1</v>
      </c>
      <c r="F101" s="2" t="str">
        <f aca="false">IFERROR(__xludf.dummyfunction("""COMPUTED_VALUE"""),"Rock, Pop")</f>
        <v>Rock, Pop</v>
      </c>
      <c r="G101" s="2" t="str">
        <f aca="false">IFERROR(__xludf.dummyfunction("""COMPUTED_VALUE"""),"Littérature, Musique")</f>
        <v>Littérature, Musique</v>
      </c>
      <c r="H101" s="2" t="str">
        <f aca="false">IFERROR(__xludf.dummyfunction("""COMPUTED_VALUE"""),"Une fois par jour")</f>
        <v>Une fois par jour</v>
      </c>
      <c r="I101" s="2" t="str">
        <f aca="false">IFERROR(__xludf.dummyfunction("""COMPUTED_VALUE"""),"Plusieurs fois par semaine")</f>
        <v>Plusieurs fois par semaine</v>
      </c>
      <c r="J101" s="2" t="str">
        <f aca="false">IFERROR(__xludf.dummyfunction("""COMPUTED_VALUE"""),"Pour le fun")</f>
        <v>Pour le fun</v>
      </c>
      <c r="K101" s="2" t="str">
        <f aca="false">IFERROR(__xludf.dummyfunction("""COMPUTED_VALUE"""),"Sports de raquette, Autre")</f>
        <v>Sports de raquette, Autre</v>
      </c>
      <c r="L101" s="2" t="str">
        <f aca="false">IFERROR(__xludf.dummyfunction("""COMPUTED_VALUE"""),"J'aime cuisiner le WE ou quand j'ai le temps")</f>
        <v>J'aime cuisiner le WE ou quand j'ai le temps</v>
      </c>
      <c r="M101" s="2" t="n">
        <f aca="false">IFERROR(__xludf.dummyfunction("""COMPUTED_VALUE"""),6)</f>
        <v>6</v>
      </c>
      <c r="N101" s="2" t="str">
        <f aca="false">IFERROR(__xludf.dummyfunction("""COMPUTED_VALUE"""),"Plusieurs fois par semaine")</f>
        <v>Plusieurs fois par semaine</v>
      </c>
      <c r="O101" s="2" t="str">
        <f aca="false">IFERROR(__xludf.dummyfunction("""COMPUTED_VALUE"""),"Tu te poses dans un coin, chill !!")</f>
        <v>Tu te poses dans un coin, chill !!</v>
      </c>
      <c r="P101" s="2" t="n">
        <f aca="false">IFERROR(__xludf.dummyfunction("""COMPUTED_VALUE"""),1)</f>
        <v>1</v>
      </c>
      <c r="Q101" s="2" t="str">
        <f aca="false">IFERROR(__xludf.dummyfunction("""COMPUTED_VALUE"""),"Oui")</f>
        <v>Oui</v>
      </c>
      <c r="R101" s="2" t="str">
        <f aca="false">IFERROR(__xludf.dummyfunction("""COMPUTED_VALUE"""),"Non")</f>
        <v>Non</v>
      </c>
      <c r="S101" s="2" t="str">
        <f aca="false">IFERROR(__xludf.dummyfunction("""COMPUTED_VALUE"""),"Waltherock")</f>
        <v>Waltherock</v>
      </c>
      <c r="T101" s="2" t="str">
        <f aca="false">IFERROR(__xludf.dummyfunction("""COMPUTED_VALUE"""),"Ce choix n'est pas définitif")</f>
        <v>Ce choix n'est pas définitif</v>
      </c>
      <c r="U101" s="1" t="str">
        <f aca="false">IFERROR(__xludf.dummyfunction("""COMPUTED_VALUE"""),"")</f>
        <v/>
      </c>
      <c r="V101" s="1" t="str">
        <f aca="false">IFERROR(__xludf.dummyfunction("""COMPUTED_VALUE"""),"")</f>
        <v/>
      </c>
      <c r="W101" s="1" t="str">
        <f aca="false">IFERROR(__xludf.dummyfunction("""COMPUTED_VALUE"""),"")</f>
        <v/>
      </c>
      <c r="X101" s="1" t="str">
        <f aca="false">IFERROR(__xludf.dummyfunction("""COMPUTED_VALUE"""),"")</f>
        <v/>
      </c>
      <c r="Y101" s="1" t="str">
        <f aca="false">IFERROR(__xludf.dummyfunction("""COMPUTED_VALUE"""),"")</f>
        <v/>
      </c>
      <c r="Z101" s="1" t="str">
        <f aca="false">IFERROR(__xludf.dummyfunction("""COMPUTED_VALUE"""),"")</f>
        <v/>
      </c>
      <c r="AA101" s="1" t="str">
        <f aca="false">IFERROR(__xludf.dummyfunction("""COMPUTED_VALUE"""),"")</f>
        <v/>
      </c>
      <c r="AB101" s="1" t="str">
        <f aca="false">IFERROR(__xludf.dummyfunction("""COMPUTED_VALUE"""),"")</f>
        <v/>
      </c>
    </row>
    <row r="102" customFormat="false" ht="15.75" hidden="false" customHeight="false" outlineLevel="0" collapsed="false">
      <c r="A102" s="3" t="n">
        <f aca="false">IFERROR(__xludf.dummyfunction("""COMPUTED_VALUE"""),43711.7655147454)</f>
        <v>43711.76551</v>
      </c>
      <c r="B102" s="2" t="str">
        <f aca="false">IFERROR(__xludf.dummyfunction("""COMPUTED_VALUE"""),"Selim Autones")</f>
        <v>Selim Autones</v>
      </c>
      <c r="C102" s="2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02" s="2" t="str">
        <f aca="false">IFERROR(__xludf.dummyfunction("""COMPUTED_VALUE"""),"BDS")</f>
        <v>BDS</v>
      </c>
      <c r="E102" s="2" t="n">
        <f aca="false">IFERROR(__xludf.dummyfunction("""COMPUTED_VALUE"""),4)</f>
        <v>4</v>
      </c>
      <c r="F102" s="2" t="str">
        <f aca="false">IFERROR(__xludf.dummyfunction("""COMPUTED_VALUE"""),"Rock, Metal, Electro posée, Rap, Pop, Jazz")</f>
        <v>Rock, Metal, Electro posée, Rap, Pop, Jazz</v>
      </c>
      <c r="G102" s="2" t="str">
        <f aca="false">IFERROR(__xludf.dummyfunction("""COMPUTED_VALUE"""),"Peinture, Musique, Cinéma")</f>
        <v>Peinture, Musique, Cinéma</v>
      </c>
      <c r="H102" s="2" t="str">
        <f aca="false">IFERROR(__xludf.dummyfunction("""COMPUTED_VALUE"""),"Quelques fois par semaine")</f>
        <v>Quelques fois par semaine</v>
      </c>
      <c r="I102" s="2" t="str">
        <f aca="false">IFERROR(__xludf.dummyfunction("""COMPUTED_VALUE"""),"Plusieurs fois par semaine")</f>
        <v>Plusieurs fois par semaine</v>
      </c>
      <c r="J102" s="2" t="str">
        <f aca="false">IFERROR(__xludf.dummyfunction("""COMPUTED_VALUE"""),"Pour le développement perso et se dépasser")</f>
        <v>Pour le développement perso et se dépasser</v>
      </c>
      <c r="K102" s="2" t="str">
        <f aca="false">IFERROR(__xludf.dummyfunction("""COMPUTED_VALUE"""),"Sports collectifs, Sports aquatiques, Autre")</f>
        <v>Sports collectifs, Sports aquatiques, Autre</v>
      </c>
      <c r="L102" s="2" t="str">
        <f aca="false">IFERROR(__xludf.dummyfunction("""COMPUTED_VALUE"""),"Je fais toujours attention à bien manger")</f>
        <v>Je fais toujours attention à bien manger</v>
      </c>
      <c r="M102" s="2" t="n">
        <f aca="false">IFERROR(__xludf.dummyfunction("""COMPUTED_VALUE"""),8)</f>
        <v>8</v>
      </c>
      <c r="N102" s="2" t="str">
        <f aca="false">IFERROR(__xludf.dummyfunction("""COMPUTED_VALUE"""),"Plusieurs fois par semaine")</f>
        <v>Plusieurs fois par semaine</v>
      </c>
      <c r="O102" s="2" t="str">
        <f aca="false">IFERROR(__xludf.dummyfunction("""COMPUTED_VALUE"""),"Tu te poses dans un coin, chill !!")</f>
        <v>Tu te poses dans un coin, chill !!</v>
      </c>
      <c r="P102" s="2" t="n">
        <f aca="false">IFERROR(__xludf.dummyfunction("""COMPUTED_VALUE"""),5)</f>
        <v>5</v>
      </c>
      <c r="Q102" s="2" t="str">
        <f aca="false">IFERROR(__xludf.dummyfunction("""COMPUTED_VALUE"""),"Oui")</f>
        <v>Oui</v>
      </c>
      <c r="R102" s="2" t="str">
        <f aca="false">IFERROR(__xludf.dummyfunction("""COMPUTED_VALUE"""),"Non")</f>
        <v>Non</v>
      </c>
      <c r="S102" s="2" t="str">
        <f aca="false">IFERROR(__xludf.dummyfunction("""COMPUTED_VALUE"""),"L'Alliance")</f>
        <v>L'Alliance</v>
      </c>
      <c r="T102" s="2" t="str">
        <f aca="false">IFERROR(__xludf.dummyfunction("""COMPUTED_VALUE"""),"Pull sporla")</f>
        <v>Pull sporla</v>
      </c>
      <c r="U102" s="1" t="str">
        <f aca="false">IFERROR(__xludf.dummyfunction("""COMPUTED_VALUE"""),"")</f>
        <v/>
      </c>
      <c r="V102" s="1" t="str">
        <f aca="false">IFERROR(__xludf.dummyfunction("""COMPUTED_VALUE"""),"")</f>
        <v/>
      </c>
      <c r="W102" s="1" t="str">
        <f aca="false">IFERROR(__xludf.dummyfunction("""COMPUTED_VALUE"""),"")</f>
        <v/>
      </c>
      <c r="X102" s="1" t="str">
        <f aca="false">IFERROR(__xludf.dummyfunction("""COMPUTED_VALUE"""),"")</f>
        <v/>
      </c>
      <c r="Y102" s="1" t="str">
        <f aca="false">IFERROR(__xludf.dummyfunction("""COMPUTED_VALUE"""),"")</f>
        <v/>
      </c>
      <c r="Z102" s="1" t="str">
        <f aca="false">IFERROR(__xludf.dummyfunction("""COMPUTED_VALUE"""),"")</f>
        <v/>
      </c>
      <c r="AA102" s="1" t="str">
        <f aca="false">IFERROR(__xludf.dummyfunction("""COMPUTED_VALUE"""),"")</f>
        <v/>
      </c>
      <c r="AB102" s="1" t="str">
        <f aca="false">IFERROR(__xludf.dummyfunction("""COMPUTED_VALUE"""),"")</f>
        <v/>
      </c>
    </row>
    <row r="103" customFormat="false" ht="15.75" hidden="false" customHeight="false" outlineLevel="0" collapsed="false">
      <c r="A103" s="3" t="n">
        <f aca="false">IFERROR(__xludf.dummyfunction("""COMPUTED_VALUE"""),43711.8902769213)</f>
        <v>43711.89028</v>
      </c>
      <c r="B103" s="1" t="str">
        <f aca="false">IFERROR(__xludf.dummyfunction("""COMPUTED_VALUE"""),"Alexandre FOSSORIER")</f>
        <v>Alexandre FOSSORIER</v>
      </c>
      <c r="C103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03" s="1" t="str">
        <f aca="false">IFERROR(__xludf.dummyfunction("""COMPUTED_VALUE"""),"BDS")</f>
        <v>BDS</v>
      </c>
      <c r="E103" s="1" t="n">
        <f aca="false">IFERROR(__xludf.dummyfunction("""COMPUTED_VALUE"""),3)</f>
        <v>3</v>
      </c>
      <c r="F103" s="1" t="str">
        <f aca="false">IFERROR(__xludf.dummyfunction("""COMPUTED_VALUE"""),"Rap, Musique fançaise")</f>
        <v>Rap, Musique fançaise</v>
      </c>
      <c r="G103" s="1" t="str">
        <f aca="false">IFERROR(__xludf.dummyfunction("""COMPUTED_VALUE"""),"Pas du tout")</f>
        <v>Pas du tout</v>
      </c>
      <c r="H103" s="1" t="str">
        <f aca="false">IFERROR(__xludf.dummyfunction("""COMPUTED_VALUE"""),"Seulement les soirs de pleine lune")</f>
        <v>Seulement les soirs de pleine lune</v>
      </c>
      <c r="I103" s="1" t="str">
        <f aca="false">IFERROR(__xludf.dummyfunction("""COMPUTED_VALUE"""),"Plusieurs fois par semaine")</f>
        <v>Plusieurs fois par semaine</v>
      </c>
      <c r="J103" s="1" t="str">
        <f aca="false">IFERROR(__xludf.dummyfunction("""COMPUTED_VALUE"""),"Pour le fun")</f>
        <v>Pour le fun</v>
      </c>
      <c r="K103" s="1" t="str">
        <f aca="false">IFERROR(__xludf.dummyfunction("""COMPUTED_VALUE"""),"Sports de raquette")</f>
        <v>Sports de raquette</v>
      </c>
      <c r="L103" s="1" t="str">
        <f aca="false">IFERROR(__xludf.dummyfunction("""COMPUTED_VALUE"""),"Oh oui, et les trucs bien gras ça me connait !")</f>
        <v>Oh oui, et les trucs bien gras ça me connait !</v>
      </c>
      <c r="M103" s="1" t="n">
        <f aca="false">IFERROR(__xludf.dummyfunction("""COMPUTED_VALUE"""),8)</f>
        <v>8</v>
      </c>
      <c r="N103" s="1" t="str">
        <f aca="false">IFERROR(__xludf.dummyfunction("""COMPUTED_VALUE"""),"Plusieurs fois par semaine")</f>
        <v>Plusieurs fois par semaine</v>
      </c>
      <c r="O103" s="1" t="str">
        <f aca="false">IFERROR(__xludf.dummyfunction("""COMPUTED_VALUE"""),"Tu te poses dans un coin, chill !!")</f>
        <v>Tu te poses dans un coin, chill !!</v>
      </c>
      <c r="P103" s="1" t="n">
        <f aca="false">IFERROR(__xludf.dummyfunction("""COMPUTED_VALUE"""),1)</f>
        <v>1</v>
      </c>
      <c r="Q103" s="1" t="str">
        <f aca="false">IFERROR(__xludf.dummyfunction("""COMPUTED_VALUE"""),"Oui")</f>
        <v>Oui</v>
      </c>
      <c r="R103" s="1" t="str">
        <f aca="false">IFERROR(__xludf.dummyfunction("""COMPUTED_VALUE"""),"Non")</f>
        <v>Non</v>
      </c>
      <c r="S103" s="1" t="str">
        <f aca="false">IFERROR(__xludf.dummyfunction("""COMPUTED_VALUE"""),"Les 6 salopards")</f>
        <v>Les 6 salopards</v>
      </c>
      <c r="T103" s="1" t="str">
        <f aca="false">IFERROR(__xludf.dummyfunction("""COMPUTED_VALUE"""),"Mystère ")</f>
        <v>Mystère </v>
      </c>
      <c r="U103" s="1" t="str">
        <f aca="false">IFERROR(__xludf.dummyfunction("""COMPUTED_VALUE"""),"")</f>
        <v/>
      </c>
      <c r="V103" s="1" t="str">
        <f aca="false">IFERROR(__xludf.dummyfunction("""COMPUTED_VALUE"""),"")</f>
        <v/>
      </c>
      <c r="W103" s="1" t="str">
        <f aca="false">IFERROR(__xludf.dummyfunction("""COMPUTED_VALUE"""),"")</f>
        <v/>
      </c>
      <c r="X103" s="1" t="str">
        <f aca="false">IFERROR(__xludf.dummyfunction("""COMPUTED_VALUE"""),"")</f>
        <v/>
      </c>
      <c r="Y103" s="1" t="str">
        <f aca="false">IFERROR(__xludf.dummyfunction("""COMPUTED_VALUE"""),"")</f>
        <v/>
      </c>
      <c r="Z103" s="1" t="str">
        <f aca="false">IFERROR(__xludf.dummyfunction("""COMPUTED_VALUE"""),"")</f>
        <v/>
      </c>
      <c r="AA103" s="1" t="str">
        <f aca="false">IFERROR(__xludf.dummyfunction("""COMPUTED_VALUE"""),"")</f>
        <v/>
      </c>
      <c r="AB103" s="1" t="str">
        <f aca="false">IFERROR(__xludf.dummyfunction("""COMPUTED_VALUE"""),"")</f>
        <v/>
      </c>
    </row>
    <row r="104" customFormat="false" ht="15.75" hidden="false" customHeight="false" outlineLevel="0" collapsed="false">
      <c r="A104" s="3" t="n">
        <f aca="false">IFERROR(__xludf.dummyfunction("""COMPUTED_VALUE"""),43712.2401880787)</f>
        <v>43712.24019</v>
      </c>
      <c r="B104" s="1" t="str">
        <f aca="false">IFERROR(__xludf.dummyfunction("""COMPUTED_VALUE"""),"Paniez")</f>
        <v>Paniez</v>
      </c>
      <c r="C104" s="1" t="str">
        <f aca="false">IFERROR(__xludf.dummyfunction("""COMPUTED_VALUE"""),"Deux inconnus")</f>
        <v>Deux inconnus</v>
      </c>
      <c r="D104" s="1" t="str">
        <f aca="false">IFERROR(__xludf.dummyfunction("""COMPUTED_VALUE"""),"BDS")</f>
        <v>BDS</v>
      </c>
      <c r="E104" s="1" t="n">
        <f aca="false">IFERROR(__xludf.dummyfunction("""COMPUTED_VALUE"""),2)</f>
        <v>2</v>
      </c>
      <c r="F104" s="1" t="str">
        <f aca="false">IFERROR(__xludf.dummyfunction("""COMPUTED_VALUE"""),"Rock, Electro posée, Rap")</f>
        <v>Rock, Electro posée, Rap</v>
      </c>
      <c r="G104" s="1" t="str">
        <f aca="false">IFERROR(__xludf.dummyfunction("""COMPUTED_VALUE"""),"Sculpture, Théâtre, Cinéma")</f>
        <v>Sculpture, Théâtre, Cinéma</v>
      </c>
      <c r="H104" s="1" t="str">
        <f aca="false">IFERROR(__xludf.dummyfunction("""COMPUTED_VALUE"""),"Quelques fois par semaine")</f>
        <v>Quelques fois par semaine</v>
      </c>
      <c r="I104" s="1" t="str">
        <f aca="false">IFERROR(__xludf.dummyfunction("""COMPUTED_VALUE"""),"Plusieurs fois par semaine")</f>
        <v>Plusieurs fois par semaine</v>
      </c>
      <c r="J104" s="1" t="str">
        <f aca="false">IFERROR(__xludf.dummyfunction("""COMPUTED_VALUE"""),"Pour le développement perso et se dépasser")</f>
        <v>Pour le développement perso et se dépasser</v>
      </c>
      <c r="K104" s="1" t="str">
        <f aca="false">IFERROR(__xludf.dummyfunction("""COMPUTED_VALUE"""),"Sports collectifs, Autre")</f>
        <v>Sports collectifs, Autre</v>
      </c>
      <c r="L104" s="1" t="str">
        <f aca="false">IFERROR(__xludf.dummyfunction("""COMPUTED_VALUE"""),"Je fais toujours attention à bien manger")</f>
        <v>Je fais toujours attention à bien manger</v>
      </c>
      <c r="M104" s="1" t="n">
        <f aca="false">IFERROR(__xludf.dummyfunction("""COMPUTED_VALUE"""),7)</f>
        <v>7</v>
      </c>
      <c r="N104" s="1" t="str">
        <f aca="false">IFERROR(__xludf.dummyfunction("""COMPUTED_VALUE"""),"Une fois par semaine")</f>
        <v>Une fois par semaine</v>
      </c>
      <c r="O104" s="1" t="str">
        <f aca="false">IFERROR(__xludf.dummyfunction("""COMPUTED_VALUE"""),"Tu te poses dans un coin, chill !!")</f>
        <v>Tu te poses dans un coin, chill !!</v>
      </c>
      <c r="P104" s="1" t="n">
        <f aca="false">IFERROR(__xludf.dummyfunction("""COMPUTED_VALUE"""),2)</f>
        <v>2</v>
      </c>
      <c r="Q104" s="1" t="str">
        <f aca="false">IFERROR(__xludf.dummyfunction("""COMPUTED_VALUE"""),"Oui")</f>
        <v>Oui</v>
      </c>
      <c r="R104" s="1" t="str">
        <f aca="false">IFERROR(__xludf.dummyfunction("""COMPUTED_VALUE"""),"Non")</f>
        <v>Non</v>
      </c>
      <c r="S104" s="1" t="str">
        <f aca="false">IFERROR(__xludf.dummyfunction("""COMPUTED_VALUE"""),"Parrainplégique ")</f>
        <v>Parrainplégique </v>
      </c>
      <c r="T104" s="1" t="str">
        <f aca="false">IFERROR(__xludf.dummyfunction("""COMPUTED_VALUE"""),"Une table")</f>
        <v>Une table</v>
      </c>
      <c r="U104" s="1" t="str">
        <f aca="false">IFERROR(__xludf.dummyfunction("""COMPUTED_VALUE"""),"")</f>
        <v/>
      </c>
      <c r="V104" s="1" t="str">
        <f aca="false">IFERROR(__xludf.dummyfunction("""COMPUTED_VALUE"""),"")</f>
        <v/>
      </c>
      <c r="W104" s="1" t="str">
        <f aca="false">IFERROR(__xludf.dummyfunction("""COMPUTED_VALUE"""),"")</f>
        <v/>
      </c>
      <c r="X104" s="1" t="str">
        <f aca="false">IFERROR(__xludf.dummyfunction("""COMPUTED_VALUE"""),"")</f>
        <v/>
      </c>
      <c r="Y104" s="1" t="str">
        <f aca="false">IFERROR(__xludf.dummyfunction("""COMPUTED_VALUE"""),"")</f>
        <v/>
      </c>
      <c r="Z104" s="1" t="str">
        <f aca="false">IFERROR(__xludf.dummyfunction("""COMPUTED_VALUE"""),"")</f>
        <v/>
      </c>
      <c r="AA104" s="1" t="str">
        <f aca="false">IFERROR(__xludf.dummyfunction("""COMPUTED_VALUE"""),"")</f>
        <v/>
      </c>
      <c r="AB104" s="1" t="str">
        <f aca="false">IFERROR(__xludf.dummyfunction("""COMPUTED_VALUE"""),"")</f>
        <v/>
      </c>
    </row>
    <row r="105" customFormat="false" ht="15.75" hidden="false" customHeight="false" outlineLevel="0" collapsed="false">
      <c r="A105" s="3" t="n">
        <f aca="false">IFERROR(__xludf.dummyfunction("""COMPUTED_VALUE"""),43712.8114884259)</f>
        <v>43712.81149</v>
      </c>
      <c r="B105" s="1" t="str">
        <f aca="false">IFERROR(__xludf.dummyfunction("""COMPUTED_VALUE"""),"Timothée Corlay")</f>
        <v>Timothée Corlay</v>
      </c>
      <c r="C105" s="1" t="str">
        <f aca="false">IFERROR(__xludf.dummyfunction("""COMPUTED_VALUE"""),"Le président et un inconnu")</f>
        <v>Le président et un inconnu</v>
      </c>
      <c r="D105" s="1" t="str">
        <f aca="false">IFERROR(__xludf.dummyfunction("""COMPUTED_VALUE"""),"BDS")</f>
        <v>BDS</v>
      </c>
      <c r="E105" s="1" t="n">
        <f aca="false">IFERROR(__xludf.dummyfunction("""COMPUTED_VALUE"""),3)</f>
        <v>3</v>
      </c>
      <c r="F105" s="1" t="str">
        <f aca="false">IFERROR(__xludf.dummyfunction("""COMPUTED_VALUE"""),"Rock, Pop, Musique fançaise")</f>
        <v>Rock, Pop, Musique fançaise</v>
      </c>
      <c r="G105" s="1" t="str">
        <f aca="false">IFERROR(__xludf.dummyfunction("""COMPUTED_VALUE"""),"Cinéma")</f>
        <v>Cinéma</v>
      </c>
      <c r="H105" s="1" t="str">
        <f aca="false">IFERROR(__xludf.dummyfunction("""COMPUTED_VALUE"""),"Une fois de temps en temps")</f>
        <v>Une fois de temps en temps</v>
      </c>
      <c r="I105" s="1" t="str">
        <f aca="false">IFERROR(__xludf.dummyfunction("""COMPUTED_VALUE"""),"Une fois par jour")</f>
        <v>Une fois par jour</v>
      </c>
      <c r="J105" s="1" t="str">
        <f aca="false">IFERROR(__xludf.dummyfunction("""COMPUTED_VALUE"""),"Pour la compet")</f>
        <v>Pour la compet</v>
      </c>
      <c r="K105" s="1" t="str">
        <f aca="false">IFERROR(__xludf.dummyfunction("""COMPUTED_VALUE"""),"Sports collectifs, Sports de raquette, Voile")</f>
        <v>Sports collectifs, Sports de raquette, Voile</v>
      </c>
      <c r="L105" s="1" t="str">
        <f aca="false">IFERROR(__xludf.dummyfunction("""COMPUTED_VALUE"""),"Oh oui, et les trucs bien gras ça me connait !")</f>
        <v>Oh oui, et les trucs bien gras ça me connait !</v>
      </c>
      <c r="M105" s="1" t="n">
        <f aca="false">IFERROR(__xludf.dummyfunction("""COMPUTED_VALUE"""),7)</f>
        <v>7</v>
      </c>
      <c r="N105" s="1" t="str">
        <f aca="false">IFERROR(__xludf.dummyfunction("""COMPUTED_VALUE"""),"Plusieurs fois par semaine")</f>
        <v>Plusieurs fois par semaine</v>
      </c>
      <c r="O105" s="1" t="str">
        <f aca="false">IFERROR(__xludf.dummyfunction("""COMPUTED_VALUE"""),"T'enflammes le dancefloor")</f>
        <v>T'enflammes le dancefloor</v>
      </c>
      <c r="P105" s="1" t="n">
        <f aca="false">IFERROR(__xludf.dummyfunction("""COMPUTED_VALUE"""),1)</f>
        <v>1</v>
      </c>
      <c r="Q105" s="1" t="str">
        <f aca="false">IFERROR(__xludf.dummyfunction("""COMPUTED_VALUE"""),"Oui")</f>
        <v>Oui</v>
      </c>
      <c r="R105" s="1" t="str">
        <f aca="false">IFERROR(__xludf.dummyfunction("""COMPUTED_VALUE"""),"Non")</f>
        <v>Non</v>
      </c>
      <c r="S105" s="1" t="str">
        <f aca="false">IFERROR(__xludf.dummyfunction("""COMPUTED_VALUE"""),"Team corlay")</f>
        <v>Team corlay</v>
      </c>
      <c r="T105" s="1" t="str">
        <f aca="false">IFERROR(__xludf.dummyfunction("""COMPUTED_VALUE"""),"Raquette de squash")</f>
        <v>Raquette de squash</v>
      </c>
      <c r="U105" s="1" t="str">
        <f aca="false">IFERROR(__xludf.dummyfunction("""COMPUTED_VALUE"""),"")</f>
        <v/>
      </c>
      <c r="V105" s="1" t="str">
        <f aca="false">IFERROR(__xludf.dummyfunction("""COMPUTED_VALUE"""),"")</f>
        <v/>
      </c>
      <c r="W105" s="1" t="str">
        <f aca="false">IFERROR(__xludf.dummyfunction("""COMPUTED_VALUE"""),"")</f>
        <v/>
      </c>
      <c r="X105" s="1" t="str">
        <f aca="false">IFERROR(__xludf.dummyfunction("""COMPUTED_VALUE"""),"")</f>
        <v/>
      </c>
      <c r="Y105" s="1" t="str">
        <f aca="false">IFERROR(__xludf.dummyfunction("""COMPUTED_VALUE"""),"")</f>
        <v/>
      </c>
      <c r="Z105" s="1" t="str">
        <f aca="false">IFERROR(__xludf.dummyfunction("""COMPUTED_VALUE"""),"")</f>
        <v/>
      </c>
      <c r="AA105" s="1" t="str">
        <f aca="false">IFERROR(__xludf.dummyfunction("""COMPUTED_VALUE"""),"")</f>
        <v/>
      </c>
      <c r="AB105" s="1" t="str">
        <f aca="false">IFERROR(__xludf.dummyfunction("""COMPUTED_VALUE"""),"")</f>
        <v/>
      </c>
    </row>
    <row r="106" customFormat="false" ht="15.75" hidden="false" customHeight="false" outlineLevel="0" collapsed="false">
      <c r="A106" s="3" t="n">
        <f aca="false">IFERROR(__xludf.dummyfunction("""COMPUTED_VALUE"""),43713.8411211227)</f>
        <v>43713.84112</v>
      </c>
      <c r="B106" s="1" t="str">
        <f aca="false">IFERROR(__xludf.dummyfunction("""COMPUTED_VALUE"""),"Aurélio Catel")</f>
        <v>Aurélio Catel</v>
      </c>
      <c r="C106" s="1" t="str">
        <f aca="false">IFERROR(__xludf.dummyfunction("""COMPUTED_VALUE"""),"Deux inconnus")</f>
        <v>Deux inconnus</v>
      </c>
      <c r="D106" s="1" t="str">
        <f aca="false">IFERROR(__xludf.dummyfunction("""COMPUTED_VALUE"""),"BDS")</f>
        <v>BDS</v>
      </c>
      <c r="E106" s="1" t="n">
        <f aca="false">IFERROR(__xludf.dummyfunction("""COMPUTED_VALUE"""),1)</f>
        <v>1</v>
      </c>
      <c r="F106" s="1" t="str">
        <f aca="false">IFERROR(__xludf.dummyfunction("""COMPUTED_VALUE"""),"Rock, Pop")</f>
        <v>Rock, Pop</v>
      </c>
      <c r="G106" s="1" t="str">
        <f aca="false">IFERROR(__xludf.dummyfunction("""COMPUTED_VALUE"""),"Pas du tout")</f>
        <v>Pas du tout</v>
      </c>
      <c r="H106" s="1" t="str">
        <f aca="false">IFERROR(__xludf.dummyfunction("""COMPUTED_VALUE"""),"Seulement les soirs de pleine lune")</f>
        <v>Seulement les soirs de pleine lune</v>
      </c>
      <c r="I106" s="1" t="str">
        <f aca="false">IFERROR(__xludf.dummyfunction("""COMPUTED_VALUE"""),"Plusieurs fois par semaine")</f>
        <v>Plusieurs fois par semaine</v>
      </c>
      <c r="J106" s="1" t="str">
        <f aca="false">IFERROR(__xludf.dummyfunction("""COMPUTED_VALUE"""),"Pour le développement perso et se dépasser")</f>
        <v>Pour le développement perso et se dépasser</v>
      </c>
      <c r="K106" s="1" t="str">
        <f aca="false">IFERROR(__xludf.dummyfunction("""COMPUTED_VALUE"""),"Athlétisme")</f>
        <v>Athlétisme</v>
      </c>
      <c r="L106" s="1" t="str">
        <f aca="false">IFERROR(__xludf.dummyfunction("""COMPUTED_VALUE"""),"Je fais toujours attention à bien manger")</f>
        <v>Je fais toujours attention à bien manger</v>
      </c>
      <c r="M106" s="1" t="n">
        <f aca="false">IFERROR(__xludf.dummyfunction("""COMPUTED_VALUE"""),5)</f>
        <v>5</v>
      </c>
      <c r="N106" s="1" t="str">
        <f aca="false">IFERROR(__xludf.dummyfunction("""COMPUTED_VALUE"""),"Une fois par semaine")</f>
        <v>Une fois par semaine</v>
      </c>
      <c r="O106" s="1" t="str">
        <f aca="false">IFERROR(__xludf.dummyfunction("""COMPUTED_VALUE"""),"Tu viens pas")</f>
        <v>Tu viens pas</v>
      </c>
      <c r="P106" s="1" t="n">
        <f aca="false">IFERROR(__xludf.dummyfunction("""COMPUTED_VALUE"""),3)</f>
        <v>3</v>
      </c>
      <c r="Q106" s="1" t="str">
        <f aca="false">IFERROR(__xludf.dummyfunction("""COMPUTED_VALUE"""),"Oui")</f>
        <v>Oui</v>
      </c>
      <c r="R106" s="1" t="str">
        <f aca="false">IFERROR(__xludf.dummyfunction("""COMPUTED_VALUE"""),"Non")</f>
        <v>Non</v>
      </c>
      <c r="S106" s="1" t="str">
        <f aca="false">IFERROR(__xludf.dummyfunction("""COMPUTED_VALUE"""),"Les trutitas")</f>
        <v>Les trutitas</v>
      </c>
      <c r="T106" s="1" t="str">
        <f aca="false">IFERROR(__xludf.dummyfunction("""COMPUTED_VALUE"""),"Médaille ")</f>
        <v>Médaille </v>
      </c>
      <c r="U106" s="1" t="str">
        <f aca="false">IFERROR(__xludf.dummyfunction("""COMPUTED_VALUE"""),"")</f>
        <v/>
      </c>
      <c r="V106" s="1" t="str">
        <f aca="false">IFERROR(__xludf.dummyfunction("""COMPUTED_VALUE"""),"")</f>
        <v/>
      </c>
      <c r="W106" s="1" t="str">
        <f aca="false">IFERROR(__xludf.dummyfunction("""COMPUTED_VALUE"""),"")</f>
        <v/>
      </c>
      <c r="X106" s="1" t="str">
        <f aca="false">IFERROR(__xludf.dummyfunction("""COMPUTED_VALUE"""),"")</f>
        <v/>
      </c>
      <c r="Y106" s="1" t="str">
        <f aca="false">IFERROR(__xludf.dummyfunction("""COMPUTED_VALUE"""),"")</f>
        <v/>
      </c>
      <c r="Z106" s="1" t="str">
        <f aca="false">IFERROR(__xludf.dummyfunction("""COMPUTED_VALUE"""),"")</f>
        <v/>
      </c>
      <c r="AA106" s="1" t="str">
        <f aca="false">IFERROR(__xludf.dummyfunction("""COMPUTED_VALUE"""),"")</f>
        <v/>
      </c>
      <c r="AB106" s="1" t="str">
        <f aca="false">IFERROR(__xludf.dummyfunction("""COMPUTED_VALUE"""),"")</f>
        <v/>
      </c>
    </row>
    <row r="107" customFormat="false" ht="15.75" hidden="false" customHeight="false" outlineLevel="0" collapsed="false">
      <c r="A107" s="3" t="n">
        <f aca="false">IFERROR(__xludf.dummyfunction("""COMPUTED_VALUE"""),43714.4439814931)</f>
        <v>43714.44398</v>
      </c>
      <c r="B107" s="1" t="str">
        <f aca="false">IFERROR(__xludf.dummyfunction("""COMPUTED_VALUE"""),"Yuna Landais")</f>
        <v>Yuna Landais</v>
      </c>
      <c r="C107" s="1" t="str">
        <f aca="false"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07" s="1" t="str">
        <f aca="false">IFERROR(__xludf.dummyfunction("""COMPUTED_VALUE"""),"BDE")</f>
        <v>BDE</v>
      </c>
      <c r="E107" s="1" t="n">
        <f aca="false">IFERROR(__xludf.dummyfunction("""COMPUTED_VALUE"""),3)</f>
        <v>3</v>
      </c>
      <c r="F107" s="1" t="str">
        <f aca="false">IFERROR(__xludf.dummyfunction("""COMPUTED_VALUE"""),"Musique fançaise")</f>
        <v>Musique fançaise</v>
      </c>
      <c r="G107" s="1" t="str">
        <f aca="false">IFERROR(__xludf.dummyfunction("""COMPUTED_VALUE"""),"Peinture, Littérature, Danse, Théâtre, Cinéma")</f>
        <v>Peinture, Littérature, Danse, Théâtre, Cinéma</v>
      </c>
      <c r="H107" s="1" t="str">
        <f aca="false">IFERROR(__xludf.dummyfunction("""COMPUTED_VALUE"""),"Seulement les soirs de pleine lune")</f>
        <v>Seulement les soirs de pleine lune</v>
      </c>
      <c r="I107" s="1" t="str">
        <f aca="false">IFERROR(__xludf.dummyfunction("""COMPUTED_VALUE"""),"Plusieurs fois par semaine")</f>
        <v>Plusieurs fois par semaine</v>
      </c>
      <c r="J107" s="1" t="str">
        <f aca="false">IFERROR(__xludf.dummyfunction("""COMPUTED_VALUE"""),"Pour le fun")</f>
        <v>Pour le fun</v>
      </c>
      <c r="K107" s="1" t="str">
        <f aca="false">IFERROR(__xludf.dummyfunction("""COMPUTED_VALUE"""),"Athlétisme")</f>
        <v>Athlétisme</v>
      </c>
      <c r="L107" s="1" t="str">
        <f aca="false">IFERROR(__xludf.dummyfunction("""COMPUTED_VALUE"""),"Je fais toujours attention à bien manger")</f>
        <v>Je fais toujours attention à bien manger</v>
      </c>
      <c r="M107" s="1" t="n">
        <f aca="false">IFERROR(__xludf.dummyfunction("""COMPUTED_VALUE"""),1)</f>
        <v>1</v>
      </c>
      <c r="N107" s="1" t="str">
        <f aca="false">IFERROR(__xludf.dummyfunction("""COMPUTED_VALUE"""),"Une fois par semaine")</f>
        <v>Une fois par semaine</v>
      </c>
      <c r="O107" s="1" t="str">
        <f aca="false">IFERROR(__xludf.dummyfunction("""COMPUTED_VALUE"""),"Tu te poses dans un coin, chill !!")</f>
        <v>Tu te poses dans un coin, chill !!</v>
      </c>
      <c r="P107" s="1" t="n">
        <f aca="false">IFERROR(__xludf.dummyfunction("""COMPUTED_VALUE"""),1)</f>
        <v>1</v>
      </c>
      <c r="Q107" s="1" t="str">
        <f aca="false">IFERROR(__xludf.dummyfunction("""COMPUTED_VALUE"""),"Oui")</f>
        <v>Oui</v>
      </c>
      <c r="R107" s="1" t="str">
        <f aca="false">IFERROR(__xludf.dummyfunction("""COMPUTED_VALUE"""),"Non")</f>
        <v>Non</v>
      </c>
      <c r="S107" s="1" t="str">
        <f aca="false">IFERROR(__xludf.dummyfunction("""COMPUTED_VALUE"""),"Les 6 salopards")</f>
        <v>Les 6 salopards</v>
      </c>
      <c r="T107" s="1" t="str">
        <f aca="false">IFERROR(__xludf.dummyfunction("""COMPUTED_VALUE"""),"Drapeau breton ")</f>
        <v>Drapeau breton </v>
      </c>
      <c r="U107" s="1" t="str">
        <f aca="false">IFERROR(__xludf.dummyfunction("""COMPUTED_VALUE"""),"")</f>
        <v/>
      </c>
      <c r="V107" s="1" t="str">
        <f aca="false">IFERROR(__xludf.dummyfunction("""COMPUTED_VALUE"""),"")</f>
        <v/>
      </c>
      <c r="W107" s="1" t="str">
        <f aca="false">IFERROR(__xludf.dummyfunction("""COMPUTED_VALUE"""),"")</f>
        <v/>
      </c>
      <c r="X107" s="1" t="str">
        <f aca="false">IFERROR(__xludf.dummyfunction("""COMPUTED_VALUE"""),"")</f>
        <v/>
      </c>
      <c r="Y107" s="1" t="str">
        <f aca="false">IFERROR(__xludf.dummyfunction("""COMPUTED_VALUE"""),"")</f>
        <v/>
      </c>
      <c r="Z107" s="1" t="str">
        <f aca="false">IFERROR(__xludf.dummyfunction("""COMPUTED_VALUE"""),"")</f>
        <v/>
      </c>
      <c r="AA107" s="1" t="str">
        <f aca="false">IFERROR(__xludf.dummyfunction("""COMPUTED_VALUE"""),"")</f>
        <v/>
      </c>
      <c r="AB107" s="1" t="str">
        <f aca="false">IFERROR(__xludf.dummyfunction("""COMPUTED_VALUE"""),"")</f>
        <v/>
      </c>
    </row>
    <row r="1048576" customFormat="false" ht="15.75" hidden="false" customHeight="true" outlineLevel="0" collapsed="false"/>
  </sheetData>
  <conditionalFormatting sqref="A1:AB1000">
    <cfRule type="endsWith" priority="2" operator="endsWith" aboveAverage="0" equalAverage="0" bottom="0" percent="0" rank="0" text=" " dxfId="0"/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4" min="1" style="0" width="28.71"/>
    <col collapsed="false" customWidth="true" hidden="false" outlineLevel="0" max="5" min="5" style="0" width="29.29"/>
    <col collapsed="false" customWidth="true" hidden="false" outlineLevel="0" max="36" min="6" style="0" width="28.71"/>
    <col collapsed="false" customWidth="true" hidden="false" outlineLevel="0" max="37" min="37" style="0" width="31.14"/>
    <col collapsed="false" customWidth="true" hidden="false" outlineLevel="0" max="57" min="38" style="0" width="28.71"/>
    <col collapsed="false" customWidth="true" hidden="false" outlineLevel="0" max="58" min="58" style="0" width="30.14"/>
    <col collapsed="false" customWidth="true" hidden="false" outlineLevel="0" max="59" min="59" style="0" width="30.86"/>
    <col collapsed="false" customWidth="true" hidden="false" outlineLevel="0" max="78" min="60" style="0" width="28.71"/>
    <col collapsed="false" customWidth="true" hidden="false" outlineLevel="0" max="1025" min="79" style="0" width="14.43"/>
  </cols>
  <sheetData>
    <row r="1" customFormat="false" ht="15.75" hidden="false" customHeight="false" outlineLevel="0" collapsed="false">
      <c r="A1" s="5" t="s">
        <v>1131</v>
      </c>
      <c r="B1" s="6" t="s">
        <v>35</v>
      </c>
      <c r="C1" s="7" t="s">
        <v>67</v>
      </c>
      <c r="D1" s="7" t="s">
        <v>90</v>
      </c>
      <c r="E1" s="7" t="s">
        <v>96</v>
      </c>
      <c r="F1" s="7" t="s">
        <v>119</v>
      </c>
      <c r="G1" s="7" t="s">
        <v>125</v>
      </c>
      <c r="H1" s="7" t="s">
        <v>136</v>
      </c>
      <c r="I1" s="7" t="s">
        <v>158</v>
      </c>
      <c r="J1" s="7" t="s">
        <v>161</v>
      </c>
      <c r="K1" s="7" t="s">
        <v>196</v>
      </c>
      <c r="L1" s="7" t="s">
        <v>229</v>
      </c>
      <c r="M1" s="7" t="s">
        <v>259</v>
      </c>
      <c r="N1" s="7" t="s">
        <v>251</v>
      </c>
      <c r="O1" s="7" t="s">
        <v>298</v>
      </c>
      <c r="P1" s="7" t="s">
        <v>284</v>
      </c>
      <c r="Q1" s="7" t="s">
        <v>1132</v>
      </c>
      <c r="R1" s="7" t="s">
        <v>1133</v>
      </c>
      <c r="S1" s="7" t="s">
        <v>326</v>
      </c>
      <c r="T1" s="7" t="s">
        <v>415</v>
      </c>
      <c r="U1" s="7" t="s">
        <v>376</v>
      </c>
      <c r="V1" s="7" t="s">
        <v>590</v>
      </c>
      <c r="W1" s="7" t="s">
        <v>390</v>
      </c>
      <c r="X1" s="7" t="s">
        <v>411</v>
      </c>
      <c r="Y1" s="7" t="s">
        <v>1134</v>
      </c>
      <c r="Z1" s="7" t="s">
        <v>448</v>
      </c>
      <c r="AA1" s="7" t="s">
        <v>509</v>
      </c>
      <c r="AB1" s="7" t="s">
        <v>465</v>
      </c>
      <c r="AC1" s="7" t="s">
        <v>494</v>
      </c>
      <c r="AD1" s="7" t="s">
        <v>482</v>
      </c>
      <c r="AE1" s="7" t="s">
        <v>468</v>
      </c>
      <c r="AF1" s="7" t="s">
        <v>525</v>
      </c>
      <c r="AG1" s="7" t="s">
        <v>542</v>
      </c>
      <c r="AH1" s="7" t="s">
        <v>546</v>
      </c>
      <c r="AI1" s="7" t="s">
        <v>559</v>
      </c>
      <c r="AJ1" s="7" t="s">
        <v>573</v>
      </c>
      <c r="AK1" s="7" t="s">
        <v>600</v>
      </c>
      <c r="AL1" s="7" t="s">
        <v>621</v>
      </c>
      <c r="AM1" s="7" t="s">
        <v>645</v>
      </c>
      <c r="AN1" s="7" t="s">
        <v>649</v>
      </c>
      <c r="AO1" s="7" t="s">
        <v>683</v>
      </c>
      <c r="AP1" s="7" t="s">
        <v>694</v>
      </c>
      <c r="AQ1" s="7" t="s">
        <v>731</v>
      </c>
      <c r="AR1" s="7" t="s">
        <v>747</v>
      </c>
      <c r="AS1" s="7" t="s">
        <v>1135</v>
      </c>
      <c r="AT1" s="7" t="s">
        <v>782</v>
      </c>
      <c r="AU1" s="7" t="s">
        <v>1136</v>
      </c>
      <c r="AV1" s="7" t="s">
        <v>821</v>
      </c>
      <c r="AW1" s="7" t="s">
        <v>834</v>
      </c>
      <c r="AX1" s="7" t="s">
        <v>841</v>
      </c>
      <c r="AY1" s="7" t="s">
        <v>851</v>
      </c>
      <c r="AZ1" s="7" t="s">
        <v>859</v>
      </c>
      <c r="BA1" s="7" t="s">
        <v>919</v>
      </c>
      <c r="BB1" s="7" t="s">
        <v>897</v>
      </c>
      <c r="BC1" s="7" t="s">
        <v>931</v>
      </c>
      <c r="BD1" s="7" t="s">
        <v>945</v>
      </c>
      <c r="BE1" s="7" t="s">
        <v>952</v>
      </c>
      <c r="BF1" s="7" t="s">
        <v>956</v>
      </c>
      <c r="BG1" s="7" t="s">
        <v>989</v>
      </c>
      <c r="BH1" s="7" t="s">
        <v>1027</v>
      </c>
      <c r="BI1" s="7" t="s">
        <v>1041</v>
      </c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8"/>
    </row>
    <row r="2" customFormat="false" ht="15.75" hidden="false" customHeight="false" outlineLevel="0" collapsed="false">
      <c r="A2" s="9" t="s">
        <v>1137</v>
      </c>
      <c r="B2" s="10" t="s">
        <v>22</v>
      </c>
      <c r="C2" s="11" t="s">
        <v>62</v>
      </c>
      <c r="D2" s="11" t="s">
        <v>85</v>
      </c>
      <c r="E2" s="11" t="s">
        <v>92</v>
      </c>
      <c r="F2" s="11" t="s">
        <v>115</v>
      </c>
      <c r="G2" s="11" t="s">
        <v>121</v>
      </c>
      <c r="H2" s="11" t="s">
        <v>134</v>
      </c>
      <c r="I2" s="11" t="s">
        <v>155</v>
      </c>
      <c r="J2" s="11" t="s">
        <v>160</v>
      </c>
      <c r="K2" s="11" t="s">
        <v>190</v>
      </c>
      <c r="L2" s="11" t="s">
        <v>226</v>
      </c>
      <c r="M2" s="11" t="s">
        <v>256</v>
      </c>
      <c r="N2" s="11" t="s">
        <v>248</v>
      </c>
      <c r="O2" s="11" t="s">
        <v>295</v>
      </c>
      <c r="P2" s="11" t="s">
        <v>282</v>
      </c>
      <c r="Q2" s="11" t="s">
        <v>289</v>
      </c>
      <c r="R2" s="11" t="s">
        <v>758</v>
      </c>
      <c r="S2" s="11" t="s">
        <v>324</v>
      </c>
      <c r="T2" s="11" t="s">
        <v>344</v>
      </c>
      <c r="U2" s="11" t="s">
        <v>374</v>
      </c>
      <c r="V2" s="11" t="s">
        <v>575</v>
      </c>
      <c r="W2" s="11" t="s">
        <v>387</v>
      </c>
      <c r="X2" s="11" t="s">
        <v>410</v>
      </c>
      <c r="Y2" s="11" t="s">
        <v>417</v>
      </c>
      <c r="Z2" s="11" t="s">
        <v>438</v>
      </c>
      <c r="AA2" s="11" t="s">
        <v>506</v>
      </c>
      <c r="AB2" s="11" t="s">
        <v>462</v>
      </c>
      <c r="AC2" s="11" t="s">
        <v>489</v>
      </c>
      <c r="AD2" s="11" t="s">
        <v>481</v>
      </c>
      <c r="AE2" s="11" t="s">
        <v>467</v>
      </c>
      <c r="AF2" s="11" t="s">
        <v>521</v>
      </c>
      <c r="AG2" s="11" t="s">
        <v>540</v>
      </c>
      <c r="AH2" s="11" t="s">
        <v>544</v>
      </c>
      <c r="AI2" s="11" t="s">
        <v>558</v>
      </c>
      <c r="AJ2" s="11" t="s">
        <v>572</v>
      </c>
      <c r="AK2" s="11" t="s">
        <v>599</v>
      </c>
      <c r="AL2" s="11" t="s">
        <v>619</v>
      </c>
      <c r="AM2" s="11" t="s">
        <v>651</v>
      </c>
      <c r="AN2" s="11" t="s">
        <v>648</v>
      </c>
      <c r="AO2" s="11" t="s">
        <v>681</v>
      </c>
      <c r="AP2" s="11" t="s">
        <v>691</v>
      </c>
      <c r="AQ2" s="12" t="s">
        <v>729</v>
      </c>
      <c r="AR2" s="11" t="s">
        <v>743</v>
      </c>
      <c r="AS2" s="13" t="s">
        <v>793</v>
      </c>
      <c r="AT2" s="11" t="s">
        <v>775</v>
      </c>
      <c r="AU2" s="11" t="s">
        <v>799</v>
      </c>
      <c r="AV2" s="11" t="s">
        <v>819</v>
      </c>
      <c r="AW2" s="11" t="s">
        <v>830</v>
      </c>
      <c r="AX2" s="11" t="s">
        <v>839</v>
      </c>
      <c r="AY2" s="11" t="s">
        <v>849</v>
      </c>
      <c r="AZ2" s="11" t="s">
        <v>856</v>
      </c>
      <c r="BA2" s="11" t="s">
        <v>904</v>
      </c>
      <c r="BB2" s="11" t="s">
        <v>895</v>
      </c>
      <c r="BC2" s="11" t="s">
        <v>925</v>
      </c>
      <c r="BD2" s="11" t="s">
        <v>942</v>
      </c>
      <c r="BE2" s="11" t="s">
        <v>950</v>
      </c>
      <c r="BF2" s="11" t="s">
        <v>954</v>
      </c>
      <c r="BG2" s="11" t="s">
        <v>987</v>
      </c>
      <c r="BH2" s="11" t="s">
        <v>1013</v>
      </c>
      <c r="BI2" s="11" t="s">
        <v>1038</v>
      </c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4"/>
    </row>
    <row r="3" customFormat="false" ht="15.75" hidden="false" customHeight="false" outlineLevel="0" collapsed="false">
      <c r="A3" s="9"/>
      <c r="B3" s="12" t="s">
        <v>37</v>
      </c>
      <c r="C3" s="13" t="s">
        <v>74</v>
      </c>
      <c r="D3" s="13" t="s">
        <v>202</v>
      </c>
      <c r="E3" s="13" t="s">
        <v>103</v>
      </c>
      <c r="F3" s="13" t="s">
        <v>127</v>
      </c>
      <c r="G3" s="13" t="s">
        <v>142</v>
      </c>
      <c r="H3" s="13" t="s">
        <v>210</v>
      </c>
      <c r="I3" s="13" t="s">
        <v>168</v>
      </c>
      <c r="J3" s="13" t="s">
        <v>163</v>
      </c>
      <c r="K3" s="13" t="s">
        <v>194</v>
      </c>
      <c r="L3" s="13" t="s">
        <v>231</v>
      </c>
      <c r="M3" s="13" t="s">
        <v>261</v>
      </c>
      <c r="N3" s="13" t="s">
        <v>279</v>
      </c>
      <c r="O3" s="13" t="s">
        <v>300</v>
      </c>
      <c r="P3" s="13" t="s">
        <v>320</v>
      </c>
      <c r="Q3" s="13" t="s">
        <v>763</v>
      </c>
      <c r="R3" s="13" t="s">
        <v>316</v>
      </c>
      <c r="S3" s="13" t="s">
        <v>335</v>
      </c>
      <c r="T3" s="13" t="s">
        <v>348</v>
      </c>
      <c r="U3" s="13" t="s">
        <v>378</v>
      </c>
      <c r="V3" s="13" t="s">
        <v>578</v>
      </c>
      <c r="W3" s="13" t="s">
        <v>392</v>
      </c>
      <c r="X3" s="13" t="s">
        <v>429</v>
      </c>
      <c r="Y3" s="13" t="s">
        <v>843</v>
      </c>
      <c r="Z3" s="13" t="s">
        <v>442</v>
      </c>
      <c r="AA3" s="13" t="s">
        <v>511</v>
      </c>
      <c r="AB3" s="13" t="s">
        <v>473</v>
      </c>
      <c r="AC3" s="13" t="s">
        <v>492</v>
      </c>
      <c r="AD3" s="13" t="s">
        <v>663</v>
      </c>
      <c r="AE3" s="13" t="s">
        <v>530</v>
      </c>
      <c r="AF3" s="13" t="s">
        <v>526</v>
      </c>
      <c r="AG3" s="13" t="s">
        <v>548</v>
      </c>
      <c r="AH3" s="13" t="s">
        <v>657</v>
      </c>
      <c r="AI3" s="13" t="s">
        <v>561</v>
      </c>
      <c r="AJ3" s="13" t="s">
        <v>582</v>
      </c>
      <c r="AK3" s="13" t="s">
        <v>602</v>
      </c>
      <c r="AL3" s="13" t="s">
        <v>623</v>
      </c>
      <c r="AM3" s="13" t="s">
        <v>654</v>
      </c>
      <c r="AN3" s="13" t="s">
        <v>666</v>
      </c>
      <c r="AO3" s="13" t="s">
        <v>685</v>
      </c>
      <c r="AP3" s="13" t="s">
        <v>696</v>
      </c>
      <c r="AQ3" s="13" t="s">
        <v>736</v>
      </c>
      <c r="AR3" s="13" t="s">
        <v>748</v>
      </c>
      <c r="AS3" s="15" t="s">
        <v>797</v>
      </c>
      <c r="AT3" s="13" t="s">
        <v>778</v>
      </c>
      <c r="AU3" s="13" t="s">
        <v>808</v>
      </c>
      <c r="AV3" s="13" t="s">
        <v>823</v>
      </c>
      <c r="AW3" s="13" t="s">
        <v>836</v>
      </c>
      <c r="AX3" s="13" t="s">
        <v>852</v>
      </c>
      <c r="AY3" s="13" t="s">
        <v>871</v>
      </c>
      <c r="AZ3" s="13" t="s">
        <v>861</v>
      </c>
      <c r="BA3" s="13" t="s">
        <v>908</v>
      </c>
      <c r="BB3" s="13" t="s">
        <v>912</v>
      </c>
      <c r="BC3" s="13" t="s">
        <v>928</v>
      </c>
      <c r="BD3" s="13" t="s">
        <v>979</v>
      </c>
      <c r="BE3" s="13" t="s">
        <v>967</v>
      </c>
      <c r="BF3" s="13" t="s">
        <v>958</v>
      </c>
      <c r="BG3" s="13" t="s">
        <v>999</v>
      </c>
      <c r="BH3" s="13" t="s">
        <v>1016</v>
      </c>
      <c r="BI3" s="13" t="s">
        <v>1043</v>
      </c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6"/>
    </row>
    <row r="4" customFormat="false" ht="15.75" hidden="false" customHeight="false" outlineLevel="0" collapsed="false">
      <c r="A4" s="9"/>
      <c r="B4" s="12" t="s">
        <v>47</v>
      </c>
      <c r="C4" s="13" t="s">
        <v>80</v>
      </c>
      <c r="D4" s="13" t="s">
        <v>222</v>
      </c>
      <c r="E4" s="13" t="s">
        <v>107</v>
      </c>
      <c r="F4" s="13" t="s">
        <v>131</v>
      </c>
      <c r="G4" s="13" t="s">
        <v>146</v>
      </c>
      <c r="H4" s="13" t="s">
        <v>240</v>
      </c>
      <c r="I4" s="13" t="s">
        <v>172</v>
      </c>
      <c r="J4" s="13" t="s">
        <v>186</v>
      </c>
      <c r="K4" s="13" t="s">
        <v>207</v>
      </c>
      <c r="L4" s="13" t="s">
        <v>235</v>
      </c>
      <c r="M4" s="13" t="s">
        <v>268</v>
      </c>
      <c r="N4" s="13" t="s">
        <v>303</v>
      </c>
      <c r="O4" s="13" t="s">
        <v>369</v>
      </c>
      <c r="P4" s="13" t="s">
        <v>405</v>
      </c>
      <c r="Q4" s="13" t="s">
        <v>454</v>
      </c>
      <c r="R4" s="13" t="s">
        <v>713</v>
      </c>
      <c r="S4" s="13" t="s">
        <v>340</v>
      </c>
      <c r="T4" s="13" t="s">
        <v>354</v>
      </c>
      <c r="U4" s="13" t="s">
        <v>381</v>
      </c>
      <c r="V4" s="13" t="s">
        <v>585</v>
      </c>
      <c r="W4" s="13" t="s">
        <v>395</v>
      </c>
      <c r="X4" s="13" t="s">
        <v>432</v>
      </c>
      <c r="Y4" s="13" t="s">
        <v>867</v>
      </c>
      <c r="Z4" s="13" t="s">
        <v>447</v>
      </c>
      <c r="AA4" s="13" t="s">
        <v>514</v>
      </c>
      <c r="AB4" s="13" t="s">
        <v>486</v>
      </c>
      <c r="AC4" s="13" t="s">
        <v>501</v>
      </c>
      <c r="AD4" s="13" t="s">
        <v>672</v>
      </c>
      <c r="AE4" s="13" t="s">
        <v>535</v>
      </c>
      <c r="AF4" s="13" t="s">
        <v>614</v>
      </c>
      <c r="AG4" s="13" t="s">
        <v>552</v>
      </c>
      <c r="AH4" s="13" t="s">
        <v>660</v>
      </c>
      <c r="AI4" s="13" t="s">
        <v>563</v>
      </c>
      <c r="AJ4" s="13" t="s">
        <v>592</v>
      </c>
      <c r="AK4" s="13" t="s">
        <v>606</v>
      </c>
      <c r="AL4" s="13" t="s">
        <v>628</v>
      </c>
      <c r="AM4" s="13" t="s">
        <v>642</v>
      </c>
      <c r="AN4" s="13" t="s">
        <v>669</v>
      </c>
      <c r="AO4" s="13" t="s">
        <v>689</v>
      </c>
      <c r="AP4" s="13" t="s">
        <v>701</v>
      </c>
      <c r="AQ4" s="13" t="s">
        <v>767</v>
      </c>
      <c r="AR4" s="13" t="s">
        <v>750</v>
      </c>
      <c r="AS4" s="13" t="s">
        <v>803</v>
      </c>
      <c r="AT4" s="13" t="s">
        <v>780</v>
      </c>
      <c r="AU4" s="13" t="s">
        <v>811</v>
      </c>
      <c r="AV4" s="13" t="s">
        <v>826</v>
      </c>
      <c r="AW4" s="13" t="s">
        <v>991</v>
      </c>
      <c r="AX4" s="13" t="s">
        <v>877</v>
      </c>
      <c r="AY4" s="13" t="s">
        <v>881</v>
      </c>
      <c r="AZ4" s="13" t="s">
        <v>865</v>
      </c>
      <c r="BA4" s="13" t="s">
        <v>914</v>
      </c>
      <c r="BB4" s="13" t="s">
        <v>940</v>
      </c>
      <c r="BC4" s="13" t="s">
        <v>933</v>
      </c>
      <c r="BD4" s="13" t="s">
        <v>1061</v>
      </c>
      <c r="BE4" s="13" t="s">
        <v>1057</v>
      </c>
      <c r="BF4" s="13" t="s">
        <v>961</v>
      </c>
      <c r="BG4" s="13" t="s">
        <v>1001</v>
      </c>
      <c r="BH4" s="13" t="s">
        <v>1020</v>
      </c>
      <c r="BI4" s="13" t="s">
        <v>1046</v>
      </c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6"/>
    </row>
    <row r="5" customFormat="false" ht="15.75" hidden="false" customHeight="false" outlineLevel="0" collapsed="false">
      <c r="A5" s="9"/>
      <c r="B5" s="12" t="s">
        <v>56</v>
      </c>
      <c r="C5" s="13"/>
      <c r="D5" s="13" t="s">
        <v>423</v>
      </c>
      <c r="E5" s="13" t="s">
        <v>110</v>
      </c>
      <c r="F5" s="13" t="s">
        <v>138</v>
      </c>
      <c r="G5" s="13" t="s">
        <v>150</v>
      </c>
      <c r="H5" s="13" t="s">
        <v>286</v>
      </c>
      <c r="I5" s="13" t="s">
        <v>175</v>
      </c>
      <c r="J5" s="13" t="s">
        <v>198</v>
      </c>
      <c r="K5" s="13" t="s">
        <v>214</v>
      </c>
      <c r="L5" s="13" t="s">
        <v>237</v>
      </c>
      <c r="M5" s="13" t="s">
        <v>272</v>
      </c>
      <c r="N5" s="13" t="s">
        <v>308</v>
      </c>
      <c r="O5" s="13" t="s">
        <v>1068</v>
      </c>
      <c r="P5" s="13" t="s">
        <v>477</v>
      </c>
      <c r="Q5" s="13" t="s">
        <v>458</v>
      </c>
      <c r="R5" s="13" t="s">
        <v>935</v>
      </c>
      <c r="S5" s="13" t="s">
        <v>357</v>
      </c>
      <c r="T5" s="13" t="s">
        <v>402</v>
      </c>
      <c r="U5" s="13" t="s">
        <v>384</v>
      </c>
      <c r="V5" s="13" t="s">
        <v>588</v>
      </c>
      <c r="W5" s="13" t="s">
        <v>400</v>
      </c>
      <c r="X5" s="13" t="s">
        <v>435</v>
      </c>
      <c r="Y5" s="13" t="s">
        <v>875</v>
      </c>
      <c r="Z5" s="12" t="s">
        <v>637</v>
      </c>
      <c r="AA5" s="13" t="s">
        <v>632</v>
      </c>
      <c r="AB5" s="13" t="s">
        <v>496</v>
      </c>
      <c r="AC5" s="13" t="s">
        <v>733</v>
      </c>
      <c r="AD5" s="13" t="s">
        <v>1105</v>
      </c>
      <c r="AE5" s="13" t="s">
        <v>1086</v>
      </c>
      <c r="AF5" s="13" t="s">
        <v>1033</v>
      </c>
      <c r="AG5" s="13" t="s">
        <v>784</v>
      </c>
      <c r="AH5" s="13" t="s">
        <v>717</v>
      </c>
      <c r="AI5" s="13" t="s">
        <v>565</v>
      </c>
      <c r="AJ5" s="13" t="s">
        <v>595</v>
      </c>
      <c r="AK5" s="13" t="s">
        <v>610</v>
      </c>
      <c r="AL5" s="13" t="s">
        <v>675</v>
      </c>
      <c r="AM5" s="13" t="s">
        <v>646</v>
      </c>
      <c r="AN5" s="13" t="s">
        <v>1122</v>
      </c>
      <c r="AO5" s="13" t="s">
        <v>817</v>
      </c>
      <c r="AP5" s="13" t="s">
        <v>706</v>
      </c>
      <c r="AQ5" s="13"/>
      <c r="AR5" s="13" t="s">
        <v>753</v>
      </c>
      <c r="AS5" s="13" t="s">
        <v>813</v>
      </c>
      <c r="AT5" s="13" t="s">
        <v>815</v>
      </c>
      <c r="AU5" s="13"/>
      <c r="AV5" s="13" t="s">
        <v>892</v>
      </c>
      <c r="AW5" s="13" t="s">
        <v>1075</v>
      </c>
      <c r="AX5" s="13" t="s">
        <v>885</v>
      </c>
      <c r="AY5" s="13" t="s">
        <v>899</v>
      </c>
      <c r="AZ5" s="13"/>
      <c r="BA5" s="13" t="s">
        <v>918</v>
      </c>
      <c r="BB5" s="13"/>
      <c r="BC5" s="13" t="s">
        <v>1110</v>
      </c>
      <c r="BD5" s="13"/>
      <c r="BE5" s="13" t="s">
        <v>1080</v>
      </c>
      <c r="BF5" s="13" t="s">
        <v>963</v>
      </c>
      <c r="BG5" s="13" t="s">
        <v>1003</v>
      </c>
      <c r="BH5" s="13" t="s">
        <v>1023</v>
      </c>
      <c r="BI5" s="13" t="s">
        <v>1048</v>
      </c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6"/>
    </row>
    <row r="6" customFormat="false" ht="15.75" hidden="false" customHeight="false" outlineLevel="0" collapsed="false">
      <c r="A6" s="9"/>
      <c r="B6" s="12" t="s">
        <v>69</v>
      </c>
      <c r="C6" s="13"/>
      <c r="D6" s="13" t="s">
        <v>983</v>
      </c>
      <c r="E6" s="13" t="s">
        <v>253</v>
      </c>
      <c r="F6" s="13"/>
      <c r="G6" s="13"/>
      <c r="H6" s="13" t="s">
        <v>332</v>
      </c>
      <c r="I6" s="13" t="s">
        <v>181</v>
      </c>
      <c r="J6" s="13" t="s">
        <v>245</v>
      </c>
      <c r="K6" s="13" t="s">
        <v>217</v>
      </c>
      <c r="L6" s="13" t="s">
        <v>1084</v>
      </c>
      <c r="M6" s="13" t="s">
        <v>277</v>
      </c>
      <c r="N6" s="13" t="s">
        <v>426</v>
      </c>
      <c r="O6" s="13" t="s">
        <v>1070</v>
      </c>
      <c r="P6" s="13" t="s">
        <v>484</v>
      </c>
      <c r="Q6" s="13" t="s">
        <v>996</v>
      </c>
      <c r="S6" s="13" t="s">
        <v>362</v>
      </c>
      <c r="T6" s="13" t="s">
        <v>413</v>
      </c>
      <c r="U6" s="13"/>
      <c r="V6" s="13"/>
      <c r="W6" s="13" t="s">
        <v>517</v>
      </c>
      <c r="X6" s="13"/>
      <c r="Y6" s="13" t="s">
        <v>887</v>
      </c>
      <c r="Z6" s="13"/>
      <c r="AA6" s="13"/>
      <c r="AB6" s="13" t="s">
        <v>1138</v>
      </c>
      <c r="AC6" s="13" t="s">
        <v>1065</v>
      </c>
      <c r="AD6" s="13"/>
      <c r="AE6" s="13" t="s">
        <v>1090</v>
      </c>
      <c r="AF6" s="13"/>
      <c r="AG6" s="13" t="s">
        <v>789</v>
      </c>
      <c r="AH6" s="13" t="s">
        <v>1008</v>
      </c>
      <c r="AI6" s="13" t="s">
        <v>568</v>
      </c>
      <c r="AJ6" s="13" t="s">
        <v>710</v>
      </c>
      <c r="AK6" s="13"/>
      <c r="AL6" s="13" t="s">
        <v>1029</v>
      </c>
      <c r="AM6" s="12" t="s">
        <v>741</v>
      </c>
      <c r="AN6" s="13"/>
      <c r="AO6" s="13" t="s">
        <v>1103</v>
      </c>
      <c r="AP6" s="13" t="s">
        <v>720</v>
      </c>
      <c r="AQ6" s="13"/>
      <c r="AR6" s="13" t="s">
        <v>755</v>
      </c>
      <c r="AS6" s="13"/>
      <c r="AT6" s="13" t="s">
        <v>890</v>
      </c>
      <c r="AU6" s="13"/>
      <c r="AV6" s="13"/>
      <c r="AW6" s="13" t="s">
        <v>1114</v>
      </c>
      <c r="AX6" s="13" t="s">
        <v>1119</v>
      </c>
      <c r="AY6" s="13"/>
      <c r="AZ6" s="13"/>
      <c r="BA6" s="13" t="s">
        <v>921</v>
      </c>
      <c r="BB6" s="13"/>
      <c r="BC6" s="13" t="s">
        <v>1093</v>
      </c>
      <c r="BD6" s="13"/>
      <c r="BE6" s="13"/>
      <c r="BF6" s="13" t="s">
        <v>970</v>
      </c>
      <c r="BG6" s="13" t="s">
        <v>1108</v>
      </c>
      <c r="BH6" s="13"/>
      <c r="BI6" s="13" t="s">
        <v>1052</v>
      </c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6"/>
    </row>
    <row r="7" customFormat="false" ht="15.75" hidden="false" customHeight="false" outlineLevel="0" collapsed="false">
      <c r="A7" s="9"/>
      <c r="B7" s="17" t="s">
        <v>98</v>
      </c>
      <c r="C7" s="18"/>
      <c r="D7" s="18"/>
      <c r="E7" s="18" t="s">
        <v>313</v>
      </c>
      <c r="F7" s="18"/>
      <c r="G7" s="18"/>
      <c r="H7" s="18" t="s">
        <v>470</v>
      </c>
      <c r="I7" s="18" t="s">
        <v>328</v>
      </c>
      <c r="J7" s="18"/>
      <c r="K7" s="18"/>
      <c r="L7" s="18"/>
      <c r="M7" s="18"/>
      <c r="N7" s="18" t="s">
        <v>450</v>
      </c>
      <c r="O7" s="18" t="s">
        <v>1072</v>
      </c>
      <c r="P7" s="18" t="s">
        <v>770</v>
      </c>
      <c r="Q7" s="18"/>
      <c r="R7" s="18"/>
      <c r="S7" s="18" t="s">
        <v>366</v>
      </c>
      <c r="T7" s="18" t="s">
        <v>420</v>
      </c>
      <c r="U7" s="18"/>
      <c r="V7" s="18"/>
      <c r="W7" s="18" t="s">
        <v>555</v>
      </c>
      <c r="X7" s="18"/>
      <c r="Y7" s="18" t="s">
        <v>1081</v>
      </c>
      <c r="Z7" s="18"/>
      <c r="AA7" s="18"/>
      <c r="AB7" s="18" t="s">
        <v>722</v>
      </c>
      <c r="AC7" s="18" t="s">
        <v>1098</v>
      </c>
      <c r="AD7" s="18"/>
      <c r="AE7" s="18"/>
      <c r="AF7" s="18"/>
      <c r="AG7" s="18" t="s">
        <v>771</v>
      </c>
      <c r="AH7" s="18"/>
      <c r="AI7" s="18"/>
      <c r="AJ7" s="18" t="s">
        <v>1126</v>
      </c>
      <c r="AK7" s="18"/>
      <c r="AL7" s="18"/>
      <c r="AM7" s="18"/>
      <c r="AN7" s="18"/>
      <c r="AO7" s="18"/>
      <c r="AP7" s="18" t="s">
        <v>725</v>
      </c>
      <c r="AQ7" s="18"/>
      <c r="AR7" s="18"/>
      <c r="AS7" s="18"/>
      <c r="AT7" s="18" t="s">
        <v>1055</v>
      </c>
      <c r="AU7" s="18"/>
      <c r="AV7" s="18"/>
      <c r="AW7" s="18"/>
      <c r="AX7" s="18"/>
      <c r="AY7" s="18"/>
      <c r="AZ7" s="18"/>
      <c r="BA7" s="18" t="s">
        <v>947</v>
      </c>
      <c r="BB7" s="18"/>
      <c r="BC7" s="18"/>
      <c r="BD7" s="18"/>
      <c r="BE7" s="18"/>
      <c r="BF7" s="18" t="s">
        <v>974</v>
      </c>
      <c r="BG7" s="18" t="s">
        <v>1128</v>
      </c>
      <c r="BH7" s="18"/>
      <c r="BI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9"/>
    </row>
    <row r="8" customFormat="false" ht="15.75" hidden="false" customHeight="false" outlineLevel="0" collapsed="false">
      <c r="A8" s="20"/>
      <c r="B8" s="20" t="n">
        <f aca="false">COUNTA(B2:B7)</f>
        <v>6</v>
      </c>
      <c r="C8" s="20" t="n">
        <f aca="false">COUNTA(C2:C7)</f>
        <v>3</v>
      </c>
      <c r="D8" s="20" t="n">
        <f aca="false">COUNTA(D2:D7)</f>
        <v>5</v>
      </c>
      <c r="E8" s="20" t="n">
        <f aca="false">COUNTA(E2:E7)</f>
        <v>6</v>
      </c>
      <c r="F8" s="20" t="n">
        <f aca="false">COUNTA(F2:F7)</f>
        <v>4</v>
      </c>
      <c r="G8" s="20" t="n">
        <f aca="false">COUNTA(G2:G7)</f>
        <v>4</v>
      </c>
      <c r="H8" s="20" t="n">
        <f aca="false">COUNTA(H2:H7)</f>
        <v>6</v>
      </c>
      <c r="I8" s="20" t="n">
        <f aca="false">COUNTA(I2:I7)</f>
        <v>6</v>
      </c>
      <c r="J8" s="20" t="n">
        <f aca="false">COUNTA(J2:J7)</f>
        <v>5</v>
      </c>
      <c r="K8" s="20" t="n">
        <f aca="false">COUNTA(K2:K7)</f>
        <v>5</v>
      </c>
      <c r="L8" s="20" t="n">
        <f aca="false">COUNTA(L2:L7)</f>
        <v>5</v>
      </c>
      <c r="M8" s="20" t="n">
        <f aca="false">COUNTA(M2:M7)</f>
        <v>5</v>
      </c>
      <c r="N8" s="20" t="n">
        <f aca="false">COUNTA(N2:N7)</f>
        <v>6</v>
      </c>
      <c r="O8" s="20" t="n">
        <f aca="false">COUNTA(O2:O7)</f>
        <v>6</v>
      </c>
      <c r="P8" s="20" t="n">
        <f aca="false">COUNTA(P2:P7)</f>
        <v>6</v>
      </c>
      <c r="Q8" s="20" t="n">
        <f aca="false">COUNTA(Q2:Q7)</f>
        <v>5</v>
      </c>
      <c r="R8" s="20" t="n">
        <f aca="false">COUNTA(R2:R7)</f>
        <v>4</v>
      </c>
      <c r="S8" s="20" t="n">
        <f aca="false">COUNTA(S2:S7)</f>
        <v>6</v>
      </c>
      <c r="T8" s="20" t="n">
        <f aca="false">COUNTA(T2:T7)</f>
        <v>6</v>
      </c>
      <c r="U8" s="20" t="n">
        <f aca="false">COUNTA(U2:U7)</f>
        <v>4</v>
      </c>
      <c r="V8" s="20" t="n">
        <f aca="false">COUNTA(V2:V7)</f>
        <v>4</v>
      </c>
      <c r="W8" s="20" t="n">
        <f aca="false">COUNTA(W2:W7)</f>
        <v>6</v>
      </c>
      <c r="X8" s="20" t="n">
        <f aca="false">COUNTA(X2:X7)</f>
        <v>4</v>
      </c>
      <c r="Y8" s="20" t="n">
        <f aca="false">COUNTA(Y2:Y7)</f>
        <v>6</v>
      </c>
      <c r="Z8" s="20" t="n">
        <f aca="false">COUNTA(Z2:Z7)</f>
        <v>4</v>
      </c>
      <c r="AA8" s="20" t="n">
        <f aca="false">COUNTA(AA2:AA7)</f>
        <v>4</v>
      </c>
      <c r="AB8" s="20" t="n">
        <f aca="false">COUNTA(AB2:AB7)</f>
        <v>6</v>
      </c>
      <c r="AC8" s="20" t="n">
        <f aca="false">COUNTA(AC2:AC7)</f>
        <v>6</v>
      </c>
      <c r="AD8" s="20" t="n">
        <f aca="false">COUNTA(AD2:AD7)</f>
        <v>4</v>
      </c>
      <c r="AE8" s="20" t="n">
        <f aca="false">COUNTA(AE2:AE7)</f>
        <v>5</v>
      </c>
      <c r="AF8" s="20" t="n">
        <f aca="false">COUNTA(AF2:AF7)</f>
        <v>4</v>
      </c>
      <c r="AG8" s="20" t="n">
        <f aca="false">COUNTA(AG2:AG7)</f>
        <v>6</v>
      </c>
      <c r="AH8" s="20" t="n">
        <f aca="false">COUNTA(AH2:AH7)</f>
        <v>5</v>
      </c>
      <c r="AI8" s="20" t="n">
        <f aca="false">COUNTA(AI2:AI7)</f>
        <v>5</v>
      </c>
      <c r="AJ8" s="20" t="n">
        <f aca="false">COUNTA(AJ2:AJ7)</f>
        <v>6</v>
      </c>
      <c r="AK8" s="20" t="n">
        <f aca="false">COUNTA(AK2:AK7)</f>
        <v>4</v>
      </c>
      <c r="AL8" s="20" t="n">
        <f aca="false">COUNTA(AL2:AL7)</f>
        <v>5</v>
      </c>
      <c r="AM8" s="20" t="n">
        <f aca="false">COUNTA(AM2:AM7)</f>
        <v>5</v>
      </c>
      <c r="AN8" s="20" t="n">
        <f aca="false">COUNTA(AN2:AN7)</f>
        <v>4</v>
      </c>
      <c r="AO8" s="20" t="n">
        <f aca="false">COUNTA(AO2:AO7)</f>
        <v>5</v>
      </c>
      <c r="AP8" s="20" t="n">
        <f aca="false">COUNTA(AP2:AP7)</f>
        <v>6</v>
      </c>
      <c r="AQ8" s="20" t="n">
        <f aca="false">COUNTA(AQ2:AQ7)</f>
        <v>3</v>
      </c>
      <c r="AR8" s="20" t="n">
        <f aca="false">COUNTA(AR2:AR7)</f>
        <v>5</v>
      </c>
      <c r="AS8" s="20" t="n">
        <f aca="false">COUNTA(AS2:AS7)</f>
        <v>4</v>
      </c>
      <c r="AT8" s="20" t="n">
        <f aca="false">COUNTA(AT2:AT7)</f>
        <v>6</v>
      </c>
      <c r="AU8" s="20" t="n">
        <f aca="false">COUNTA(AU2:AU7)</f>
        <v>3</v>
      </c>
      <c r="AV8" s="20" t="n">
        <f aca="false">COUNTA(AV2:AV7)</f>
        <v>4</v>
      </c>
      <c r="AW8" s="20" t="n">
        <f aca="false">COUNTA(AW2:AW7)</f>
        <v>5</v>
      </c>
      <c r="AX8" s="20" t="n">
        <f aca="false">COUNTA(AX2:AX7)</f>
        <v>5</v>
      </c>
      <c r="AY8" s="20" t="n">
        <f aca="false">COUNTA(AY2:AY7)</f>
        <v>4</v>
      </c>
      <c r="AZ8" s="20" t="n">
        <f aca="false">COUNTA(AZ2:AZ7)</f>
        <v>3</v>
      </c>
      <c r="BA8" s="20" t="n">
        <f aca="false">COUNTA(BA2:BA7)</f>
        <v>6</v>
      </c>
      <c r="BB8" s="20" t="n">
        <f aca="false">COUNTA(BB2:BB7)</f>
        <v>3</v>
      </c>
      <c r="BC8" s="20" t="n">
        <f aca="false">COUNTA(BC2:BC7)</f>
        <v>5</v>
      </c>
      <c r="BD8" s="20" t="n">
        <f aca="false">COUNTA(BD2:BD7)</f>
        <v>3</v>
      </c>
      <c r="BE8" s="20" t="n">
        <f aca="false">COUNTA(BE2:BE7)</f>
        <v>4</v>
      </c>
      <c r="BF8" s="20" t="n">
        <f aca="false">COUNTA(BF2:BF7)</f>
        <v>6</v>
      </c>
      <c r="BG8" s="20" t="n">
        <f aca="false">COUNTA(BG2:BG7)</f>
        <v>6</v>
      </c>
      <c r="BH8" s="20" t="n">
        <f aca="false">COUNTA(BH2:BH7)</f>
        <v>4</v>
      </c>
      <c r="BI8" s="20" t="n">
        <f aca="false">COUNTA(BI2:BI7)</f>
        <v>5</v>
      </c>
      <c r="BJ8" s="20" t="n">
        <f aca="false">COUNTA(BI2:BI7)</f>
        <v>5</v>
      </c>
      <c r="BK8" s="20" t="n">
        <f aca="false">COUNTA(BK2:BK7)</f>
        <v>0</v>
      </c>
      <c r="BL8" s="20" t="n">
        <f aca="false">COUNTA(BL2:BL7)</f>
        <v>0</v>
      </c>
      <c r="BM8" s="20" t="n">
        <f aca="false">COUNTA(BM2:BM7)</f>
        <v>0</v>
      </c>
      <c r="BN8" s="20" t="n">
        <f aca="false">COUNTA(BN2:BN7)</f>
        <v>0</v>
      </c>
      <c r="BO8" s="20" t="n">
        <f aca="false">COUNTA(BO2:BO7)</f>
        <v>0</v>
      </c>
      <c r="BP8" s="20" t="n">
        <f aca="false">COUNTA(BP2:BP7)</f>
        <v>0</v>
      </c>
      <c r="BQ8" s="20" t="n">
        <f aca="false">COUNTA(BQ2:BQ7)</f>
        <v>0</v>
      </c>
      <c r="BR8" s="20" t="n">
        <f aca="false">COUNTA(BR2:BR7)</f>
        <v>0</v>
      </c>
      <c r="BS8" s="20" t="n">
        <f aca="false">COUNTA(BS2:BS7)</f>
        <v>0</v>
      </c>
      <c r="BT8" s="20" t="n">
        <f aca="false">COUNTA(BT2:BT7)</f>
        <v>0</v>
      </c>
      <c r="BU8" s="20" t="n">
        <f aca="false">COUNTA(BU2:BU7)</f>
        <v>0</v>
      </c>
      <c r="BV8" s="20" t="n">
        <f aca="false">COUNTA(BV2:BV7)</f>
        <v>0</v>
      </c>
      <c r="BW8" s="20" t="n">
        <f aca="false">COUNTA(BW2:BW7)</f>
        <v>0</v>
      </c>
      <c r="BX8" s="20" t="n">
        <f aca="false">COUNTA(BX2:BX7)</f>
        <v>0</v>
      </c>
      <c r="BY8" s="20" t="n">
        <f aca="false">COUNTA(BY2:BY7)</f>
        <v>0</v>
      </c>
      <c r="BZ8" s="20" t="n">
        <f aca="false">COUNTA(BZ2:BZ7)</f>
        <v>0</v>
      </c>
    </row>
    <row r="9" customFormat="false" ht="15.75" hidden="false" customHeight="false" outlineLevel="0" collapsed="false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</row>
    <row r="10" customFormat="false" ht="15.75" hidden="false" customHeight="fals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</row>
    <row r="11" customFormat="false" ht="15.75" hidden="false" customHeight="false" outlineLevel="0" collapsed="false">
      <c r="A11" s="5" t="s">
        <v>1139</v>
      </c>
      <c r="B11" s="5"/>
      <c r="C11" s="5"/>
      <c r="D11" s="22" t="s">
        <v>1140</v>
      </c>
      <c r="E11" s="22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</row>
    <row r="12" customFormat="false" ht="15.75" hidden="false" customHeight="false" outlineLevel="0" collapsed="false">
      <c r="A12" s="23" t="str">
        <f aca="false">IFERROR(__xludf.dummyfunction("Unique('Réponses au formulaire 1'!B:B)"),"Prénom NOM ")</f>
        <v>Prénom NOM </v>
      </c>
      <c r="B12" s="24" t="str">
        <f aca="false">IFERROR(__xludf.dummyfunction("Filter('Réponses au formulaire 1'!S:S,'Réponses au formulaire 1'!B:B=A12)"),"Quel est le nom de ta famille de parrains ?")</f>
        <v>Quel est le nom de ta famille de parrains ?</v>
      </c>
      <c r="C12" s="14" t="s">
        <v>1141</v>
      </c>
      <c r="D12" s="10" t="str">
        <f aca="false">IFERROR(__xludf.dummyfunction("Filter(A12:B400,C12:C400 &lt;&gt; ""X"")"),"Prénom NOM ")</f>
        <v>Prénom NOM </v>
      </c>
      <c r="E12" s="11" t="str">
        <f aca="false">IFERROR(__xludf.dummyfunction("""COMPUTED_VALUE"""),"Quel est le nom de ta famille de parrains ?")</f>
        <v>Quel est le nom de ta famille de parrains ?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</row>
    <row r="13" customFormat="false" ht="15.75" hidden="false" customHeight="false" outlineLevel="0" collapsed="false">
      <c r="A13" s="25" t="str">
        <f aca="false">IFERROR(__xludf.dummyfunction("""COMPUTED_VALUE"""),"")</f>
        <v/>
      </c>
      <c r="B13" s="24"/>
      <c r="C13" s="16"/>
      <c r="D13" s="12" t="str">
        <f aca="false">IFERROR(__xludf.dummyfunction("""COMPUTED_VALUE"""),"")</f>
        <v/>
      </c>
      <c r="E13" s="16" t="str">
        <f aca="false">IFERROR(__xludf.dummyfunction("""COMPUTED_VALUE"""),"")</f>
        <v/>
      </c>
      <c r="F13" s="1"/>
      <c r="G13" s="26" t="s">
        <v>1142</v>
      </c>
      <c r="H13" s="8" t="n">
        <f aca="false">IFERROR(__xludf.dummyfunction("COUNTA(Filter( C:C,C:C=""x""))"),291)</f>
        <v>291</v>
      </c>
      <c r="I13" s="21"/>
      <c r="J13" s="27" t="s">
        <v>1143</v>
      </c>
      <c r="K13" s="28" t="s">
        <v>1143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</row>
    <row r="14" customFormat="false" ht="15.75" hidden="false" customHeight="false" outlineLevel="0" collapsed="false">
      <c r="A14" s="25" t="str">
        <f aca="false">IFERROR(__xludf.dummyfunction("""COMPUTED_VALUE"""),"Michel Qu")</f>
        <v>Michel Qu</v>
      </c>
      <c r="B14" s="24" t="str">
        <f aca="false">IFERROR(__xludf.dummyfunction("Filter('Réponses au formulaire 1'!S:S,'Réponses au formulaire 1'!B:B=A14)"),"DPSU")</f>
        <v>DPSU</v>
      </c>
      <c r="C14" s="16" t="s">
        <v>1144</v>
      </c>
      <c r="D14" s="12" t="str">
        <f aca="false">IFERROR(__xludf.dummyfunction("""COMPUTED_VALUE"""),"")</f>
        <v/>
      </c>
      <c r="E14" s="16" t="str">
        <f aca="false">IFERROR(__xludf.dummyfunction("""COMPUTED_VALUE"""),"#REF!")</f>
        <v>#REF!</v>
      </c>
      <c r="F14" s="21"/>
      <c r="G14" s="26" t="s">
        <v>1145</v>
      </c>
      <c r="H14" s="8" t="n">
        <f aca="false">COUNTA(1:1)-1</f>
        <v>60</v>
      </c>
      <c r="I14" s="21"/>
      <c r="J14" s="29" t="str">
        <f aca="false">IFERROR(__xludf.dummyfunction("FILTER(1:7,8:8&lt;3)"),"Familles :")</f>
        <v>Familles :</v>
      </c>
      <c r="K14" s="7" t="str">
        <f aca="false">IFERROR(__xludf.dummyfunction("""COMPUTED_VALUE"""),"")</f>
        <v/>
      </c>
      <c r="L14" s="7" t="str">
        <f aca="false">IFERROR(__xludf.dummyfunction("""COMPUTED_VALUE"""),"")</f>
        <v/>
      </c>
      <c r="M14" s="7" t="str">
        <f aca="false">IFERROR(__xludf.dummyfunction("""COMPUTED_VALUE"""),"")</f>
        <v/>
      </c>
      <c r="N14" s="7" t="str">
        <f aca="false">IFERROR(__xludf.dummyfunction("""COMPUTED_VALUE"""),"")</f>
        <v/>
      </c>
      <c r="O14" s="7" t="str">
        <f aca="false">IFERROR(__xludf.dummyfunction("""COMPUTED_VALUE"""),"")</f>
        <v/>
      </c>
      <c r="P14" s="7" t="str">
        <f aca="false">IFERROR(__xludf.dummyfunction("""COMPUTED_VALUE"""),"")</f>
        <v/>
      </c>
      <c r="Q14" s="7" t="str">
        <f aca="false">IFERROR(__xludf.dummyfunction("""COMPUTED_VALUE"""),"")</f>
        <v/>
      </c>
      <c r="R14" s="7" t="str">
        <f aca="false">IFERROR(__xludf.dummyfunction("""COMPUTED_VALUE"""),"")</f>
        <v/>
      </c>
      <c r="S14" s="7" t="str">
        <f aca="false">IFERROR(__xludf.dummyfunction("""COMPUTED_VALUE"""),"")</f>
        <v/>
      </c>
      <c r="T14" s="7" t="str">
        <f aca="false">IFERROR(__xludf.dummyfunction("""COMPUTED_VALUE"""),"")</f>
        <v/>
      </c>
      <c r="U14" s="7" t="str">
        <f aca="false">IFERROR(__xludf.dummyfunction("""COMPUTED_VALUE"""),"")</f>
        <v/>
      </c>
      <c r="V14" s="7" t="str">
        <f aca="false">IFERROR(__xludf.dummyfunction("""COMPUTED_VALUE"""),"")</f>
        <v/>
      </c>
      <c r="W14" s="8" t="str">
        <f aca="false">IFERROR(__xludf.dummyfunction("""COMPUTED_VALUE"""),"")</f>
        <v/>
      </c>
      <c r="X14" s="21" t="str">
        <f aca="false">IFERROR(__xludf.dummyfunction("""COMPUTED_VALUE"""),"")</f>
        <v/>
      </c>
      <c r="Y14" s="21" t="str">
        <f aca="false">IFERROR(__xludf.dummyfunction("""COMPUTED_VALUE"""),"")</f>
        <v/>
      </c>
      <c r="Z14" s="21" t="str">
        <f aca="false">IFERROR(__xludf.dummyfunction("""COMPUTED_VALUE"""),"")</f>
        <v/>
      </c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</row>
    <row r="15" customFormat="false" ht="15.75" hidden="false" customHeight="false" outlineLevel="0" collapsed="false">
      <c r="A15" s="25" t="str">
        <f aca="false">IFERROR(__xludf.dummyfunction("""COMPUTED_VALUE"""),"Marie BOUTROUX")</f>
        <v>Marie BOUTROUX</v>
      </c>
      <c r="B15" s="24" t="str">
        <f aca="false">IFERROR(__xludf.dummyfunction("Filter('Réponses au formulaire 1'!S:S,'Réponses au formulaire 1'!B:B=A15)"),"DPSU")</f>
        <v>DPSU</v>
      </c>
      <c r="C15" s="16" t="s">
        <v>1144</v>
      </c>
      <c r="D15" s="12" t="str">
        <f aca="false">IFERROR(__xludf.dummyfunction("""COMPUTED_VALUE"""),"")</f>
        <v/>
      </c>
      <c r="E15" s="16" t="str">
        <f aca="false">IFERROR(__xludf.dummyfunction("""COMPUTED_VALUE"""),"#REF!")</f>
        <v>#REF!</v>
      </c>
      <c r="F15" s="21"/>
      <c r="G15" s="26" t="s">
        <v>1146</v>
      </c>
      <c r="H15" s="8" t="n">
        <f aca="false">COUNTA(2:7)-1</f>
        <v>291</v>
      </c>
      <c r="I15" s="21"/>
      <c r="J15" s="30" t="str">
        <f aca="false">IFERROR(__xludf.dummyfunction("""COMPUTED_VALUE"""),"Personnes :")</f>
        <v>Personnes :</v>
      </c>
      <c r="K15" s="11" t="str">
        <f aca="false">IFERROR(__xludf.dummyfunction("""COMPUTED_VALUE"""),"")</f>
        <v/>
      </c>
      <c r="L15" s="11" t="str">
        <f aca="false">IFERROR(__xludf.dummyfunction("""COMPUTED_VALUE"""),"")</f>
        <v/>
      </c>
      <c r="M15" s="11" t="str">
        <f aca="false">IFERROR(__xludf.dummyfunction("""COMPUTED_VALUE"""),"")</f>
        <v/>
      </c>
      <c r="N15" s="11" t="str">
        <f aca="false">IFERROR(__xludf.dummyfunction("""COMPUTED_VALUE"""),"")</f>
        <v/>
      </c>
      <c r="O15" s="11" t="str">
        <f aca="false">IFERROR(__xludf.dummyfunction("""COMPUTED_VALUE"""),"")</f>
        <v/>
      </c>
      <c r="P15" s="11" t="str">
        <f aca="false">IFERROR(__xludf.dummyfunction("""COMPUTED_VALUE"""),"")</f>
        <v/>
      </c>
      <c r="Q15" s="11" t="str">
        <f aca="false">IFERROR(__xludf.dummyfunction("""COMPUTED_VALUE"""),"")</f>
        <v/>
      </c>
      <c r="R15" s="11" t="str">
        <f aca="false">IFERROR(__xludf.dummyfunction("""COMPUTED_VALUE"""),"")</f>
        <v/>
      </c>
      <c r="S15" s="11" t="str">
        <f aca="false">IFERROR(__xludf.dummyfunction("""COMPUTED_VALUE"""),"")</f>
        <v/>
      </c>
      <c r="T15" s="11" t="str">
        <f aca="false">IFERROR(__xludf.dummyfunction("""COMPUTED_VALUE"""),"")</f>
        <v/>
      </c>
      <c r="U15" s="11" t="str">
        <f aca="false">IFERROR(__xludf.dummyfunction("""COMPUTED_VALUE"""),"")</f>
        <v/>
      </c>
      <c r="V15" s="11" t="str">
        <f aca="false">IFERROR(__xludf.dummyfunction("""COMPUTED_VALUE"""),"")</f>
        <v/>
      </c>
      <c r="W15" s="14" t="str">
        <f aca="false">IFERROR(__xludf.dummyfunction("""COMPUTED_VALUE"""),"")</f>
        <v/>
      </c>
      <c r="X15" s="21" t="str">
        <f aca="false">IFERROR(__xludf.dummyfunction("""COMPUTED_VALUE"""),"")</f>
        <v/>
      </c>
      <c r="Y15" s="21" t="str">
        <f aca="false">IFERROR(__xludf.dummyfunction("""COMPUTED_VALUE"""),"")</f>
        <v/>
      </c>
      <c r="Z15" s="21" t="str">
        <f aca="false">IFERROR(__xludf.dummyfunction("""COMPUTED_VALUE"""),"")</f>
        <v/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</row>
    <row r="16" customFormat="false" ht="15.75" hidden="false" customHeight="false" outlineLevel="0" collapsed="false">
      <c r="A16" s="25" t="str">
        <f aca="false">IFERROR(__xludf.dummyfunction("""COMPUTED_VALUE"""),"Kheira POUVREAU")</f>
        <v>Kheira POUVREAU</v>
      </c>
      <c r="B16" s="24" t="str">
        <f aca="false">IFERROR(__xludf.dummyfunction("Filter('Réponses au formulaire 1'!S:S,'Réponses au formulaire 1'!B:B=A16)"),"DPSU")</f>
        <v>DPSU</v>
      </c>
      <c r="C16" s="16" t="s">
        <v>1144</v>
      </c>
      <c r="D16" s="12" t="str">
        <f aca="false">IFERROR(__xludf.dummyfunction("""COMPUTED_VALUE"""),"")</f>
        <v/>
      </c>
      <c r="E16" s="16" t="str">
        <f aca="false">IFERROR(__xludf.dummyfunction("""COMPUTED_VALUE"""),"#REF!")</f>
        <v>#REF!</v>
      </c>
      <c r="F16" s="21"/>
      <c r="G16" s="29"/>
      <c r="H16" s="31"/>
      <c r="I16" s="21"/>
      <c r="J16" s="32" t="str">
        <f aca="false">IFERROR(__xludf.dummyfunction("""COMPUTED_VALUE"""),"")</f>
        <v/>
      </c>
      <c r="K16" s="13" t="str">
        <f aca="false">IFERROR(__xludf.dummyfunction("""COMPUTED_VALUE"""),"")</f>
        <v/>
      </c>
      <c r="L16" s="13" t="str">
        <f aca="false">IFERROR(__xludf.dummyfunction("""COMPUTED_VALUE"""),"")</f>
        <v/>
      </c>
      <c r="M16" s="13" t="str">
        <f aca="false">IFERROR(__xludf.dummyfunction("""COMPUTED_VALUE"""),"")</f>
        <v/>
      </c>
      <c r="N16" s="13" t="str">
        <f aca="false">IFERROR(__xludf.dummyfunction("""COMPUTED_VALUE"""),"")</f>
        <v/>
      </c>
      <c r="O16" s="13" t="str">
        <f aca="false">IFERROR(__xludf.dummyfunction("""COMPUTED_VALUE"""),"")</f>
        <v/>
      </c>
      <c r="P16" s="13" t="str">
        <f aca="false">IFERROR(__xludf.dummyfunction("""COMPUTED_VALUE"""),"")</f>
        <v/>
      </c>
      <c r="Q16" s="13" t="str">
        <f aca="false">IFERROR(__xludf.dummyfunction("""COMPUTED_VALUE"""),"")</f>
        <v/>
      </c>
      <c r="R16" s="13" t="str">
        <f aca="false">IFERROR(__xludf.dummyfunction("""COMPUTED_VALUE"""),"")</f>
        <v/>
      </c>
      <c r="S16" s="13" t="str">
        <f aca="false">IFERROR(__xludf.dummyfunction("""COMPUTED_VALUE"""),"")</f>
        <v/>
      </c>
      <c r="T16" s="13" t="str">
        <f aca="false">IFERROR(__xludf.dummyfunction("""COMPUTED_VALUE"""),"")</f>
        <v/>
      </c>
      <c r="U16" s="13" t="str">
        <f aca="false">IFERROR(__xludf.dummyfunction("""COMPUTED_VALUE"""),"")</f>
        <v/>
      </c>
      <c r="V16" s="13" t="str">
        <f aca="false">IFERROR(__xludf.dummyfunction("""COMPUTED_VALUE"""),"")</f>
        <v/>
      </c>
      <c r="W16" s="16" t="str">
        <f aca="false">IFERROR(__xludf.dummyfunction("""COMPUTED_VALUE"""),"")</f>
        <v/>
      </c>
      <c r="X16" s="21" t="str">
        <f aca="false">IFERROR(__xludf.dummyfunction("""COMPUTED_VALUE"""),"")</f>
        <v/>
      </c>
      <c r="Y16" s="21" t="str">
        <f aca="false">IFERROR(__xludf.dummyfunction("""COMPUTED_VALUE"""),"")</f>
        <v/>
      </c>
      <c r="Z16" s="21" t="str">
        <f aca="false">IFERROR(__xludf.dummyfunction("""COMPUTED_VALUE"""),"")</f>
        <v/>
      </c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</row>
    <row r="17" customFormat="false" ht="15.75" hidden="false" customHeight="false" outlineLevel="0" collapsed="false">
      <c r="A17" s="25" t="str">
        <f aca="false">IFERROR(__xludf.dummyfunction("""COMPUTED_VALUE"""),"Jean ROMAN")</f>
        <v>Jean ROMAN</v>
      </c>
      <c r="B17" s="24" t="str">
        <f aca="false">IFERROR(__xludf.dummyfunction("Filter('Réponses au formulaire 1'!S:S,'Réponses au formulaire 1'!B:B=A17)"),"DPSU")</f>
        <v>DPSU</v>
      </c>
      <c r="C17" s="16" t="s">
        <v>1144</v>
      </c>
      <c r="D17" s="12" t="str">
        <f aca="false">IFERROR(__xludf.dummyfunction("""COMPUTED_VALUE"""),"")</f>
        <v/>
      </c>
      <c r="E17" s="16" t="str">
        <f aca="false">IFERROR(__xludf.dummyfunction("""COMPUTED_VALUE"""),"#REF!")</f>
        <v>#REF!</v>
      </c>
      <c r="F17" s="21"/>
      <c r="G17" s="26" t="s">
        <v>1147</v>
      </c>
      <c r="H17" s="8" t="n">
        <f aca="false">IFERROR(__xludf.dummyfunction("COUNTA(FILTER(1:1,8:8&lt;3))-1"),0)</f>
        <v>0</v>
      </c>
      <c r="I17" s="21"/>
      <c r="J17" s="32" t="str">
        <f aca="false">IFERROR(__xludf.dummyfunction("""COMPUTED_VALUE"""),"")</f>
        <v/>
      </c>
      <c r="K17" s="13" t="str">
        <f aca="false">IFERROR(__xludf.dummyfunction("""COMPUTED_VALUE"""),"")</f>
        <v/>
      </c>
      <c r="L17" s="13" t="str">
        <f aca="false">IFERROR(__xludf.dummyfunction("""COMPUTED_VALUE"""),"")</f>
        <v/>
      </c>
      <c r="M17" s="13" t="str">
        <f aca="false">IFERROR(__xludf.dummyfunction("""COMPUTED_VALUE"""),"")</f>
        <v/>
      </c>
      <c r="N17" s="13" t="str">
        <f aca="false">IFERROR(__xludf.dummyfunction("""COMPUTED_VALUE"""),"")</f>
        <v/>
      </c>
      <c r="O17" s="13" t="str">
        <f aca="false">IFERROR(__xludf.dummyfunction("""COMPUTED_VALUE"""),"")</f>
        <v/>
      </c>
      <c r="P17" s="13" t="str">
        <f aca="false">IFERROR(__xludf.dummyfunction("""COMPUTED_VALUE"""),"")</f>
        <v/>
      </c>
      <c r="Q17" s="13" t="str">
        <f aca="false">IFERROR(__xludf.dummyfunction("""COMPUTED_VALUE"""),"")</f>
        <v/>
      </c>
      <c r="R17" s="13" t="str">
        <f aca="false">IFERROR(__xludf.dummyfunction("""COMPUTED_VALUE"""),"")</f>
        <v/>
      </c>
      <c r="S17" s="13" t="str">
        <f aca="false">IFERROR(__xludf.dummyfunction("""COMPUTED_VALUE"""),"")</f>
        <v/>
      </c>
      <c r="T17" s="13" t="str">
        <f aca="false">IFERROR(__xludf.dummyfunction("""COMPUTED_VALUE"""),"")</f>
        <v/>
      </c>
      <c r="U17" s="13" t="str">
        <f aca="false">IFERROR(__xludf.dummyfunction("""COMPUTED_VALUE"""),"")</f>
        <v/>
      </c>
      <c r="V17" s="13" t="str">
        <f aca="false">IFERROR(__xludf.dummyfunction("""COMPUTED_VALUE"""),"")</f>
        <v/>
      </c>
      <c r="W17" s="16" t="str">
        <f aca="false">IFERROR(__xludf.dummyfunction("""COMPUTED_VALUE"""),"")</f>
        <v/>
      </c>
      <c r="X17" s="21" t="str">
        <f aca="false">IFERROR(__xludf.dummyfunction("""COMPUTED_VALUE"""),"")</f>
        <v/>
      </c>
      <c r="Y17" s="21" t="str">
        <f aca="false">IFERROR(__xludf.dummyfunction("""COMPUTED_VALUE"""),"")</f>
        <v/>
      </c>
      <c r="Z17" s="21" t="str">
        <f aca="false">IFERROR(__xludf.dummyfunction("""COMPUTED_VALUE"""),"")</f>
        <v/>
      </c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</row>
    <row r="18" customFormat="false" ht="15.75" hidden="false" customHeight="false" outlineLevel="0" collapsed="false">
      <c r="A18" s="25" t="str">
        <f aca="false">IFERROR(__xludf.dummyfunction("""COMPUTED_VALUE"""),"Alexis Birée")</f>
        <v>Alexis Birée</v>
      </c>
      <c r="B18" s="24" t="str">
        <f aca="false">IFERROR(__xludf.dummyfunction("Filter('Réponses au formulaire 1'!S:S,'Réponses au formulaire 1'!B:B=A18)"),"Le Bordel")</f>
        <v>Le Bordel</v>
      </c>
      <c r="C18" s="16" t="s">
        <v>1144</v>
      </c>
      <c r="D18" s="12" t="str">
        <f aca="false">IFERROR(__xludf.dummyfunction("""COMPUTED_VALUE"""),"")</f>
        <v/>
      </c>
      <c r="E18" s="16" t="str">
        <f aca="false">IFERROR(__xludf.dummyfunction("""COMPUTED_VALUE"""),"#REF!")</f>
        <v>#REF!</v>
      </c>
      <c r="F18" s="21"/>
      <c r="G18" s="26" t="s">
        <v>1148</v>
      </c>
      <c r="H18" s="8" t="n">
        <f aca="false">IFERROR(__xludf.dummyfunction("AVERAGE(FILTER(8:8,8:8&gt;0))"),4.85245901639344)</f>
        <v>4.852459016</v>
      </c>
      <c r="I18" s="21"/>
      <c r="J18" s="32" t="str">
        <f aca="false">IFERROR(__xludf.dummyfunction("""COMPUTED_VALUE"""),"")</f>
        <v/>
      </c>
      <c r="K18" s="13" t="str">
        <f aca="false">IFERROR(__xludf.dummyfunction("""COMPUTED_VALUE"""),"")</f>
        <v/>
      </c>
      <c r="L18" s="13" t="str">
        <f aca="false">IFERROR(__xludf.dummyfunction("""COMPUTED_VALUE"""),"")</f>
        <v/>
      </c>
      <c r="M18" s="13" t="str">
        <f aca="false">IFERROR(__xludf.dummyfunction("""COMPUTED_VALUE"""),"")</f>
        <v/>
      </c>
      <c r="N18" s="13" t="str">
        <f aca="false">IFERROR(__xludf.dummyfunction("""COMPUTED_VALUE"""),"")</f>
        <v/>
      </c>
      <c r="O18" s="13" t="str">
        <f aca="false">IFERROR(__xludf.dummyfunction("""COMPUTED_VALUE"""),"")</f>
        <v/>
      </c>
      <c r="P18" s="13" t="str">
        <f aca="false">IFERROR(__xludf.dummyfunction("""COMPUTED_VALUE"""),"")</f>
        <v/>
      </c>
      <c r="Q18" s="13" t="str">
        <f aca="false">IFERROR(__xludf.dummyfunction("""COMPUTED_VALUE"""),"")</f>
        <v/>
      </c>
      <c r="R18" s="13" t="str">
        <f aca="false">IFERROR(__xludf.dummyfunction("""COMPUTED_VALUE"""),"")</f>
        <v/>
      </c>
      <c r="S18" s="13" t="str">
        <f aca="false">IFERROR(__xludf.dummyfunction("""COMPUTED_VALUE"""),"")</f>
        <v/>
      </c>
      <c r="T18" s="13" t="str">
        <f aca="false">IFERROR(__xludf.dummyfunction("""COMPUTED_VALUE"""),"")</f>
        <v/>
      </c>
      <c r="U18" s="13" t="str">
        <f aca="false">IFERROR(__xludf.dummyfunction("""COMPUTED_VALUE"""),"")</f>
        <v/>
      </c>
      <c r="V18" s="13" t="str">
        <f aca="false">IFERROR(__xludf.dummyfunction("""COMPUTED_VALUE"""),"")</f>
        <v/>
      </c>
      <c r="W18" s="16" t="str">
        <f aca="false">IFERROR(__xludf.dummyfunction("""COMPUTED_VALUE"""),"")</f>
        <v/>
      </c>
      <c r="X18" s="21" t="str">
        <f aca="false">IFERROR(__xludf.dummyfunction("""COMPUTED_VALUE"""),"")</f>
        <v/>
      </c>
      <c r="Y18" s="21" t="str">
        <f aca="false">IFERROR(__xludf.dummyfunction("""COMPUTED_VALUE"""),"")</f>
        <v/>
      </c>
      <c r="Z18" s="21" t="str">
        <f aca="false">IFERROR(__xludf.dummyfunction("""COMPUTED_VALUE"""),"")</f>
        <v/>
      </c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</row>
    <row r="19" customFormat="false" ht="15.75" hidden="false" customHeight="false" outlineLevel="0" collapsed="false">
      <c r="A19" s="25" t="str">
        <f aca="false">IFERROR(__xludf.dummyfunction("""COMPUTED_VALUE"""),"Jeanne SUDOUR")</f>
        <v>Jeanne SUDOUR</v>
      </c>
      <c r="B19" s="24" t="str">
        <f aca="false">IFERROR(__xludf.dummyfunction("Filter('Réponses au formulaire 1'!S:S,'Réponses au formulaire 1'!B:B=A19)"),"DPSU")</f>
        <v>DPSU</v>
      </c>
      <c r="C19" s="16" t="s">
        <v>1144</v>
      </c>
      <c r="D19" s="12" t="str">
        <f aca="false">IFERROR(__xludf.dummyfunction("""COMPUTED_VALUE"""),"")</f>
        <v/>
      </c>
      <c r="E19" s="16" t="str">
        <f aca="false">IFERROR(__xludf.dummyfunction("""COMPUTED_VALUE"""),"#REF!")</f>
        <v>#REF!</v>
      </c>
      <c r="F19" s="21"/>
      <c r="G19" s="21"/>
      <c r="H19" s="21"/>
      <c r="I19" s="21"/>
      <c r="J19" s="32" t="str">
        <f aca="false">IFERROR(__xludf.dummyfunction("""COMPUTED_VALUE"""),"")</f>
        <v/>
      </c>
      <c r="K19" s="13" t="str">
        <f aca="false">IFERROR(__xludf.dummyfunction("""COMPUTED_VALUE"""),"")</f>
        <v/>
      </c>
      <c r="L19" s="13" t="str">
        <f aca="false">IFERROR(__xludf.dummyfunction("""COMPUTED_VALUE"""),"")</f>
        <v/>
      </c>
      <c r="M19" s="13" t="str">
        <f aca="false">IFERROR(__xludf.dummyfunction("""COMPUTED_VALUE"""),"")</f>
        <v/>
      </c>
      <c r="N19" s="13" t="str">
        <f aca="false">IFERROR(__xludf.dummyfunction("""COMPUTED_VALUE"""),"")</f>
        <v/>
      </c>
      <c r="O19" s="13" t="str">
        <f aca="false">IFERROR(__xludf.dummyfunction("""COMPUTED_VALUE"""),"")</f>
        <v/>
      </c>
      <c r="P19" s="13" t="str">
        <f aca="false">IFERROR(__xludf.dummyfunction("""COMPUTED_VALUE"""),"")</f>
        <v/>
      </c>
      <c r="Q19" s="13" t="str">
        <f aca="false">IFERROR(__xludf.dummyfunction("""COMPUTED_VALUE"""),"")</f>
        <v/>
      </c>
      <c r="R19" s="13" t="str">
        <f aca="false">IFERROR(__xludf.dummyfunction("""COMPUTED_VALUE"""),"")</f>
        <v/>
      </c>
      <c r="S19" s="13" t="str">
        <f aca="false">IFERROR(__xludf.dummyfunction("""COMPUTED_VALUE"""),"")</f>
        <v/>
      </c>
      <c r="T19" s="13" t="str">
        <f aca="false">IFERROR(__xludf.dummyfunction("""COMPUTED_VALUE"""),"")</f>
        <v/>
      </c>
      <c r="U19" s="13" t="str">
        <f aca="false">IFERROR(__xludf.dummyfunction("""COMPUTED_VALUE"""),"")</f>
        <v/>
      </c>
      <c r="V19" s="13" t="str">
        <f aca="false">IFERROR(__xludf.dummyfunction("""COMPUTED_VALUE"""),"")</f>
        <v/>
      </c>
      <c r="W19" s="16" t="str">
        <f aca="false">IFERROR(__xludf.dummyfunction("""COMPUTED_VALUE"""),"")</f>
        <v/>
      </c>
      <c r="X19" s="21" t="str">
        <f aca="false">IFERROR(__xludf.dummyfunction("""COMPUTED_VALUE"""),"")</f>
        <v/>
      </c>
      <c r="Y19" s="21" t="str">
        <f aca="false">IFERROR(__xludf.dummyfunction("""COMPUTED_VALUE"""),"")</f>
        <v/>
      </c>
      <c r="Z19" s="21" t="str">
        <f aca="false">IFERROR(__xludf.dummyfunction("""COMPUTED_VALUE"""),"")</f>
        <v/>
      </c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</row>
    <row r="20" customFormat="false" ht="15.75" hidden="false" customHeight="false" outlineLevel="0" collapsed="false">
      <c r="A20" s="25" t="str">
        <f aca="false">IFERROR(__xludf.dummyfunction("""COMPUTED_VALUE"""),"Laura DRAUX")</f>
        <v>Laura DRAUX</v>
      </c>
      <c r="B20" s="24" t="str">
        <f aca="false">IFERROR(__xludf.dummyfunction("Filter('Réponses au formulaire 1'!S:S,'Réponses au formulaire 1'!B:B=A20)"),"Le Bordel")</f>
        <v>Le Bordel</v>
      </c>
      <c r="C20" s="16" t="s">
        <v>1144</v>
      </c>
      <c r="D20" s="12" t="str">
        <f aca="false">IFERROR(__xludf.dummyfunction("""COMPUTED_VALUE"""),"")</f>
        <v/>
      </c>
      <c r="E20" s="16" t="str">
        <f aca="false">IFERROR(__xludf.dummyfunction("""COMPUTED_VALUE"""),"#REF!")</f>
        <v>#REF!</v>
      </c>
      <c r="F20" s="21"/>
      <c r="G20" s="21"/>
      <c r="H20" s="21"/>
      <c r="I20" s="21"/>
      <c r="J20" s="33" t="str">
        <f aca="false">IFERROR(__xludf.dummyfunction("""COMPUTED_VALUE"""),"")</f>
        <v/>
      </c>
      <c r="K20" s="18" t="str">
        <f aca="false">IFERROR(__xludf.dummyfunction("""COMPUTED_VALUE"""),"")</f>
        <v/>
      </c>
      <c r="L20" s="18" t="str">
        <f aca="false">IFERROR(__xludf.dummyfunction("""COMPUTED_VALUE"""),"")</f>
        <v/>
      </c>
      <c r="M20" s="18" t="str">
        <f aca="false">IFERROR(__xludf.dummyfunction("""COMPUTED_VALUE"""),"")</f>
        <v/>
      </c>
      <c r="N20" s="18" t="str">
        <f aca="false">IFERROR(__xludf.dummyfunction("""COMPUTED_VALUE"""),"")</f>
        <v/>
      </c>
      <c r="O20" s="18" t="str">
        <f aca="false">IFERROR(__xludf.dummyfunction("""COMPUTED_VALUE"""),"")</f>
        <v/>
      </c>
      <c r="P20" s="18" t="str">
        <f aca="false">IFERROR(__xludf.dummyfunction("""COMPUTED_VALUE"""),"")</f>
        <v/>
      </c>
      <c r="Q20" s="18" t="str">
        <f aca="false">IFERROR(__xludf.dummyfunction("""COMPUTED_VALUE"""),"")</f>
        <v/>
      </c>
      <c r="R20" s="18" t="str">
        <f aca="false">IFERROR(__xludf.dummyfunction("""COMPUTED_VALUE"""),"")</f>
        <v/>
      </c>
      <c r="S20" s="18" t="str">
        <f aca="false">IFERROR(__xludf.dummyfunction("""COMPUTED_VALUE"""),"")</f>
        <v/>
      </c>
      <c r="T20" s="18" t="str">
        <f aca="false">IFERROR(__xludf.dummyfunction("""COMPUTED_VALUE"""),"")</f>
        <v/>
      </c>
      <c r="U20" s="18" t="str">
        <f aca="false">IFERROR(__xludf.dummyfunction("""COMPUTED_VALUE"""),"")</f>
        <v/>
      </c>
      <c r="V20" s="18" t="str">
        <f aca="false">IFERROR(__xludf.dummyfunction("""COMPUTED_VALUE"""),"")</f>
        <v/>
      </c>
      <c r="W20" s="19" t="str">
        <f aca="false">IFERROR(__xludf.dummyfunction("""COMPUTED_VALUE"""),"")</f>
        <v/>
      </c>
      <c r="X20" s="21" t="str">
        <f aca="false">IFERROR(__xludf.dummyfunction("""COMPUTED_VALUE"""),"")</f>
        <v/>
      </c>
      <c r="Y20" s="21" t="str">
        <f aca="false">IFERROR(__xludf.dummyfunction("""COMPUTED_VALUE"""),"")</f>
        <v/>
      </c>
      <c r="Z20" s="21" t="str">
        <f aca="false">IFERROR(__xludf.dummyfunction("""COMPUTED_VALUE"""),"")</f>
        <v/>
      </c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</row>
    <row r="21" customFormat="false" ht="15.75" hidden="false" customHeight="false" outlineLevel="0" collapsed="false">
      <c r="A21" s="25" t="str">
        <f aca="false">IFERROR(__xludf.dummyfunction("""COMPUTED_VALUE"""),"Célia CHABRANT")</f>
        <v>Célia CHABRANT</v>
      </c>
      <c r="B21" s="24" t="str">
        <f aca="false">IFERROR(__xludf.dummyfunction("Filter('Réponses au formulaire 1'!S:S,'Réponses au formulaire 1'!B:B=A21)"),"Le Bordel")</f>
        <v>Le Bordel</v>
      </c>
      <c r="C21" s="16" t="s">
        <v>1144</v>
      </c>
      <c r="D21" s="12" t="str">
        <f aca="false">IFERROR(__xludf.dummyfunction("""COMPUTED_VALUE"""),"")</f>
        <v/>
      </c>
      <c r="E21" s="16" t="str">
        <f aca="false">IFERROR(__xludf.dummyfunction("""COMPUTED_VALUE"""),"#REF!")</f>
        <v>#REF!</v>
      </c>
      <c r="F21" s="21"/>
      <c r="G21" s="21"/>
      <c r="H21" s="21"/>
      <c r="I21" s="21"/>
      <c r="J21" s="34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</row>
    <row r="22" customFormat="false" ht="15.75" hidden="false" customHeight="false" outlineLevel="0" collapsed="false">
      <c r="A22" s="25" t="str">
        <f aca="false">IFERROR(__xludf.dummyfunction("""COMPUTED_VALUE"""),"Pablo CARDONA ALVAREZ")</f>
        <v>Pablo CARDONA ALVAREZ</v>
      </c>
      <c r="B22" s="24" t="str">
        <f aca="false">IFERROR(__xludf.dummyfunction("Filter('Réponses au formulaire 1'!S:S,'Réponses au formulaire 1'!B:B=A22)"),"La Glotte")</f>
        <v>La Glotte</v>
      </c>
      <c r="C22" s="16" t="s">
        <v>1144</v>
      </c>
      <c r="D22" s="12" t="str">
        <f aca="false">IFERROR(__xludf.dummyfunction("""COMPUTED_VALUE"""),"")</f>
        <v/>
      </c>
      <c r="E22" s="16" t="str">
        <f aca="false">IFERROR(__xludf.dummyfunction("""COMPUTED_VALUE"""),"#REF!")</f>
        <v>#REF!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</row>
    <row r="23" customFormat="false" ht="15.75" hidden="false" customHeight="false" outlineLevel="0" collapsed="false">
      <c r="A23" s="25" t="str">
        <f aca="false">IFERROR(__xludf.dummyfunction("""COMPUTED_VALUE"""),"Enzo MORI")</f>
        <v>Enzo MORI</v>
      </c>
      <c r="B23" s="24" t="str">
        <f aca="false">IFERROR(__xludf.dummyfunction("Filter('Réponses au formulaire 1'!S:S,'Réponses au formulaire 1'!B:B=A23)"),"Consulm3ow")</f>
        <v>Consulm3ow</v>
      </c>
      <c r="C23" s="16" t="s">
        <v>1144</v>
      </c>
      <c r="D23" s="12" t="str">
        <f aca="false">IFERROR(__xludf.dummyfunction("""COMPUTED_VALUE"""),"")</f>
        <v/>
      </c>
      <c r="E23" s="16" t="str">
        <f aca="false">IFERROR(__xludf.dummyfunction("""COMPUTED_VALUE"""),"#REF!")</f>
        <v>#REF!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</row>
    <row r="24" customFormat="false" ht="15.75" hidden="false" customHeight="false" outlineLevel="0" collapsed="false">
      <c r="A24" s="25" t="str">
        <f aca="false">IFERROR(__xludf.dummyfunction("""COMPUTED_VALUE"""),"Apolline Gorry")</f>
        <v>Apolline Gorry</v>
      </c>
      <c r="B24" s="24" t="str">
        <f aca="false">IFERROR(__xludf.dummyfunction("Filter('Réponses au formulaire 1'!S:S,'Réponses au formulaire 1'!B:B=A24)"),"DPSU")</f>
        <v>DPSU</v>
      </c>
      <c r="C24" s="16" t="s">
        <v>1144</v>
      </c>
      <c r="D24" s="12" t="str">
        <f aca="false">IFERROR(__xludf.dummyfunction("""COMPUTED_VALUE"""),"")</f>
        <v/>
      </c>
      <c r="E24" s="16" t="str">
        <f aca="false">IFERROR(__xludf.dummyfunction("""COMPUTED_VALUE"""),"#REF!")</f>
        <v>#REF!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</row>
    <row r="25" customFormat="false" ht="15.75" hidden="false" customHeight="false" outlineLevel="0" collapsed="false">
      <c r="A25" s="25" t="str">
        <f aca="false">IFERROR(__xludf.dummyfunction("""COMPUTED_VALUE"""),"Victor VINCENT DE LESTRADE")</f>
        <v>Victor VINCENT DE LESTRADE</v>
      </c>
      <c r="B25" s="24" t="str">
        <f aca="false">IFERROR(__xludf.dummyfunction("Filter('Réponses au formulaire 1'!S:S,'Réponses au formulaire 1'!B:B=A25)"),"Consulm3ow")</f>
        <v>Consulm3ow</v>
      </c>
      <c r="C25" s="16" t="s">
        <v>1144</v>
      </c>
      <c r="D25" s="12" t="str">
        <f aca="false">IFERROR(__xludf.dummyfunction("""COMPUTED_VALUE"""),"")</f>
        <v/>
      </c>
      <c r="E25" s="16" t="str">
        <f aca="false">IFERROR(__xludf.dummyfunction("""COMPUTED_VALUE"""),"#REF!")</f>
        <v>#REF!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</row>
    <row r="26" customFormat="false" ht="15.75" hidden="false" customHeight="false" outlineLevel="0" collapsed="false">
      <c r="A26" s="25" t="str">
        <f aca="false">IFERROR(__xludf.dummyfunction("""COMPUTED_VALUE"""),"Mathis BARTHERE")</f>
        <v>Mathis BARTHERE</v>
      </c>
      <c r="B26" s="24" t="str">
        <f aca="false">IFERROR(__xludf.dummyfunction("Filter('Réponses au formulaire 1'!S:S,'Réponses au formulaire 1'!B:B=A26)"),"Consulm3ow")</f>
        <v>Consulm3ow</v>
      </c>
      <c r="C26" s="16" t="s">
        <v>1144</v>
      </c>
      <c r="D26" s="12" t="str">
        <f aca="false">IFERROR(__xludf.dummyfunction("""COMPUTED_VALUE"""),"")</f>
        <v/>
      </c>
      <c r="E26" s="16" t="str">
        <f aca="false">IFERROR(__xludf.dummyfunction("""COMPUTED_VALUE"""),"#REF!")</f>
        <v>#REF!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</row>
    <row r="27" customFormat="false" ht="15.75" hidden="false" customHeight="false" outlineLevel="0" collapsed="false">
      <c r="A27" s="25" t="str">
        <f aca="false">IFERROR(__xludf.dummyfunction("""COMPUTED_VALUE"""),"Andrew FONDJO")</f>
        <v>Andrew FONDJO</v>
      </c>
      <c r="B27" s="24" t="str">
        <f aca="false">IFERROR(__xludf.dummyfunction("Filter('Réponses au formulaire 1'!S:S,'Réponses au formulaire 1'!B:B=A27)"),"Le CONSULM3OW")</f>
        <v>Le CONSULM3OW</v>
      </c>
      <c r="C27" s="16" t="s">
        <v>1144</v>
      </c>
      <c r="D27" s="12" t="str">
        <f aca="false">IFERROR(__xludf.dummyfunction("""COMPUTED_VALUE"""),"")</f>
        <v/>
      </c>
      <c r="E27" s="16" t="str">
        <f aca="false">IFERROR(__xludf.dummyfunction("""COMPUTED_VALUE"""),"#REF!")</f>
        <v>#REF!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</row>
    <row r="28" customFormat="false" ht="15.75" hidden="false" customHeight="false" outlineLevel="0" collapsed="false">
      <c r="A28" s="25" t="str">
        <f aca="false">IFERROR(__xludf.dummyfunction("""COMPUTED_VALUE"""),"Laura BOIS")</f>
        <v>Laura BOIS</v>
      </c>
      <c r="B28" s="24" t="str">
        <f aca="false">IFERROR(__xludf.dummyfunction("Filter('Réponses au formulaire 1'!S:S,'Réponses au formulaire 1'!B:B=A28)"),"Le Zoo ")</f>
        <v>Le Zoo </v>
      </c>
      <c r="C28" s="16" t="s">
        <v>1144</v>
      </c>
      <c r="D28" s="12" t="str">
        <f aca="false">IFERROR(__xludf.dummyfunction("""COMPUTED_VALUE"""),"")</f>
        <v/>
      </c>
      <c r="E28" s="16" t="str">
        <f aca="false">IFERROR(__xludf.dummyfunction("""COMPUTED_VALUE"""),"#REF!")</f>
        <v>#REF!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</row>
    <row r="29" customFormat="false" ht="15.75" hidden="false" customHeight="false" outlineLevel="0" collapsed="false">
      <c r="A29" s="25" t="str">
        <f aca="false">IFERROR(__xludf.dummyfunction("""COMPUTED_VALUE"""),"Guillaume SALUDEN")</f>
        <v>Guillaume SALUDEN</v>
      </c>
      <c r="B29" s="24" t="str">
        <f aca="false">IFERROR(__xludf.dummyfunction("Filter('Réponses au formulaire 1'!S:S,'Réponses au formulaire 1'!B:B=A29)"),"Beurre salé &amp; chocolatine")</f>
        <v>Beurre salé &amp; chocolatine</v>
      </c>
      <c r="C29" s="16" t="s">
        <v>1144</v>
      </c>
      <c r="D29" s="12" t="str">
        <f aca="false">IFERROR(__xludf.dummyfunction("""COMPUTED_VALUE"""),"")</f>
        <v/>
      </c>
      <c r="E29" s="16" t="str">
        <f aca="false">IFERROR(__xludf.dummyfunction("""COMPUTED_VALUE"""),"#REF!")</f>
        <v>#REF!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</row>
    <row r="30" customFormat="false" ht="15.75" hidden="false" customHeight="false" outlineLevel="0" collapsed="false">
      <c r="A30" s="25" t="str">
        <f aca="false">IFERROR(__xludf.dummyfunction("""COMPUTED_VALUE"""),"Dimitri DEGONHIER")</f>
        <v>Dimitri DEGONHIER</v>
      </c>
      <c r="B30" s="24" t="str">
        <f aca="false">IFERROR(__xludf.dummyfunction("Filter('Réponses au formulaire 1'!S:S,'Réponses au formulaire 1'!B:B=A30)"),"Le Zoo")</f>
        <v>Le Zoo</v>
      </c>
      <c r="C30" s="16" t="s">
        <v>1144</v>
      </c>
      <c r="D30" s="12" t="str">
        <f aca="false">IFERROR(__xludf.dummyfunction("""COMPUTED_VALUE"""),"")</f>
        <v/>
      </c>
      <c r="E30" s="16" t="str">
        <f aca="false">IFERROR(__xludf.dummyfunction("""COMPUTED_VALUE"""),"#REF!")</f>
        <v>#REF!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</row>
    <row r="31" customFormat="false" ht="15.75" hidden="false" customHeight="false" outlineLevel="0" collapsed="false">
      <c r="A31" s="25" t="str">
        <f aca="false">IFERROR(__xludf.dummyfunction("""COMPUTED_VALUE"""),"André D'ELBREIL")</f>
        <v>André D'ELBREIL</v>
      </c>
      <c r="B31" s="24" t="str">
        <f aca="false">IFERROR(__xludf.dummyfunction("Filter('Réponses au formulaire 1'!S:S,'Réponses au formulaire 1'!B:B=A31)"),"Le Zoo")</f>
        <v>Le Zoo</v>
      </c>
      <c r="C31" s="16" t="s">
        <v>1144</v>
      </c>
      <c r="D31" s="12" t="str">
        <f aca="false">IFERROR(__xludf.dummyfunction("""COMPUTED_VALUE"""),"")</f>
        <v/>
      </c>
      <c r="E31" s="16" t="str">
        <f aca="false">IFERROR(__xludf.dummyfunction("""COMPUTED_VALUE"""),"#REF!")</f>
        <v>#REF!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</row>
    <row r="32" customFormat="false" ht="15.75" hidden="false" customHeight="false" outlineLevel="0" collapsed="false">
      <c r="A32" s="25" t="str">
        <f aca="false">IFERROR(__xludf.dummyfunction("""COMPUTED_VALUE"""),"Louis Duhem")</f>
        <v>Louis Duhem</v>
      </c>
      <c r="B32" s="24" t="str">
        <f aca="false">IFERROR(__xludf.dummyfunction("Filter('Réponses au formulaire 1'!S:S,'Réponses au formulaire 1'!B:B=A32)"),"Les domineurs")</f>
        <v>Les domineurs</v>
      </c>
      <c r="C32" s="16" t="s">
        <v>1144</v>
      </c>
      <c r="D32" s="12" t="str">
        <f aca="false">IFERROR(__xludf.dummyfunction("""COMPUTED_VALUE"""),"")</f>
        <v/>
      </c>
      <c r="E32" s="16" t="str">
        <f aca="false">IFERROR(__xludf.dummyfunction("""COMPUTED_VALUE"""),"#REF!")</f>
        <v>#REF!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</row>
    <row r="33" customFormat="false" ht="15.75" hidden="false" customHeight="false" outlineLevel="0" collapsed="false">
      <c r="A33" s="25" t="str">
        <f aca="false">IFERROR(__xludf.dummyfunction("""COMPUTED_VALUE"""),"Maximin TOURAILLE")</f>
        <v>Maximin TOURAILLE</v>
      </c>
      <c r="B33" s="24" t="str">
        <f aca="false">IFERROR(__xludf.dummyfunction("Filter('Réponses au formulaire 1'!S:S,'Réponses au formulaire 1'!B:B=A33)"),"Le Zoo")</f>
        <v>Le Zoo</v>
      </c>
      <c r="C33" s="16" t="s">
        <v>1144</v>
      </c>
      <c r="D33" s="12" t="str">
        <f aca="false">IFERROR(__xludf.dummyfunction("""COMPUTED_VALUE"""),"")</f>
        <v/>
      </c>
      <c r="E33" s="16" t="str">
        <f aca="false">IFERROR(__xludf.dummyfunction("""COMPUTED_VALUE"""),"#REF!")</f>
        <v>#REF!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</row>
    <row r="34" customFormat="false" ht="15.75" hidden="false" customHeight="false" outlineLevel="0" collapsed="false">
      <c r="A34" s="25" t="str">
        <f aca="false">IFERROR(__xludf.dummyfunction("""COMPUTED_VALUE"""),"Gonzalez JoseRi 😇")</f>
        <v>Gonzalez JoseRi 😇</v>
      </c>
      <c r="B34" s="24" t="str">
        <f aca="false">IFERROR(__xludf.dummyfunction("Filter('Réponses au formulaire 1'!S:S,'Réponses au formulaire 1'!B:B=A34)"),"Beurre salé &amp; chocolatine")</f>
        <v>Beurre salé &amp; chocolatine</v>
      </c>
      <c r="C34" s="16" t="s">
        <v>1144</v>
      </c>
      <c r="D34" s="12" t="str">
        <f aca="false">IFERROR(__xludf.dummyfunction("""COMPUTED_VALUE"""),"")</f>
        <v/>
      </c>
      <c r="E34" s="16" t="str">
        <f aca="false">IFERROR(__xludf.dummyfunction("""COMPUTED_VALUE"""),"#REF!")</f>
        <v>#REF!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</row>
    <row r="35" customFormat="false" ht="15.75" hidden="false" customHeight="false" outlineLevel="0" collapsed="false">
      <c r="A35" s="25" t="str">
        <f aca="false">IFERROR(__xludf.dummyfunction("""COMPUTED_VALUE"""),"Jeremy Garcia")</f>
        <v>Jeremy Garcia</v>
      </c>
      <c r="B35" s="24" t="str">
        <f aca="false">IFERROR(__xludf.dummyfunction("Filter('Réponses au formulaire 1'!S:S,'Réponses au formulaire 1'!B:B=A35)"),"Beurre Salé &amp; Chocolatine  ")</f>
        <v>Beurre Salé &amp; Chocolatine  </v>
      </c>
      <c r="C35" s="16" t="s">
        <v>1144</v>
      </c>
      <c r="D35" s="12" t="str">
        <f aca="false">IFERROR(__xludf.dummyfunction("""COMPUTED_VALUE"""),"")</f>
        <v/>
      </c>
      <c r="E35" s="16" t="str">
        <f aca="false">IFERROR(__xludf.dummyfunction("""COMPUTED_VALUE"""),"#REF!")</f>
        <v>#REF!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</row>
    <row r="36" customFormat="false" ht="15.75" hidden="false" customHeight="false" outlineLevel="0" collapsed="false">
      <c r="A36" s="25" t="str">
        <f aca="false">IFERROR(__xludf.dummyfunction("""COMPUTED_VALUE"""),"Maxence FORT")</f>
        <v>Maxence FORT</v>
      </c>
      <c r="B36" s="24" t="str">
        <f aca="false">IFERROR(__xludf.dummyfunction("Filter('Réponses au formulaire 1'!S:S,'Réponses au formulaire 1'!B:B=A36)"),"Beurre salé &amp; chocolatine")</f>
        <v>Beurre salé &amp; chocolatine</v>
      </c>
      <c r="C36" s="16" t="s">
        <v>1144</v>
      </c>
      <c r="D36" s="12" t="str">
        <f aca="false">IFERROR(__xludf.dummyfunction("""COMPUTED_VALUE"""),"")</f>
        <v/>
      </c>
      <c r="E36" s="16" t="str">
        <f aca="false">IFERROR(__xludf.dummyfunction("""COMPUTED_VALUE"""),"#REF!")</f>
        <v>#REF!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</row>
    <row r="37" customFormat="false" ht="15.75" hidden="false" customHeight="false" outlineLevel="0" collapsed="false">
      <c r="A37" s="25" t="str">
        <f aca="false">IFERROR(__xludf.dummyfunction("""COMPUTED_VALUE"""),"Adrien COCHARD")</f>
        <v>Adrien COCHARD</v>
      </c>
      <c r="B37" s="24" t="str">
        <f aca="false">IFERROR(__xludf.dummyfunction("Filter('Réponses au formulaire 1'!S:S,'Réponses au formulaire 1'!B:B=A37)"),"La Comté")</f>
        <v>La Comté</v>
      </c>
      <c r="C37" s="16" t="s">
        <v>1144</v>
      </c>
      <c r="D37" s="12" t="str">
        <f aca="false">IFERROR(__xludf.dummyfunction("""COMPUTED_VALUE"""),"")</f>
        <v/>
      </c>
      <c r="E37" s="16" t="str">
        <f aca="false">IFERROR(__xludf.dummyfunction("""COMPUTED_VALUE"""),"#REF!")</f>
        <v>#REF!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</row>
    <row r="38" customFormat="false" ht="15.75" hidden="false" customHeight="false" outlineLevel="0" collapsed="false">
      <c r="A38" s="25" t="str">
        <f aca="false">IFERROR(__xludf.dummyfunction("""COMPUTED_VALUE"""),"Tom Aubelle")</f>
        <v>Tom Aubelle</v>
      </c>
      <c r="B38" s="24" t="str">
        <f aca="false">IFERROR(__xludf.dummyfunction("Filter('Réponses au formulaire 1'!S:S,'Réponses au formulaire 1'!B:B=A38)"),"La chevroll's ")</f>
        <v>La chevroll's </v>
      </c>
      <c r="C38" s="16" t="s">
        <v>1144</v>
      </c>
      <c r="D38" s="12" t="str">
        <f aca="false">IFERROR(__xludf.dummyfunction("""COMPUTED_VALUE"""),"")</f>
        <v/>
      </c>
      <c r="E38" s="16" t="str">
        <f aca="false">IFERROR(__xludf.dummyfunction("""COMPUTED_VALUE"""),"#REF!")</f>
        <v>#REF!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</row>
    <row r="39" customFormat="false" ht="15.75" hidden="false" customHeight="false" outlineLevel="0" collapsed="false">
      <c r="A39" s="25" t="str">
        <f aca="false">IFERROR(__xludf.dummyfunction("""COMPUTED_VALUE"""),"Joanna MARTIN")</f>
        <v>Joanna MARTIN</v>
      </c>
      <c r="B39" s="24" t="str">
        <f aca="false">IFERROR(__xludf.dummyfunction("Filter('Réponses au formulaire 1'!S:S,'Réponses au formulaire 1'!B:B=A39)"),"La Chevroll’s")</f>
        <v>La Chevroll’s</v>
      </c>
      <c r="C39" s="16" t="s">
        <v>1144</v>
      </c>
      <c r="D39" s="12" t="str">
        <f aca="false">IFERROR(__xludf.dummyfunction("""COMPUTED_VALUE"""),"")</f>
        <v/>
      </c>
      <c r="E39" s="16" t="str">
        <f aca="false">IFERROR(__xludf.dummyfunction("""COMPUTED_VALUE"""),"#REF!")</f>
        <v>#REF!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</row>
    <row r="40" customFormat="false" ht="15.75" hidden="false" customHeight="false" outlineLevel="0" collapsed="false">
      <c r="A40" s="25" t="str">
        <f aca="false">IFERROR(__xludf.dummyfunction("""COMPUTED_VALUE"""),"Pauline Viault")</f>
        <v>Pauline Viault</v>
      </c>
      <c r="B40" s="24" t="str">
        <f aca="false">IFERROR(__xludf.dummyfunction("Filter('Réponses au formulaire 1'!S:S,'Réponses au formulaire 1'!B:B=A40)"),"La Comté ")</f>
        <v>La Comté </v>
      </c>
      <c r="C40" s="16" t="s">
        <v>1144</v>
      </c>
      <c r="D40" s="12" t="str">
        <f aca="false">IFERROR(__xludf.dummyfunction("""COMPUTED_VALUE"""),"")</f>
        <v/>
      </c>
      <c r="E40" s="16" t="str">
        <f aca="false">IFERROR(__xludf.dummyfunction("""COMPUTED_VALUE"""),"#REF!")</f>
        <v>#REF!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</row>
    <row r="41" customFormat="false" ht="15.75" hidden="false" customHeight="false" outlineLevel="0" collapsed="false">
      <c r="A41" s="25" t="str">
        <f aca="false">IFERROR(__xludf.dummyfunction("""COMPUTED_VALUE"""),"Laurine DECROS")</f>
        <v>Laurine DECROS</v>
      </c>
      <c r="B41" s="24" t="str">
        <f aca="false">IFERROR(__xludf.dummyfunction("Filter('Réponses au formulaire 1'!S:S,'Réponses au formulaire 1'!B:B=A41)"),"La Comté")</f>
        <v>La Comté</v>
      </c>
      <c r="C41" s="16" t="s">
        <v>1144</v>
      </c>
      <c r="D41" s="12" t="str">
        <f aca="false">IFERROR(__xludf.dummyfunction("""COMPUTED_VALUE"""),"")</f>
        <v/>
      </c>
      <c r="E41" s="16" t="str">
        <f aca="false">IFERROR(__xludf.dummyfunction("""COMPUTED_VALUE"""),"#REF!")</f>
        <v>#REF!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</row>
    <row r="42" customFormat="false" ht="15.75" hidden="false" customHeight="false" outlineLevel="0" collapsed="false">
      <c r="A42" s="25" t="str">
        <f aca="false">IFERROR(__xludf.dummyfunction("""COMPUTED_VALUE"""),"Suzanne COUTELOU")</f>
        <v>Suzanne COUTELOU</v>
      </c>
      <c r="B42" s="24" t="str">
        <f aca="false">IFERROR(__xludf.dummyfunction("Filter('Réponses au formulaire 1'!S:S,'Réponses au formulaire 1'!B:B=A42)"),"La Comté")</f>
        <v>La Comté</v>
      </c>
      <c r="C42" s="16" t="s">
        <v>1144</v>
      </c>
      <c r="D42" s="12" t="str">
        <f aca="false">IFERROR(__xludf.dummyfunction("""COMPUTED_VALUE"""),"")</f>
        <v/>
      </c>
      <c r="E42" s="16" t="str">
        <f aca="false">IFERROR(__xludf.dummyfunction("""COMPUTED_VALUE"""),"#REF!")</f>
        <v>#REF!</v>
      </c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</row>
    <row r="43" customFormat="false" ht="15.75" hidden="false" customHeight="false" outlineLevel="0" collapsed="false">
      <c r="A43" s="25" t="str">
        <f aca="false">IFERROR(__xludf.dummyfunction("""COMPUTED_VALUE"""),"Hugo DOUX")</f>
        <v>Hugo DOUX</v>
      </c>
      <c r="B43" s="24" t="str">
        <f aca="false">IFERROR(__xludf.dummyfunction("Filter('Réponses au formulaire 1'!S:S,'Réponses au formulaire 1'!B:B=A43)"),"La Comté ")</f>
        <v>La Comté </v>
      </c>
      <c r="C43" s="16" t="s">
        <v>1144</v>
      </c>
      <c r="D43" s="12" t="str">
        <f aca="false">IFERROR(__xludf.dummyfunction("""COMPUTED_VALUE"""),"")</f>
        <v/>
      </c>
      <c r="E43" s="16" t="str">
        <f aca="false">IFERROR(__xludf.dummyfunction("""COMPUTED_VALUE"""),"#REF!")</f>
        <v>#REF!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</row>
    <row r="44" customFormat="false" ht="15.75" hidden="false" customHeight="false" outlineLevel="0" collapsed="false">
      <c r="A44" s="25" t="str">
        <f aca="false">IFERROR(__xludf.dummyfunction("""COMPUTED_VALUE"""),"Alexandre VURLOD")</f>
        <v>Alexandre VURLOD</v>
      </c>
      <c r="B44" s="24" t="str">
        <f aca="false">IFERROR(__xludf.dummyfunction("Filter('Réponses au formulaire 1'!S:S,'Réponses au formulaire 1'!B:B=A44)"),"La Chevroll's")</f>
        <v>La Chevroll's</v>
      </c>
      <c r="C44" s="16" t="s">
        <v>1144</v>
      </c>
      <c r="D44" s="12" t="str">
        <f aca="false">IFERROR(__xludf.dummyfunction("""COMPUTED_VALUE"""),"")</f>
        <v/>
      </c>
      <c r="E44" s="16" t="str">
        <f aca="false">IFERROR(__xludf.dummyfunction("""COMPUTED_VALUE"""),"#REF!")</f>
        <v>#REF!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</row>
    <row r="45" customFormat="false" ht="15.75" hidden="false" customHeight="false" outlineLevel="0" collapsed="false">
      <c r="A45" s="25" t="str">
        <f aca="false">IFERROR(__xludf.dummyfunction("""COMPUTED_VALUE"""),"Julie Ugolini")</f>
        <v>Julie Ugolini</v>
      </c>
      <c r="B45" s="24" t="str">
        <f aca="false">IFERROR(__xludf.dummyfunction("Filter('Réponses au formulaire 1'!S:S,'Réponses au formulaire 1'!B:B=A45)"),"La tracharnasse ")</f>
        <v>La tracharnasse </v>
      </c>
      <c r="C45" s="16" t="s">
        <v>1144</v>
      </c>
      <c r="D45" s="12" t="str">
        <f aca="false">IFERROR(__xludf.dummyfunction("""COMPUTED_VALUE"""),"")</f>
        <v/>
      </c>
      <c r="E45" s="16" t="str">
        <f aca="false">IFERROR(__xludf.dummyfunction("""COMPUTED_VALUE"""),"#REF!")</f>
        <v>#REF!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</row>
    <row r="46" customFormat="false" ht="15.75" hidden="false" customHeight="false" outlineLevel="0" collapsed="false">
      <c r="A46" s="25" t="str">
        <f aca="false">IFERROR(__xludf.dummyfunction("""COMPUTED_VALUE"""),"Marie POIRIER")</f>
        <v>Marie POIRIER</v>
      </c>
      <c r="B46" s="24" t="str">
        <f aca="false">IFERROR(__xludf.dummyfunction("Filter('Réponses au formulaire 1'!S:S,'Réponses au formulaire 1'!B:B=A46)"),"La Tracharnasse")</f>
        <v>La Tracharnasse</v>
      </c>
      <c r="C46" s="16" t="s">
        <v>1144</v>
      </c>
      <c r="D46" s="12" t="str">
        <f aca="false">IFERROR(__xludf.dummyfunction("""COMPUTED_VALUE"""),"")</f>
        <v/>
      </c>
      <c r="E46" s="16" t="str">
        <f aca="false">IFERROR(__xludf.dummyfunction("""COMPUTED_VALUE"""),"#REF!")</f>
        <v>#REF!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</row>
    <row r="47" customFormat="false" ht="15.75" hidden="false" customHeight="false" outlineLevel="0" collapsed="false">
      <c r="A47" s="25" t="str">
        <f aca="false">IFERROR(__xludf.dummyfunction("""COMPUTED_VALUE"""),"Tony MARTINEAU")</f>
        <v>Tony MARTINEAU</v>
      </c>
      <c r="B47" s="24" t="str">
        <f aca="false">IFERROR(__xludf.dummyfunction("Filter('Réponses au formulaire 1'!S:S,'Réponses au formulaire 1'!B:B=A47)"),"La Chevroll's")</f>
        <v>La Chevroll's</v>
      </c>
      <c r="C47" s="16" t="s">
        <v>1144</v>
      </c>
      <c r="D47" s="12" t="str">
        <f aca="false">IFERROR(__xludf.dummyfunction("""COMPUTED_VALUE"""),"")</f>
        <v/>
      </c>
      <c r="E47" s="16" t="str">
        <f aca="false">IFERROR(__xludf.dummyfunction("""COMPUTED_VALUE"""),"#REF!")</f>
        <v>#REF!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</row>
    <row r="48" customFormat="false" ht="15.75" hidden="false" customHeight="false" outlineLevel="0" collapsed="false">
      <c r="A48" s="25" t="str">
        <f aca="false">IFERROR(__xludf.dummyfunction("""COMPUTED_VALUE"""),"Maelig GABORIEAU")</f>
        <v>Maelig GABORIEAU</v>
      </c>
      <c r="B48" s="24" t="str">
        <f aca="false">IFERROR(__xludf.dummyfunction("Filter('Réponses au formulaire 1'!S:S,'Réponses au formulaire 1'!B:B=A48)"),"La Glotte ")</f>
        <v>La Glotte </v>
      </c>
      <c r="C48" s="16" t="s">
        <v>1144</v>
      </c>
      <c r="D48" s="12" t="str">
        <f aca="false">IFERROR(__xludf.dummyfunction("""COMPUTED_VALUE"""),"")</f>
        <v/>
      </c>
      <c r="E48" s="16" t="str">
        <f aca="false">IFERROR(__xludf.dummyfunction("""COMPUTED_VALUE"""),"#REF!")</f>
        <v>#REF!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</row>
    <row r="49" customFormat="false" ht="15.75" hidden="false" customHeight="false" outlineLevel="0" collapsed="false">
      <c r="A49" s="25" t="str">
        <f aca="false">IFERROR(__xludf.dummyfunction("""COMPUTED_VALUE"""),"Marc de Ponnat")</f>
        <v>Marc de Ponnat</v>
      </c>
      <c r="B49" s="24" t="str">
        <f aca="false">IFERROR(__xludf.dummyfunction("Filter('Réponses au formulaire 1'!S:S,'Réponses au formulaire 1'!B:B=A49)"),"La Tracharnasse")</f>
        <v>La Tracharnasse</v>
      </c>
      <c r="C49" s="16" t="s">
        <v>1144</v>
      </c>
      <c r="D49" s="12" t="str">
        <f aca="false">IFERROR(__xludf.dummyfunction("""COMPUTED_VALUE"""),"")</f>
        <v/>
      </c>
      <c r="E49" s="16" t="str">
        <f aca="false">IFERROR(__xludf.dummyfunction("""COMPUTED_VALUE"""),"#REF!")</f>
        <v>#REF!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</row>
    <row r="50" customFormat="false" ht="15.75" hidden="false" customHeight="false" outlineLevel="0" collapsed="false">
      <c r="A50" s="25" t="str">
        <f aca="false">IFERROR(__xludf.dummyfunction("""COMPUTED_VALUE"""),"Vincent PASCAT")</f>
        <v>Vincent PASCAT</v>
      </c>
      <c r="B50" s="24" t="str">
        <f aca="false">IFERROR(__xludf.dummyfunction("Filter('Réponses au formulaire 1'!S:S,'Réponses au formulaire 1'!B:B=A50)"),"Les domineurs ")</f>
        <v>Les domineurs </v>
      </c>
      <c r="C50" s="16" t="s">
        <v>1144</v>
      </c>
      <c r="D50" s="12" t="str">
        <f aca="false">IFERROR(__xludf.dummyfunction("""COMPUTED_VALUE"""),"")</f>
        <v/>
      </c>
      <c r="E50" s="16" t="str">
        <f aca="false">IFERROR(__xludf.dummyfunction("""COMPUTED_VALUE"""),"#REF!")</f>
        <v>#REF!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</row>
    <row r="51" customFormat="false" ht="15.75" hidden="false" customHeight="false" outlineLevel="0" collapsed="false">
      <c r="A51" s="25" t="str">
        <f aca="false">IFERROR(__xludf.dummyfunction("""COMPUTED_VALUE"""),"Matthieu Brunot")</f>
        <v>Matthieu Brunot</v>
      </c>
      <c r="B51" s="24" t="str">
        <f aca="false">IFERROR(__xludf.dummyfunction("Filter('Réponses au formulaire 1'!S:S,'Réponses au formulaire 1'!B:B=A51)"),"La Tracharnasse")</f>
        <v>La Tracharnasse</v>
      </c>
      <c r="C51" s="16" t="s">
        <v>1144</v>
      </c>
      <c r="D51" s="12" t="str">
        <f aca="false">IFERROR(__xludf.dummyfunction("""COMPUTED_VALUE"""),"")</f>
        <v/>
      </c>
      <c r="E51" s="16" t="str">
        <f aca="false">IFERROR(__xludf.dummyfunction("""COMPUTED_VALUE"""),"#REF!")</f>
        <v>#REF!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</row>
    <row r="52" customFormat="false" ht="15.75" hidden="false" customHeight="false" outlineLevel="0" collapsed="false">
      <c r="A52" s="25" t="str">
        <f aca="false">IFERROR(__xludf.dummyfunction("""COMPUTED_VALUE"""),"Julien Bomberault")</f>
        <v>Julien Bomberault</v>
      </c>
      <c r="B52" s="24" t="str">
        <f aca="false">IFERROR(__xludf.dummyfunction("Filter('Réponses au formulaire 1'!S:S,'Réponses au formulaire 1'!B:B=A52)"),"La Tracharnasse")</f>
        <v>La Tracharnasse</v>
      </c>
      <c r="C52" s="16" t="s">
        <v>1144</v>
      </c>
      <c r="D52" s="12" t="str">
        <f aca="false">IFERROR(__xludf.dummyfunction("""COMPUTED_VALUE"""),"")</f>
        <v/>
      </c>
      <c r="E52" s="16" t="str">
        <f aca="false">IFERROR(__xludf.dummyfunction("""COMPUTED_VALUE"""),"#REF!")</f>
        <v>#REF!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</row>
    <row r="53" customFormat="false" ht="15.75" hidden="false" customHeight="false" outlineLevel="0" collapsed="false">
      <c r="A53" s="25" t="str">
        <f aca="false">IFERROR(__xludf.dummyfunction("""COMPUTED_VALUE"""),"Carmen SORIA")</f>
        <v>Carmen SORIA</v>
      </c>
      <c r="B53" s="24" t="str">
        <f aca="false">IFERROR(__xludf.dummyfunction("Filter('Réponses au formulaire 1'!S:S,'Réponses au formulaire 1'!B:B=A53)"),"La Glotte")</f>
        <v>La Glotte</v>
      </c>
      <c r="C53" s="16" t="s">
        <v>1144</v>
      </c>
      <c r="D53" s="12" t="str">
        <f aca="false">IFERROR(__xludf.dummyfunction("""COMPUTED_VALUE"""),"")</f>
        <v/>
      </c>
      <c r="E53" s="16" t="str">
        <f aca="false">IFERROR(__xludf.dummyfunction("""COMPUTED_VALUE"""),"#REF!")</f>
        <v>#REF!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</row>
    <row r="54" customFormat="false" ht="15.75" hidden="false" customHeight="false" outlineLevel="0" collapsed="false">
      <c r="A54" s="25" t="str">
        <f aca="false">IFERROR(__xludf.dummyfunction("""COMPUTED_VALUE"""),"Constance Kooyman")</f>
        <v>Constance Kooyman</v>
      </c>
      <c r="B54" s="24" t="str">
        <f aca="false">IFERROR(__xludf.dummyfunction("Filter('Réponses au formulaire 1'!S:S,'Réponses au formulaire 1'!B:B=A54)"),"Waltherock")</f>
        <v>Waltherock</v>
      </c>
      <c r="C54" s="16" t="s">
        <v>1144</v>
      </c>
      <c r="D54" s="12" t="str">
        <f aca="false">IFERROR(__xludf.dummyfunction("""COMPUTED_VALUE"""),"")</f>
        <v/>
      </c>
      <c r="E54" s="16" t="str">
        <f aca="false">IFERROR(__xludf.dummyfunction("""COMPUTED_VALUE"""),"#REF!")</f>
        <v>#REF!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</row>
    <row r="55" customFormat="false" ht="15.75" hidden="false" customHeight="false" outlineLevel="0" collapsed="false">
      <c r="A55" s="25" t="str">
        <f aca="false">IFERROR(__xludf.dummyfunction("""COMPUTED_VALUE"""),"Damien GUYONVARCH")</f>
        <v>Damien GUYONVARCH</v>
      </c>
      <c r="B55" s="24" t="str">
        <f aca="false">IFERROR(__xludf.dummyfunction("Filter('Réponses au formulaire 1'!S:S,'Réponses au formulaire 1'!B:B=A55)"),"Waltherock")</f>
        <v>Waltherock</v>
      </c>
      <c r="C55" s="16" t="s">
        <v>1144</v>
      </c>
      <c r="D55" s="12" t="str">
        <f aca="false">IFERROR(__xludf.dummyfunction("""COMPUTED_VALUE"""),"")</f>
        <v/>
      </c>
      <c r="E55" s="16" t="str">
        <f aca="false">IFERROR(__xludf.dummyfunction("""COMPUTED_VALUE"""),"#REF!")</f>
        <v>#REF!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</row>
    <row r="56" customFormat="false" ht="15.75" hidden="false" customHeight="false" outlineLevel="0" collapsed="false">
      <c r="A56" s="25" t="str">
        <f aca="false">IFERROR(__xludf.dummyfunction("""COMPUTED_VALUE"""),"Florent COLLOCH")</f>
        <v>Florent COLLOCH</v>
      </c>
      <c r="B56" s="24" t="str">
        <f aca="false">IFERROR(__xludf.dummyfunction("Filter('Réponses au formulaire 1'!S:S,'Réponses au formulaire 1'!B:B=A56)"),"Waltherock")</f>
        <v>Waltherock</v>
      </c>
      <c r="C56" s="16" t="s">
        <v>1144</v>
      </c>
      <c r="D56" s="12" t="str">
        <f aca="false">IFERROR(__xludf.dummyfunction("""COMPUTED_VALUE"""),"")</f>
        <v/>
      </c>
      <c r="E56" s="16" t="str">
        <f aca="false">IFERROR(__xludf.dummyfunction("""COMPUTED_VALUE"""),"#REF!")</f>
        <v>#REF!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</row>
    <row r="57" customFormat="false" ht="15.75" hidden="false" customHeight="false" outlineLevel="0" collapsed="false">
      <c r="A57" s="25" t="str">
        <f aca="false">IFERROR(__xludf.dummyfunction("""COMPUTED_VALUE"""),"Adrien RIDOUARD")</f>
        <v>Adrien RIDOUARD</v>
      </c>
      <c r="B57" s="24" t="str">
        <f aca="false">IFERROR(__xludf.dummyfunction("Filter('Réponses au formulaire 1'!S:S,'Réponses au formulaire 1'!B:B=A57)"),"Waltherock")</f>
        <v>Waltherock</v>
      </c>
      <c r="C57" s="16" t="s">
        <v>1144</v>
      </c>
      <c r="D57" s="12" t="str">
        <f aca="false">IFERROR(__xludf.dummyfunction("""COMPUTED_VALUE"""),"")</f>
        <v/>
      </c>
      <c r="E57" s="16" t="str">
        <f aca="false">IFERROR(__xludf.dummyfunction("""COMPUTED_VALUE"""),"#REF!")</f>
        <v>#REF!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</row>
    <row r="58" customFormat="false" ht="15.75" hidden="false" customHeight="false" outlineLevel="0" collapsed="false">
      <c r="A58" s="25" t="str">
        <f aca="false">IFERROR(__xludf.dummyfunction("""COMPUTED_VALUE"""),"Lucas MIRANDE")</f>
        <v>Lucas MIRANDE</v>
      </c>
      <c r="B58" s="24" t="str">
        <f aca="false">IFERROR(__xludf.dummyfunction("Filter('Réponses au formulaire 1'!S:S,'Réponses au formulaire 1'!B:B=A58)"),"Les domineurs")</f>
        <v>Les domineurs</v>
      </c>
      <c r="C58" s="16" t="s">
        <v>1144</v>
      </c>
      <c r="D58" s="12" t="str">
        <f aca="false">IFERROR(__xludf.dummyfunction("""COMPUTED_VALUE"""),"")</f>
        <v/>
      </c>
      <c r="E58" s="16" t="str">
        <f aca="false">IFERROR(__xludf.dummyfunction("""COMPUTED_VALUE"""),"#REF!")</f>
        <v>#REF!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</row>
    <row r="59" customFormat="false" ht="15.75" hidden="false" customHeight="false" outlineLevel="0" collapsed="false">
      <c r="A59" s="25" t="str">
        <f aca="false">IFERROR(__xludf.dummyfunction("""COMPUTED_VALUE"""),"Simon PUECH")</f>
        <v>Simon PUECH</v>
      </c>
      <c r="B59" s="24" t="str">
        <f aca="false">IFERROR(__xludf.dummyfunction("Filter('Réponses au formulaire 1'!S:S,'Réponses au formulaire 1'!B:B=A59)"),"La Chevroll’s")</f>
        <v>La Chevroll’s</v>
      </c>
      <c r="C59" s="16" t="s">
        <v>1144</v>
      </c>
      <c r="D59" s="12" t="str">
        <f aca="false">IFERROR(__xludf.dummyfunction("""COMPUTED_VALUE"""),"")</f>
        <v/>
      </c>
      <c r="E59" s="16" t="str">
        <f aca="false">IFERROR(__xludf.dummyfunction("""COMPUTED_VALUE"""),"#REF!")</f>
        <v>#REF!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</row>
    <row r="60" customFormat="false" ht="15.75" hidden="false" customHeight="false" outlineLevel="0" collapsed="false">
      <c r="A60" s="25" t="str">
        <f aca="false">IFERROR(__xludf.dummyfunction("""COMPUTED_VALUE"""),"Thomas Serratrice")</f>
        <v>Thomas Serratrice</v>
      </c>
      <c r="B60" s="24" t="str">
        <f aca="false">IFERROR(__xludf.dummyfunction("Filter('Réponses au formulaire 1'!S:S,'Réponses au formulaire 1'!B:B=A60)"),"COMA")</f>
        <v>COMA</v>
      </c>
      <c r="C60" s="16" t="s">
        <v>1144</v>
      </c>
      <c r="D60" s="12" t="str">
        <f aca="false">IFERROR(__xludf.dummyfunction("""COMPUTED_VALUE"""),"")</f>
        <v/>
      </c>
      <c r="E60" s="16" t="str">
        <f aca="false">IFERROR(__xludf.dummyfunction("""COMPUTED_VALUE"""),"#REF!")</f>
        <v>#REF!</v>
      </c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</row>
    <row r="61" customFormat="false" ht="15.75" hidden="false" customHeight="false" outlineLevel="0" collapsed="false">
      <c r="A61" s="25" t="str">
        <f aca="false">IFERROR(__xludf.dummyfunction("""COMPUTED_VALUE"""),"Clément DENIS")</f>
        <v>Clément DENIS</v>
      </c>
      <c r="B61" s="24" t="str">
        <f aca="false">IFERROR(__xludf.dummyfunction("Filter('Réponses au formulaire 1'!S:S,'Réponses au formulaire 1'!B:B=A61)"),"Consulm3ow")</f>
        <v>Consulm3ow</v>
      </c>
      <c r="C61" s="16" t="s">
        <v>1144</v>
      </c>
      <c r="D61" s="12" t="str">
        <f aca="false">IFERROR(__xludf.dummyfunction("""COMPUTED_VALUE"""),"")</f>
        <v/>
      </c>
      <c r="E61" s="16" t="str">
        <f aca="false">IFERROR(__xludf.dummyfunction("""COMPUTED_VALUE"""),"#REF!")</f>
        <v>#REF!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</row>
    <row r="62" customFormat="false" ht="15.75" hidden="false" customHeight="false" outlineLevel="0" collapsed="false">
      <c r="A62" s="25" t="str">
        <f aca="false">IFERROR(__xludf.dummyfunction("""COMPUTED_VALUE"""),"Mathieu KERMAREC")</f>
        <v>Mathieu KERMAREC</v>
      </c>
      <c r="B62" s="24" t="str">
        <f aca="false">IFERROR(__xludf.dummyfunction("Filter('Réponses au formulaire 1'!S:S,'Réponses au formulaire 1'!B:B=A62)"),"L'Influence")</f>
        <v>L'Influence</v>
      </c>
      <c r="C62" s="16" t="s">
        <v>1144</v>
      </c>
      <c r="D62" s="12" t="str">
        <f aca="false">IFERROR(__xludf.dummyfunction("""COMPUTED_VALUE"""),"")</f>
        <v/>
      </c>
      <c r="E62" s="16" t="str">
        <f aca="false">IFERROR(__xludf.dummyfunction("""COMPUTED_VALUE"""),"#REF!")</f>
        <v>#REF!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</row>
    <row r="63" customFormat="false" ht="15.75" hidden="false" customHeight="false" outlineLevel="0" collapsed="false">
      <c r="A63" s="25" t="str">
        <f aca="false">IFERROR(__xludf.dummyfunction("""COMPUTED_VALUE"""),"Thomas LE JAN")</f>
        <v>Thomas LE JAN</v>
      </c>
      <c r="B63" s="24" t="str">
        <f aca="false">IFERROR(__xludf.dummyfunction("Filter('Réponses au formulaire 1'!S:S,'Réponses au formulaire 1'!B:B=A63)"),"L’Influence")</f>
        <v>L’Influence</v>
      </c>
      <c r="C63" s="16" t="s">
        <v>1144</v>
      </c>
      <c r="D63" s="12" t="str">
        <f aca="false">IFERROR(__xludf.dummyfunction("""COMPUTED_VALUE"""),"")</f>
        <v/>
      </c>
      <c r="E63" s="16" t="str">
        <f aca="false">IFERROR(__xludf.dummyfunction("""COMPUTED_VALUE"""),"#REF!")</f>
        <v>#REF!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</row>
    <row r="64" customFormat="false" ht="15.75" hidden="false" customHeight="false" outlineLevel="0" collapsed="false">
      <c r="A64" s="25" t="str">
        <f aca="false">IFERROR(__xludf.dummyfunction("""COMPUTED_VALUE"""),"Paul LENOIR")</f>
        <v>Paul LENOIR</v>
      </c>
      <c r="B64" s="24" t="str">
        <f aca="false">IFERROR(__xludf.dummyfunction("Filter('Réponses au formulaire 1'!S:S,'Réponses au formulaire 1'!B:B=A64)"),"L’Influence")</f>
        <v>L’Influence</v>
      </c>
      <c r="C64" s="16" t="s">
        <v>1144</v>
      </c>
      <c r="D64" s="12" t="str">
        <f aca="false">IFERROR(__xludf.dummyfunction("""COMPUTED_VALUE"""),"")</f>
        <v/>
      </c>
      <c r="E64" s="16" t="str">
        <f aca="false">IFERROR(__xludf.dummyfunction("""COMPUTED_VALUE"""),"#REF!")</f>
        <v>#REF!</v>
      </c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</row>
    <row r="65" customFormat="false" ht="15.75" hidden="false" customHeight="false" outlineLevel="0" collapsed="false">
      <c r="A65" s="25" t="str">
        <f aca="false">IFERROR(__xludf.dummyfunction("""COMPUTED_VALUE"""),"Alexandre MERVILLE")</f>
        <v>Alexandre MERVILLE</v>
      </c>
      <c r="B65" s="24" t="str">
        <f aca="false">IFERROR(__xludf.dummyfunction("Filter('Réponses au formulaire 1'!S:S,'Réponses au formulaire 1'!B:B=A65)"),"L'Influence")</f>
        <v>L'Influence</v>
      </c>
      <c r="C65" s="16" t="s">
        <v>1144</v>
      </c>
      <c r="D65" s="12" t="str">
        <f aca="false">IFERROR(__xludf.dummyfunction("""COMPUTED_VALUE"""),"")</f>
        <v/>
      </c>
      <c r="E65" s="16" t="str">
        <f aca="false">IFERROR(__xludf.dummyfunction("""COMPUTED_VALUE"""),"#REF!")</f>
        <v>#REF!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</row>
    <row r="66" customFormat="false" ht="15.75" hidden="false" customHeight="false" outlineLevel="0" collapsed="false">
      <c r="A66" s="25" t="str">
        <f aca="false">IFERROR(__xludf.dummyfunction("""COMPUTED_VALUE"""),"Gabriel Lucas")</f>
        <v>Gabriel Lucas</v>
      </c>
      <c r="B66" s="24" t="str">
        <f aca="false">IFERROR(__xludf.dummyfunction("Filter('Réponses au formulaire 1'!S:S,'Réponses au formulaire 1'!B:B=A66)"),"L'Influence")</f>
        <v>L'Influence</v>
      </c>
      <c r="C66" s="16" t="s">
        <v>1144</v>
      </c>
      <c r="D66" s="12" t="str">
        <f aca="false">IFERROR(__xludf.dummyfunction("""COMPUTED_VALUE"""),"")</f>
        <v/>
      </c>
      <c r="E66" s="16" t="str">
        <f aca="false">IFERROR(__xludf.dummyfunction("""COMPUTED_VALUE"""),"#REF!")</f>
        <v>#REF!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</row>
    <row r="67" customFormat="false" ht="15.75" hidden="false" customHeight="false" outlineLevel="0" collapsed="false">
      <c r="A67" s="25" t="str">
        <f aca="false">IFERROR(__xludf.dummyfunction("""COMPUTED_VALUE"""),"Grégory Perret")</f>
        <v>Grégory Perret</v>
      </c>
      <c r="B67" s="24" t="str">
        <f aca="false">IFERROR(__xludf.dummyfunction("Filter('Réponses au formulaire 1'!S:S,'Réponses au formulaire 1'!B:B=A67)"),"COMA")</f>
        <v>COMA</v>
      </c>
      <c r="C67" s="16" t="s">
        <v>1144</v>
      </c>
      <c r="D67" s="12" t="str">
        <f aca="false">IFERROR(__xludf.dummyfunction("""COMPUTED_VALUE"""),"")</f>
        <v/>
      </c>
      <c r="E67" s="16" t="str">
        <f aca="false">IFERROR(__xludf.dummyfunction("""COMPUTED_VALUE"""),"#REF!")</f>
        <v>#REF!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</row>
    <row r="68" customFormat="false" ht="15.75" hidden="false" customHeight="false" outlineLevel="0" collapsed="false">
      <c r="A68" s="25" t="str">
        <f aca="false">IFERROR(__xludf.dummyfunction("""COMPUTED_VALUE"""),"Agathe MADAULE")</f>
        <v>Agathe MADAULE</v>
      </c>
      <c r="B68" s="24" t="str">
        <f aca="false">IFERROR(__xludf.dummyfunction("Filter('Réponses au formulaire 1'!S:S,'Réponses au formulaire 1'!B:B=A68)"),"Summerfaigle")</f>
        <v>Summerfaigle</v>
      </c>
      <c r="C68" s="16" t="s">
        <v>1144</v>
      </c>
      <c r="D68" s="12" t="str">
        <f aca="false">IFERROR(__xludf.dummyfunction("""COMPUTED_VALUE"""),"")</f>
        <v/>
      </c>
      <c r="E68" s="16" t="str">
        <f aca="false">IFERROR(__xludf.dummyfunction("""COMPUTED_VALUE"""),"#REF!")</f>
        <v>#REF!</v>
      </c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</row>
    <row r="69" customFormat="false" ht="15.75" hidden="false" customHeight="false" outlineLevel="0" collapsed="false">
      <c r="A69" s="25" t="str">
        <f aca="false">IFERROR(__xludf.dummyfunction("""COMPUTED_VALUE"""),"Mathilde Querné")</f>
        <v>Mathilde Querné</v>
      </c>
      <c r="B69" s="24" t="str">
        <f aca="false">IFERROR(__xludf.dummyfunction("Filter('Réponses au formulaire 1'!S:S,'Réponses au formulaire 1'!B:B=A69)"),"Les domineurs")</f>
        <v>Les domineurs</v>
      </c>
      <c r="C69" s="16" t="s">
        <v>1144</v>
      </c>
      <c r="D69" s="12" t="str">
        <f aca="false">IFERROR(__xludf.dummyfunction("""COMPUTED_VALUE"""),"")</f>
        <v/>
      </c>
      <c r="E69" s="16" t="str">
        <f aca="false">IFERROR(__xludf.dummyfunction("""COMPUTED_VALUE"""),"#REF!")</f>
        <v>#REF!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</row>
    <row r="70" customFormat="false" ht="15.75" hidden="false" customHeight="false" outlineLevel="0" collapsed="false">
      <c r="A70" s="25" t="str">
        <f aca="false">IFERROR(__xludf.dummyfunction("""COMPUTED_VALUE"""),"Marie Cozzi")</f>
        <v>Marie Cozzi</v>
      </c>
      <c r="B70" s="24" t="str">
        <f aca="false">IFERROR(__xludf.dummyfunction("Filter('Réponses au formulaire 1'!S:S,'Réponses au formulaire 1'!B:B=A70)"),"PB-nuage")</f>
        <v>PB-nuage</v>
      </c>
      <c r="C70" s="16" t="s">
        <v>1144</v>
      </c>
      <c r="D70" s="12" t="str">
        <f aca="false">IFERROR(__xludf.dummyfunction("""COMPUTED_VALUE"""),"")</f>
        <v/>
      </c>
      <c r="E70" s="16" t="str">
        <f aca="false">IFERROR(__xludf.dummyfunction("""COMPUTED_VALUE"""),"#REF!")</f>
        <v>#REF!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</row>
    <row r="71" customFormat="false" ht="15.75" hidden="false" customHeight="false" outlineLevel="0" collapsed="false">
      <c r="A71" s="25" t="str">
        <f aca="false">IFERROR(__xludf.dummyfunction("""COMPUTED_VALUE"""),"Cédric DUSSERRE")</f>
        <v>Cédric DUSSERRE</v>
      </c>
      <c r="B71" s="24" t="str">
        <f aca="false">IFERROR(__xludf.dummyfunction("Filter('Réponses au formulaire 1'!S:S,'Réponses au formulaire 1'!B:B=A71)"),"Mafia")</f>
        <v>Mafia</v>
      </c>
      <c r="C71" s="16" t="s">
        <v>1144</v>
      </c>
      <c r="D71" s="12" t="str">
        <f aca="false">IFERROR(__xludf.dummyfunction("""COMPUTED_VALUE"""),"")</f>
        <v/>
      </c>
      <c r="E71" s="16" t="str">
        <f aca="false">IFERROR(__xludf.dummyfunction("""COMPUTED_VALUE"""),"#REF!")</f>
        <v>#REF!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</row>
    <row r="72" customFormat="false" ht="15.75" hidden="false" customHeight="false" outlineLevel="0" collapsed="false">
      <c r="A72" s="25" t="str">
        <f aca="false">IFERROR(__xludf.dummyfunction("""COMPUTED_VALUE"""),"Julien Douxami")</f>
        <v>Julien Douxami</v>
      </c>
      <c r="B72" s="24" t="str">
        <f aca="false">IFERROR(__xludf.dummyfunction("Filter('Réponses au formulaire 1'!S:S,'Réponses au formulaire 1'!B:B=A72)"),"Mafia")</f>
        <v>Mafia</v>
      </c>
      <c r="C72" s="16" t="s">
        <v>1144</v>
      </c>
      <c r="D72" s="12" t="str">
        <f aca="false">IFERROR(__xludf.dummyfunction("""COMPUTED_VALUE"""),"")</f>
        <v/>
      </c>
      <c r="E72" s="16" t="str">
        <f aca="false">IFERROR(__xludf.dummyfunction("""COMPUTED_VALUE"""),"#REF!")</f>
        <v>#REF!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</row>
    <row r="73" customFormat="false" ht="15.75" hidden="false" customHeight="false" outlineLevel="0" collapsed="false">
      <c r="A73" s="25" t="str">
        <f aca="false">IFERROR(__xludf.dummyfunction("""COMPUTED_VALUE"""),"Louis DA COSTA")</f>
        <v>Louis DA COSTA</v>
      </c>
      <c r="B73" s="24" t="str">
        <f aca="false">IFERROR(__xludf.dummyfunction("Filter('Réponses au formulaire 1'!S:S,'Réponses au formulaire 1'!B:B=A73)"),"COMA ")</f>
        <v>COMA </v>
      </c>
      <c r="C73" s="16" t="s">
        <v>1144</v>
      </c>
      <c r="D73" s="12" t="str">
        <f aca="false">IFERROR(__xludf.dummyfunction("""COMPUTED_VALUE"""),"")</f>
        <v/>
      </c>
      <c r="E73" s="16" t="str">
        <f aca="false">IFERROR(__xludf.dummyfunction("""COMPUTED_VALUE"""),"#REF!")</f>
        <v>#REF!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</row>
    <row r="74" customFormat="false" ht="15.75" hidden="false" customHeight="false" outlineLevel="0" collapsed="false">
      <c r="A74" s="25" t="str">
        <f aca="false">IFERROR(__xludf.dummyfunction("""COMPUTED_VALUE"""),"Antoine Dupuis")</f>
        <v>Antoine Dupuis</v>
      </c>
      <c r="B74" s="24" t="str">
        <f aca="false">IFERROR(__xludf.dummyfunction("Filter('Réponses au formulaire 1'!S:S,'Réponses au formulaire 1'!B:B=A74)"),"Coma")</f>
        <v>Coma</v>
      </c>
      <c r="C74" s="16" t="s">
        <v>1144</v>
      </c>
      <c r="D74" s="12" t="str">
        <f aca="false">IFERROR(__xludf.dummyfunction("""COMPUTED_VALUE"""),"")</f>
        <v/>
      </c>
      <c r="E74" s="16" t="str">
        <f aca="false">IFERROR(__xludf.dummyfunction("""COMPUTED_VALUE"""),"#REF!")</f>
        <v>#REF!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</row>
    <row r="75" customFormat="false" ht="15.75" hidden="false" customHeight="false" outlineLevel="0" collapsed="false">
      <c r="A75" s="25" t="str">
        <f aca="false">IFERROR(__xludf.dummyfunction("""COMPUTED_VALUE"""),"Lilian Dedecker")</f>
        <v>Lilian Dedecker</v>
      </c>
      <c r="B75" s="24" t="str">
        <f aca="false">IFERROR(__xludf.dummyfunction("Filter('Réponses au formulaire 1'!S:S,'Réponses au formulaire 1'!B:B=A75)"),"Consulm3ow")</f>
        <v>Consulm3ow</v>
      </c>
      <c r="C75" s="16" t="s">
        <v>1144</v>
      </c>
      <c r="D75" s="12" t="str">
        <f aca="false">IFERROR(__xludf.dummyfunction("""COMPUTED_VALUE"""),"")</f>
        <v/>
      </c>
      <c r="E75" s="16" t="str">
        <f aca="false">IFERROR(__xludf.dummyfunction("""COMPUTED_VALUE"""),"#REF!")</f>
        <v>#REF!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</row>
    <row r="76" customFormat="false" ht="15.75" hidden="false" customHeight="false" outlineLevel="0" collapsed="false">
      <c r="A76" s="25" t="str">
        <f aca="false">IFERROR(__xludf.dummyfunction("""COMPUTED_VALUE"""),"J'ui une grosse pute")</f>
        <v>J'ui une grosse pute</v>
      </c>
      <c r="B76" s="24" t="str">
        <f aca="false">IFERROR(__xludf.dummyfunction("Filter('Réponses au formulaire 1'!S:S,'Réponses au formulaire 1'!B:B=A76)"),"PB-nuage")</f>
        <v>PB-nuage</v>
      </c>
      <c r="C76" s="16" t="s">
        <v>1144</v>
      </c>
      <c r="D76" s="12" t="str">
        <f aca="false">IFERROR(__xludf.dummyfunction("""COMPUTED_VALUE"""),"")</f>
        <v/>
      </c>
      <c r="E76" s="16" t="str">
        <f aca="false">IFERROR(__xludf.dummyfunction("""COMPUTED_VALUE"""),"#REF!")</f>
        <v>#REF!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</row>
    <row r="77" customFormat="false" ht="15.75" hidden="false" customHeight="false" outlineLevel="0" collapsed="false">
      <c r="A77" s="25" t="str">
        <f aca="false">IFERROR(__xludf.dummyfunction("""COMPUTED_VALUE"""),"Valentine KEMPF")</f>
        <v>Valentine KEMPF</v>
      </c>
      <c r="B77" s="24" t="str">
        <f aca="false">IFERROR(__xludf.dummyfunction("Filter('Réponses au formulaire 1'!S:S,'Réponses au formulaire 1'!B:B=A77)"),"Summerfaigle")</f>
        <v>Summerfaigle</v>
      </c>
      <c r="C77" s="16" t="s">
        <v>1144</v>
      </c>
      <c r="D77" s="12" t="str">
        <f aca="false">IFERROR(__xludf.dummyfunction("""COMPUTED_VALUE"""),"")</f>
        <v/>
      </c>
      <c r="E77" s="16" t="str">
        <f aca="false">IFERROR(__xludf.dummyfunction("""COMPUTED_VALUE"""),"#REF!")</f>
        <v>#REF!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</row>
    <row r="78" customFormat="false" ht="15.75" hidden="false" customHeight="false" outlineLevel="0" collapsed="false">
      <c r="A78" s="25" t="str">
        <f aca="false">IFERROR(__xludf.dummyfunction("""COMPUTED_VALUE"""),"Charlotte Fosse")</f>
        <v>Charlotte Fosse</v>
      </c>
      <c r="B78" s="24" t="str">
        <f aca="false">IFERROR(__xludf.dummyfunction("Filter('Réponses au formulaire 1'!S:S,'Réponses au formulaire 1'!B:B=A78)"),"Trident X ChaPau")</f>
        <v>Trident X ChaPau</v>
      </c>
      <c r="C78" s="16" t="s">
        <v>1144</v>
      </c>
      <c r="D78" s="12" t="str">
        <f aca="false">IFERROR(__xludf.dummyfunction("""COMPUTED_VALUE"""),"")</f>
        <v/>
      </c>
      <c r="E78" s="16" t="str">
        <f aca="false">IFERROR(__xludf.dummyfunction("""COMPUTED_VALUE"""),"#REF!")</f>
        <v>#REF!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</row>
    <row r="79" customFormat="false" ht="15.75" hidden="false" customHeight="false" outlineLevel="0" collapsed="false">
      <c r="A79" s="25" t="str">
        <f aca="false">IFERROR(__xludf.dummyfunction("""COMPUTED_VALUE"""),"Julien LACOUR")</f>
        <v>Julien LACOUR</v>
      </c>
      <c r="B79" s="24" t="str">
        <f aca="false">IFERROR(__xludf.dummyfunction("Filter('Réponses au formulaire 1'!S:S,'Réponses au formulaire 1'!B:B=A79)"),"La comté")</f>
        <v>La comté</v>
      </c>
      <c r="C79" s="16" t="s">
        <v>1144</v>
      </c>
      <c r="D79" s="12" t="str">
        <f aca="false">IFERROR(__xludf.dummyfunction("""COMPUTED_VALUE"""),"")</f>
        <v/>
      </c>
      <c r="E79" s="16" t="str">
        <f aca="false">IFERROR(__xludf.dummyfunction("""COMPUTED_VALUE"""),"#REF!")</f>
        <v>#REF!</v>
      </c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</row>
    <row r="80" customFormat="false" ht="15.75" hidden="false" customHeight="false" outlineLevel="0" collapsed="false">
      <c r="A80" s="25" t="str">
        <f aca="false">IFERROR(__xludf.dummyfunction("""COMPUTED_VALUE"""),"Irène Le Borgne")</f>
        <v>Irène Le Borgne</v>
      </c>
      <c r="B80" s="24" t="str">
        <f aca="false">IFERROR(__xludf.dummyfunction("Filter('Réponses au formulaire 1'!S:S,'Réponses au formulaire 1'!B:B=A80)"),"Les domineurs")</f>
        <v>Les domineurs</v>
      </c>
      <c r="C80" s="16" t="s">
        <v>1144</v>
      </c>
      <c r="D80" s="12" t="str">
        <f aca="false">IFERROR(__xludf.dummyfunction("""COMPUTED_VALUE"""),"")</f>
        <v/>
      </c>
      <c r="E80" s="16" t="str">
        <f aca="false">IFERROR(__xludf.dummyfunction("""COMPUTED_VALUE"""),"#REF!")</f>
        <v>#REF!</v>
      </c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</row>
    <row r="81" customFormat="false" ht="15.75" hidden="false" customHeight="false" outlineLevel="0" collapsed="false">
      <c r="A81" s="25" t="str">
        <f aca="false">IFERROR(__xludf.dummyfunction("""COMPUTED_VALUE"""),"Aurélien DE LA HOUGUE")</f>
        <v>Aurélien DE LA HOUGUE</v>
      </c>
      <c r="B81" s="24" t="str">
        <f aca="false">IFERROR(__xludf.dummyfunction("Filter('Réponses au formulaire 1'!S:S,'Réponses au formulaire 1'!B:B=A81)"),"Trident x ChaPau ")</f>
        <v>Trident x ChaPau </v>
      </c>
      <c r="C81" s="16" t="s">
        <v>1144</v>
      </c>
      <c r="D81" s="12" t="str">
        <f aca="false">IFERROR(__xludf.dummyfunction("""COMPUTED_VALUE"""),"")</f>
        <v/>
      </c>
      <c r="E81" s="16" t="str">
        <f aca="false">IFERROR(__xludf.dummyfunction("""COMPUTED_VALUE"""),"#REF!")</f>
        <v>#REF!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</row>
    <row r="82" customFormat="false" ht="15.75" hidden="false" customHeight="false" outlineLevel="0" collapsed="false">
      <c r="A82" s="25" t="str">
        <f aca="false">IFERROR(__xludf.dummyfunction("""COMPUTED_VALUE"""),"Matthieu BARCET")</f>
        <v>Matthieu BARCET</v>
      </c>
      <c r="B82" s="24" t="str">
        <f aca="false">IFERROR(__xludf.dummyfunction("Filter('Réponses au formulaire 1'!S:S,'Réponses au formulaire 1'!B:B=A82)"),"Trident x ChaPau")</f>
        <v>Trident x ChaPau</v>
      </c>
      <c r="C82" s="16" t="s">
        <v>1144</v>
      </c>
      <c r="D82" s="12" t="str">
        <f aca="false">IFERROR(__xludf.dummyfunction("""COMPUTED_VALUE"""),"")</f>
        <v/>
      </c>
      <c r="E82" s="16" t="str">
        <f aca="false">IFERROR(__xludf.dummyfunction("""COMPUTED_VALUE"""),"#REF!")</f>
        <v>#REF!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</row>
    <row r="83" customFormat="false" ht="15.75" hidden="false" customHeight="false" outlineLevel="0" collapsed="false">
      <c r="A83" s="25" t="str">
        <f aca="false">IFERROR(__xludf.dummyfunction("""COMPUTED_VALUE"""),"Marie VIOLLEAU")</f>
        <v>Marie VIOLLEAU</v>
      </c>
      <c r="B83" s="24" t="str">
        <f aca="false">IFERROR(__xludf.dummyfunction("Filter('Réponses au formulaire 1'!S:S,'Réponses au formulaire 1'!B:B=A83)"),"gallerie++")</f>
        <v>gallerie++</v>
      </c>
      <c r="C83" s="16" t="s">
        <v>1144</v>
      </c>
      <c r="D83" s="12" t="str">
        <f aca="false">IFERROR(__xludf.dummyfunction("""COMPUTED_VALUE"""),"")</f>
        <v/>
      </c>
      <c r="E83" s="16" t="str">
        <f aca="false">IFERROR(__xludf.dummyfunction("""COMPUTED_VALUE"""),"#REF!")</f>
        <v>#REF!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</row>
    <row r="84" customFormat="false" ht="15.75" hidden="false" customHeight="false" outlineLevel="0" collapsed="false">
      <c r="A84" s="25" t="str">
        <f aca="false">IFERROR(__xludf.dummyfunction("""COMPUTED_VALUE"""),"Mathieu ZACH")</f>
        <v>Mathieu ZACH</v>
      </c>
      <c r="B84" s="24" t="str">
        <f aca="false">IFERROR(__xludf.dummyfunction("Filter('Réponses au formulaire 1'!S:S,'Réponses au formulaire 1'!B:B=A84)"),"galerie ++")</f>
        <v>galerie ++</v>
      </c>
      <c r="C84" s="16" t="s">
        <v>1144</v>
      </c>
      <c r="D84" s="12" t="str">
        <f aca="false">IFERROR(__xludf.dummyfunction("""COMPUTED_VALUE"""),"")</f>
        <v/>
      </c>
      <c r="E84" s="16" t="str">
        <f aca="false">IFERROR(__xludf.dummyfunction("""COMPUTED_VALUE"""),"#REF!")</f>
        <v>#REF!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</row>
    <row r="85" customFormat="false" ht="15.75" hidden="false" customHeight="false" outlineLevel="0" collapsed="false">
      <c r="A85" s="25" t="str">
        <f aca="false">IFERROR(__xludf.dummyfunction("""COMPUTED_VALUE"""),"Iris PROUST")</f>
        <v>Iris PROUST</v>
      </c>
      <c r="B85" s="24" t="str">
        <f aca="false">IFERROR(__xludf.dummyfunction("Filter('Réponses au formulaire 1'!S:S,'Réponses au formulaire 1'!B:B=A85)"),"galerie ++")</f>
        <v>galerie ++</v>
      </c>
      <c r="C85" s="16" t="s">
        <v>1144</v>
      </c>
      <c r="D85" s="12" t="str">
        <f aca="false">IFERROR(__xludf.dummyfunction("""COMPUTED_VALUE"""),"")</f>
        <v/>
      </c>
      <c r="E85" s="16" t="str">
        <f aca="false">IFERROR(__xludf.dummyfunction("""COMPUTED_VALUE"""),"#REF!")</f>
        <v>#REF!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</row>
    <row r="86" customFormat="false" ht="15.75" hidden="false" customHeight="false" outlineLevel="0" collapsed="false">
      <c r="A86" s="25" t="str">
        <f aca="false">IFERROR(__xludf.dummyfunction("""COMPUTED_VALUE"""),"Louis AUGEREAU")</f>
        <v>Louis AUGEREAU</v>
      </c>
      <c r="B86" s="24" t="str">
        <f aca="false">IFERROR(__xludf.dummyfunction("Filter('Réponses au formulaire 1'!S:S,'Réponses au formulaire 1'!B:B=A86)"),"Trident x ChaPo")</f>
        <v>Trident x ChaPo</v>
      </c>
      <c r="C86" s="16" t="s">
        <v>1144</v>
      </c>
      <c r="D86" s="12" t="str">
        <f aca="false">IFERROR(__xludf.dummyfunction("""COMPUTED_VALUE"""),"")</f>
        <v/>
      </c>
      <c r="E86" s="16" t="str">
        <f aca="false">IFERROR(__xludf.dummyfunction("""COMPUTED_VALUE"""),"#REF!")</f>
        <v>#REF!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</row>
    <row r="87" customFormat="false" ht="15.75" hidden="false" customHeight="false" outlineLevel="0" collapsed="false">
      <c r="A87" s="25" t="str">
        <f aca="false">IFERROR(__xludf.dummyfunction("""COMPUTED_VALUE"""),"Céline Balmes")</f>
        <v>Céline Balmes</v>
      </c>
      <c r="B87" s="24" t="str">
        <f aca="false">IFERROR(__xludf.dummyfunction("Filter('Réponses au formulaire 1'!S:S,'Réponses au formulaire 1'!B:B=A87)"),"Trident x ChaPau")</f>
        <v>Trident x ChaPau</v>
      </c>
      <c r="C87" s="16" t="s">
        <v>1144</v>
      </c>
      <c r="D87" s="12" t="str">
        <f aca="false">IFERROR(__xludf.dummyfunction("""COMPUTED_VALUE"""),"")</f>
        <v/>
      </c>
      <c r="E87" s="16" t="str">
        <f aca="false">IFERROR(__xludf.dummyfunction("""COMPUTED_VALUE"""),"#REF!")</f>
        <v>#REF!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</row>
    <row r="88" customFormat="false" ht="15.75" hidden="false" customHeight="false" outlineLevel="0" collapsed="false">
      <c r="A88" s="25" t="str">
        <f aca="false">IFERROR(__xludf.dummyfunction("""COMPUTED_VALUE"""),"Paul SIMON")</f>
        <v>Paul SIMON</v>
      </c>
      <c r="B88" s="24" t="str">
        <f aca="false">IFERROR(__xludf.dummyfunction("Filter('Réponses au formulaire 1'!S:S,'Réponses au formulaire 1'!B:B=A88)"),"Trident x ChaPau")</f>
        <v>Trident x ChaPau</v>
      </c>
      <c r="C88" s="16" t="s">
        <v>1144</v>
      </c>
      <c r="D88" s="12" t="str">
        <f aca="false">IFERROR(__xludf.dummyfunction("""COMPUTED_VALUE"""),"")</f>
        <v/>
      </c>
      <c r="E88" s="16" t="str">
        <f aca="false">IFERROR(__xludf.dummyfunction("""COMPUTED_VALUE"""),"#REF!")</f>
        <v>#REF!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</row>
    <row r="89" customFormat="false" ht="15.75" hidden="false" customHeight="false" outlineLevel="0" collapsed="false">
      <c r="A89" s="25" t="str">
        <f aca="false">IFERROR(__xludf.dummyfunction("""COMPUTED_VALUE"""),"Paul CHAUVIN")</f>
        <v>Paul CHAUVIN</v>
      </c>
      <c r="B89" s="24" t="str">
        <f aca="false">IFERROR(__xludf.dummyfunction("Filter('Réponses au formulaire 1'!S:S,'Réponses au formulaire 1'!B:B=A89)"),"Mafia ")</f>
        <v>Mafia </v>
      </c>
      <c r="C89" s="16" t="s">
        <v>1144</v>
      </c>
      <c r="D89" s="12" t="str">
        <f aca="false">IFERROR(__xludf.dummyfunction("""COMPUTED_VALUE"""),"")</f>
        <v/>
      </c>
      <c r="E89" s="16" t="str">
        <f aca="false">IFERROR(__xludf.dummyfunction("""COMPUTED_VALUE"""),"#REF!")</f>
        <v>#REF!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</row>
    <row r="90" customFormat="false" ht="15.75" hidden="false" customHeight="false" outlineLevel="0" collapsed="false">
      <c r="A90" s="25" t="str">
        <f aca="false">IFERROR(__xludf.dummyfunction("""COMPUTED_VALUE"""),"Paul MARTEL")</f>
        <v>Paul MARTEL</v>
      </c>
      <c r="B90" s="24" t="str">
        <f aca="false">IFERROR(__xludf.dummyfunction("Filter('Réponses au formulaire 1'!S:S,'Réponses au formulaire 1'!B:B=A90)"),"Le Corridor")</f>
        <v>Le Corridor</v>
      </c>
      <c r="C90" s="16" t="s">
        <v>1144</v>
      </c>
      <c r="D90" s="12" t="str">
        <f aca="false">IFERROR(__xludf.dummyfunction("""COMPUTED_VALUE"""),"")</f>
        <v/>
      </c>
      <c r="E90" s="16" t="str">
        <f aca="false">IFERROR(__xludf.dummyfunction("""COMPUTED_VALUE"""),"#REF!")</f>
        <v>#REF!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</row>
    <row r="91" customFormat="false" ht="15.75" hidden="false" customHeight="false" outlineLevel="0" collapsed="false">
      <c r="A91" s="25" t="str">
        <f aca="false">IFERROR(__xludf.dummyfunction("""COMPUTED_VALUE"""),"Pierre-Louis lombard")</f>
        <v>Pierre-Louis lombard</v>
      </c>
      <c r="B91" s="24" t="str">
        <f aca="false">IFERROR(__xludf.dummyfunction("Filter('Réponses au formulaire 1'!S:S,'Réponses au formulaire 1'!B:B=A91)"),"Le Corridor")</f>
        <v>Le Corridor</v>
      </c>
      <c r="C91" s="16" t="s">
        <v>1144</v>
      </c>
      <c r="D91" s="12" t="str">
        <f aca="false">IFERROR(__xludf.dummyfunction("""COMPUTED_VALUE"""),"")</f>
        <v/>
      </c>
      <c r="E91" s="16" t="str">
        <f aca="false">IFERROR(__xludf.dummyfunction("""COMPUTED_VALUE"""),"#REF!")</f>
        <v>#REF!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</row>
    <row r="92" customFormat="false" ht="15.75" hidden="false" customHeight="false" outlineLevel="0" collapsed="false">
      <c r="A92" s="25" t="str">
        <f aca="false">IFERROR(__xludf.dummyfunction("""COMPUTED_VALUE"""),"Lucas Chaubier")</f>
        <v>Lucas Chaubier</v>
      </c>
      <c r="B92" s="24" t="str">
        <f aca="false">IFERROR(__xludf.dummyfunction("Filter('Réponses au formulaire 1'!S:S,'Réponses au formulaire 1'!B:B=A92)"),"Le Corridor")</f>
        <v>Le Corridor</v>
      </c>
      <c r="C92" s="16" t="s">
        <v>1144</v>
      </c>
      <c r="D92" s="12" t="str">
        <f aca="false">IFERROR(__xludf.dummyfunction("""COMPUTED_VALUE"""),"")</f>
        <v/>
      </c>
      <c r="E92" s="16" t="str">
        <f aca="false">IFERROR(__xludf.dummyfunction("""COMPUTED_VALUE"""),"#REF!")</f>
        <v>#REF!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</row>
    <row r="93" customFormat="false" ht="15.75" hidden="false" customHeight="false" outlineLevel="0" collapsed="false">
      <c r="A93" s="25" t="str">
        <f aca="false">IFERROR(__xludf.dummyfunction("""COMPUTED_VALUE"""),"Matthieu RETIERE")</f>
        <v>Matthieu RETIERE</v>
      </c>
      <c r="B93" s="24" t="str">
        <f aca="false">IFERROR(__xludf.dummyfunction("Filter('Réponses au formulaire 1'!S:S,'Réponses au formulaire 1'!B:B=A93)"),"Le Corridor")</f>
        <v>Le Corridor</v>
      </c>
      <c r="C93" s="16" t="s">
        <v>1144</v>
      </c>
      <c r="D93" s="12" t="str">
        <f aca="false">IFERROR(__xludf.dummyfunction("""COMPUTED_VALUE"""),"")</f>
        <v/>
      </c>
      <c r="E93" s="16" t="str">
        <f aca="false">IFERROR(__xludf.dummyfunction("""COMPUTED_VALUE"""),"#REF!")</f>
        <v>#REF!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</row>
    <row r="94" customFormat="false" ht="15.75" hidden="false" customHeight="false" outlineLevel="0" collapsed="false">
      <c r="A94" s="25" t="str">
        <f aca="false">IFERROR(__xludf.dummyfunction("""COMPUTED_VALUE"""),"Jules SINTES")</f>
        <v>Jules SINTES</v>
      </c>
      <c r="B94" s="24" t="str">
        <f aca="false">IFERROR(__xludf.dummyfunction("Filter('Réponses au formulaire 1'!S:S,'Réponses au formulaire 1'!B:B=A94)"),"Dusex")</f>
        <v>Dusex</v>
      </c>
      <c r="C94" s="16" t="s">
        <v>1144</v>
      </c>
      <c r="D94" s="12" t="str">
        <f aca="false">IFERROR(__xludf.dummyfunction("""COMPUTED_VALUE"""),"")</f>
        <v/>
      </c>
      <c r="E94" s="16" t="str">
        <f aca="false">IFERROR(__xludf.dummyfunction("""COMPUTED_VALUE"""),"#REF!")</f>
        <v>#REF!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</row>
    <row r="95" customFormat="false" ht="15.75" hidden="false" customHeight="false" outlineLevel="0" collapsed="false">
      <c r="A95" s="25" t="str">
        <f aca="false">IFERROR(__xludf.dummyfunction("""COMPUTED_VALUE"""),"Emeric Claudel")</f>
        <v>Emeric Claudel</v>
      </c>
      <c r="B95" s="24" t="str">
        <f aca="false">IFERROR(__xludf.dummyfunction("Filter('Réponses au formulaire 1'!S:S,'Réponses au formulaire 1'!B:B=A95)"),"Dusex")</f>
        <v>Dusex</v>
      </c>
      <c r="C95" s="16" t="s">
        <v>1144</v>
      </c>
      <c r="D95" s="12" t="str">
        <f aca="false">IFERROR(__xludf.dummyfunction("""COMPUTED_VALUE"""),"")</f>
        <v/>
      </c>
      <c r="E95" s="16" t="str">
        <f aca="false">IFERROR(__xludf.dummyfunction("""COMPUTED_VALUE"""),"#REF!")</f>
        <v>#REF!</v>
      </c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</row>
    <row r="96" customFormat="false" ht="15.75" hidden="false" customHeight="false" outlineLevel="0" collapsed="false">
      <c r="A96" s="25" t="str">
        <f aca="false">IFERROR(__xludf.dummyfunction("""COMPUTED_VALUE"""),"Thomas AUZARD")</f>
        <v>Thomas AUZARD</v>
      </c>
      <c r="B96" s="24" t="str">
        <f aca="false">IFERROR(__xludf.dummyfunction("Filter('Réponses au formulaire 1'!S:S,'Réponses au formulaire 1'!B:B=A96)"),"Dusex")</f>
        <v>Dusex</v>
      </c>
      <c r="C96" s="16" t="s">
        <v>1144</v>
      </c>
      <c r="D96" s="12" t="str">
        <f aca="false">IFERROR(__xludf.dummyfunction("""COMPUTED_VALUE"""),"")</f>
        <v/>
      </c>
      <c r="E96" s="16" t="str">
        <f aca="false">IFERROR(__xludf.dummyfunction("""COMPUTED_VALUE"""),"#REF!")</f>
        <v>#REF!</v>
      </c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</row>
    <row r="97" customFormat="false" ht="15.75" hidden="false" customHeight="false" outlineLevel="0" collapsed="false">
      <c r="A97" s="25" t="str">
        <f aca="false">IFERROR(__xludf.dummyfunction("""COMPUTED_VALUE"""),"Orson JAY")</f>
        <v>Orson JAY</v>
      </c>
      <c r="B97" s="24" t="str">
        <f aca="false">IFERROR(__xludf.dummyfunction("Filter('Réponses au formulaire 1'!S:S,'Réponses au formulaire 1'!B:B=A97)"),"Dusex")</f>
        <v>Dusex</v>
      </c>
      <c r="C97" s="16" t="s">
        <v>1144</v>
      </c>
      <c r="D97" s="12" t="str">
        <f aca="false">IFERROR(__xludf.dummyfunction("""COMPUTED_VALUE"""),"")</f>
        <v/>
      </c>
      <c r="E97" s="16" t="str">
        <f aca="false">IFERROR(__xludf.dummyfunction("""COMPUTED_VALUE"""),"#REF!")</f>
        <v>#REF!</v>
      </c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</row>
    <row r="98" customFormat="false" ht="15.75" hidden="false" customHeight="false" outlineLevel="0" collapsed="false">
      <c r="A98" s="25" t="str">
        <f aca="false">IFERROR(__xludf.dummyfunction("""COMPUTED_VALUE"""),"Sébastien MARAIS")</f>
        <v>Sébastien MARAIS</v>
      </c>
      <c r="B98" s="24" t="str">
        <f aca="false">IFERROR(__xludf.dummyfunction("Filter('Réponses au formulaire 1'!S:S,'Réponses au formulaire 1'!B:B=A98)"),"galerie ++")</f>
        <v>galerie ++</v>
      </c>
      <c r="C98" s="16" t="s">
        <v>1144</v>
      </c>
      <c r="D98" s="12" t="str">
        <f aca="false">IFERROR(__xludf.dummyfunction("""COMPUTED_VALUE"""),"")</f>
        <v/>
      </c>
      <c r="E98" s="16" t="str">
        <f aca="false">IFERROR(__xludf.dummyfunction("""COMPUTED_VALUE"""),"#REF!")</f>
        <v>#REF!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</row>
    <row r="99" customFormat="false" ht="15.75" hidden="false" customHeight="false" outlineLevel="0" collapsed="false">
      <c r="A99" s="25" t="str">
        <f aca="false">IFERROR(__xludf.dummyfunction("""COMPUTED_VALUE"""),"Baptiste Miossec")</f>
        <v>Baptiste Miossec</v>
      </c>
      <c r="B99" s="24" t="str">
        <f aca="false">IFERROR(__xludf.dummyfunction("Filter('Réponses au formulaire 1'!S:S,'Réponses au formulaire 1'!B:B=A99)"),"Summerf’aigle ")</f>
        <v>Summerf’aigle </v>
      </c>
      <c r="C99" s="16" t="s">
        <v>1144</v>
      </c>
      <c r="D99" s="12" t="str">
        <f aca="false">IFERROR(__xludf.dummyfunction("""COMPUTED_VALUE"""),"")</f>
        <v/>
      </c>
      <c r="E99" s="16" t="str">
        <f aca="false">IFERROR(__xludf.dummyfunction("""COMPUTED_VALUE"""),"#REF!")</f>
        <v>#REF!</v>
      </c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</row>
    <row r="100" customFormat="false" ht="15.75" hidden="false" customHeight="false" outlineLevel="0" collapsed="false">
      <c r="A100" s="25" t="str">
        <f aca="false">IFERROR(__xludf.dummyfunction("""COMPUTED_VALUE"""),"Ferreol GORIOUX")</f>
        <v>Ferreol GORIOUX</v>
      </c>
      <c r="B100" s="24" t="str">
        <f aca="false">IFERROR(__xludf.dummyfunction("Filter('Réponses au formulaire 1'!S:S,'Réponses au formulaire 1'!B:B=A100)"),"La Roulotte")</f>
        <v>La Roulotte</v>
      </c>
      <c r="C100" s="16" t="s">
        <v>1144</v>
      </c>
      <c r="D100" s="12" t="str">
        <f aca="false">IFERROR(__xludf.dummyfunction("""COMPUTED_VALUE"""),"")</f>
        <v/>
      </c>
      <c r="E100" s="16" t="str">
        <f aca="false">IFERROR(__xludf.dummyfunction("""COMPUTED_VALUE"""),"#REF!")</f>
        <v>#REF!</v>
      </c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</row>
    <row r="101" customFormat="false" ht="15.75" hidden="false" customHeight="false" outlineLevel="0" collapsed="false">
      <c r="A101" s="25" t="str">
        <f aca="false">IFERROR(__xludf.dummyfunction("""COMPUTED_VALUE"""),"Gauthier Maillard")</f>
        <v>Gauthier Maillard</v>
      </c>
      <c r="B101" s="24" t="str">
        <f aca="false">IFERROR(__xludf.dummyfunction("Filter('Réponses au formulaire 1'!S:S,'Réponses au formulaire 1'!B:B=A101)"),"Galerie ++")</f>
        <v>Galerie ++</v>
      </c>
      <c r="C101" s="16" t="s">
        <v>1144</v>
      </c>
      <c r="D101" s="12" t="str">
        <f aca="false">IFERROR(__xludf.dummyfunction("""COMPUTED_VALUE"""),"")</f>
        <v/>
      </c>
      <c r="E101" s="16" t="str">
        <f aca="false">IFERROR(__xludf.dummyfunction("""COMPUTED_VALUE"""),"#REF!")</f>
        <v>#REF!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</row>
    <row r="102" customFormat="false" ht="15.75" hidden="false" customHeight="false" outlineLevel="0" collapsed="false">
      <c r="A102" s="25" t="str">
        <f aca="false">IFERROR(__xludf.dummyfunction("""COMPUTED_VALUE"""),"Thomas SAEZ")</f>
        <v>Thomas SAEZ</v>
      </c>
      <c r="B102" s="24" t="str">
        <f aca="false">IFERROR(__xludf.dummyfunction("Filter('Réponses au formulaire 1'!S:S,'Réponses au formulaire 1'!B:B=A102)"),"La dézingue ")</f>
        <v>La dézingue </v>
      </c>
      <c r="C102" s="16" t="s">
        <v>1144</v>
      </c>
      <c r="D102" s="12" t="str">
        <f aca="false">IFERROR(__xludf.dummyfunction("""COMPUTED_VALUE"""),"")</f>
        <v/>
      </c>
      <c r="E102" s="16" t="str">
        <f aca="false">IFERROR(__xludf.dummyfunction("""COMPUTED_VALUE"""),"#REF!")</f>
        <v>#REF!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</row>
    <row r="103" customFormat="false" ht="15.75" hidden="false" customHeight="false" outlineLevel="0" collapsed="false">
      <c r="A103" s="25" t="str">
        <f aca="false">IFERROR(__xludf.dummyfunction("""COMPUTED_VALUE"""),"Maixent TIGNON")</f>
        <v>Maixent TIGNON</v>
      </c>
      <c r="B103" s="24" t="str">
        <f aca="false">IFERROR(__xludf.dummyfunction("Filter('Réponses au formulaire 1'!S:S,'Réponses au formulaire 1'!B:B=A103)"),"Galerie ++")</f>
        <v>Galerie ++</v>
      </c>
      <c r="C103" s="16" t="s">
        <v>1144</v>
      </c>
      <c r="D103" s="12" t="str">
        <f aca="false">IFERROR(__xludf.dummyfunction("""COMPUTED_VALUE"""),"")</f>
        <v/>
      </c>
      <c r="E103" s="16" t="str">
        <f aca="false">IFERROR(__xludf.dummyfunction("""COMPUTED_VALUE"""),"#REF!")</f>
        <v>#REF!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</row>
    <row r="104" customFormat="false" ht="15.75" hidden="false" customHeight="false" outlineLevel="0" collapsed="false">
      <c r="A104" s="25" t="str">
        <f aca="false">IFERROR(__xludf.dummyfunction("""COMPUTED_VALUE"""),"Quentin Peyle")</f>
        <v>Quentin Peyle</v>
      </c>
      <c r="B104" s="24" t="str">
        <f aca="false">IFERROR(__xludf.dummyfunction("Filter('Réponses au formulaire 1'!S:S,'Réponses au formulaire 1'!B:B=A104)"),"La glotte")</f>
        <v>La glotte</v>
      </c>
      <c r="C104" s="16" t="s">
        <v>1144</v>
      </c>
      <c r="D104" s="12" t="str">
        <f aca="false">IFERROR(__xludf.dummyfunction("""COMPUTED_VALUE"""),"")</f>
        <v/>
      </c>
      <c r="E104" s="16" t="str">
        <f aca="false">IFERROR(__xludf.dummyfunction("""COMPUTED_VALUE"""),"#REF!")</f>
        <v>#REF!</v>
      </c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</row>
    <row r="105" customFormat="false" ht="15.75" hidden="false" customHeight="false" outlineLevel="0" collapsed="false">
      <c r="A105" s="25" t="str">
        <f aca="false">IFERROR(__xludf.dummyfunction("""COMPUTED_VALUE"""),"Lucas Baraton")</f>
        <v>Lucas Baraton</v>
      </c>
      <c r="B105" s="24" t="str">
        <f aca="false">IFERROR(__xludf.dummyfunction("Filter('Réponses au formulaire 1'!S:S,'Réponses au formulaire 1'!B:B=A105)"),"COMA")</f>
        <v>COMA</v>
      </c>
      <c r="C105" s="16" t="s">
        <v>1144</v>
      </c>
      <c r="D105" s="12" t="str">
        <f aca="false">IFERROR(__xludf.dummyfunction("""COMPUTED_VALUE"""),"")</f>
        <v/>
      </c>
      <c r="E105" s="16" t="str">
        <f aca="false">IFERROR(__xludf.dummyfunction("""COMPUTED_VALUE"""),"#REF!")</f>
        <v>#REF!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</row>
    <row r="106" customFormat="false" ht="15.75" hidden="false" customHeight="false" outlineLevel="0" collapsed="false">
      <c r="A106" s="25" t="str">
        <f aca="false">IFERROR(__xludf.dummyfunction("""COMPUTED_VALUE"""),"Samuel RATOUIT")</f>
        <v>Samuel RATOUIT</v>
      </c>
      <c r="B106" s="24" t="str">
        <f aca="false">IFERROR(__xludf.dummyfunction("Filter('Réponses au formulaire 1'!S:S,'Réponses au formulaire 1'!B:B=A106)"),"La Roulotte")</f>
        <v>La Roulotte</v>
      </c>
      <c r="C106" s="16" t="s">
        <v>1144</v>
      </c>
      <c r="D106" s="12" t="str">
        <f aca="false">IFERROR(__xludf.dummyfunction("""COMPUTED_VALUE"""),"")</f>
        <v/>
      </c>
      <c r="E106" s="16" t="str">
        <f aca="false">IFERROR(__xludf.dummyfunction("""COMPUTED_VALUE"""),"#REF!")</f>
        <v>#REF!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</row>
    <row r="107" customFormat="false" ht="15.75" hidden="false" customHeight="false" outlineLevel="0" collapsed="false">
      <c r="A107" s="25" t="str">
        <f aca="false">IFERROR(__xludf.dummyfunction("""COMPUTED_VALUE"""),"Martin Fauchille-Martin")</f>
        <v>Martin Fauchille-Martin</v>
      </c>
      <c r="B107" s="24" t="str">
        <f aca="false">IFERROR(__xludf.dummyfunction("Filter('Réponses au formulaire 1'!S:S,'Réponses au formulaire 1'!B:B=A107)"),"La Roulotte")</f>
        <v>La Roulotte</v>
      </c>
      <c r="C107" s="16" t="s">
        <v>1144</v>
      </c>
      <c r="D107" s="12" t="str">
        <f aca="false">IFERROR(__xludf.dummyfunction("""COMPUTED_VALUE"""),"")</f>
        <v/>
      </c>
      <c r="E107" s="16" t="str">
        <f aca="false">IFERROR(__xludf.dummyfunction("""COMPUTED_VALUE"""),"#REF!")</f>
        <v>#REF!</v>
      </c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</row>
    <row r="108" customFormat="false" ht="15.75" hidden="false" customHeight="false" outlineLevel="0" collapsed="false">
      <c r="A108" s="25" t="str">
        <f aca="false">IFERROR(__xludf.dummyfunction("""COMPUTED_VALUE"""),"Nils Hornet")</f>
        <v>Nils Hornet</v>
      </c>
      <c r="B108" s="24" t="str">
        <f aca="false">IFERROR(__xludf.dummyfunction("Filter('Réponses au formulaire 1'!S:S,'Réponses au formulaire 1'!B:B=A108)"),"La Roulotte")</f>
        <v>La Roulotte</v>
      </c>
      <c r="C108" s="16" t="s">
        <v>1144</v>
      </c>
      <c r="D108" s="12" t="str">
        <f aca="false">IFERROR(__xludf.dummyfunction("""COMPUTED_VALUE"""),"")</f>
        <v/>
      </c>
      <c r="E108" s="16" t="str">
        <f aca="false">IFERROR(__xludf.dummyfunction("""COMPUTED_VALUE"""),"#REF!")</f>
        <v>#REF!</v>
      </c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</row>
    <row r="109" customFormat="false" ht="15.75" hidden="false" customHeight="false" outlineLevel="0" collapsed="false">
      <c r="A109" s="25" t="str">
        <f aca="false">IFERROR(__xludf.dummyfunction("""COMPUTED_VALUE"""),"Thomas MEDORI")</f>
        <v>Thomas MEDORI</v>
      </c>
      <c r="B109" s="24" t="str">
        <f aca="false">IFERROR(__xludf.dummyfunction("Filter('Réponses au formulaire 1'!S:S,'Réponses au formulaire 1'!B:B=A109)"),"Aquamiff")</f>
        <v>Aquamiff</v>
      </c>
      <c r="C109" s="16" t="s">
        <v>1144</v>
      </c>
      <c r="D109" s="12" t="str">
        <f aca="false">IFERROR(__xludf.dummyfunction("""COMPUTED_VALUE"""),"")</f>
        <v/>
      </c>
      <c r="E109" s="16" t="str">
        <f aca="false">IFERROR(__xludf.dummyfunction("""COMPUTED_VALUE"""),"#REF!")</f>
        <v>#REF!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</row>
    <row r="110" customFormat="false" ht="15.75" hidden="false" customHeight="false" outlineLevel="0" collapsed="false">
      <c r="A110" s="25" t="str">
        <f aca="false">IFERROR(__xludf.dummyfunction("""COMPUTED_VALUE"""),"Aurèle HAINAUT")</f>
        <v>Aurèle HAINAUT</v>
      </c>
      <c r="B110" s="24" t="str">
        <f aca="false">IFERROR(__xludf.dummyfunction("Filter('Réponses au formulaire 1'!S:S,'Réponses au formulaire 1'!B:B=A110)"),"Aquamif ")</f>
        <v>Aquamif </v>
      </c>
      <c r="C110" s="16" t="s">
        <v>1144</v>
      </c>
      <c r="D110" s="12"/>
      <c r="E110" s="16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</row>
    <row r="111" customFormat="false" ht="15.75" hidden="false" customHeight="false" outlineLevel="0" collapsed="false">
      <c r="A111" s="25" t="str">
        <f aca="false">IFERROR(__xludf.dummyfunction("""COMPUTED_VALUE"""),"Aurèle DALIBOT")</f>
        <v>Aurèle DALIBOT</v>
      </c>
      <c r="B111" s="24" t="str">
        <f aca="false">IFERROR(__xludf.dummyfunction("Filter('Réponses au formulaire 1'!S:S,'Réponses au formulaire 1'!B:B=A111)"),"Aquamif")</f>
        <v>Aquamif</v>
      </c>
      <c r="C111" s="16" t="s">
        <v>1144</v>
      </c>
      <c r="D111" s="12"/>
      <c r="E111" s="16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</row>
    <row r="112" customFormat="false" ht="15.75" hidden="false" customHeight="false" outlineLevel="0" collapsed="false">
      <c r="A112" s="25" t="str">
        <f aca="false">IFERROR(__xludf.dummyfunction("""COMPUTED_VALUE"""),"Quentin NIGRON")</f>
        <v>Quentin NIGRON</v>
      </c>
      <c r="B112" s="24" t="str">
        <f aca="false">IFERROR(__xludf.dummyfunction("Filter('Réponses au formulaire 1'!S:S,'Réponses au formulaire 1'!B:B=A112)"),"COMA")</f>
        <v>COMA</v>
      </c>
      <c r="C112" s="16" t="s">
        <v>1144</v>
      </c>
      <c r="D112" s="12"/>
      <c r="E112" s="16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</row>
    <row r="113" customFormat="false" ht="15.75" hidden="false" customHeight="false" outlineLevel="0" collapsed="false">
      <c r="A113" s="25" t="str">
        <f aca="false">IFERROR(__xludf.dummyfunction("""COMPUTED_VALUE"""),"Alessandro MASI")</f>
        <v>Alessandro MASI</v>
      </c>
      <c r="B113" s="24" t="str">
        <f aca="false">IFERROR(__xludf.dummyfunction("Filter('Réponses au formulaire 1'!S:S,'Réponses au formulaire 1'!B:B=A113)"),"PB/Nuage")</f>
        <v>PB/Nuage</v>
      </c>
      <c r="C113" s="16" t="s">
        <v>1144</v>
      </c>
      <c r="D113" s="12"/>
      <c r="E113" s="16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</row>
    <row r="114" customFormat="false" ht="15.75" hidden="false" customHeight="false" outlineLevel="0" collapsed="false">
      <c r="A114" s="25" t="str">
        <f aca="false">IFERROR(__xludf.dummyfunction("""COMPUTED_VALUE"""),"Robin Tanquerel")</f>
        <v>Robin Tanquerel</v>
      </c>
      <c r="B114" s="24" t="str">
        <f aca="false">IFERROR(__xludf.dummyfunction("Filter('Réponses au formulaire 1'!S:S,'Réponses au formulaire 1'!B:B=A114)"),"PB-Nuage")</f>
        <v>PB-Nuage</v>
      </c>
      <c r="C114" s="16" t="s">
        <v>1144</v>
      </c>
      <c r="D114" s="12"/>
      <c r="E114" s="16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</row>
    <row r="115" customFormat="false" ht="15.75" hidden="false" customHeight="false" outlineLevel="0" collapsed="false">
      <c r="A115" s="25" t="str">
        <f aca="false">IFERROR(__xludf.dummyfunction("""COMPUTED_VALUE"""),"Pauline AUBRY")</f>
        <v>Pauline AUBRY</v>
      </c>
      <c r="B115" s="24" t="str">
        <f aca="false">IFERROR(__xludf.dummyfunction("Filter('Réponses au formulaire 1'!S:S,'Réponses au formulaire 1'!B:B=A115)"),"Auberge-Monastère")</f>
        <v>Auberge-Monastère</v>
      </c>
      <c r="C115" s="16" t="s">
        <v>1144</v>
      </c>
      <c r="D115" s="12"/>
      <c r="E115" s="16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</row>
    <row r="116" customFormat="false" ht="15.75" hidden="false" customHeight="false" outlineLevel="0" collapsed="false">
      <c r="A116" s="25" t="str">
        <f aca="false">IFERROR(__xludf.dummyfunction("""COMPUTED_VALUE"""),"Nicolas GUYONNEAU")</f>
        <v>Nicolas GUYONNEAU</v>
      </c>
      <c r="B116" s="24" t="str">
        <f aca="false">IFERROR(__xludf.dummyfunction("Filter('Réponses au formulaire 1'!S:S,'Réponses au formulaire 1'!B:B=A116)"),"Le Donjon")</f>
        <v>Le Donjon</v>
      </c>
      <c r="C116" s="16" t="s">
        <v>1144</v>
      </c>
      <c r="D116" s="12"/>
      <c r="E116" s="16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</row>
    <row r="117" customFormat="false" ht="15.75" hidden="false" customHeight="false" outlineLevel="0" collapsed="false">
      <c r="A117" s="25" t="str">
        <f aca="false">IFERROR(__xludf.dummyfunction("""COMPUTED_VALUE"""),"Nathan Gérard")</f>
        <v>Nathan Gérard</v>
      </c>
      <c r="B117" s="24" t="str">
        <f aca="false">IFERROR(__xludf.dummyfunction("Filter('Réponses au formulaire 1'!S:S,'Réponses au formulaire 1'!B:B=A117)"),"Les domineurs")</f>
        <v>Les domineurs</v>
      </c>
      <c r="C117" s="16" t="s">
        <v>1144</v>
      </c>
      <c r="D117" s="12"/>
      <c r="E117" s="16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</row>
    <row r="118" customFormat="false" ht="15.75" hidden="false" customHeight="false" outlineLevel="0" collapsed="false">
      <c r="A118" s="25" t="str">
        <f aca="false">IFERROR(__xludf.dummyfunction("""COMPUTED_VALUE"""),"Flora SOUSSAND")</f>
        <v>Flora SOUSSAND</v>
      </c>
      <c r="B118" s="24" t="str">
        <f aca="false">IFERROR(__xludf.dummyfunction("Filter('Réponses au formulaire 1'!S:S,'Réponses au formulaire 1'!B:B=A118)"),"Auberge-Monastère")</f>
        <v>Auberge-Monastère</v>
      </c>
      <c r="C118" s="16" t="s">
        <v>1144</v>
      </c>
      <c r="D118" s="12"/>
      <c r="E118" s="16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</row>
    <row r="119" customFormat="false" ht="15.75" hidden="false" customHeight="false" outlineLevel="0" collapsed="false">
      <c r="A119" s="25" t="str">
        <f aca="false">IFERROR(__xludf.dummyfunction("""COMPUTED_VALUE"""),"Maxime Guldner")</f>
        <v>Maxime Guldner</v>
      </c>
      <c r="B119" s="24" t="str">
        <f aca="false">IFERROR(__xludf.dummyfunction("Filter('Réponses au formulaire 1'!S:S,'Réponses au formulaire 1'!B:B=A119)"),"Summerf'aigle")</f>
        <v>Summerf'aigle</v>
      </c>
      <c r="C119" s="16" t="s">
        <v>1144</v>
      </c>
      <c r="D119" s="12"/>
      <c r="E119" s="16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</row>
    <row r="120" customFormat="false" ht="15.75" hidden="false" customHeight="false" outlineLevel="0" collapsed="false">
      <c r="A120" s="25" t="str">
        <f aca="false">IFERROR(__xludf.dummyfunction("""COMPUTED_VALUE"""),"Alizée DIATCHENKO")</f>
        <v>Alizée DIATCHENKO</v>
      </c>
      <c r="B120" s="24" t="str">
        <f aca="false">IFERROR(__xludf.dummyfunction("Filter('Réponses au formulaire 1'!S:S,'Réponses au formulaire 1'!B:B=A120)"),"La 4 étoiles")</f>
        <v>La 4 étoiles</v>
      </c>
      <c r="C120" s="16" t="s">
        <v>1144</v>
      </c>
      <c r="D120" s="12"/>
      <c r="E120" s="16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</row>
    <row r="121" customFormat="false" ht="15.75" hidden="false" customHeight="false" outlineLevel="0" collapsed="false">
      <c r="A121" s="25" t="str">
        <f aca="false">IFERROR(__xludf.dummyfunction("""COMPUTED_VALUE"""),"Thibaut BERTHOMÉ")</f>
        <v>Thibaut BERTHOMÉ</v>
      </c>
      <c r="B121" s="24" t="str">
        <f aca="false">IFERROR(__xludf.dummyfunction("Filter('Réponses au formulaire 1'!S:S,'Réponses au formulaire 1'!B:B=A121)"),"Summerf'aigle")</f>
        <v>Summerf'aigle</v>
      </c>
      <c r="C121" s="16" t="s">
        <v>1144</v>
      </c>
      <c r="D121" s="12"/>
      <c r="E121" s="16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</row>
    <row r="122" customFormat="false" ht="15.75" hidden="false" customHeight="false" outlineLevel="0" collapsed="false">
      <c r="A122" s="25" t="str">
        <f aca="false">IFERROR(__xludf.dummyfunction("""COMPUTED_VALUE"""),"Claire TRINQUET")</f>
        <v>Claire TRINQUET</v>
      </c>
      <c r="B122" s="24" t="str">
        <f aca="false">IFERROR(__xludf.dummyfunction("Filter('Réponses au formulaire 1'!S:S,'Réponses au formulaire 1'!B:B=A122)"),"Auberge-Monastère")</f>
        <v>Auberge-Monastère</v>
      </c>
      <c r="C122" s="16" t="s">
        <v>1144</v>
      </c>
      <c r="D122" s="12"/>
      <c r="E122" s="16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</row>
    <row r="123" customFormat="false" ht="15.75" hidden="false" customHeight="false" outlineLevel="0" collapsed="false">
      <c r="A123" s="25" t="str">
        <f aca="false">IFERROR(__xludf.dummyfunction("""COMPUTED_VALUE"""),"Sol VILLEGAS")</f>
        <v>Sol VILLEGAS</v>
      </c>
      <c r="B123" s="24" t="str">
        <f aca="false">IFERROR(__xludf.dummyfunction("Filter('Réponses au formulaire 1'!S:S,'Réponses au formulaire 1'!B:B=A123)"),"Pimp my ride")</f>
        <v>Pimp my ride</v>
      </c>
      <c r="C123" s="16" t="s">
        <v>1144</v>
      </c>
      <c r="D123" s="12"/>
      <c r="E123" s="16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</row>
    <row r="124" customFormat="false" ht="15.75" hidden="false" customHeight="false" outlineLevel="0" collapsed="false">
      <c r="A124" s="25" t="str">
        <f aca="false">IFERROR(__xludf.dummyfunction("""COMPUTED_VALUE"""),"Mario ALVAREZ-CASTRILLON")</f>
        <v>Mario ALVAREZ-CASTRILLON</v>
      </c>
      <c r="B124" s="24" t="str">
        <f aca="false">IFERROR(__xludf.dummyfunction("Filter('Réponses au formulaire 1'!S:S,'Réponses au formulaire 1'!B:B=A124)"),"Pimp my Ride")</f>
        <v>Pimp my Ride</v>
      </c>
      <c r="C124" s="16" t="s">
        <v>1144</v>
      </c>
      <c r="D124" s="12"/>
      <c r="E124" s="16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</row>
    <row r="125" customFormat="false" ht="15.75" hidden="false" customHeight="false" outlineLevel="0" collapsed="false">
      <c r="A125" s="25" t="str">
        <f aca="false">IFERROR(__xludf.dummyfunction("""COMPUTED_VALUE"""),"Marie-Jeanne PAUL")</f>
        <v>Marie-Jeanne PAUL</v>
      </c>
      <c r="B125" s="24" t="str">
        <f aca="false">IFERROR(__xludf.dummyfunction("Filter('Réponses au formulaire 1'!S:S,'Réponses au formulaire 1'!B:B=A125)"),"Auberge/Monastere")</f>
        <v>Auberge/Monastere</v>
      </c>
      <c r="C125" s="16" t="s">
        <v>1144</v>
      </c>
      <c r="D125" s="12"/>
      <c r="E125" s="16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</row>
    <row r="126" customFormat="false" ht="15.75" hidden="false" customHeight="false" outlineLevel="0" collapsed="false">
      <c r="A126" s="25" t="str">
        <f aca="false">IFERROR(__xludf.dummyfunction("""COMPUTED_VALUE"""),"Vincent Maillou")</f>
        <v>Vincent Maillou</v>
      </c>
      <c r="B126" s="24" t="str">
        <f aca="false">IFERROR(__xludf.dummyfunction("Filter('Réponses au formulaire 1'!S:S,'Réponses au formulaire 1'!B:B=A126)"),"Pimp my ride")</f>
        <v>Pimp my ride</v>
      </c>
      <c r="C126" s="16" t="s">
        <v>1144</v>
      </c>
      <c r="D126" s="12"/>
      <c r="E126" s="16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</row>
    <row r="127" customFormat="false" ht="15.75" hidden="false" customHeight="false" outlineLevel="0" collapsed="false">
      <c r="A127" s="25" t="str">
        <f aca="false">IFERROR(__xludf.dummyfunction("""COMPUTED_VALUE"""),"Benjamin Martin")</f>
        <v>Benjamin Martin</v>
      </c>
      <c r="B127" s="24" t="str">
        <f aca="false">IFERROR(__xludf.dummyfunction("Filter('Réponses au formulaire 1'!S:S,'Réponses au formulaire 1'!B:B=A127)"),"Les Mages")</f>
        <v>Les Mages</v>
      </c>
      <c r="C127" s="16" t="s">
        <v>1144</v>
      </c>
      <c r="D127" s="12"/>
      <c r="E127" s="16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</row>
    <row r="128" customFormat="false" ht="15.75" hidden="false" customHeight="false" outlineLevel="0" collapsed="false">
      <c r="A128" s="25" t="str">
        <f aca="false">IFERROR(__xludf.dummyfunction("""COMPUTED_VALUE"""),"Alix BOSSU")</f>
        <v>Alix BOSSU</v>
      </c>
      <c r="B128" s="24" t="str">
        <f aca="false">IFERROR(__xludf.dummyfunction("Filter('Réponses au formulaire 1'!S:S,'Réponses au formulaire 1'!B:B=A128)"),"Les Mages")</f>
        <v>Les Mages</v>
      </c>
      <c r="C128" s="16" t="s">
        <v>1144</v>
      </c>
      <c r="D128" s="12"/>
      <c r="E128" s="16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</row>
    <row r="129" customFormat="false" ht="15.75" hidden="false" customHeight="false" outlineLevel="0" collapsed="false">
      <c r="A129" s="25" t="str">
        <f aca="false">IFERROR(__xludf.dummyfunction("""COMPUTED_VALUE"""),"Oscar JACINTHO")</f>
        <v>Oscar JACINTHO</v>
      </c>
      <c r="B129" s="24" t="str">
        <f aca="false">IFERROR(__xludf.dummyfunction("Filter('Réponses au formulaire 1'!S:S,'Réponses au formulaire 1'!B:B=A129)"),"Les Mages")</f>
        <v>Les Mages</v>
      </c>
      <c r="C129" s="16" t="s">
        <v>1144</v>
      </c>
      <c r="D129" s="12"/>
      <c r="E129" s="16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</row>
    <row r="130" customFormat="false" ht="15.75" hidden="false" customHeight="false" outlineLevel="0" collapsed="false">
      <c r="A130" s="25" t="str">
        <f aca="false">IFERROR(__xludf.dummyfunction("""COMPUTED_VALUE"""),"Henri CHHOA")</f>
        <v>Henri CHHOA</v>
      </c>
      <c r="B130" s="24" t="str">
        <f aca="false">IFERROR(__xludf.dummyfunction("Filter('Réponses au formulaire 1'!S:S,'Réponses au formulaire 1'!B:B=A130)"),"Dusex")</f>
        <v>Dusex</v>
      </c>
      <c r="C130" s="16" t="s">
        <v>1144</v>
      </c>
      <c r="D130" s="12"/>
      <c r="E130" s="16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</row>
    <row r="131" customFormat="false" ht="15.75" hidden="false" customHeight="false" outlineLevel="0" collapsed="false">
      <c r="A131" s="25" t="str">
        <f aca="false">IFERROR(__xludf.dummyfunction("""COMPUTED_VALUE"""),"Juan Felipe GÓMEZ ALFARO")</f>
        <v>Juan Felipe GÓMEZ ALFARO</v>
      </c>
      <c r="B131" s="24" t="str">
        <f aca="false">IFERROR(__xludf.dummyfunction("Filter('Réponses au formulaire 1'!S:S,'Réponses au formulaire 1'!B:B=A131)"),"Malandros Team")</f>
        <v>Malandros Team</v>
      </c>
      <c r="C131" s="16" t="s">
        <v>1144</v>
      </c>
      <c r="D131" s="12"/>
      <c r="E131" s="16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</row>
    <row r="132" customFormat="false" ht="15.75" hidden="false" customHeight="false" outlineLevel="0" collapsed="false">
      <c r="A132" s="25" t="str">
        <f aca="false">IFERROR(__xludf.dummyfunction("""COMPUTED_VALUE"""),"Alfonso COLON DE CARVAJAL")</f>
        <v>Alfonso COLON DE CARVAJAL</v>
      </c>
      <c r="B132" s="24" t="str">
        <f aca="false">IFERROR(__xludf.dummyfunction("Filter('Réponses au formulaire 1'!S:S,'Réponses au formulaire 1'!B:B=A132)"),"Malandros Team")</f>
        <v>Malandros Team</v>
      </c>
      <c r="C132" s="16" t="s">
        <v>1144</v>
      </c>
      <c r="D132" s="12"/>
      <c r="E132" s="16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</row>
    <row r="133" customFormat="false" ht="15.75" hidden="false" customHeight="false" outlineLevel="0" collapsed="false">
      <c r="A133" s="25" t="str">
        <f aca="false">IFERROR(__xludf.dummyfunction("""COMPUTED_VALUE"""),"Sarah PETROCCHI")</f>
        <v>Sarah PETROCCHI</v>
      </c>
      <c r="B133" s="24" t="str">
        <f aca="false">IFERROR(__xludf.dummyfunction("Filter('Réponses au formulaire 1'!S:S,'Réponses au formulaire 1'!B:B=A133)"),"Le Donjon")</f>
        <v>Le Donjon</v>
      </c>
      <c r="C133" s="16" t="s">
        <v>1144</v>
      </c>
      <c r="D133" s="12"/>
      <c r="E133" s="16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</row>
    <row r="134" customFormat="false" ht="15.75" hidden="false" customHeight="false" outlineLevel="0" collapsed="false">
      <c r="A134" s="25" t="str">
        <f aca="false">IFERROR(__xludf.dummyfunction("""COMPUTED_VALUE"""),"Constance PHILIPPE")</f>
        <v>Constance PHILIPPE</v>
      </c>
      <c r="B134" s="24" t="str">
        <f aca="false">IFERROR(__xludf.dummyfunction("Filter('Réponses au formulaire 1'!S:S,'Réponses au formulaire 1'!B:B=A134)"),"Le Donjon")</f>
        <v>Le Donjon</v>
      </c>
      <c r="C134" s="16" t="s">
        <v>1144</v>
      </c>
      <c r="D134" s="12"/>
      <c r="E134" s="16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</row>
    <row r="135" customFormat="false" ht="15.75" hidden="false" customHeight="false" outlineLevel="0" collapsed="false">
      <c r="A135" s="25" t="str">
        <f aca="false">IFERROR(__xludf.dummyfunction("""COMPUTED_VALUE"""),"Alban VILLEDIEU")</f>
        <v>Alban VILLEDIEU</v>
      </c>
      <c r="B135" s="24" t="str">
        <f aca="false">IFERROR(__xludf.dummyfunction("Filter('Réponses au formulaire 1'!S:S,'Réponses au formulaire 1'!B:B=A135)"),"Barton")</f>
        <v>Barton</v>
      </c>
      <c r="C135" s="16" t="s">
        <v>1144</v>
      </c>
      <c r="D135" s="12"/>
      <c r="E135" s="16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</row>
    <row r="136" customFormat="false" ht="15.75" hidden="false" customHeight="false" outlineLevel="0" collapsed="false">
      <c r="A136" s="25" t="str">
        <f aca="false">IFERROR(__xludf.dummyfunction("""COMPUTED_VALUE"""),"Marius DUVILLARD")</f>
        <v>Marius DUVILLARD</v>
      </c>
      <c r="B136" s="24" t="str">
        <f aca="false">IFERROR(__xludf.dummyfunction("Filter('Réponses au formulaire 1'!S:S,'Réponses au formulaire 1'!B:B=A136)"),"La Crypte")</f>
        <v>La Crypte</v>
      </c>
      <c r="C136" s="16" t="s">
        <v>1144</v>
      </c>
      <c r="D136" s="12"/>
      <c r="E136" s="16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</row>
    <row r="137" customFormat="false" ht="15.75" hidden="false" customHeight="false" outlineLevel="0" collapsed="false">
      <c r="A137" s="25" t="str">
        <f aca="false">IFERROR(__xludf.dummyfunction("""COMPUTED_VALUE"""),"Pierre Go")</f>
        <v>Pierre Go</v>
      </c>
      <c r="B137" s="24" t="str">
        <f aca="false">IFERROR(__xludf.dummyfunction("Filter('Réponses au formulaire 1'!S:S,'Réponses au formulaire 1'!B:B=A137)"),"Barton")</f>
        <v>Barton</v>
      </c>
      <c r="C137" s="16" t="s">
        <v>1144</v>
      </c>
      <c r="D137" s="12"/>
      <c r="E137" s="16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</row>
    <row r="138" customFormat="false" ht="15.75" hidden="false" customHeight="false" outlineLevel="0" collapsed="false">
      <c r="A138" s="25" t="str">
        <f aca="false">IFERROR(__xludf.dummyfunction("""COMPUTED_VALUE"""),"Mitsi R.")</f>
        <v>Mitsi R.</v>
      </c>
      <c r="B138" s="24" t="str">
        <f aca="false">IFERROR(__xludf.dummyfunction("Filter('Réponses au formulaire 1'!S:S,'Réponses au formulaire 1'!B:B=A138)"),"Barton")</f>
        <v>Barton</v>
      </c>
      <c r="C138" s="16" t="s">
        <v>1144</v>
      </c>
      <c r="D138" s="12"/>
      <c r="E138" s="16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</row>
    <row r="139" customFormat="false" ht="15.75" hidden="false" customHeight="false" outlineLevel="0" collapsed="false">
      <c r="A139" s="25" t="str">
        <f aca="false">IFERROR(__xludf.dummyfunction("""COMPUTED_VALUE"""),"Valentin Antonio")</f>
        <v>Valentin Antonio</v>
      </c>
      <c r="B139" s="24" t="str">
        <f aca="false">IFERROR(__xludf.dummyfunction("Filter('Réponses au formulaire 1'!S:S,'Réponses au formulaire 1'!B:B=A139)"),"Dusex")</f>
        <v>Dusex</v>
      </c>
      <c r="C139" s="16" t="s">
        <v>1144</v>
      </c>
      <c r="D139" s="12"/>
      <c r="E139" s="16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</row>
    <row r="140" customFormat="false" ht="15.75" hidden="false" customHeight="false" outlineLevel="0" collapsed="false">
      <c r="A140" s="25" t="str">
        <f aca="false">IFERROR(__xludf.dummyfunction("""COMPUTED_VALUE"""),"Juline CORNET-GOY")</f>
        <v>Juline CORNET-GOY</v>
      </c>
      <c r="B140" s="24" t="str">
        <f aca="false">IFERROR(__xludf.dummyfunction("Filter('Réponses au formulaire 1'!S:S,'Réponses au formulaire 1'!B:B=A140)"),"Jodyssée")</f>
        <v>Jodyssée</v>
      </c>
      <c r="C140" s="16" t="s">
        <v>1144</v>
      </c>
      <c r="D140" s="12"/>
      <c r="E140" s="16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</row>
    <row r="141" customFormat="false" ht="15.75" hidden="false" customHeight="false" outlineLevel="0" collapsed="false">
      <c r="A141" s="25" t="str">
        <f aca="false">IFERROR(__xludf.dummyfunction("""COMPUTED_VALUE"""),"Lise GERMON")</f>
        <v>Lise GERMON</v>
      </c>
      <c r="B141" s="24" t="str">
        <f aca="false">IFERROR(__xludf.dummyfunction("Filter('Réponses au formulaire 1'!S:S,'Réponses au formulaire 1'!B:B=A141)"),"Jodyssée")</f>
        <v>Jodyssée</v>
      </c>
      <c r="C141" s="16" t="s">
        <v>1144</v>
      </c>
      <c r="D141" s="12"/>
      <c r="E141" s="16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</row>
    <row r="142" customFormat="false" ht="15.75" hidden="false" customHeight="false" outlineLevel="0" collapsed="false">
      <c r="A142" s="25" t="str">
        <f aca="false">IFERROR(__xludf.dummyfunction("""COMPUTED_VALUE"""),"Alizée AMSLER")</f>
        <v>Alizée AMSLER</v>
      </c>
      <c r="B142" s="24" t="str">
        <f aca="false">IFERROR(__xludf.dummyfunction("Filter('Réponses au formulaire 1'!S:S,'Réponses au formulaire 1'!B:B=A142)"),"Jodyssée")</f>
        <v>Jodyssée</v>
      </c>
      <c r="C142" s="16" t="s">
        <v>1144</v>
      </c>
      <c r="D142" s="12"/>
      <c r="E142" s="16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</row>
    <row r="143" customFormat="false" ht="15.75" hidden="false" customHeight="false" outlineLevel="0" collapsed="false">
      <c r="A143" s="25" t="str">
        <f aca="false">IFERROR(__xludf.dummyfunction("""COMPUTED_VALUE"""),"Mai-Vi VU")</f>
        <v>Mai-Vi VU</v>
      </c>
      <c r="B143" s="24" t="str">
        <f aca="false">IFERROR(__xludf.dummyfunction("Filter('Réponses au formulaire 1'!S:S,'Réponses au formulaire 1'!B:B=A143)"),"Jodyssée")</f>
        <v>Jodyssée</v>
      </c>
      <c r="C143" s="16" t="s">
        <v>1144</v>
      </c>
      <c r="D143" s="12"/>
      <c r="E143" s="16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</row>
    <row r="144" customFormat="false" ht="15.75" hidden="false" customHeight="false" outlineLevel="0" collapsed="false">
      <c r="A144" s="25" t="str">
        <f aca="false">IFERROR(__xludf.dummyfunction("""COMPUTED_VALUE"""),"Perrine JUILLET")</f>
        <v>Perrine JUILLET</v>
      </c>
      <c r="B144" s="24" t="str">
        <f aca="false">IFERROR(__xludf.dummyfunction("Filter('Réponses au formulaire 1'!S:S,'Réponses au formulaire 1'!B:B=A144)"),"Jodyssee")</f>
        <v>Jodyssee</v>
      </c>
      <c r="C144" s="16" t="s">
        <v>1144</v>
      </c>
      <c r="D144" s="12"/>
      <c r="E144" s="16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</row>
    <row r="145" customFormat="false" ht="15.75" hidden="false" customHeight="false" outlineLevel="0" collapsed="false">
      <c r="A145" s="25" t="str">
        <f aca="false">IFERROR(__xludf.dummyfunction("""COMPUTED_VALUE"""),"Maxence PASCAL")</f>
        <v>Maxence PASCAL</v>
      </c>
      <c r="B145" s="24" t="str">
        <f aca="false">IFERROR(__xludf.dummyfunction("Filter('Réponses au formulaire 1'!S:S,'Réponses au formulaire 1'!B:B=A145)"),"Les trutitas")</f>
        <v>Les trutitas</v>
      </c>
      <c r="C145" s="16" t="s">
        <v>1144</v>
      </c>
      <c r="D145" s="12"/>
      <c r="E145" s="16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</row>
    <row r="146" customFormat="false" ht="15.75" hidden="false" customHeight="false" outlineLevel="0" collapsed="false">
      <c r="A146" s="25" t="str">
        <f aca="false">IFERROR(__xludf.dummyfunction("""COMPUTED_VALUE"""),"Lisa SAVARIEAU")</f>
        <v>Lisa SAVARIEAU</v>
      </c>
      <c r="B146" s="24" t="str">
        <f aca="false">IFERROR(__xludf.dummyfunction("Filter('Réponses au formulaire 1'!S:S,'Réponses au formulaire 1'!B:B=A146)"),"DarkLudi et ses copines")</f>
        <v>DarkLudi et ses copines</v>
      </c>
      <c r="C146" s="16" t="s">
        <v>1144</v>
      </c>
      <c r="D146" s="12"/>
      <c r="E146" s="16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</row>
    <row r="147" customFormat="false" ht="15.75" hidden="false" customHeight="false" outlineLevel="0" collapsed="false">
      <c r="A147" s="25" t="str">
        <f aca="false">IFERROR(__xludf.dummyfunction("""COMPUTED_VALUE"""),"Ludivine LUXEY")</f>
        <v>Ludivine LUXEY</v>
      </c>
      <c r="B147" s="24" t="str">
        <f aca="false">IFERROR(__xludf.dummyfunction("Filter('Réponses au formulaire 1'!S:S,'Réponses au formulaire 1'!B:B=A147)"),"DarkLudi et ses copines ")</f>
        <v>DarkLudi et ses copines </v>
      </c>
      <c r="C147" s="16" t="s">
        <v>1144</v>
      </c>
      <c r="D147" s="12"/>
      <c r="E147" s="16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</row>
    <row r="148" customFormat="false" ht="15.75" hidden="false" customHeight="false" outlineLevel="0" collapsed="false">
      <c r="A148" s="25" t="str">
        <f aca="false">IFERROR(__xludf.dummyfunction("""COMPUTED_VALUE"""),"Henrique MARTINEZ DE AZEVEDO")</f>
        <v>Henrique MARTINEZ DE AZEVEDO</v>
      </c>
      <c r="B148" s="24" t="str">
        <f aca="false">IFERROR(__xludf.dummyfunction("Filter('Réponses au formulaire 1'!S:S,'Réponses au formulaire 1'!B:B=A148)"),"Les trutitas")</f>
        <v>Les trutitas</v>
      </c>
      <c r="C148" s="16" t="s">
        <v>1144</v>
      </c>
      <c r="D148" s="12"/>
      <c r="E148" s="16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</row>
    <row r="149" customFormat="false" ht="15.75" hidden="false" customHeight="false" outlineLevel="0" collapsed="false">
      <c r="A149" s="25" t="str">
        <f aca="false">IFERROR(__xludf.dummyfunction("""COMPUTED_VALUE"""),"Ariane BERGER")</f>
        <v>Ariane BERGER</v>
      </c>
      <c r="B149" s="24" t="str">
        <f aca="false">IFERROR(__xludf.dummyfunction("Filter('Réponses au formulaire 1'!S:S,'Réponses au formulaire 1'!B:B=A149)"),"DarkLudi et ses copines")</f>
        <v>DarkLudi et ses copines</v>
      </c>
      <c r="C149" s="16" t="s">
        <v>1144</v>
      </c>
      <c r="D149" s="12"/>
      <c r="E149" s="16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</row>
    <row r="150" customFormat="false" ht="15.75" hidden="false" customHeight="false" outlineLevel="0" collapsed="false">
      <c r="A150" s="25" t="str">
        <f aca="false">IFERROR(__xludf.dummyfunction("""COMPUTED_VALUE"""),"Alice Mennesson")</f>
        <v>Alice Mennesson</v>
      </c>
      <c r="B150" s="24" t="str">
        <f aca="false">IFERROR(__xludf.dummyfunction("Filter('Réponses au formulaire 1'!S:S,'Réponses au formulaire 1'!B:B=A150)"),"Dark Ludi et ses copines ")</f>
        <v>Dark Ludi et ses copines </v>
      </c>
      <c r="C150" s="16" t="s">
        <v>1144</v>
      </c>
      <c r="D150" s="12"/>
      <c r="E150" s="16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</row>
    <row r="151" customFormat="false" ht="15.75" hidden="false" customHeight="false" outlineLevel="0" collapsed="false">
      <c r="A151" s="25" t="str">
        <f aca="false">IFERROR(__xludf.dummyfunction("""COMPUTED_VALUE"""),"José Ronzel")</f>
        <v>José Ronzel</v>
      </c>
      <c r="B151" s="24" t="str">
        <f aca="false">IFERROR(__xludf.dummyfunction("Filter('Réponses au formulaire 1'!S:S,'Réponses au formulaire 1'!B:B=A151)"),"les trutitas")</f>
        <v>les trutitas</v>
      </c>
      <c r="C151" s="16" t="s">
        <v>1144</v>
      </c>
      <c r="D151" s="12"/>
      <c r="E151" s="16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</row>
    <row r="152" customFormat="false" ht="15.75" hidden="false" customHeight="false" outlineLevel="0" collapsed="false">
      <c r="A152" s="25" t="str">
        <f aca="false">IFERROR(__xludf.dummyfunction("""COMPUTED_VALUE"""),"Exequiel")</f>
        <v>Exequiel</v>
      </c>
      <c r="B152" s="24" t="str">
        <f aca="false">IFERROR(__xludf.dummyfunction("Filter('Réponses au formulaire 1'!S:S,'Réponses au formulaire 1'!B:B=A152)"),"Les trutitas")</f>
        <v>Les trutitas</v>
      </c>
      <c r="C152" s="16" t="s">
        <v>1144</v>
      </c>
      <c r="D152" s="12"/>
      <c r="E152" s="16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</row>
    <row r="153" customFormat="false" ht="15.75" hidden="false" customHeight="false" outlineLevel="0" collapsed="false">
      <c r="A153" s="25" t="str">
        <f aca="false">IFERROR(__xludf.dummyfunction("""COMPUTED_VALUE"""),"Léa SCETBUN")</f>
        <v>Léa SCETBUN</v>
      </c>
      <c r="B153" s="24" t="str">
        <f aca="false">IFERROR(__xludf.dummyfunction("Filter('Réponses au formulaire 1'!S:S,'Réponses au formulaire 1'!B:B=A153)"),"Les grosses cochonnes")</f>
        <v>Les grosses cochonnes</v>
      </c>
      <c r="C153" s="16" t="s">
        <v>1144</v>
      </c>
      <c r="D153" s="12"/>
      <c r="E153" s="16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</row>
    <row r="154" customFormat="false" ht="15.75" hidden="false" customHeight="false" outlineLevel="0" collapsed="false">
      <c r="A154" s="25" t="str">
        <f aca="false">IFERROR(__xludf.dummyfunction("""COMPUTED_VALUE"""),"Théo DELOBEL")</f>
        <v>Théo DELOBEL</v>
      </c>
      <c r="B154" s="24" t="str">
        <f aca="false">IFERROR(__xludf.dummyfunction("Filter('Réponses au formulaire 1'!S:S,'Réponses au formulaire 1'!B:B=A154)"),"Les Grosses Cochonnes")</f>
        <v>Les Grosses Cochonnes</v>
      </c>
      <c r="C154" s="16" t="s">
        <v>1144</v>
      </c>
      <c r="D154" s="12"/>
      <c r="E154" s="16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</row>
    <row r="155" customFormat="false" ht="15.75" hidden="false" customHeight="false" outlineLevel="0" collapsed="false">
      <c r="A155" s="25" t="str">
        <f aca="false">IFERROR(__xludf.dummyfunction("""COMPUTED_VALUE"""),"Jérôme KAYSER")</f>
        <v>Jérôme KAYSER</v>
      </c>
      <c r="B155" s="24" t="str">
        <f aca="false">IFERROR(__xludf.dummyfunction("Filter('Réponses au formulaire 1'!S:S,'Réponses au formulaire 1'!B:B=A155)"),"Les Grosses Cochonnes")</f>
        <v>Les Grosses Cochonnes</v>
      </c>
      <c r="C155" s="16" t="s">
        <v>1144</v>
      </c>
      <c r="D155" s="12"/>
      <c r="E155" s="16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</row>
    <row r="156" customFormat="false" ht="15.75" hidden="false" customHeight="false" outlineLevel="0" collapsed="false">
      <c r="A156" s="25" t="str">
        <f aca="false">IFERROR(__xludf.dummyfunction("""COMPUTED_VALUE"""),"Esteban LECOURT")</f>
        <v>Esteban LECOURT</v>
      </c>
      <c r="B156" s="24" t="str">
        <f aca="false">IFERROR(__xludf.dummyfunction("Filter('Réponses au formulaire 1'!S:S,'Réponses au formulaire 1'!B:B=A156)"),"Les Grosses Cochonnes")</f>
        <v>Les Grosses Cochonnes</v>
      </c>
      <c r="C156" s="16" t="s">
        <v>1144</v>
      </c>
      <c r="D156" s="12"/>
      <c r="E156" s="16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</row>
    <row r="157" customFormat="false" ht="15.75" hidden="false" customHeight="false" outlineLevel="0" collapsed="false">
      <c r="A157" s="25" t="str">
        <f aca="false">IFERROR(__xludf.dummyfunction("""COMPUTED_VALUE"""),"Luis FERNANDEZ")</f>
        <v>Luis FERNANDEZ</v>
      </c>
      <c r="B157" s="24" t="str">
        <f aca="false">IFERROR(__xludf.dummyfunction("Filter('Réponses au formulaire 1'!S:S,'Réponses au formulaire 1'!B:B=A157)"),"Malandros ")</f>
        <v>Malandros </v>
      </c>
      <c r="C157" s="16" t="s">
        <v>1144</v>
      </c>
      <c r="D157" s="12"/>
      <c r="E157" s="16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</row>
    <row r="158" customFormat="false" ht="15.75" hidden="false" customHeight="false" outlineLevel="0" collapsed="false">
      <c r="A158" s="25" t="str">
        <f aca="false">IFERROR(__xludf.dummyfunction("""COMPUTED_VALUE"""),"Solene LE FUR")</f>
        <v>Solene LE FUR</v>
      </c>
      <c r="B158" s="24" t="str">
        <f aca="false">IFERROR(__xludf.dummyfunction("Filter('Réponses au formulaire 1'!S:S,'Réponses au formulaire 1'!B:B=A158)"),"Sans-abri ")</f>
        <v>Sans-abri </v>
      </c>
      <c r="C158" s="16" t="s">
        <v>1144</v>
      </c>
      <c r="D158" s="12"/>
      <c r="E158" s="16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</row>
    <row r="159" customFormat="false" ht="15.75" hidden="false" customHeight="false" outlineLevel="0" collapsed="false">
      <c r="A159" s="25" t="str">
        <f aca="false">IFERROR(__xludf.dummyfunction("""COMPUTED_VALUE"""),"Eugénie cotte")</f>
        <v>Eugénie cotte</v>
      </c>
      <c r="B159" s="24" t="str">
        <f aca="false">IFERROR(__xludf.dummyfunction("Filter('Réponses au formulaire 1'!S:S,'Réponses au formulaire 1'!B:B=A159)"),"sans-abri")</f>
        <v>sans-abri</v>
      </c>
      <c r="C159" s="16" t="s">
        <v>1144</v>
      </c>
      <c r="D159" s="12"/>
      <c r="E159" s="16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</row>
    <row r="160" customFormat="false" ht="15.75" hidden="false" customHeight="false" outlineLevel="0" collapsed="false">
      <c r="A160" s="25" t="str">
        <f aca="false">IFERROR(__xludf.dummyfunction("""COMPUTED_VALUE"""),"Samuel BISMUT")</f>
        <v>Samuel BISMUT</v>
      </c>
      <c r="B160" s="24" t="str">
        <f aca="false">IFERROR(__xludf.dummyfunction("Filter('Réponses au formulaire 1'!S:S,'Réponses au formulaire 1'!B:B=A160)"),"Sans abris")</f>
        <v>Sans abris</v>
      </c>
      <c r="C160" s="16" t="s">
        <v>1144</v>
      </c>
      <c r="D160" s="12"/>
      <c r="E160" s="16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</row>
    <row r="161" customFormat="false" ht="15.75" hidden="false" customHeight="false" outlineLevel="0" collapsed="false">
      <c r="A161" s="25" t="str">
        <f aca="false">IFERROR(__xludf.dummyfunction("""COMPUTED_VALUE"""),"Victor BLANCART")</f>
        <v>Victor BLANCART</v>
      </c>
      <c r="B161" s="24" t="str">
        <f aca="false">IFERROR(__xludf.dummyfunction("Filter('Réponses au formulaire 1'!S:S,'Réponses au formulaire 1'!B:B=A161)"),"Les mages")</f>
        <v>Les mages</v>
      </c>
      <c r="C161" s="16" t="s">
        <v>1144</v>
      </c>
      <c r="D161" s="12"/>
      <c r="E161" s="16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</row>
    <row r="162" customFormat="false" ht="15.75" hidden="false" customHeight="false" outlineLevel="0" collapsed="false">
      <c r="A162" s="25" t="str">
        <f aca="false">IFERROR(__xludf.dummyfunction("""COMPUTED_VALUE"""),"Tommy GEHENIAU")</f>
        <v>Tommy GEHENIAU</v>
      </c>
      <c r="B162" s="24" t="str">
        <f aca="false">IFERROR(__xludf.dummyfunction("Filter('Réponses au formulaire 1'!S:S,'Réponses au formulaire 1'!B:B=A162)"),"L'aquamif")</f>
        <v>L'aquamif</v>
      </c>
      <c r="C162" s="16" t="s">
        <v>1144</v>
      </c>
      <c r="D162" s="12"/>
      <c r="E162" s="16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</row>
    <row r="163" customFormat="false" ht="15.75" hidden="false" customHeight="false" outlineLevel="0" collapsed="false">
      <c r="A163" s="25" t="str">
        <f aca="false">IFERROR(__xludf.dummyfunction("""COMPUTED_VALUE"""),"Léo HUREAU")</f>
        <v>Léo HUREAU</v>
      </c>
      <c r="B163" s="24" t="str">
        <f aca="false">IFERROR(__xludf.dummyfunction("Filter('Réponses au formulaire 1'!S:S,'Réponses au formulaire 1'!B:B=A163)"),"Le Panthéon")</f>
        <v>Le Panthéon</v>
      </c>
      <c r="C163" s="16" t="s">
        <v>1144</v>
      </c>
      <c r="D163" s="12"/>
      <c r="E163" s="16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</row>
    <row r="164" customFormat="false" ht="15.75" hidden="false" customHeight="false" outlineLevel="0" collapsed="false">
      <c r="A164" s="25" t="str">
        <f aca="false">IFERROR(__xludf.dummyfunction("""COMPUTED_VALUE"""),"Awen BRUNEAU")</f>
        <v>Awen BRUNEAU</v>
      </c>
      <c r="B164" s="24" t="str">
        <f aca="false">IFERROR(__xludf.dummyfunction("Filter('Réponses au formulaire 1'!S:S,'Réponses au formulaire 1'!B:B=A164)"),"Le Panthéon")</f>
        <v>Le Panthéon</v>
      </c>
      <c r="C164" s="16" t="s">
        <v>1144</v>
      </c>
      <c r="D164" s="12"/>
      <c r="E164" s="16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</row>
    <row r="165" customFormat="false" ht="15.75" hidden="false" customHeight="false" outlineLevel="0" collapsed="false">
      <c r="A165" s="25" t="str">
        <f aca="false">IFERROR(__xludf.dummyfunction("""COMPUTED_VALUE"""),"simeo Potiron")</f>
        <v>simeo Potiron</v>
      </c>
      <c r="B165" s="24" t="str">
        <f aca="false">IFERROR(__xludf.dummyfunction("Filter('Réponses au formulaire 1'!S:S,'Réponses au formulaire 1'!B:B=A165)"),"la team corlay")</f>
        <v>la team corlay</v>
      </c>
      <c r="C165" s="16" t="s">
        <v>1144</v>
      </c>
      <c r="D165" s="12"/>
      <c r="E165" s="16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</row>
    <row r="166" customFormat="false" ht="15.75" hidden="false" customHeight="false" outlineLevel="0" collapsed="false">
      <c r="A166" s="25" t="str">
        <f aca="false">IFERROR(__xludf.dummyfunction("""COMPUTED_VALUE"""),"Pierre MAQUET")</f>
        <v>Pierre MAQUET</v>
      </c>
      <c r="B166" s="24" t="str">
        <f aca="false">IFERROR(__xludf.dummyfunction("Filter('Réponses au formulaire 1'!S:S,'Réponses au formulaire 1'!B:B=A166)"),"Le Panthéon")</f>
        <v>Le Panthéon</v>
      </c>
      <c r="C166" s="16" t="s">
        <v>1144</v>
      </c>
      <c r="D166" s="12"/>
      <c r="E166" s="16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</row>
    <row r="167" customFormat="false" ht="15.75" hidden="false" customHeight="false" outlineLevel="0" collapsed="false">
      <c r="A167" s="25" t="str">
        <f aca="false">IFERROR(__xludf.dummyfunction("""COMPUTED_VALUE"""),"Céline FEREC")</f>
        <v>Céline FEREC</v>
      </c>
      <c r="B167" s="24" t="str">
        <f aca="false">IFERROR(__xludf.dummyfunction("Filter('Réponses au formulaire 1'!S:S,'Réponses au formulaire 1'!B:B=A167)"),"Le Panthéon")</f>
        <v>Le Panthéon</v>
      </c>
      <c r="C167" s="16" t="s">
        <v>1144</v>
      </c>
      <c r="D167" s="12"/>
      <c r="E167" s="16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</row>
    <row r="168" customFormat="false" ht="15.75" hidden="false" customHeight="false" outlineLevel="0" collapsed="false">
      <c r="A168" s="25" t="str">
        <f aca="false">IFERROR(__xludf.dummyfunction("""COMPUTED_VALUE"""),"Maxime GRAS")</f>
        <v>Maxime GRAS</v>
      </c>
      <c r="B168" s="24" t="str">
        <f aca="false">IFERROR(__xludf.dummyfunction("Filter('Réponses au formulaire 1'!S:S,'Réponses au formulaire 1'!B:B=A168)"),"La Crypte")</f>
        <v>La Crypte</v>
      </c>
      <c r="C168" s="16" t="s">
        <v>1144</v>
      </c>
      <c r="D168" s="12"/>
      <c r="E168" s="16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</row>
    <row r="169" customFormat="false" ht="15.75" hidden="false" customHeight="false" outlineLevel="0" collapsed="false">
      <c r="A169" s="25" t="str">
        <f aca="false">IFERROR(__xludf.dummyfunction("""COMPUTED_VALUE"""),"Audrey BOYENVAL")</f>
        <v>Audrey BOYENVAL</v>
      </c>
      <c r="B169" s="24" t="str">
        <f aca="false">IFERROR(__xludf.dummyfunction("Filter('Réponses au formulaire 1'!S:S,'Réponses au formulaire 1'!B:B=A169)"),"La Crypte")</f>
        <v>La Crypte</v>
      </c>
      <c r="C169" s="16" t="s">
        <v>1144</v>
      </c>
      <c r="D169" s="12"/>
      <c r="E169" s="16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</row>
    <row r="170" customFormat="false" ht="15.75" hidden="false" customHeight="false" outlineLevel="0" collapsed="false">
      <c r="A170" s="25" t="str">
        <f aca="false">IFERROR(__xludf.dummyfunction("""COMPUTED_VALUE"""),"Chloé CANAVATE")</f>
        <v>Chloé CANAVATE</v>
      </c>
      <c r="B170" s="24" t="str">
        <f aca="false">IFERROR(__xludf.dummyfunction("Filter('Réponses au formulaire 1'!S:S,'Réponses au formulaire 1'!B:B=A170)"),"Le 4 étoiles ")</f>
        <v>Le 4 étoiles </v>
      </c>
      <c r="C170" s="16" t="s">
        <v>1144</v>
      </c>
      <c r="D170" s="12"/>
      <c r="E170" s="16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</row>
    <row r="171" customFormat="false" ht="15.75" hidden="false" customHeight="false" outlineLevel="0" collapsed="false">
      <c r="A171" s="25" t="str">
        <f aca="false">IFERROR(__xludf.dummyfunction("""COMPUTED_VALUE"""),"Antoine TARDIVON")</f>
        <v>Antoine TARDIVON</v>
      </c>
      <c r="B171" s="24" t="str">
        <f aca="false">IFERROR(__xludf.dummyfunction("Filter('Réponses au formulaire 1'!S:S,'Réponses au formulaire 1'!B:B=A171)"),"La team Corlay")</f>
        <v>La team Corlay</v>
      </c>
      <c r="C171" s="16" t="s">
        <v>1144</v>
      </c>
      <c r="D171" s="12"/>
      <c r="E171" s="16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</row>
    <row r="172" customFormat="false" ht="15.75" hidden="false" customHeight="false" outlineLevel="0" collapsed="false">
      <c r="A172" s="25" t="str">
        <f aca="false">IFERROR(__xludf.dummyfunction("""COMPUTED_VALUE"""),"Adrien Simonet")</f>
        <v>Adrien Simonet</v>
      </c>
      <c r="B172" s="24" t="str">
        <f aca="false">IFERROR(__xludf.dummyfunction("Filter('Réponses au formulaire 1'!S:S,'Réponses au formulaire 1'!B:B=A172)"),"La team corlay ")</f>
        <v>La team corlay </v>
      </c>
      <c r="C172" s="16" t="s">
        <v>1144</v>
      </c>
      <c r="D172" s="12"/>
      <c r="E172" s="16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</row>
    <row r="173" customFormat="false" ht="15.75" hidden="false" customHeight="false" outlineLevel="0" collapsed="false">
      <c r="A173" s="25" t="str">
        <f aca="false">IFERROR(__xludf.dummyfunction("""COMPUTED_VALUE"""),"Maena GALERON")</f>
        <v>Maena GALERON</v>
      </c>
      <c r="B173" s="24" t="str">
        <f aca="false">IFERROR(__xludf.dummyfunction("Filter('Réponses au formulaire 1'!S:S,'Réponses au formulaire 1'!B:B=A173)"),"La 4 étoiles ")</f>
        <v>La 4 étoiles </v>
      </c>
      <c r="C173" s="16" t="s">
        <v>1144</v>
      </c>
      <c r="D173" s="12"/>
      <c r="E173" s="16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</row>
    <row r="174" customFormat="false" ht="15.75" hidden="false" customHeight="false" outlineLevel="0" collapsed="false">
      <c r="A174" s="25" t="str">
        <f aca="false">IFERROR(__xludf.dummyfunction("""COMPUTED_VALUE"""),"Antoine LETOFFET")</f>
        <v>Antoine LETOFFET</v>
      </c>
      <c r="B174" s="24" t="str">
        <f aca="false">IFERROR(__xludf.dummyfunction("Filter('Réponses au formulaire 1'!S:S,'Réponses au formulaire 1'!B:B=A174)"),"sans abri")</f>
        <v>sans abri</v>
      </c>
      <c r="C174" s="16" t="s">
        <v>1144</v>
      </c>
      <c r="D174" s="12"/>
      <c r="E174" s="16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</row>
    <row r="175" customFormat="false" ht="15.75" hidden="false" customHeight="false" outlineLevel="0" collapsed="false">
      <c r="A175" s="25" t="str">
        <f aca="false">IFERROR(__xludf.dummyfunction("""COMPUTED_VALUE"""),"Grégoire Turzo")</f>
        <v>Grégoire Turzo</v>
      </c>
      <c r="B175" s="24" t="str">
        <f aca="false">IFERROR(__xludf.dummyfunction("Filter('Réponses au formulaire 1'!S:S,'Réponses au formulaire 1'!B:B=A175)"),"Les fortiches")</f>
        <v>Les fortiches</v>
      </c>
      <c r="C175" s="16" t="s">
        <v>1144</v>
      </c>
      <c r="D175" s="12"/>
      <c r="E175" s="16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</row>
    <row r="176" customFormat="false" ht="15.75" hidden="false" customHeight="false" outlineLevel="0" collapsed="false">
      <c r="A176" s="25" t="str">
        <f aca="false">IFERROR(__xludf.dummyfunction("""COMPUTED_VALUE"""),"Henri de Chanterac")</f>
        <v>Henri de Chanterac</v>
      </c>
      <c r="B176" s="24" t="str">
        <f aca="false">IFERROR(__xludf.dummyfunction("Filter('Réponses au formulaire 1'!S:S,'Réponses au formulaire 1'!B:B=A176)"),"les fortiches")</f>
        <v>les fortiches</v>
      </c>
      <c r="C176" s="16" t="s">
        <v>1144</v>
      </c>
      <c r="D176" s="12"/>
      <c r="E176" s="16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</row>
    <row r="177" customFormat="false" ht="15.75" hidden="false" customHeight="false" outlineLevel="0" collapsed="false">
      <c r="A177" s="25" t="str">
        <f aca="false">IFERROR(__xludf.dummyfunction("""COMPUTED_VALUE"""),"Elouan BARBEREAU")</f>
        <v>Elouan BARBEREAU</v>
      </c>
      <c r="B177" s="24" t="str">
        <f aca="false">IFERROR(__xludf.dummyfunction("Filter('Réponses au formulaire 1'!S:S,'Réponses au formulaire 1'!B:B=A177)"),"les fortiches")</f>
        <v>les fortiches</v>
      </c>
      <c r="C177" s="16" t="s">
        <v>1144</v>
      </c>
      <c r="D177" s="12"/>
      <c r="E177" s="16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</row>
    <row r="178" customFormat="false" ht="15.75" hidden="false" customHeight="false" outlineLevel="0" collapsed="false">
      <c r="A178" s="25" t="str">
        <f aca="false">IFERROR(__xludf.dummyfunction("""COMPUTED_VALUE"""),"Moens Diego")</f>
        <v>Moens Diego</v>
      </c>
      <c r="B178" s="24" t="str">
        <f aca="false">IFERROR(__xludf.dummyfunction("Filter('Réponses au formulaire 1'!S:S,'Réponses au formulaire 1'!B:B=A178)"),"LePatio")</f>
        <v>LePatio</v>
      </c>
      <c r="C178" s="16" t="s">
        <v>1144</v>
      </c>
      <c r="D178" s="12"/>
      <c r="E178" s="16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</row>
    <row r="179" customFormat="false" ht="15.75" hidden="false" customHeight="false" outlineLevel="0" collapsed="false">
      <c r="A179" s="25" t="str">
        <f aca="false">IFERROR(__xludf.dummyfunction("""COMPUTED_VALUE"""),"Felipe Altamirano")</f>
        <v>Felipe Altamirano</v>
      </c>
      <c r="B179" s="24" t="str">
        <f aca="false">IFERROR(__xludf.dummyfunction("Filter('Réponses au formulaire 1'!S:S,'Réponses au formulaire 1'!B:B=A179)"),"LePatio")</f>
        <v>LePatio</v>
      </c>
      <c r="C179" s="16" t="s">
        <v>1144</v>
      </c>
      <c r="D179" s="12"/>
      <c r="E179" s="16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</row>
    <row r="180" customFormat="false" ht="15.75" hidden="false" customHeight="false" outlineLevel="0" collapsed="false">
      <c r="A180" s="25" t="str">
        <f aca="false">IFERROR(__xludf.dummyfunction("""COMPUTED_VALUE"""),"Alison ALIAGA")</f>
        <v>Alison ALIAGA</v>
      </c>
      <c r="B180" s="24" t="str">
        <f aca="false">IFERROR(__xludf.dummyfunction("Filter('Réponses au formulaire 1'!S:S,'Réponses au formulaire 1'!B:B=A180)"),"LePatio ")</f>
        <v>LePatio </v>
      </c>
      <c r="C180" s="16" t="s">
        <v>1144</v>
      </c>
      <c r="D180" s="12"/>
      <c r="E180" s="16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</row>
    <row r="181" customFormat="false" ht="15.75" hidden="false" customHeight="false" outlineLevel="0" collapsed="false">
      <c r="A181" s="25" t="str">
        <f aca="false">IFERROR(__xludf.dummyfunction("""COMPUTED_VALUE"""),"Argueta Tamayo Emanuel")</f>
        <v>Argueta Tamayo Emanuel</v>
      </c>
      <c r="B181" s="24" t="str">
        <f aca="false">IFERROR(__xludf.dummyfunction("Filter('Réponses au formulaire 1'!S:S,'Réponses au formulaire 1'!B:B=A181)"),"LePatio ")</f>
        <v>LePatio </v>
      </c>
      <c r="C181" s="16" t="s">
        <v>1144</v>
      </c>
      <c r="D181" s="12"/>
      <c r="E181" s="16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</row>
    <row r="182" customFormat="false" ht="15.75" hidden="false" customHeight="false" outlineLevel="0" collapsed="false">
      <c r="A182" s="25" t="str">
        <f aca="false">IFERROR(__xludf.dummyfunction("""COMPUTED_VALUE"""),"Marina THIEME PETERSEN")</f>
        <v>Marina THIEME PETERSEN</v>
      </c>
      <c r="B182" s="24" t="str">
        <f aca="false">IFERROR(__xludf.dummyfunction("Filter('Réponses au formulaire 1'!S:S,'Réponses au formulaire 1'!B:B=A182)"),"Les trutitas")</f>
        <v>Les trutitas</v>
      </c>
      <c r="C182" s="16" t="s">
        <v>1144</v>
      </c>
      <c r="D182" s="12"/>
      <c r="E182" s="16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</row>
    <row r="183" customFormat="false" ht="15.75" hidden="false" customHeight="false" outlineLevel="0" collapsed="false">
      <c r="A183" s="25" t="str">
        <f aca="false">IFERROR(__xludf.dummyfunction("""COMPUTED_VALUE"""),"Erwan Sauvage")</f>
        <v>Erwan Sauvage</v>
      </c>
      <c r="B183" s="24" t="str">
        <f aca="false">IFERROR(__xludf.dummyfunction("Filter('Réponses au formulaire 1'!S:S,'Réponses au formulaire 1'!B:B=A183)"),"La Famille du Baisodrome")</f>
        <v>La Famille du Baisodrome</v>
      </c>
      <c r="C183" s="16" t="s">
        <v>1144</v>
      </c>
      <c r="D183" s="12"/>
      <c r="E183" s="16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</row>
    <row r="184" customFormat="false" ht="15.75" hidden="false" customHeight="false" outlineLevel="0" collapsed="false">
      <c r="A184" s="25" t="str">
        <f aca="false">IFERROR(__xludf.dummyfunction("""COMPUTED_VALUE"""),"Mathieu Rey-Herme")</f>
        <v>Mathieu Rey-Herme</v>
      </c>
      <c r="B184" s="24" t="str">
        <f aca="false">IFERROR(__xludf.dummyfunction("Filter('Réponses au formulaire 1'!S:S,'Réponses au formulaire 1'!B:B=A184)"),"La Crypte ")</f>
        <v>La Crypte </v>
      </c>
      <c r="C184" s="16" t="s">
        <v>1144</v>
      </c>
      <c r="D184" s="12"/>
      <c r="E184" s="16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</row>
    <row r="185" customFormat="false" ht="15.75" hidden="false" customHeight="false" outlineLevel="0" collapsed="false">
      <c r="A185" s="25" t="str">
        <f aca="false">IFERROR(__xludf.dummyfunction("""COMPUTED_VALUE"""),"Tapias")</f>
        <v>Tapias</v>
      </c>
      <c r="B185" s="24" t="str">
        <f aca="false">IFERROR(__xludf.dummyfunction("Filter('Réponses au formulaire 1'!S:S,'Réponses au formulaire 1'!B:B=A185)"),"LePatio")</f>
        <v>LePatio</v>
      </c>
      <c r="C185" s="16" t="s">
        <v>1144</v>
      </c>
      <c r="D185" s="12"/>
      <c r="E185" s="16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</row>
    <row r="186" customFormat="false" ht="15.75" hidden="false" customHeight="false" outlineLevel="0" collapsed="false">
      <c r="A186" s="25" t="str">
        <f aca="false">IFERROR(__xludf.dummyfunction("""COMPUTED_VALUE"""),"Manon VLIEGHE")</f>
        <v>Manon VLIEGHE</v>
      </c>
      <c r="B186" s="24" t="str">
        <f aca="false">IFERROR(__xludf.dummyfunction("Filter('Réponses au formulaire 1'!S:S,'Réponses au formulaire 1'!B:B=A186)"),"Auberge-Monastère")</f>
        <v>Auberge-Monastère</v>
      </c>
      <c r="C186" s="16" t="s">
        <v>1144</v>
      </c>
      <c r="D186" s="12"/>
      <c r="E186" s="16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</row>
    <row r="187" customFormat="false" ht="15.75" hidden="false" customHeight="false" outlineLevel="0" collapsed="false">
      <c r="A187" s="25" t="str">
        <f aca="false">IFERROR(__xludf.dummyfunction("""COMPUTED_VALUE"""),"Miguel MORENO")</f>
        <v>Miguel MORENO</v>
      </c>
      <c r="B187" s="24" t="str">
        <f aca="false">IFERROR(__xludf.dummyfunction("Filter('Réponses au formulaire 1'!S:S,'Réponses au formulaire 1'!B:B=A187)"),"LePatio")</f>
        <v>LePatio</v>
      </c>
      <c r="C187" s="16" t="s">
        <v>1144</v>
      </c>
      <c r="D187" s="12"/>
      <c r="E187" s="16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</row>
    <row r="188" customFormat="false" ht="15.75" hidden="false" customHeight="false" outlineLevel="0" collapsed="false">
      <c r="A188" s="25" t="str">
        <f aca="false">IFERROR(__xludf.dummyfunction("""COMPUTED_VALUE"""),"Baptiste Marlet")</f>
        <v>Baptiste Marlet</v>
      </c>
      <c r="B188" s="24" t="str">
        <f aca="false">IFERROR(__xludf.dummyfunction("Filter('Réponses au formulaire 1'!S:S,'Réponses au formulaire 1'!B:B=A188)"),"Les coulisses")</f>
        <v>Les coulisses</v>
      </c>
      <c r="C188" s="16" t="s">
        <v>1144</v>
      </c>
      <c r="D188" s="12"/>
      <c r="E188" s="16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</row>
    <row r="189" customFormat="false" ht="15.75" hidden="false" customHeight="false" outlineLevel="0" collapsed="false">
      <c r="A189" s="25" t="str">
        <f aca="false">IFERROR(__xludf.dummyfunction("""COMPUTED_VALUE"""),"Hugo SEMPÉ")</f>
        <v>Hugo SEMPÉ</v>
      </c>
      <c r="B189" s="24" t="str">
        <f aca="false">IFERROR(__xludf.dummyfunction("Filter('Réponses au formulaire 1'!S:S,'Réponses au formulaire 1'!B:B=A189)"),"Pimp my ride ")</f>
        <v>Pimp my ride </v>
      </c>
      <c r="C189" s="16" t="s">
        <v>1144</v>
      </c>
      <c r="D189" s="12"/>
      <c r="E189" s="16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</row>
    <row r="190" customFormat="false" ht="15.75" hidden="false" customHeight="false" outlineLevel="0" collapsed="false">
      <c r="A190" s="25" t="str">
        <f aca="false">IFERROR(__xludf.dummyfunction("""COMPUTED_VALUE"""),"Nicolas Meniconi")</f>
        <v>Nicolas Meniconi</v>
      </c>
      <c r="B190" s="24" t="str">
        <f aca="false">IFERROR(__xludf.dummyfunction("Filter('Réponses au formulaire 1'!S:S,'Réponses au formulaire 1'!B:B=A190)"),"Les coulisses ")</f>
        <v>Les coulisses </v>
      </c>
      <c r="C190" s="16" t="s">
        <v>1144</v>
      </c>
      <c r="D190" s="12"/>
      <c r="E190" s="16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</row>
    <row r="191" customFormat="false" ht="15.75" hidden="false" customHeight="false" outlineLevel="0" collapsed="false">
      <c r="A191" s="25" t="str">
        <f aca="false">IFERROR(__xludf.dummyfunction("""COMPUTED_VALUE"""),"Romain THIMON")</f>
        <v>Romain THIMON</v>
      </c>
      <c r="B191" s="24" t="str">
        <f aca="false">IFERROR(__xludf.dummyfunction("Filter('Réponses au formulaire 1'!S:S,'Réponses au formulaire 1'!B:B=A191)"),"Le Panthéon")</f>
        <v>Le Panthéon</v>
      </c>
      <c r="C191" s="16" t="s">
        <v>1144</v>
      </c>
      <c r="D191" s="12"/>
      <c r="E191" s="16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</row>
    <row r="192" customFormat="false" ht="15.75" hidden="false" customHeight="false" outlineLevel="0" collapsed="false">
      <c r="A192" s="25" t="str">
        <f aca="false">IFERROR(__xludf.dummyfunction("""COMPUTED_VALUE"""),"Maximilien LESSAULT")</f>
        <v>Maximilien LESSAULT</v>
      </c>
      <c r="B192" s="24" t="str">
        <f aca="false">IFERROR(__xludf.dummyfunction("Filter('Réponses au formulaire 1'!S:S,'Réponses au formulaire 1'!B:B=A192)"),"RACLETENTOUTAN")</f>
        <v>RACLETENTOUTAN</v>
      </c>
      <c r="C192" s="16" t="s">
        <v>1144</v>
      </c>
      <c r="D192" s="12"/>
      <c r="E192" s="16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</row>
    <row r="193" customFormat="false" ht="15.75" hidden="false" customHeight="false" outlineLevel="0" collapsed="false">
      <c r="A193" s="25" t="str">
        <f aca="false">IFERROR(__xludf.dummyfunction("""COMPUTED_VALUE"""),"Thomas oppmann")</f>
        <v>Thomas oppmann</v>
      </c>
      <c r="B193" s="24" t="str">
        <f aca="false">IFERROR(__xludf.dummyfunction("Filter('Réponses au formulaire 1'!S:S,'Réponses au formulaire 1'!B:B=A193)"),"RACLETENTOUTAN")</f>
        <v>RACLETENTOUTAN</v>
      </c>
      <c r="C193" s="16" t="s">
        <v>1144</v>
      </c>
      <c r="D193" s="12"/>
      <c r="E193" s="16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</row>
    <row r="194" customFormat="false" ht="15.75" hidden="false" customHeight="false" outlineLevel="0" collapsed="false">
      <c r="A194" s="25" t="str">
        <f aca="false">IFERROR(__xludf.dummyfunction("""COMPUTED_VALUE"""),"Alexandre Ghannad")</f>
        <v>Alexandre Ghannad</v>
      </c>
      <c r="B194" s="24" t="str">
        <f aca="false">IFERROR(__xludf.dummyfunction("Filter('Réponses au formulaire 1'!S:S,'Réponses au formulaire 1'!B:B=A194)"),"RACLETENTOUTAN")</f>
        <v>RACLETENTOUTAN</v>
      </c>
      <c r="C194" s="16" t="s">
        <v>1144</v>
      </c>
      <c r="D194" s="12"/>
      <c r="E194" s="16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</row>
    <row r="195" customFormat="false" ht="15.75" hidden="false" customHeight="false" outlineLevel="0" collapsed="false">
      <c r="A195" s="25" t="str">
        <f aca="false">IFERROR(__xludf.dummyfunction("""COMPUTED_VALUE"""),"Christopher LESDALONS")</f>
        <v>Christopher LESDALONS</v>
      </c>
      <c r="B195" s="24" t="str">
        <f aca="false">IFERROR(__xludf.dummyfunction("Filter('Réponses au formulaire 1'!S:S,'Réponses au formulaire 1'!B:B=A195)"),"RACLETENTOUTAN")</f>
        <v>RACLETENTOUTAN</v>
      </c>
      <c r="C195" s="16" t="s">
        <v>1144</v>
      </c>
      <c r="D195" s="12"/>
      <c r="E195" s="16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</row>
    <row r="196" customFormat="false" ht="15.75" hidden="false" customHeight="false" outlineLevel="0" collapsed="false">
      <c r="A196" s="25" t="str">
        <f aca="false">IFERROR(__xludf.dummyfunction("""COMPUTED_VALUE"""),"Amine BEDRANE")</f>
        <v>Amine BEDRANE</v>
      </c>
      <c r="B196" s="24" t="str">
        <f aca="false">IFERROR(__xludf.dummyfunction("Filter('Réponses au formulaire 1'!S:S,'Réponses au formulaire 1'!B:B=A196)"),"RACLETENTOUTAN")</f>
        <v>RACLETENTOUTAN</v>
      </c>
      <c r="C196" s="16" t="s">
        <v>1144</v>
      </c>
      <c r="D196" s="12"/>
      <c r="E196" s="16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</row>
    <row r="197" customFormat="false" ht="15.75" hidden="false" customHeight="false" outlineLevel="0" collapsed="false">
      <c r="A197" s="25" t="str">
        <f aca="false">IFERROR(__xludf.dummyfunction("""COMPUTED_VALUE"""),"Charles-Eole MARICHAL")</f>
        <v>Charles-Eole MARICHAL</v>
      </c>
      <c r="B197" s="24" t="str">
        <f aca="false">IFERROR(__xludf.dummyfunction("Filter('Réponses au formulaire 1'!S:S,'Réponses au formulaire 1'!B:B=A197)"),"PB-Nuage")</f>
        <v>PB-Nuage</v>
      </c>
      <c r="C197" s="16" t="s">
        <v>1144</v>
      </c>
      <c r="D197" s="12"/>
      <c r="E197" s="16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</row>
    <row r="198" customFormat="false" ht="15.75" hidden="false" customHeight="false" outlineLevel="0" collapsed="false">
      <c r="A198" s="25" t="str">
        <f aca="false">IFERROR(__xludf.dummyfunction("""COMPUTED_VALUE"""),"Justin Becker")</f>
        <v>Justin Becker</v>
      </c>
      <c r="B198" s="24" t="str">
        <f aca="false">IFERROR(__xludf.dummyfunction("Filter('Réponses au formulaire 1'!S:S,'Réponses au formulaire 1'!B:B=A198)"),"PB - Nuage")</f>
        <v>PB - Nuage</v>
      </c>
      <c r="C198" s="16" t="s">
        <v>1144</v>
      </c>
      <c r="D198" s="12"/>
      <c r="E198" s="16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</row>
    <row r="199" customFormat="false" ht="15.75" hidden="false" customHeight="false" outlineLevel="0" collapsed="false">
      <c r="A199" s="25" t="str">
        <f aca="false">IFERROR(__xludf.dummyfunction("""COMPUTED_VALUE"""),"Pierre-Jean POLLOT")</f>
        <v>Pierre-Jean POLLOT</v>
      </c>
      <c r="B199" s="24" t="str">
        <f aca="false">IFERROR(__xludf.dummyfunction("Filter('Réponses au formulaire 1'!S:S,'Réponses au formulaire 1'!B:B=A199)"),"Les coulisses")</f>
        <v>Les coulisses</v>
      </c>
      <c r="C199" s="16" t="s">
        <v>1144</v>
      </c>
      <c r="D199" s="12"/>
      <c r="E199" s="16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</row>
    <row r="200" customFormat="false" ht="15.75" hidden="false" customHeight="false" outlineLevel="0" collapsed="false">
      <c r="A200" s="25" t="str">
        <f aca="false">IFERROR(__xludf.dummyfunction("""COMPUTED_VALUE"""),"Judith LOUIS-ALEXANDRE")</f>
        <v>Judith LOUIS-ALEXANDRE</v>
      </c>
      <c r="B200" s="24" t="str">
        <f aca="false">IFERROR(__xludf.dummyfunction("Filter('Réponses au formulaire 1'!S:S,'Réponses au formulaire 1'!B:B=A200)"),"Summerf'aigle")</f>
        <v>Summerf'aigle</v>
      </c>
      <c r="C200" s="16" t="s">
        <v>1144</v>
      </c>
      <c r="D200" s="12"/>
      <c r="E200" s="16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</row>
    <row r="201" customFormat="false" ht="15.75" hidden="false" customHeight="false" outlineLevel="0" collapsed="false">
      <c r="A201" s="25" t="str">
        <f aca="false">IFERROR(__xludf.dummyfunction("""COMPUTED_VALUE"""),"Alexandre MERASLI")</f>
        <v>Alexandre MERASLI</v>
      </c>
      <c r="B201" s="24" t="str">
        <f aca="false">IFERROR(__xludf.dummyfunction("Filter('Réponses au formulaire 1'!S:S,'Réponses au formulaire 1'!B:B=A201)"),"Bastion")</f>
        <v>Bastion</v>
      </c>
      <c r="C201" s="16" t="s">
        <v>1144</v>
      </c>
      <c r="D201" s="12"/>
      <c r="E201" s="16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</row>
    <row r="202" customFormat="false" ht="15.75" hidden="false" customHeight="false" outlineLevel="0" collapsed="false">
      <c r="A202" s="25" t="str">
        <f aca="false">IFERROR(__xludf.dummyfunction("""COMPUTED_VALUE"""),"Charlotte BEAUNE")</f>
        <v>Charlotte BEAUNE</v>
      </c>
      <c r="B202" s="24" t="str">
        <f aca="false">IFERROR(__xludf.dummyfunction("Filter('Réponses au formulaire 1'!S:S,'Réponses au formulaire 1'!B:B=A202)"),"Le Squat")</f>
        <v>Le Squat</v>
      </c>
      <c r="C202" s="16" t="s">
        <v>1144</v>
      </c>
      <c r="D202" s="12"/>
      <c r="E202" s="16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</row>
    <row r="203" customFormat="false" ht="15.75" hidden="false" customHeight="false" outlineLevel="0" collapsed="false">
      <c r="A203" s="25" t="str">
        <f aca="false">IFERROR(__xludf.dummyfunction("""COMPUTED_VALUE"""),"Helena Delmotte")</f>
        <v>Helena Delmotte</v>
      </c>
      <c r="B203" s="24" t="str">
        <f aca="false">IFERROR(__xludf.dummyfunction("Filter('Réponses au formulaire 1'!S:S,'Réponses au formulaire 1'!B:B=A203)"),"Le Squat")</f>
        <v>Le Squat</v>
      </c>
      <c r="C203" s="16" t="s">
        <v>1144</v>
      </c>
      <c r="D203" s="12"/>
      <c r="E203" s="16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</row>
    <row r="204" customFormat="false" ht="15.75" hidden="false" customHeight="false" outlineLevel="0" collapsed="false">
      <c r="A204" s="25" t="str">
        <f aca="false">IFERROR(__xludf.dummyfunction("""COMPUTED_VALUE"""),"Anis KHEZNADJI")</f>
        <v>Anis KHEZNADJI</v>
      </c>
      <c r="B204" s="24" t="str">
        <f aca="false">IFERROR(__xludf.dummyfunction("Filter('Réponses au formulaire 1'!S:S,'Réponses au formulaire 1'!B:B=A204)"),"Le squat")</f>
        <v>Le squat</v>
      </c>
      <c r="C204" s="16" t="s">
        <v>1144</v>
      </c>
      <c r="D204" s="12"/>
      <c r="E204" s="16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</row>
    <row r="205" customFormat="false" ht="15.75" hidden="false" customHeight="false" outlineLevel="0" collapsed="false">
      <c r="A205" s="25" t="str">
        <f aca="false">IFERROR(__xludf.dummyfunction("""COMPUTED_VALUE"""),"Marie COUPÉ")</f>
        <v>Marie COUPÉ</v>
      </c>
      <c r="B205" s="24" t="str">
        <f aca="false">IFERROR(__xludf.dummyfunction("Filter('Réponses au formulaire 1'!S:S,'Réponses au formulaire 1'!B:B=A205)"),"Barton")</f>
        <v>Barton</v>
      </c>
      <c r="C205" s="16" t="s">
        <v>1144</v>
      </c>
      <c r="D205" s="12"/>
      <c r="E205" s="16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</row>
    <row r="206" customFormat="false" ht="15.75" hidden="false" customHeight="false" outlineLevel="0" collapsed="false">
      <c r="A206" s="25" t="str">
        <f aca="false">IFERROR(__xludf.dummyfunction("""COMPUTED_VALUE"""),"Geoffroy LECONTE")</f>
        <v>Geoffroy LECONTE</v>
      </c>
      <c r="B206" s="24" t="str">
        <f aca="false">IFERROR(__xludf.dummyfunction("Filter('Réponses au formulaire 1'!S:S,'Réponses au formulaire 1'!B:B=A206)"),"Bart'on")</f>
        <v>Bart'on</v>
      </c>
      <c r="C206" s="16" t="s">
        <v>1149</v>
      </c>
      <c r="D206" s="12"/>
      <c r="E206" s="16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</row>
    <row r="207" customFormat="false" ht="15.75" hidden="false" customHeight="false" outlineLevel="0" collapsed="false">
      <c r="A207" s="25" t="str">
        <f aca="false">IFERROR(__xludf.dummyfunction("""COMPUTED_VALUE"""),"Pierre BOURREAU")</f>
        <v>Pierre BOURREAU</v>
      </c>
      <c r="B207" s="24" t="str">
        <f aca="false">IFERROR(__xludf.dummyfunction("Filter('Réponses au formulaire 1'!S:S,'Réponses au formulaire 1'!B:B=A207)"),"La Boisson")</f>
        <v>La Boisson</v>
      </c>
      <c r="C207" s="16" t="s">
        <v>1144</v>
      </c>
      <c r="D207" s="12"/>
      <c r="E207" s="16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</row>
    <row r="208" customFormat="false" ht="15.75" hidden="false" customHeight="false" outlineLevel="0" collapsed="false">
      <c r="A208" s="25" t="str">
        <f aca="false">IFERROR(__xludf.dummyfunction("""COMPUTED_VALUE"""),"Antoine SENELLART")</f>
        <v>Antoine SENELLART</v>
      </c>
      <c r="B208" s="24" t="str">
        <f aca="false">IFERROR(__xludf.dummyfunction("Filter('Réponses au formulaire 1'!S:S,'Réponses au formulaire 1'!B:B=A208)"),"La Boisson")</f>
        <v>La Boisson</v>
      </c>
      <c r="C208" s="16" t="s">
        <v>1144</v>
      </c>
      <c r="D208" s="12"/>
      <c r="E208" s="16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</row>
    <row r="209" customFormat="false" ht="15.75" hidden="false" customHeight="false" outlineLevel="0" collapsed="false">
      <c r="A209" s="25" t="str">
        <f aca="false">IFERROR(__xludf.dummyfunction("""COMPUTED_VALUE"""),"Louis LEQUES")</f>
        <v>Louis LEQUES</v>
      </c>
      <c r="B209" s="24" t="str">
        <f aca="false">IFERROR(__xludf.dummyfunction("Filter('Réponses au formulaire 1'!S:S,'Réponses au formulaire 1'!B:B=A209)"),"Les Topeurs")</f>
        <v>Les Topeurs</v>
      </c>
      <c r="C209" s="16" t="s">
        <v>1144</v>
      </c>
      <c r="D209" s="12"/>
      <c r="E209" s="16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</row>
    <row r="210" customFormat="false" ht="15.75" hidden="false" customHeight="false" outlineLevel="0" collapsed="false">
      <c r="A210" s="25" t="str">
        <f aca="false">IFERROR(__xludf.dummyfunction("""COMPUTED_VALUE"""),"Louis CLAUCE")</f>
        <v>Louis CLAUCE</v>
      </c>
      <c r="B210" s="24" t="str">
        <f aca="false">IFERROR(__xludf.dummyfunction("Filter('Réponses au formulaire 1'!S:S,'Réponses au formulaire 1'!B:B=A210)"),"La Boisson ")</f>
        <v>La Boisson </v>
      </c>
      <c r="C210" s="16" t="s">
        <v>1144</v>
      </c>
      <c r="D210" s="12"/>
      <c r="E210" s="16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</row>
    <row r="211" customFormat="false" ht="15.75" hidden="false" customHeight="false" outlineLevel="0" collapsed="false">
      <c r="A211" s="25" t="str">
        <f aca="false">IFERROR(__xludf.dummyfunction("""COMPUTED_VALUE"""),"Samir ZINA-RAGGOUA")</f>
        <v>Samir ZINA-RAGGOUA</v>
      </c>
      <c r="B211" s="24" t="str">
        <f aca="false">IFERROR(__xludf.dummyfunction("Filter('Réponses au formulaire 1'!S:S,'Réponses au formulaire 1'!B:B=A211)"),"Topeurs")</f>
        <v>Topeurs</v>
      </c>
      <c r="C211" s="16" t="s">
        <v>1144</v>
      </c>
      <c r="D211" s="12"/>
      <c r="E211" s="16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</row>
    <row r="212" customFormat="false" ht="15.75" hidden="false" customHeight="false" outlineLevel="0" collapsed="false">
      <c r="A212" s="25" t="str">
        <f aca="false">IFERROR(__xludf.dummyfunction("""COMPUTED_VALUE"""),"Mikaël Farje")</f>
        <v>Mikaël Farje</v>
      </c>
      <c r="B212" s="24" t="str">
        <f aca="false">IFERROR(__xludf.dummyfunction("Filter('Réponses au formulaire 1'!S:S,'Réponses au formulaire 1'!B:B=A212)"),"Les Topeurs")</f>
        <v>Les Topeurs</v>
      </c>
      <c r="C212" s="16" t="s">
        <v>1144</v>
      </c>
      <c r="D212" s="12"/>
      <c r="E212" s="16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</row>
    <row r="213" customFormat="false" ht="15.75" hidden="false" customHeight="false" outlineLevel="0" collapsed="false">
      <c r="A213" s="25" t="str">
        <f aca="false">IFERROR(__xludf.dummyfunction("""COMPUTED_VALUE"""),"Allouache")</f>
        <v>Allouache</v>
      </c>
      <c r="B213" s="24" t="str">
        <f aca="false">IFERROR(__xludf.dummyfunction("Filter('Réponses au formulaire 1'!S:S,'Réponses au formulaire 1'!B:B=A213)"),"La Boisson")</f>
        <v>La Boisson</v>
      </c>
      <c r="C213" s="16" t="s">
        <v>1144</v>
      </c>
      <c r="D213" s="12"/>
      <c r="E213" s="16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</row>
    <row r="214" customFormat="false" ht="15.75" hidden="false" customHeight="false" outlineLevel="0" collapsed="false">
      <c r="A214" s="25" t="str">
        <f aca="false">IFERROR(__xludf.dummyfunction("""COMPUTED_VALUE"""),"Noémie RABILLOUD")</f>
        <v>Noémie RABILLOUD</v>
      </c>
      <c r="B214" s="24" t="str">
        <f aca="false">IFERROR(__xludf.dummyfunction("Filter('Réponses au formulaire 1'!S:S,'Réponses au formulaire 1'!B:B=A214)"),"Le Squat")</f>
        <v>Le Squat</v>
      </c>
      <c r="C214" s="16" t="s">
        <v>1144</v>
      </c>
      <c r="D214" s="12"/>
      <c r="E214" s="16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</row>
    <row r="215" customFormat="false" ht="15.75" hidden="false" customHeight="false" outlineLevel="0" collapsed="false">
      <c r="A215" s="25" t="str">
        <f aca="false">IFERROR(__xludf.dummyfunction("""COMPUTED_VALUE"""),"Jean Pichard")</f>
        <v>Jean Pichard</v>
      </c>
      <c r="B215" s="24" t="str">
        <f aca="false">IFERROR(__xludf.dummyfunction("Filter('Réponses au formulaire 1'!S:S,'Réponses au formulaire 1'!B:B=A215)"),"Les fortiches")</f>
        <v>Les fortiches</v>
      </c>
      <c r="C215" s="16" t="s">
        <v>1144</v>
      </c>
      <c r="D215" s="12"/>
      <c r="E215" s="16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</row>
    <row r="216" customFormat="false" ht="15.75" hidden="false" customHeight="false" outlineLevel="0" collapsed="false">
      <c r="A216" s="25" t="str">
        <f aca="false">IFERROR(__xludf.dummyfunction("""COMPUTED_VALUE"""),"Mathis CELCE")</f>
        <v>Mathis CELCE</v>
      </c>
      <c r="B216" s="24" t="str">
        <f aca="false">IFERROR(__xludf.dummyfunction("Filter('Réponses au formulaire 1'!S:S,'Réponses au formulaire 1'!B:B=A216)"),"azerty44")</f>
        <v>azerty44</v>
      </c>
      <c r="C216" s="16" t="s">
        <v>1144</v>
      </c>
      <c r="D216" s="12"/>
      <c r="E216" s="16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</row>
    <row r="217" customFormat="false" ht="15.75" hidden="false" customHeight="false" outlineLevel="0" collapsed="false">
      <c r="A217" s="25" t="str">
        <f aca="false">IFERROR(__xludf.dummyfunction("""COMPUTED_VALUE"""),"Maxime Roy")</f>
        <v>Maxime Roy</v>
      </c>
      <c r="B217" s="24" t="str">
        <f aca="false">IFERROR(__xludf.dummyfunction("Filter('Réponses au formulaire 1'!S:S,'Réponses au formulaire 1'!B:B=A217)"),"azerty44")</f>
        <v>azerty44</v>
      </c>
      <c r="C217" s="16" t="s">
        <v>1144</v>
      </c>
      <c r="D217" s="12"/>
      <c r="E217" s="16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</row>
    <row r="218" customFormat="false" ht="15.75" hidden="false" customHeight="false" outlineLevel="0" collapsed="false">
      <c r="A218" s="25" t="str">
        <f aca="false">IFERROR(__xludf.dummyfunction("""COMPUTED_VALUE"""),"Gauthier PEZZOLI")</f>
        <v>Gauthier PEZZOLI</v>
      </c>
      <c r="B218" s="24" t="str">
        <f aca="false">IFERROR(__xludf.dummyfunction("Filter('Réponses au formulaire 1'!S:S,'Réponses au formulaire 1'!B:B=A218)"),"azerty44")</f>
        <v>azerty44</v>
      </c>
      <c r="C218" s="16" t="s">
        <v>1144</v>
      </c>
      <c r="D218" s="12"/>
      <c r="E218" s="16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</row>
    <row r="219" customFormat="false" ht="15.75" hidden="false" customHeight="false" outlineLevel="0" collapsed="false">
      <c r="A219" s="25" t="str">
        <f aca="false">IFERROR(__xludf.dummyfunction("""COMPUTED_VALUE"""),"Théo Hennion")</f>
        <v>Théo Hennion</v>
      </c>
      <c r="B219" s="24" t="str">
        <f aca="false">IFERROR(__xludf.dummyfunction("Filter('Réponses au formulaire 1'!S:S,'Réponses au formulaire 1'!B:B=A219)"),"Parainplégiques")</f>
        <v>Parainplégiques</v>
      </c>
      <c r="C219" s="16" t="s">
        <v>1144</v>
      </c>
      <c r="D219" s="12"/>
      <c r="E219" s="16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</row>
    <row r="220" customFormat="false" ht="15.75" hidden="false" customHeight="false" outlineLevel="0" collapsed="false">
      <c r="A220" s="25" t="str">
        <f aca="false">IFERROR(__xludf.dummyfunction("""COMPUTED_VALUE"""),"Clément Wozniak")</f>
        <v>Clément Wozniak</v>
      </c>
      <c r="B220" s="24" t="str">
        <f aca="false">IFERROR(__xludf.dummyfunction("Filter('Réponses au formulaire 1'!S:S,'Réponses au formulaire 1'!B:B=A220)"),"Les parainplegiques")</f>
        <v>Les parainplegiques</v>
      </c>
      <c r="C220" s="16" t="s">
        <v>1144</v>
      </c>
      <c r="D220" s="12"/>
      <c r="E220" s="16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</row>
    <row r="221" customFormat="false" ht="15.75" hidden="false" customHeight="false" outlineLevel="0" collapsed="false">
      <c r="A221" s="25" t="str">
        <f aca="false">IFERROR(__xludf.dummyfunction("""COMPUTED_VALUE"""),"Cyriane BIENVENUE")</f>
        <v>Cyriane BIENVENUE</v>
      </c>
      <c r="B221" s="24" t="str">
        <f aca="false">IFERROR(__xludf.dummyfunction("Filter('Réponses au formulaire 1'!S:S,'Réponses au formulaire 1'!B:B=A221)"),"Le Kraal")</f>
        <v>Le Kraal</v>
      </c>
      <c r="C221" s="16" t="s">
        <v>1144</v>
      </c>
      <c r="D221" s="12"/>
      <c r="E221" s="16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</row>
    <row r="222" customFormat="false" ht="15.75" hidden="false" customHeight="false" outlineLevel="0" collapsed="false">
      <c r="A222" s="25" t="str">
        <f aca="false">IFERROR(__xludf.dummyfunction("""COMPUTED_VALUE"""),"Marius MENAULT")</f>
        <v>Marius MENAULT</v>
      </c>
      <c r="B222" s="24" t="str">
        <f aca="false">IFERROR(__xludf.dummyfunction("Filter('Réponses au formulaire 1'!S:S,'Réponses au formulaire 1'!B:B=A222)"),"La dezing")</f>
        <v>La dezing</v>
      </c>
      <c r="C222" s="16" t="s">
        <v>1144</v>
      </c>
      <c r="D222" s="12"/>
      <c r="E222" s="16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</row>
    <row r="223" customFormat="false" ht="15.75" hidden="false" customHeight="false" outlineLevel="0" collapsed="false">
      <c r="A223" s="25" t="str">
        <f aca="false">IFERROR(__xludf.dummyfunction("""COMPUTED_VALUE"""),"Amine CHEKROUD")</f>
        <v>Amine CHEKROUD</v>
      </c>
      <c r="B223" s="24" t="str">
        <f aca="false">IFERROR(__xludf.dummyfunction("Filter('Réponses au formulaire 1'!S:S,'Réponses au formulaire 1'!B:B=A223)"),"Discorde")</f>
        <v>Discorde</v>
      </c>
      <c r="C223" s="16" t="s">
        <v>1144</v>
      </c>
      <c r="D223" s="12"/>
      <c r="E223" s="16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</row>
    <row r="224" customFormat="false" ht="15.75" hidden="false" customHeight="false" outlineLevel="0" collapsed="false">
      <c r="A224" s="25" t="str">
        <f aca="false">IFERROR(__xludf.dummyfunction("""COMPUTED_VALUE"""),"Cyprien MARION")</f>
        <v>Cyprien MARION</v>
      </c>
      <c r="B224" s="24" t="str">
        <f aca="false">IFERROR(__xludf.dummyfunction("Filter('Réponses au formulaire 1'!S:S,'Réponses au formulaire 1'!B:B=A224)"),"Kraal")</f>
        <v>Kraal</v>
      </c>
      <c r="C224" s="16" t="s">
        <v>1144</v>
      </c>
      <c r="D224" s="12"/>
      <c r="E224" s="16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</row>
    <row r="225" customFormat="false" ht="15.75" hidden="false" customHeight="false" outlineLevel="0" collapsed="false">
      <c r="A225" s="25" t="str">
        <f aca="false">IFERROR(__xludf.dummyfunction("""COMPUTED_VALUE"""),"Arthur LEMASSON")</f>
        <v>Arthur LEMASSON</v>
      </c>
      <c r="B225" s="24" t="str">
        <f aca="false">IFERROR(__xludf.dummyfunction("Filter('Réponses au formulaire 1'!S:S,'Réponses au formulaire 1'!B:B=A225)"),"BBC")</f>
        <v>BBC</v>
      </c>
      <c r="C225" s="16" t="s">
        <v>1144</v>
      </c>
      <c r="D225" s="12"/>
      <c r="E225" s="16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</row>
    <row r="226" customFormat="false" ht="15.75" hidden="false" customHeight="false" outlineLevel="0" collapsed="false">
      <c r="A226" s="25" t="str">
        <f aca="false">IFERROR(__xludf.dummyfunction("""COMPUTED_VALUE"""),"Vincent MESLIER")</f>
        <v>Vincent MESLIER</v>
      </c>
      <c r="B226" s="24" t="str">
        <f aca="false">IFERROR(__xludf.dummyfunction("Filter('Réponses au formulaire 1'!S:S,'Réponses au formulaire 1'!B:B=A226)"),"BBC")</f>
        <v>BBC</v>
      </c>
      <c r="C226" s="16" t="s">
        <v>1144</v>
      </c>
      <c r="D226" s="12"/>
      <c r="E226" s="16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</row>
    <row r="227" customFormat="false" ht="15.75" hidden="false" customHeight="false" outlineLevel="0" collapsed="false">
      <c r="A227" s="25" t="str">
        <f aca="false">IFERROR(__xludf.dummyfunction("""COMPUTED_VALUE"""),"Tom OVISTE")</f>
        <v>Tom OVISTE</v>
      </c>
      <c r="B227" s="24" t="str">
        <f aca="false">IFERROR(__xludf.dummyfunction("Filter('Réponses au formulaire 1'!S:S,'Réponses au formulaire 1'!B:B=A227)"),"BBC")</f>
        <v>BBC</v>
      </c>
      <c r="C227" s="16" t="s">
        <v>1144</v>
      </c>
      <c r="D227" s="12"/>
      <c r="E227" s="16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</row>
    <row r="228" customFormat="false" ht="15.75" hidden="false" customHeight="false" outlineLevel="0" collapsed="false">
      <c r="A228" s="25" t="str">
        <f aca="false">IFERROR(__xludf.dummyfunction("""COMPUTED_VALUE"""),"Léonce AUDIBERT")</f>
        <v>Léonce AUDIBERT</v>
      </c>
      <c r="B228" s="24" t="str">
        <f aca="false">IFERROR(__xludf.dummyfunction("Filter('Réponses au formulaire 1'!S:S,'Réponses au formulaire 1'!B:B=A228)"),"La Dezing ")</f>
        <v>La Dezing </v>
      </c>
      <c r="C228" s="16" t="s">
        <v>1144</v>
      </c>
      <c r="D228" s="12"/>
      <c r="E228" s="16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</row>
    <row r="229" customFormat="false" ht="15.75" hidden="false" customHeight="false" outlineLevel="0" collapsed="false">
      <c r="A229" s="25" t="str">
        <f aca="false">IFERROR(__xludf.dummyfunction("""COMPUTED_VALUE"""),"Pm Guyot")</f>
        <v>Pm Guyot</v>
      </c>
      <c r="B229" s="24" t="str">
        <f aca="false">IFERROR(__xludf.dummyfunction("Filter('Réponses au formulaire 1'!S:S,'Réponses au formulaire 1'!B:B=A229)"),"Discorde")</f>
        <v>Discorde</v>
      </c>
      <c r="C229" s="16" t="s">
        <v>1144</v>
      </c>
      <c r="D229" s="12"/>
      <c r="E229" s="16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</row>
    <row r="230" customFormat="false" ht="15.75" hidden="false" customHeight="false" outlineLevel="0" collapsed="false">
      <c r="A230" s="25" t="str">
        <f aca="false">IFERROR(__xludf.dummyfunction("""COMPUTED_VALUE"""),"Antoine Chillet")</f>
        <v>Antoine Chillet</v>
      </c>
      <c r="B230" s="24" t="str">
        <f aca="false">IFERROR(__xludf.dummyfunction("Filter('Réponses au formulaire 1'!S:S,'Réponses au formulaire 1'!B:B=A230)"),"La dezing")</f>
        <v>La dezing</v>
      </c>
      <c r="C230" s="16" t="s">
        <v>1144</v>
      </c>
      <c r="D230" s="12"/>
      <c r="E230" s="16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</row>
    <row r="231" customFormat="false" ht="15.75" hidden="false" customHeight="false" outlineLevel="0" collapsed="false">
      <c r="A231" s="25" t="str">
        <f aca="false">IFERROR(__xludf.dummyfunction("""COMPUTED_VALUE"""),"Louis COGAN")</f>
        <v>Louis COGAN</v>
      </c>
      <c r="B231" s="24" t="str">
        <f aca="false">IFERROR(__xludf.dummyfunction("Filter('Réponses au formulaire 1'!S:S,'Réponses au formulaire 1'!B:B=A231)"),"Kraal")</f>
        <v>Kraal</v>
      </c>
      <c r="C231" s="16" t="s">
        <v>1144</v>
      </c>
      <c r="D231" s="12"/>
      <c r="E231" s="16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</row>
    <row r="232" customFormat="false" ht="15.75" hidden="false" customHeight="false" outlineLevel="0" collapsed="false">
      <c r="A232" s="25" t="str">
        <f aca="false">IFERROR(__xludf.dummyfunction("""COMPUTED_VALUE"""),"Richard ARNAUD")</f>
        <v>Richard ARNAUD</v>
      </c>
      <c r="B232" s="24" t="str">
        <f aca="false">IFERROR(__xludf.dummyfunction("Filter('Réponses au formulaire 1'!S:S,'Réponses au formulaire 1'!B:B=A232)"),"Famille Discorde")</f>
        <v>Famille Discorde</v>
      </c>
      <c r="C232" s="16" t="s">
        <v>1144</v>
      </c>
      <c r="D232" s="12"/>
      <c r="E232" s="16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</row>
    <row r="233" customFormat="false" ht="15.75" hidden="false" customHeight="false" outlineLevel="0" collapsed="false">
      <c r="A233" s="25" t="str">
        <f aca="false">IFERROR(__xludf.dummyfunction("""COMPUTED_VALUE"""),"Le Mintier Emmanuel")</f>
        <v>Le Mintier Emmanuel</v>
      </c>
      <c r="B233" s="24" t="str">
        <f aca="false">IFERROR(__xludf.dummyfunction("Filter('Réponses au formulaire 1'!S:S,'Réponses au formulaire 1'!B:B=A233)"),"Le Kraal")</f>
        <v>Le Kraal</v>
      </c>
      <c r="C233" s="16" t="s">
        <v>1144</v>
      </c>
      <c r="D233" s="12"/>
      <c r="E233" s="16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</row>
    <row r="234" customFormat="false" ht="15.75" hidden="false" customHeight="false" outlineLevel="0" collapsed="false">
      <c r="A234" s="25" t="str">
        <f aca="false">IFERROR(__xludf.dummyfunction("""COMPUTED_VALUE"""),"Lilie BOIZUMAULT")</f>
        <v>Lilie BOIZUMAULT</v>
      </c>
      <c r="B234" s="24" t="str">
        <f aca="false">IFERROR(__xludf.dummyfunction("Filter('Réponses au formulaire 1'!S:S,'Réponses au formulaire 1'!B:B=A234)"),"La dézing")</f>
        <v>La dézing</v>
      </c>
      <c r="C234" s="16" t="s">
        <v>1144</v>
      </c>
      <c r="D234" s="12"/>
      <c r="E234" s="16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</row>
    <row r="235" customFormat="false" ht="15.75" hidden="false" customHeight="false" outlineLevel="0" collapsed="false">
      <c r="A235" s="25" t="str">
        <f aca="false">IFERROR(__xludf.dummyfunction("""COMPUTED_VALUE"""),"Amine MEHMOUDEN")</f>
        <v>Amine MEHMOUDEN</v>
      </c>
      <c r="B235" s="24" t="str">
        <f aca="false">IFERROR(__xludf.dummyfunction("Filter('Réponses au formulaire 1'!S:S,'Réponses au formulaire 1'!B:B=A235)"),"le squat")</f>
        <v>le squat</v>
      </c>
      <c r="C235" s="16" t="s">
        <v>1144</v>
      </c>
      <c r="D235" s="12"/>
      <c r="E235" s="16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</row>
    <row r="236" customFormat="false" ht="15.75" hidden="false" customHeight="false" outlineLevel="0" collapsed="false">
      <c r="A236" s="25" t="str">
        <f aca="false">IFERROR(__xludf.dummyfunction("""COMPUTED_VALUE"""),"Adrien Jamelot")</f>
        <v>Adrien Jamelot</v>
      </c>
      <c r="B236" s="24" t="str">
        <f aca="false">IFERROR(__xludf.dummyfunction("Filter('Réponses au formulaire 1'!S:S,'Réponses au formulaire 1'!B:B=A236)"),"azerty44")</f>
        <v>azerty44</v>
      </c>
      <c r="C236" s="16" t="s">
        <v>1144</v>
      </c>
      <c r="D236" s="12"/>
      <c r="E236" s="16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</row>
    <row r="237" customFormat="false" ht="15.75" hidden="false" customHeight="false" outlineLevel="0" collapsed="false">
      <c r="A237" s="25" t="str">
        <f aca="false">IFERROR(__xludf.dummyfunction("""COMPUTED_VALUE"""),"Eric Ali Mehenni")</f>
        <v>Eric Ali Mehenni</v>
      </c>
      <c r="B237" s="24" t="str">
        <f aca="false">IFERROR(__xludf.dummyfunction("Filter('Réponses au formulaire 1'!S:S,'Réponses au formulaire 1'!B:B=A237)"),"Badge")</f>
        <v>Badge</v>
      </c>
      <c r="C237" s="16" t="s">
        <v>1144</v>
      </c>
      <c r="D237" s="12"/>
      <c r="E237" s="16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</row>
    <row r="238" customFormat="false" ht="15.75" hidden="false" customHeight="false" outlineLevel="0" collapsed="false">
      <c r="A238" s="25" t="str">
        <f aca="false">IFERROR(__xludf.dummyfunction("""COMPUTED_VALUE"""),"Anaïs BOUCHET")</f>
        <v>Anaïs BOUCHET</v>
      </c>
      <c r="B238" s="24" t="str">
        <f aca="false">IFERROR(__xludf.dummyfunction("Filter('Réponses au formulaire 1'!S:S,'Réponses au formulaire 1'!B:B=A238)"),"Famille Discorde ")</f>
        <v>Famille Discorde </v>
      </c>
      <c r="C238" s="16" t="s">
        <v>1144</v>
      </c>
      <c r="D238" s="12"/>
      <c r="E238" s="16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</row>
    <row r="239" customFormat="false" ht="15.75" hidden="false" customHeight="false" outlineLevel="0" collapsed="false">
      <c r="A239" s="25" t="str">
        <f aca="false">IFERROR(__xludf.dummyfunction("""COMPUTED_VALUE"""),"Antoine DAROUX")</f>
        <v>Antoine DAROUX</v>
      </c>
      <c r="B239" s="24" t="str">
        <f aca="false">IFERROR(__xludf.dummyfunction("Filter('Réponses au formulaire 1'!S:S,'Réponses au formulaire 1'!B:B=A239)"),"EI3 Mous'cancers")</f>
        <v>EI3 Mous'cancers</v>
      </c>
      <c r="C239" s="16" t="s">
        <v>1144</v>
      </c>
      <c r="D239" s="12"/>
      <c r="E239" s="16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</row>
    <row r="240" customFormat="false" ht="15.75" hidden="false" customHeight="false" outlineLevel="0" collapsed="false">
      <c r="A240" s="25" t="str">
        <f aca="false">IFERROR(__xludf.dummyfunction("""COMPUTED_VALUE"""),"Lucas SANCIET--MUNIER")</f>
        <v>Lucas SANCIET--MUNIER</v>
      </c>
      <c r="B240" s="24" t="str">
        <f aca="false">IFERROR(__xludf.dummyfunction("Filter('Réponses au formulaire 1'!S:S,'Réponses au formulaire 1'!B:B=A240)"),"Les ei3-Mous'cancers")</f>
        <v>Les ei3-Mous'cancers</v>
      </c>
      <c r="C240" s="16" t="s">
        <v>1144</v>
      </c>
      <c r="D240" s="12"/>
      <c r="E240" s="16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</row>
    <row r="241" customFormat="false" ht="15.75" hidden="false" customHeight="false" outlineLevel="0" collapsed="false">
      <c r="A241" s="25" t="str">
        <f aca="false">IFERROR(__xludf.dummyfunction("""COMPUTED_VALUE"""),"Thomas LE BOURHIS")</f>
        <v>Thomas LE BOURHIS</v>
      </c>
      <c r="B241" s="24" t="str">
        <f aca="false">IFERROR(__xludf.dummyfunction("Filter('Réponses au formulaire 1'!S:S,'Réponses au formulaire 1'!B:B=A241)"),"Badge")</f>
        <v>Badge</v>
      </c>
      <c r="C241" s="16" t="s">
        <v>1144</v>
      </c>
      <c r="D241" s="12"/>
      <c r="E241" s="16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</row>
    <row r="242" customFormat="false" ht="15.75" hidden="false" customHeight="false" outlineLevel="0" collapsed="false">
      <c r="A242" s="25" t="str">
        <f aca="false">IFERROR(__xludf.dummyfunction("""COMPUTED_VALUE"""),"Hugo GAYRARD")</f>
        <v>Hugo GAYRARD</v>
      </c>
      <c r="B242" s="24" t="str">
        <f aca="false">IFERROR(__xludf.dummyfunction("Filter('Réponses au formulaire 1'!S:S,'Réponses au formulaire 1'!B:B=A242)"),"Ei3 mous cancer ")</f>
        <v>Ei3 mous cancer </v>
      </c>
      <c r="C242" s="16" t="s">
        <v>1144</v>
      </c>
      <c r="D242" s="12"/>
      <c r="E242" s="16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</row>
    <row r="243" customFormat="false" ht="15.75" hidden="false" customHeight="false" outlineLevel="0" collapsed="false">
      <c r="A243" s="25" t="str">
        <f aca="false">IFERROR(__xludf.dummyfunction("""COMPUTED_VALUE"""),"Loïc")</f>
        <v>Loïc</v>
      </c>
      <c r="B243" s="24" t="str">
        <f aca="false">IFERROR(__xludf.dummyfunction("Filter('Réponses au formulaire 1'!S:S,'Réponses au formulaire 1'!B:B=A243)"),"EI3 mous cancer")</f>
        <v>EI3 mous cancer</v>
      </c>
      <c r="C243" s="16" t="s">
        <v>1144</v>
      </c>
      <c r="D243" s="12"/>
      <c r="E243" s="16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</row>
    <row r="244" customFormat="false" ht="15.75" hidden="false" customHeight="false" outlineLevel="0" collapsed="false">
      <c r="A244" s="25" t="str">
        <f aca="false">IFERROR(__xludf.dummyfunction("""COMPUTED_VALUE"""),"Pierre Veillard")</f>
        <v>Pierre Veillard</v>
      </c>
      <c r="B244" s="24" t="str">
        <f aca="false">IFERROR(__xludf.dummyfunction("Filter('Réponses au formulaire 1'!S:S,'Réponses au formulaire 1'!B:B=A244)"),"EI3 Mous'cancers")</f>
        <v>EI3 Mous'cancers</v>
      </c>
      <c r="C244" s="16" t="s">
        <v>1144</v>
      </c>
      <c r="D244" s="12"/>
      <c r="E244" s="16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</row>
    <row r="245" customFormat="false" ht="15.75" hidden="false" customHeight="false" outlineLevel="0" collapsed="false">
      <c r="A245" s="25" t="str">
        <f aca="false">IFERROR(__xludf.dummyfunction("""COMPUTED_VALUE"""),"Ruben MATONDZI")</f>
        <v>Ruben MATONDZI</v>
      </c>
      <c r="B245" s="24" t="str">
        <f aca="false">IFERROR(__xludf.dummyfunction("Filter('Réponses au formulaire 1'!S:S,'Réponses au formulaire 1'!B:B=A245)"),"L'alliance ")</f>
        <v>L'alliance </v>
      </c>
      <c r="C245" s="16" t="s">
        <v>1144</v>
      </c>
      <c r="D245" s="12"/>
      <c r="E245" s="16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</row>
    <row r="246" customFormat="false" ht="15.75" hidden="false" customHeight="false" outlineLevel="0" collapsed="false">
      <c r="A246" s="25" t="str">
        <f aca="false">IFERROR(__xludf.dummyfunction("""COMPUTED_VALUE"""),"Manon DUBREIL")</f>
        <v>Manon DUBREIL</v>
      </c>
      <c r="B246" s="24" t="str">
        <f aca="false">IFERROR(__xludf.dummyfunction("Filter('Réponses au formulaire 1'!S:S,'Réponses au formulaire 1'!B:B=A246)"),"l'Alliance")</f>
        <v>l'Alliance</v>
      </c>
      <c r="C246" s="16" t="s">
        <v>1144</v>
      </c>
      <c r="D246" s="12"/>
      <c r="E246" s="16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</row>
    <row r="247" customFormat="false" ht="15.75" hidden="false" customHeight="false" outlineLevel="0" collapsed="false">
      <c r="A247" s="25" t="str">
        <f aca="false">IFERROR(__xludf.dummyfunction("""COMPUTED_VALUE"""),"Maëlenn COLSON")</f>
        <v>Maëlenn COLSON</v>
      </c>
      <c r="B247" s="24" t="str">
        <f aca="false">IFERROR(__xludf.dummyfunction("Filter('Réponses au formulaire 1'!S:S,'Réponses au formulaire 1'!B:B=A247)"),"l'Alliance")</f>
        <v>l'Alliance</v>
      </c>
      <c r="C247" s="16" t="s">
        <v>1144</v>
      </c>
      <c r="D247" s="12"/>
      <c r="E247" s="16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</row>
    <row r="248" customFormat="false" ht="15.75" hidden="false" customHeight="false" outlineLevel="0" collapsed="false">
      <c r="A248" s="25" t="str">
        <f aca="false">IFERROR(__xludf.dummyfunction("""COMPUTED_VALUE"""),"Rémy MAIGE")</f>
        <v>Rémy MAIGE</v>
      </c>
      <c r="B248" s="24" t="str">
        <f aca="false">IFERROR(__xludf.dummyfunction("Filter('Réponses au formulaire 1'!S:S,'Réponses au formulaire 1'!B:B=A248)"),"pb-nauge")</f>
        <v>pb-nauge</v>
      </c>
      <c r="C248" s="16" t="s">
        <v>1144</v>
      </c>
      <c r="D248" s="12"/>
      <c r="E248" s="16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</row>
    <row r="249" customFormat="false" ht="15.75" hidden="false" customHeight="false" outlineLevel="0" collapsed="false">
      <c r="A249" s="25" t="str">
        <f aca="false">IFERROR(__xludf.dummyfunction("""COMPUTED_VALUE"""),"Ramy SLIM")</f>
        <v>Ramy SLIM</v>
      </c>
      <c r="B249" s="24" t="str">
        <f aca="false">IFERROR(__xludf.dummyfunction("Filter('Réponses au formulaire 1'!S:S,'Réponses au formulaire 1'!B:B=A249)"),"Badge")</f>
        <v>Badge</v>
      </c>
      <c r="C249" s="16" t="s">
        <v>1144</v>
      </c>
      <c r="D249" s="12"/>
      <c r="E249" s="16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</row>
    <row r="250" customFormat="false" ht="15.75" hidden="false" customHeight="false" outlineLevel="0" collapsed="false">
      <c r="A250" s="25" t="str">
        <f aca="false">IFERROR(__xludf.dummyfunction("""COMPUTED_VALUE"""),"TOMAZ AMORIM")</f>
        <v>TOMAZ AMORIM</v>
      </c>
      <c r="B250" s="24" t="str">
        <f aca="false">IFERROR(__xludf.dummyfunction("Filter('Réponses au formulaire 1'!S:S,'Réponses au formulaire 1'!B:B=A250)"),"Grande Famille")</f>
        <v>Grande Famille</v>
      </c>
      <c r="C250" s="16" t="s">
        <v>1144</v>
      </c>
      <c r="D250" s="12"/>
      <c r="E250" s="16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</row>
    <row r="251" customFormat="false" ht="15.75" hidden="false" customHeight="false" outlineLevel="0" collapsed="false">
      <c r="A251" s="25" t="str">
        <f aca="false">IFERROR(__xludf.dummyfunction("""COMPUTED_VALUE"""),"Maxime Canard")</f>
        <v>Maxime Canard</v>
      </c>
      <c r="B251" s="24" t="str">
        <f aca="false">IFERROR(__xludf.dummyfunction("Filter('Réponses au formulaire 1'!S:S,'Réponses au formulaire 1'!B:B=A251)"),"Les Ei3 Mous'cancer")</f>
        <v>Les Ei3 Mous'cancer</v>
      </c>
      <c r="C251" s="16" t="s">
        <v>1144</v>
      </c>
      <c r="D251" s="12"/>
      <c r="E251" s="16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</row>
    <row r="252" customFormat="false" ht="15.75" hidden="false" customHeight="false" outlineLevel="0" collapsed="false">
      <c r="A252" s="25" t="str">
        <f aca="false">IFERROR(__xludf.dummyfunction("""COMPUTED_VALUE"""),"Corentin GILBERT")</f>
        <v>Corentin GILBERT</v>
      </c>
      <c r="B252" s="24" t="str">
        <f aca="false">IFERROR(__xludf.dummyfunction("Filter('Réponses au formulaire 1'!S:S,'Réponses au formulaire 1'!B:B=A252)"),"La vigie")</f>
        <v>La vigie</v>
      </c>
      <c r="C252" s="16" t="s">
        <v>1144</v>
      </c>
      <c r="D252" s="12"/>
      <c r="E252" s="16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</row>
    <row r="253" customFormat="false" ht="15.75" hidden="false" customHeight="false" outlineLevel="0" collapsed="false">
      <c r="A253" s="25" t="str">
        <f aca="false">IFERROR(__xludf.dummyfunction("""COMPUTED_VALUE"""),"Sergio MORENO LÓPEZ")</f>
        <v>Sergio MORENO LÓPEZ</v>
      </c>
      <c r="B253" s="24" t="str">
        <f aca="false">IFERROR(__xludf.dummyfunction("Filter('Réponses au formulaire 1'!S:S,'Réponses au formulaire 1'!B:B=A253)"),"Los Insoportables ")</f>
        <v>Los Insoportables </v>
      </c>
      <c r="C253" s="16" t="s">
        <v>1144</v>
      </c>
      <c r="D253" s="12"/>
      <c r="E253" s="16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</row>
    <row r="254" customFormat="false" ht="15.75" hidden="false" customHeight="false" outlineLevel="0" collapsed="false">
      <c r="A254" s="25" t="str">
        <f aca="false">IFERROR(__xludf.dummyfunction("""COMPUTED_VALUE"""),"Adán REYES REYES")</f>
        <v>Adán REYES REYES</v>
      </c>
      <c r="B254" s="24" t="str">
        <f aca="false">IFERROR(__xludf.dummyfunction("Filter('Réponses au formulaire 1'!S:S,'Réponses au formulaire 1'!B:B=A254)"),"Los Insoportables ")</f>
        <v>Los Insoportables </v>
      </c>
      <c r="C254" s="16" t="s">
        <v>1144</v>
      </c>
      <c r="D254" s="12"/>
      <c r="E254" s="16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</row>
    <row r="255" customFormat="false" ht="15.75" hidden="false" customHeight="false" outlineLevel="0" collapsed="false">
      <c r="A255" s="25" t="str">
        <f aca="false">IFERROR(__xludf.dummyfunction("""COMPUTED_VALUE"""),"Jose Luís RIVERA BLANCO")</f>
        <v>Jose Luís RIVERA BLANCO</v>
      </c>
      <c r="B255" s="24" t="str">
        <f aca="false">IFERROR(__xludf.dummyfunction("Filter('Réponses au formulaire 1'!S:S,'Réponses au formulaire 1'!B:B=A255)"),"Los Insoportables ")</f>
        <v>Los Insoportables </v>
      </c>
      <c r="C255" s="16" t="s">
        <v>1144</v>
      </c>
      <c r="D255" s="12"/>
      <c r="E255" s="16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</row>
    <row r="256" customFormat="false" ht="15.75" hidden="false" customHeight="false" outlineLevel="0" collapsed="false">
      <c r="A256" s="25" t="str">
        <f aca="false">IFERROR(__xludf.dummyfunction("""COMPUTED_VALUE"""),"Yinzheng ZHOU")</f>
        <v>Yinzheng ZHOU</v>
      </c>
      <c r="B256" s="24" t="str">
        <f aca="false">IFERROR(__xludf.dummyfunction("Filter('Réponses au formulaire 1'!S:S,'Réponses au formulaire 1'!B:B=A256)"),"Los Insoportables")</f>
        <v>Los Insoportables</v>
      </c>
      <c r="C256" s="16" t="s">
        <v>1144</v>
      </c>
      <c r="D256" s="12"/>
      <c r="E256" s="16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</row>
    <row r="257" customFormat="false" ht="15.75" hidden="false" customHeight="false" outlineLevel="0" collapsed="false">
      <c r="A257" s="25" t="str">
        <f aca="false">IFERROR(__xludf.dummyfunction("""COMPUTED_VALUE"""),"Alexandre Bryk")</f>
        <v>Alexandre Bryk</v>
      </c>
      <c r="B257" s="24" t="str">
        <f aca="false">IFERROR(__xludf.dummyfunction("Filter('Réponses au formulaire 1'!S:S,'Réponses au formulaire 1'!B:B=A257)"),"La Vigie ")</f>
        <v>La Vigie </v>
      </c>
      <c r="C257" s="16" t="s">
        <v>1144</v>
      </c>
      <c r="D257" s="12"/>
      <c r="E257" s="16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</row>
    <row r="258" customFormat="false" ht="15.75" hidden="false" customHeight="false" outlineLevel="0" collapsed="false">
      <c r="A258" s="25" t="str">
        <f aca="false">IFERROR(__xludf.dummyfunction("""COMPUTED_VALUE"""),"Sebastian CEPEDA")</f>
        <v>Sebastian CEPEDA</v>
      </c>
      <c r="B258" s="24" t="str">
        <f aca="false">IFERROR(__xludf.dummyfunction("Filter('Réponses au formulaire 1'!S:S,'Réponses au formulaire 1'!B:B=A258)"),"los Insoportables")</f>
        <v>los Insoportables</v>
      </c>
      <c r="C258" s="16" t="s">
        <v>1144</v>
      </c>
      <c r="D258" s="12"/>
      <c r="E258" s="16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</row>
    <row r="259" customFormat="false" ht="15.75" hidden="false" customHeight="false" outlineLevel="0" collapsed="false">
      <c r="A259" s="25" t="str">
        <f aca="false">IFERROR(__xludf.dummyfunction("""COMPUTED_VALUE"""),"Julián David HERNÁNDEZ TOVAR")</f>
        <v>Julián David HERNÁNDEZ TOVAR</v>
      </c>
      <c r="B259" s="24" t="str">
        <f aca="false">IFERROR(__xludf.dummyfunction("Filter('Réponses au formulaire 1'!S:S,'Réponses au formulaire 1'!B:B=A259)"),"Los insoportables")</f>
        <v>Los insoportables</v>
      </c>
      <c r="C259" s="16" t="s">
        <v>1144</v>
      </c>
      <c r="D259" s="12"/>
      <c r="E259" s="16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</row>
    <row r="260" customFormat="false" ht="15.75" hidden="false" customHeight="false" outlineLevel="0" collapsed="false">
      <c r="A260" s="25" t="str">
        <f aca="false">IFERROR(__xludf.dummyfunction("""COMPUTED_VALUE"""),"Ananda VANDERWEGEN")</f>
        <v>Ananda VANDERWEGEN</v>
      </c>
      <c r="B260" s="24" t="str">
        <f aca="false">IFERROR(__xludf.dummyfunction("Filter('Réponses au formulaire 1'!S:S,'Réponses au formulaire 1'!B:B=A260)"),"Grande famille ")</f>
        <v>Grande famille </v>
      </c>
      <c r="C260" s="16" t="s">
        <v>1144</v>
      </c>
      <c r="D260" s="12"/>
      <c r="E260" s="16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</row>
    <row r="261" customFormat="false" ht="15.75" hidden="false" customHeight="false" outlineLevel="0" collapsed="false">
      <c r="A261" s="25" t="str">
        <f aca="false">IFERROR(__xludf.dummyfunction("""COMPUTED_VALUE"""),"Sébastien VILLA")</f>
        <v>Sébastien VILLA</v>
      </c>
      <c r="B261" s="24" t="str">
        <f aca="false">IFERROR(__xludf.dummyfunction("Filter('Réponses au formulaire 1'!S:S,'Réponses au formulaire 1'!B:B=A261)"),"La glotte")</f>
        <v>La glotte</v>
      </c>
      <c r="C261" s="16" t="s">
        <v>1144</v>
      </c>
      <c r="D261" s="12"/>
      <c r="E261" s="16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</row>
    <row r="262" customFormat="false" ht="15.75" hidden="false" customHeight="false" outlineLevel="0" collapsed="false">
      <c r="A262" s="25" t="str">
        <f aca="false">IFERROR(__xludf.dummyfunction("""COMPUTED_VALUE"""),"Pierre Libault")</f>
        <v>Pierre Libault</v>
      </c>
      <c r="B262" s="24" t="str">
        <f aca="false">IFERROR(__xludf.dummyfunction("Filter('Réponses au formulaire 1'!S:S,'Réponses au formulaire 1'!B:B=A262)"),"Les 6 salopards")</f>
        <v>Les 6 salopards</v>
      </c>
      <c r="C262" s="16" t="s">
        <v>1144</v>
      </c>
      <c r="D262" s="12"/>
      <c r="E262" s="16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</row>
    <row r="263" customFormat="false" ht="15.75" hidden="false" customHeight="false" outlineLevel="0" collapsed="false">
      <c r="A263" s="25" t="str">
        <f aca="false">IFERROR(__xludf.dummyfunction("""COMPUTED_VALUE"""),"Adam EL YOUMI")</f>
        <v>Adam EL YOUMI</v>
      </c>
      <c r="B263" s="24" t="str">
        <f aca="false">IFERROR(__xludf.dummyfunction("Filter('Réponses au formulaire 1'!S:S,'Réponses au formulaire 1'!B:B=A263)"),"Les parrainplégiques")</f>
        <v>Les parrainplégiques</v>
      </c>
      <c r="C263" s="16" t="s">
        <v>1144</v>
      </c>
      <c r="D263" s="12"/>
      <c r="E263" s="16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</row>
    <row r="264" customFormat="false" ht="15.75" hidden="false" customHeight="false" outlineLevel="0" collapsed="false">
      <c r="A264" s="25" t="str">
        <f aca="false">IFERROR(__xludf.dummyfunction("""COMPUTED_VALUE"""),"Vincent ESPINASSE")</f>
        <v>Vincent ESPINASSE</v>
      </c>
      <c r="B264" s="24" t="str">
        <f aca="false">IFERROR(__xludf.dummyfunction("Filter('Réponses au formulaire 1'!S:S,'Réponses au formulaire 1'!B:B=A264)"),"PB-Nuage")</f>
        <v>PB-Nuage</v>
      </c>
      <c r="C264" s="16" t="s">
        <v>1144</v>
      </c>
      <c r="D264" s="12"/>
      <c r="E264" s="16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</row>
    <row r="265" customFormat="false" ht="15.75" hidden="false" customHeight="false" outlineLevel="0" collapsed="false">
      <c r="A265" s="25" t="str">
        <f aca="false">IFERROR(__xludf.dummyfunction("""COMPUTED_VALUE"""),"Félix-Olivier Ngangue Nseke")</f>
        <v>Félix-Olivier Ngangue Nseke</v>
      </c>
      <c r="B265" s="24" t="str">
        <f aca="false">IFERROR(__xludf.dummyfunction("Filter('Réponses au formulaire 1'!S:S,'Réponses au formulaire 1'!B:B=A265)"),"Les 6 salopards")</f>
        <v>Les 6 salopards</v>
      </c>
      <c r="C265" s="16" t="s">
        <v>1144</v>
      </c>
      <c r="D265" s="12"/>
      <c r="E265" s="16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</row>
    <row r="266" customFormat="false" ht="15.75" hidden="false" customHeight="false" outlineLevel="0" collapsed="false">
      <c r="A266" s="25" t="str">
        <f aca="false">IFERROR(__xludf.dummyfunction("""COMPUTED_VALUE"""),"Laurène THILLIER")</f>
        <v>Laurène THILLIER</v>
      </c>
      <c r="B266" s="24" t="str">
        <f aca="false">IFERROR(__xludf.dummyfunction("Filter('Réponses au formulaire 1'!S:S,'Réponses au formulaire 1'!B:B=A266)"),"Les 6 salopards")</f>
        <v>Les 6 salopards</v>
      </c>
      <c r="C266" s="16" t="s">
        <v>1144</v>
      </c>
      <c r="D266" s="12"/>
      <c r="E266" s="16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</row>
    <row r="267" customFormat="false" ht="15.75" hidden="false" customHeight="false" outlineLevel="0" collapsed="false">
      <c r="A267" s="25" t="str">
        <f aca="false">IFERROR(__xludf.dummyfunction("""COMPUTED_VALUE"""),"Tanguy CABARET")</f>
        <v>Tanguy CABARET</v>
      </c>
      <c r="B267" s="24" t="str">
        <f aca="false">IFERROR(__xludf.dummyfunction("Filter('Réponses au formulaire 1'!S:S,'Réponses au formulaire 1'!B:B=A267)"),"Les 6 salopards")</f>
        <v>Les 6 salopards</v>
      </c>
      <c r="C267" s="16" t="s">
        <v>1144</v>
      </c>
      <c r="D267" s="12"/>
      <c r="E267" s="16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</row>
    <row r="268" customFormat="false" ht="15.75" hidden="false" customHeight="false" outlineLevel="0" collapsed="false">
      <c r="A268" s="25" t="str">
        <f aca="false">IFERROR(__xludf.dummyfunction("""COMPUTED_VALUE"""),"Romane CARIOU")</f>
        <v>Romane CARIOU</v>
      </c>
      <c r="B268" s="24" t="str">
        <f aca="false">IFERROR(__xludf.dummyfunction("Filter('Réponses au formulaire 1'!S:S,'Réponses au formulaire 1'!B:B=A268)"),"La Crypte ")</f>
        <v>La Crypte </v>
      </c>
      <c r="C268" s="16" t="s">
        <v>1144</v>
      </c>
      <c r="D268" s="12"/>
      <c r="E268" s="16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</row>
    <row r="269" customFormat="false" ht="15.75" hidden="false" customHeight="false" outlineLevel="0" collapsed="false">
      <c r="A269" s="25" t="str">
        <f aca="false">IFERROR(__xludf.dummyfunction("""COMPUTED_VALUE"""),"Romain SUCCHE")</f>
        <v>Romain SUCCHE</v>
      </c>
      <c r="B269" s="24" t="str">
        <f aca="false">IFERROR(__xludf.dummyfunction("Filter('Réponses au formulaire 1'!S:S,'Réponses au formulaire 1'!B:B=A269)"),"Les cyclistes ")</f>
        <v>Les cyclistes </v>
      </c>
      <c r="C269" s="16" t="s">
        <v>1144</v>
      </c>
      <c r="D269" s="12"/>
      <c r="E269" s="16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</row>
    <row r="270" customFormat="false" ht="15.75" hidden="false" customHeight="false" outlineLevel="0" collapsed="false">
      <c r="A270" s="25" t="str">
        <f aca="false">IFERROR(__xludf.dummyfunction("""COMPUTED_VALUE"""),"Nicolas ROGER")</f>
        <v>Nicolas ROGER</v>
      </c>
      <c r="B270" s="24" t="str">
        <f aca="false">IFERROR(__xludf.dummyfunction("Filter('Réponses au formulaire 1'!S:S,'Réponses au formulaire 1'!B:B=A270)"),"Les cyclistes ")</f>
        <v>Les cyclistes </v>
      </c>
      <c r="C270" s="16" t="s">
        <v>1144</v>
      </c>
      <c r="D270" s="12"/>
      <c r="E270" s="16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</row>
    <row r="271" customFormat="false" ht="15.75" hidden="false" customHeight="false" outlineLevel="0" collapsed="false">
      <c r="A271" s="25" t="str">
        <f aca="false">IFERROR(__xludf.dummyfunction("""COMPUTED_VALUE"""),"Emmanuel COLLIGNAN")</f>
        <v>Emmanuel COLLIGNAN</v>
      </c>
      <c r="B271" s="24" t="str">
        <f aca="false">IFERROR(__xludf.dummyfunction("Filter('Réponses au formulaire 1'!S:S,'Réponses au formulaire 1'!B:B=A271)"),"les cyclistes")</f>
        <v>les cyclistes</v>
      </c>
      <c r="C271" s="16" t="s">
        <v>1144</v>
      </c>
      <c r="D271" s="12"/>
      <c r="E271" s="16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</row>
    <row r="272" customFormat="false" ht="15.75" hidden="false" customHeight="false" outlineLevel="0" collapsed="false">
      <c r="A272" s="25" t="str">
        <f aca="false">IFERROR(__xludf.dummyfunction("""COMPUTED_VALUE"""),"Jérôme VILLEROT")</f>
        <v>Jérôme VILLEROT</v>
      </c>
      <c r="B272" s="24" t="str">
        <f aca="false">IFERROR(__xludf.dummyfunction("Filter('Réponses au formulaire 1'!S:S,'Réponses au formulaire 1'!B:B=A272)"),"Les cyclistes")</f>
        <v>Les cyclistes</v>
      </c>
      <c r="C272" s="16" t="s">
        <v>1144</v>
      </c>
      <c r="D272" s="12"/>
      <c r="E272" s="16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</row>
    <row r="273" customFormat="false" ht="15.75" hidden="false" customHeight="false" outlineLevel="0" collapsed="false">
      <c r="A273" s="25" t="str">
        <f aca="false">IFERROR(__xludf.dummyfunction("""COMPUTED_VALUE"""),"Borget")</f>
        <v>Borget</v>
      </c>
      <c r="B273" s="24" t="str">
        <f aca="false">IFERROR(__xludf.dummyfunction("Filter('Réponses au formulaire 1'!S:S,'Réponses au formulaire 1'!B:B=A273)"),"Sans abris")</f>
        <v>Sans abris</v>
      </c>
      <c r="C273" s="16" t="s">
        <v>1144</v>
      </c>
      <c r="D273" s="12"/>
      <c r="E273" s="16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</row>
    <row r="274" customFormat="false" ht="15.75" hidden="false" customHeight="false" outlineLevel="0" collapsed="false">
      <c r="A274" s="25" t="str">
        <f aca="false">IFERROR(__xludf.dummyfunction("""COMPUTED_VALUE"""),"Raúl VILLAFUERTE")</f>
        <v>Raúl VILLAFUERTE</v>
      </c>
      <c r="B274" s="24" t="str">
        <f aca="false">IFERROR(__xludf.dummyfunction("Filter('Réponses au formulaire 1'!S:S,'Réponses au formulaire 1'!B:B=A274)"),"Malandros team")</f>
        <v>Malandros team</v>
      </c>
      <c r="C274" s="16" t="s">
        <v>1144</v>
      </c>
      <c r="D274" s="12"/>
      <c r="E274" s="16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</row>
    <row r="275" customFormat="false" ht="15.75" hidden="false" customHeight="false" outlineLevel="0" collapsed="false">
      <c r="A275" s="25" t="str">
        <f aca="false">IFERROR(__xludf.dummyfunction("""COMPUTED_VALUE"""),"Paul SAUBION")</f>
        <v>Paul SAUBION</v>
      </c>
      <c r="B275" s="24" t="str">
        <f aca="false">IFERROR(__xludf.dummyfunction("Filter('Réponses au formulaire 1'!S:S,'Réponses au formulaire 1'!B:B=A275)"),"Juaman’GI Reloaded")</f>
        <v>Juaman’GI Reloaded</v>
      </c>
      <c r="C275" s="16" t="s">
        <v>1144</v>
      </c>
      <c r="D275" s="12"/>
      <c r="E275" s="16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</row>
    <row r="276" customFormat="false" ht="15.75" hidden="false" customHeight="false" outlineLevel="0" collapsed="false">
      <c r="A276" s="25" t="str">
        <f aca="false">IFERROR(__xludf.dummyfunction("""COMPUTED_VALUE"""),"Florian BARTOCCI")</f>
        <v>Florian BARTOCCI</v>
      </c>
      <c r="B276" s="24" t="str">
        <f aca="false">IFERROR(__xludf.dummyfunction("Filter('Réponses au formulaire 1'!S:S,'Réponses au formulaire 1'!B:B=A276)"),"Juman'GI Reloaded")</f>
        <v>Juman'GI Reloaded</v>
      </c>
      <c r="C276" s="16" t="s">
        <v>1144</v>
      </c>
      <c r="D276" s="12"/>
      <c r="E276" s="16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</row>
    <row r="277" customFormat="false" ht="15.75" hidden="false" customHeight="false" outlineLevel="0" collapsed="false">
      <c r="A277" s="25" t="str">
        <f aca="false">IFERROR(__xludf.dummyfunction("""COMPUTED_VALUE"""),"Jean-Baptiste de BECO")</f>
        <v>Jean-Baptiste de BECO</v>
      </c>
      <c r="B277" s="24" t="str">
        <f aca="false">IFERROR(__xludf.dummyfunction("Filter('Réponses au formulaire 1'!S:S,'Réponses au formulaire 1'!B:B=A277)"),"Juman'GI Reloaded")</f>
        <v>Juman'GI Reloaded</v>
      </c>
      <c r="C277" s="16" t="s">
        <v>1144</v>
      </c>
      <c r="D277" s="12"/>
      <c r="E277" s="16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</row>
    <row r="278" customFormat="false" ht="15.75" hidden="false" customHeight="false" outlineLevel="0" collapsed="false">
      <c r="A278" s="25" t="str">
        <f aca="false">IFERROR(__xludf.dummyfunction("""COMPUTED_VALUE"""),"Matthieu LAMIELLE")</f>
        <v>Matthieu LAMIELLE</v>
      </c>
      <c r="B278" s="24" t="str">
        <f aca="false">IFERROR(__xludf.dummyfunction("Filter('Réponses au formulaire 1'!S:S,'Réponses au formulaire 1'!B:B=A278)"),"Juman'GI Reloaded")</f>
        <v>Juman'GI Reloaded</v>
      </c>
      <c r="C278" s="16" t="s">
        <v>1144</v>
      </c>
      <c r="D278" s="12"/>
      <c r="E278" s="16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</row>
    <row r="279" customFormat="false" ht="15.75" hidden="false" customHeight="false" outlineLevel="0" collapsed="false">
      <c r="A279" s="25" t="str">
        <f aca="false">IFERROR(__xludf.dummyfunction("""COMPUTED_VALUE"""),"Adrien BERSIER")</f>
        <v>Adrien BERSIER</v>
      </c>
      <c r="B279" s="24" t="str">
        <f aca="false">IFERROR(__xludf.dummyfunction("Filter('Réponses au formulaire 1'!S:S,'Réponses au formulaire 1'!B:B=A279)"),"Juman'GI reloaded")</f>
        <v>Juman'GI reloaded</v>
      </c>
      <c r="C279" s="16" t="s">
        <v>1144</v>
      </c>
      <c r="D279" s="12"/>
      <c r="E279" s="16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</row>
    <row r="280" customFormat="false" ht="15.75" hidden="false" customHeight="false" outlineLevel="0" collapsed="false">
      <c r="A280" s="25" t="str">
        <f aca="false">IFERROR(__xludf.dummyfunction("""COMPUTED_VALUE"""),"Aygalic JARA")</f>
        <v>Aygalic JARA</v>
      </c>
      <c r="B280" s="24" t="str">
        <f aca="false">IFERROR(__xludf.dummyfunction("Filter('Réponses au formulaire 1'!S:S,'Réponses au formulaire 1'!B:B=A280)"),"Le squat")</f>
        <v>Le squat</v>
      </c>
      <c r="C280" s="16" t="s">
        <v>1144</v>
      </c>
      <c r="D280" s="12"/>
      <c r="E280" s="16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</row>
    <row r="281" customFormat="false" ht="15.75" hidden="false" customHeight="false" outlineLevel="0" collapsed="false">
      <c r="A281" s="25" t="str">
        <f aca="false">IFERROR(__xludf.dummyfunction("""COMPUTED_VALUE"""),"Thomas HERRBACH")</f>
        <v>Thomas HERRBACH</v>
      </c>
      <c r="B281" s="24" t="str">
        <f aca="false">IFERROR(__xludf.dummyfunction("Filter('Réponses au formulaire 1'!S:S,'Réponses au formulaire 1'!B:B=A281)"),"La Vigie")</f>
        <v>La Vigie</v>
      </c>
      <c r="C281" s="16" t="s">
        <v>1144</v>
      </c>
      <c r="D281" s="12"/>
      <c r="E281" s="16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</row>
    <row r="282" customFormat="false" ht="15.75" hidden="false" customHeight="false" outlineLevel="0" collapsed="false">
      <c r="A282" s="25" t="str">
        <f aca="false">IFERROR(__xludf.dummyfunction("""COMPUTED_VALUE"""),"Márcio Bruno DOS SANTOS CORREIA")</f>
        <v>Márcio Bruno DOS SANTOS CORREIA</v>
      </c>
      <c r="B282" s="24" t="str">
        <f aca="false">IFERROR(__xludf.dummyfunction("Filter('Réponses au formulaire 1'!S:S,'Réponses au formulaire 1'!B:B=A282)"),"Grande famille")</f>
        <v>Grande famille</v>
      </c>
      <c r="C282" s="16" t="s">
        <v>1144</v>
      </c>
      <c r="D282" s="12"/>
      <c r="E282" s="16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</row>
    <row r="283" customFormat="false" ht="15.75" hidden="false" customHeight="false" outlineLevel="0" collapsed="false">
      <c r="A283" s="25" t="str">
        <f aca="false">IFERROR(__xludf.dummyfunction("""COMPUTED_VALUE"""),"Adrien BOUVIER")</f>
        <v>Adrien BOUVIER</v>
      </c>
      <c r="B283" s="24" t="str">
        <f aca="false">IFERROR(__xludf.dummyfunction("Filter('Réponses au formulaire 1'!S:S,'Réponses au formulaire 1'!B:B=A283)"),"pimp my ride")</f>
        <v>pimp my ride</v>
      </c>
      <c r="C283" s="16" t="s">
        <v>1144</v>
      </c>
      <c r="D283" s="12"/>
      <c r="E283" s="16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</row>
    <row r="284" customFormat="false" ht="15.75" hidden="false" customHeight="false" outlineLevel="0" collapsed="false">
      <c r="A284" s="25" t="str">
        <f aca="false">IFERROR(__xludf.dummyfunction("""COMPUTED_VALUE"""),"Hugo Weiss")</f>
        <v>Hugo Weiss</v>
      </c>
      <c r="B284" s="24" t="str">
        <f aca="false">IFERROR(__xludf.dummyfunction("Filter('Réponses au formulaire 1'!S:S,'Réponses au formulaire 1'!B:B=A284)"),"Mafia ")</f>
        <v>Mafia </v>
      </c>
      <c r="C284" s="16" t="s">
        <v>1144</v>
      </c>
      <c r="D284" s="12"/>
      <c r="E284" s="16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</row>
    <row r="285" customFormat="false" ht="15.75" hidden="false" customHeight="false" outlineLevel="0" collapsed="false">
      <c r="A285" s="25" t="str">
        <f aca="false">IFERROR(__xludf.dummyfunction("""COMPUTED_VALUE"""),"Adele ONDARCUHU")</f>
        <v>Adele ONDARCUHU</v>
      </c>
      <c r="B285" s="24" t="str">
        <f aca="false">IFERROR(__xludf.dummyfunction("Filter('Réponses au formulaire 1'!S:S,'Réponses au formulaire 1'!B:B=A285)"),"Mafia")</f>
        <v>Mafia</v>
      </c>
      <c r="C285" s="16" t="s">
        <v>1144</v>
      </c>
      <c r="D285" s="12"/>
      <c r="E285" s="16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  <c r="BX285" s="21"/>
      <c r="BY285" s="21"/>
      <c r="BZ285" s="21"/>
    </row>
    <row r="286" customFormat="false" ht="15.75" hidden="false" customHeight="false" outlineLevel="0" collapsed="false">
      <c r="A286" s="25" t="str">
        <f aca="false">IFERROR(__xludf.dummyfunction("""COMPUTED_VALUE"""),"Vire")</f>
        <v>Vire</v>
      </c>
      <c r="B286" s="24" t="str">
        <f aca="false">IFERROR(__xludf.dummyfunction("Filter('Réponses au formulaire 1'!S:S,'Réponses au formulaire 1'!B:B=A286)"),"Mafia")</f>
        <v>Mafia</v>
      </c>
      <c r="C286" s="16" t="s">
        <v>1144</v>
      </c>
      <c r="D286" s="12"/>
      <c r="E286" s="16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</row>
    <row r="287" customFormat="false" ht="15.75" hidden="false" customHeight="false" outlineLevel="0" collapsed="false">
      <c r="A287" s="25" t="str">
        <f aca="false">IFERROR(__xludf.dummyfunction("""COMPUTED_VALUE"""),"Valentin Pibernus")</f>
        <v>Valentin Pibernus</v>
      </c>
      <c r="B287" s="24" t="str">
        <f aca="false">IFERROR(__xludf.dummyfunction("Filter('Réponses au formulaire 1'!S:S,'Réponses au formulaire 1'!B:B=A287)"),"Parainplegiques ")</f>
        <v>Parainplegiques </v>
      </c>
      <c r="C287" s="16" t="s">
        <v>1144</v>
      </c>
      <c r="D287" s="12"/>
      <c r="E287" s="16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</row>
    <row r="288" customFormat="false" ht="15.75" hidden="false" customHeight="false" outlineLevel="0" collapsed="false">
      <c r="A288" s="25" t="str">
        <f aca="false">IFERROR(__xludf.dummyfunction("""COMPUTED_VALUE"""),"Fabien RAVET")</f>
        <v>Fabien RAVET</v>
      </c>
      <c r="B288" s="24" t="str">
        <f aca="false">IFERROR(__xludf.dummyfunction("Filter('Réponses au formulaire 1'!S:S,'Réponses au formulaire 1'!B:B=A288)"),"La Vigie")</f>
        <v>La Vigie</v>
      </c>
      <c r="C288" s="16" t="s">
        <v>1144</v>
      </c>
      <c r="D288" s="12"/>
      <c r="E288" s="16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  <c r="BV288" s="21"/>
      <c r="BW288" s="21"/>
      <c r="BX288" s="21"/>
      <c r="BY288" s="21"/>
      <c r="BZ288" s="21"/>
    </row>
    <row r="289" customFormat="false" ht="15.75" hidden="false" customHeight="false" outlineLevel="0" collapsed="false">
      <c r="A289" s="35" t="str">
        <f aca="false">IFERROR(__xludf.dummyfunction("""COMPUTED_VALUE"""),"Bastien")</f>
        <v>Bastien</v>
      </c>
      <c r="B289" s="24" t="str">
        <f aca="false">IFERROR(__xludf.dummyfunction("Filter('Réponses au formulaire 1'!S:S,'Réponses au formulaire 1'!B:B=A289)"),"La dézingue")</f>
        <v>La dézingue</v>
      </c>
      <c r="C289" s="19" t="s">
        <v>1144</v>
      </c>
      <c r="D289" s="17"/>
      <c r="E289" s="19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  <c r="BX289" s="21"/>
      <c r="BY289" s="21"/>
      <c r="BZ289" s="21"/>
    </row>
    <row r="290" customFormat="false" ht="15.75" hidden="false" customHeight="false" outlineLevel="0" collapsed="false">
      <c r="A290" s="21" t="str">
        <f aca="false">IFERROR(__xludf.dummyfunction("""COMPUTED_VALUE"""),"Audric BALSSA")</f>
        <v>Audric BALSSA</v>
      </c>
      <c r="B290" s="24" t="str">
        <f aca="false">IFERROR(__xludf.dummyfunction("Filter('Réponses au formulaire 1'!S:S,'Réponses au formulaire 1'!B:B=A290)"),"Waltherock")</f>
        <v>Waltherock</v>
      </c>
      <c r="C290" s="21" t="s">
        <v>1144</v>
      </c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</row>
    <row r="291" customFormat="false" ht="15.75" hidden="false" customHeight="false" outlineLevel="0" collapsed="false">
      <c r="A291" s="21" t="str">
        <f aca="false">IFERROR(__xludf.dummyfunction("""COMPUTED_VALUE"""),"Alexandre SEVENO")</f>
        <v>Alexandre SEVENO</v>
      </c>
      <c r="B291" s="24" t="str">
        <f aca="false">IFERROR(__xludf.dummyfunction("Filter('Réponses au formulaire 1'!S:S,'Réponses au formulaire 1'!B:B=A291)"),"Le donjon ")</f>
        <v>Le donjon </v>
      </c>
      <c r="C291" s="21" t="s">
        <v>1144</v>
      </c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</row>
    <row r="292" customFormat="false" ht="15.75" hidden="false" customHeight="false" outlineLevel="0" collapsed="false">
      <c r="A292" s="21" t="str">
        <f aca="false">IFERROR(__xludf.dummyfunction("""COMPUTED_VALUE"""),"Maxime PATRY")</f>
        <v>Maxime PATRY</v>
      </c>
      <c r="B292" s="24" t="str">
        <f aca="false">IFERROR(__xludf.dummyfunction("Filter('Réponses au formulaire 1'!S:S,'Réponses au formulaire 1'!B:B=A292)"),"Le Donjon")</f>
        <v>Le Donjon</v>
      </c>
      <c r="C292" s="21" t="s">
        <v>1144</v>
      </c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</row>
    <row r="293" customFormat="false" ht="15.75" hidden="false" customHeight="false" outlineLevel="0" collapsed="false">
      <c r="A293" s="21" t="str">
        <f aca="false">IFERROR(__xludf.dummyfunction("""COMPUTED_VALUE"""),"Selim Autones")</f>
        <v>Selim Autones</v>
      </c>
      <c r="B293" s="24" t="str">
        <f aca="false">IFERROR(__xludf.dummyfunction("Filter('Réponses au formulaire 1'!S:S,'Réponses au formulaire 1'!B:B=A293)"),"L'Alliance")</f>
        <v>L'Alliance</v>
      </c>
      <c r="C293" s="21" t="s">
        <v>1144</v>
      </c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  <c r="BX293" s="21"/>
      <c r="BY293" s="21"/>
      <c r="BZ293" s="21"/>
    </row>
    <row r="294" customFormat="false" ht="15.75" hidden="false" customHeight="false" outlineLevel="0" collapsed="false">
      <c r="A294" s="21" t="str">
        <f aca="false">IFERROR(__xludf.dummyfunction("""COMPUTED_VALUE"""),"Arthur")</f>
        <v>Arthur</v>
      </c>
      <c r="B294" s="24" t="str">
        <f aca="false">IFERROR(__xludf.dummyfunction("Filter('Réponses au formulaire 1'!S:S,'Réponses au formulaire 1'!B:B=A294)"),"Aspero")</f>
        <v>Aspero</v>
      </c>
      <c r="C294" s="21" t="s">
        <v>1144</v>
      </c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</row>
    <row r="295" customFormat="false" ht="15.75" hidden="false" customHeight="false" outlineLevel="0" collapsed="false">
      <c r="A295" s="21" t="str">
        <f aca="false">IFERROR(__xludf.dummyfunction("""COMPUTED_VALUE"""),"Mathurin Schneider")</f>
        <v>Mathurin Schneider</v>
      </c>
      <c r="B295" s="24" t="str">
        <f aca="false">IFERROR(__xludf.dummyfunction("Filter('Réponses au formulaire 1'!S:S,'Réponses au formulaire 1'!B:B=A295)"),"Les fortiches")</f>
        <v>Les fortiches</v>
      </c>
      <c r="C295" s="21" t="s">
        <v>1144</v>
      </c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</row>
    <row r="296" customFormat="false" ht="15.75" hidden="false" customHeight="false" outlineLevel="0" collapsed="false">
      <c r="A296" s="21" t="str">
        <f aca="false">IFERROR(__xludf.dummyfunction("""COMPUTED_VALUE"""),"KONATE")</f>
        <v>KONATE</v>
      </c>
      <c r="B296" s="24" t="str">
        <f aca="false">IFERROR(__xludf.dummyfunction("Filter('Réponses au formulaire 1'!S:S,'Réponses au formulaire 1'!B:B=A296)"),"La 4 étoiles")</f>
        <v>La 4 étoiles</v>
      </c>
      <c r="C296" s="21" t="s">
        <v>1144</v>
      </c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</row>
    <row r="297" customFormat="false" ht="15.75" hidden="false" customHeight="false" outlineLevel="0" collapsed="false">
      <c r="A297" s="21" t="str">
        <f aca="false">IFERROR(__xludf.dummyfunction("""COMPUTED_VALUE"""),"Alexandre FOSSORIER")</f>
        <v>Alexandre FOSSORIER</v>
      </c>
      <c r="B297" s="24" t="str">
        <f aca="false">IFERROR(__xludf.dummyfunction("Filter('Réponses au formulaire 1'!S:S,'Réponses au formulaire 1'!B:B=A297)"),"Les 6 salopards")</f>
        <v>Les 6 salopards</v>
      </c>
      <c r="C297" s="21" t="s">
        <v>1144</v>
      </c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</row>
    <row r="298" customFormat="false" ht="15.75" hidden="false" customHeight="false" outlineLevel="0" collapsed="false">
      <c r="A298" s="21" t="str">
        <f aca="false">IFERROR(__xludf.dummyfunction("""COMPUTED_VALUE"""),"Werner")</f>
        <v>Werner</v>
      </c>
      <c r="B298" s="24" t="str">
        <f aca="false">IFERROR(__xludf.dummyfunction("Filter('Réponses au formulaire 1'!S:S,'Réponses au formulaire 1'!B:B=A298)"),"l'Alliance")</f>
        <v>l'Alliance</v>
      </c>
      <c r="C298" s="21" t="s">
        <v>1144</v>
      </c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  <c r="BV298" s="21"/>
      <c r="BW298" s="21"/>
      <c r="BX298" s="21"/>
      <c r="BY298" s="21"/>
      <c r="BZ298" s="21"/>
    </row>
    <row r="299" customFormat="false" ht="15.75" hidden="false" customHeight="false" outlineLevel="0" collapsed="false">
      <c r="A299" s="21" t="str">
        <f aca="false">IFERROR(__xludf.dummyfunction("""COMPUTED_VALUE"""),"Paniez")</f>
        <v>Paniez</v>
      </c>
      <c r="B299" s="24" t="str">
        <f aca="false">IFERROR(__xludf.dummyfunction("Filter('Réponses au formulaire 1'!S:S,'Réponses au formulaire 1'!B:B=A299)"),"Parrainplégique ")</f>
        <v>Parrainplégique </v>
      </c>
      <c r="C299" s="21" t="s">
        <v>1144</v>
      </c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  <c r="BV299" s="21"/>
      <c r="BW299" s="21"/>
      <c r="BX299" s="21"/>
      <c r="BY299" s="21"/>
      <c r="BZ299" s="21"/>
    </row>
    <row r="300" customFormat="false" ht="15.75" hidden="false" customHeight="false" outlineLevel="0" collapsed="false">
      <c r="A300" s="21" t="str">
        <f aca="false">IFERROR(__xludf.dummyfunction("""COMPUTED_VALUE"""),"Adrien HALLARD")</f>
        <v>Adrien HALLARD</v>
      </c>
      <c r="B300" s="24" t="str">
        <f aca="false">IFERROR(__xludf.dummyfunction("Filter('Réponses au formulaire 1'!S:S,'Réponses au formulaire 1'!B:B=A300)"),"Le Kraal")</f>
        <v>Le Kraal</v>
      </c>
      <c r="C300" s="21" t="s">
        <v>1144</v>
      </c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1"/>
      <c r="BQ300" s="21"/>
      <c r="BR300" s="21"/>
      <c r="BS300" s="21"/>
      <c r="BT300" s="21"/>
      <c r="BU300" s="21"/>
      <c r="BV300" s="21"/>
      <c r="BW300" s="21"/>
      <c r="BX300" s="21"/>
      <c r="BY300" s="21"/>
      <c r="BZ300" s="21"/>
    </row>
    <row r="301" customFormat="false" ht="15.75" hidden="false" customHeight="false" outlineLevel="0" collapsed="false">
      <c r="A301" s="21" t="str">
        <f aca="false">IFERROR(__xludf.dummyfunction("""COMPUTED_VALUE"""),"Timothée Corlay")</f>
        <v>Timothée Corlay</v>
      </c>
      <c r="B301" s="24" t="str">
        <f aca="false">IFERROR(__xludf.dummyfunction("Filter('Réponses au formulaire 1'!S:S,'Réponses au formulaire 1'!B:B=A301)"),"Team corlay")</f>
        <v>Team corlay</v>
      </c>
      <c r="C301" s="21" t="s">
        <v>1144</v>
      </c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1"/>
      <c r="BQ301" s="21"/>
      <c r="BR301" s="21"/>
      <c r="BS301" s="21"/>
      <c r="BT301" s="21"/>
      <c r="BU301" s="21"/>
      <c r="BV301" s="21"/>
      <c r="BW301" s="21"/>
      <c r="BX301" s="21"/>
      <c r="BY301" s="21"/>
      <c r="BZ301" s="21"/>
    </row>
    <row r="302" customFormat="false" ht="15.75" hidden="false" customHeight="false" outlineLevel="0" collapsed="false">
      <c r="A302" s="21" t="str">
        <f aca="false">IFERROR(__xludf.dummyfunction("""COMPUTED_VALUE"""),"Aurélio Catel")</f>
        <v>Aurélio Catel</v>
      </c>
      <c r="B302" s="24" t="str">
        <f aca="false">IFERROR(__xludf.dummyfunction("Filter('Réponses au formulaire 1'!S:S,'Réponses au formulaire 1'!B:B=A302)"),"Les trutitas")</f>
        <v>Les trutitas</v>
      </c>
      <c r="C302" s="21" t="s">
        <v>1144</v>
      </c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  <c r="BP302" s="21"/>
      <c r="BQ302" s="21"/>
      <c r="BR302" s="21"/>
      <c r="BS302" s="21"/>
      <c r="BT302" s="21"/>
      <c r="BU302" s="21"/>
      <c r="BV302" s="21"/>
      <c r="BW302" s="21"/>
      <c r="BX302" s="21"/>
      <c r="BY302" s="21"/>
      <c r="BZ302" s="21"/>
    </row>
    <row r="303" customFormat="false" ht="15.75" hidden="false" customHeight="false" outlineLevel="0" collapsed="false">
      <c r="A303" s="21" t="str">
        <f aca="false">IFERROR(__xludf.dummyfunction("""COMPUTED_VALUE"""),"Yuna Landais")</f>
        <v>Yuna Landais</v>
      </c>
      <c r="B303" s="24" t="str">
        <f aca="false">IFERROR(__xludf.dummyfunction("Filter('Réponses au formulaire 1'!S:S,'Réponses au formulaire 1'!B:B=A303)"),"Les 6 salopards")</f>
        <v>Les 6 salopards</v>
      </c>
      <c r="C303" s="21" t="s">
        <v>1144</v>
      </c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1"/>
      <c r="BQ303" s="21"/>
      <c r="BR303" s="21"/>
      <c r="BS303" s="21"/>
      <c r="BT303" s="21"/>
      <c r="BU303" s="21"/>
      <c r="BV303" s="21"/>
      <c r="BW303" s="21"/>
      <c r="BX303" s="21"/>
      <c r="BY303" s="21"/>
      <c r="BZ303" s="21"/>
    </row>
    <row r="304" customFormat="false" ht="15.75" hidden="false" customHeight="false" outlineLevel="0" collapsed="false">
      <c r="A304" s="21"/>
      <c r="B304" s="24" t="str">
        <f aca="false">IFERROR(__xludf.dummyfunction("Filter('Réponses au formulaire 1'!S:S,'Réponses au formulaire 1'!B:B=A304)"),"#REF!")</f>
        <v>#REF!</v>
      </c>
      <c r="C304" s="21" t="s">
        <v>1144</v>
      </c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1"/>
      <c r="BQ304" s="21"/>
      <c r="BR304" s="21"/>
      <c r="BS304" s="21"/>
      <c r="BT304" s="21"/>
      <c r="BU304" s="21"/>
      <c r="BV304" s="21"/>
      <c r="BW304" s="21"/>
      <c r="BX304" s="21"/>
      <c r="BY304" s="21"/>
      <c r="BZ304" s="21"/>
    </row>
    <row r="305" customFormat="false" ht="15.75" hidden="false" customHeight="false" outlineLevel="0" collapsed="false">
      <c r="A305" s="21"/>
      <c r="B305" s="24" t="str">
        <f aca="false">IFERROR(__xludf.dummyfunction("Filter('Réponses au formulaire 1'!S:S,'Réponses au formulaire 1'!B:B=A305)"),"#REF!")</f>
        <v>#REF!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1"/>
      <c r="BQ305" s="21"/>
      <c r="BR305" s="21"/>
      <c r="BS305" s="21"/>
      <c r="BT305" s="21"/>
      <c r="BU305" s="21"/>
      <c r="BV305" s="21"/>
      <c r="BW305" s="21"/>
      <c r="BX305" s="21"/>
      <c r="BY305" s="21"/>
      <c r="BZ305" s="21"/>
    </row>
    <row r="306" customFormat="false" ht="15.75" hidden="false" customHeight="false" outlineLevel="0" collapsed="false">
      <c r="A306" s="21"/>
      <c r="B306" s="24" t="str">
        <f aca="false">IFERROR(__xludf.dummyfunction("Filter('Réponses au formulaire 1'!S:S,'Réponses au formulaire 1'!B:B=A306)"),"#REF!")</f>
        <v>#REF!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  <c r="BP306" s="21"/>
      <c r="BQ306" s="21"/>
      <c r="BR306" s="21"/>
      <c r="BS306" s="21"/>
      <c r="BT306" s="21"/>
      <c r="BU306" s="21"/>
      <c r="BV306" s="21"/>
      <c r="BW306" s="21"/>
      <c r="BX306" s="21"/>
      <c r="BY306" s="21"/>
      <c r="BZ306" s="21"/>
    </row>
    <row r="307" customFormat="false" ht="15.75" hidden="false" customHeight="false" outlineLevel="0" collapsed="false">
      <c r="A307" s="21"/>
      <c r="B307" s="24" t="str">
        <f aca="false">IFERROR(__xludf.dummyfunction("Filter('Réponses au formulaire 1'!S:S,'Réponses au formulaire 1'!B:B=A307)"),"#REF!")</f>
        <v>#REF!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1"/>
      <c r="BQ307" s="21"/>
      <c r="BR307" s="21"/>
      <c r="BS307" s="21"/>
      <c r="BT307" s="21"/>
      <c r="BU307" s="21"/>
      <c r="BV307" s="21"/>
      <c r="BW307" s="21"/>
      <c r="BX307" s="21"/>
      <c r="BY307" s="21"/>
      <c r="BZ307" s="21"/>
    </row>
    <row r="308" customFormat="false" ht="15.75" hidden="false" customHeight="false" outlineLevel="0" collapsed="false">
      <c r="A308" s="21"/>
      <c r="B308" s="24" t="str">
        <f aca="false">IFERROR(__xludf.dummyfunction("Filter('Réponses au formulaire 1'!S:S,'Réponses au formulaire 1'!B:B=A308)"),"#REF!")</f>
        <v>#REF!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1"/>
      <c r="BQ308" s="21"/>
      <c r="BR308" s="21"/>
      <c r="BS308" s="21"/>
      <c r="BT308" s="21"/>
      <c r="BU308" s="21"/>
      <c r="BV308" s="21"/>
      <c r="BW308" s="21"/>
      <c r="BX308" s="21"/>
      <c r="BY308" s="21"/>
      <c r="BZ308" s="21"/>
    </row>
    <row r="309" customFormat="false" ht="15.75" hidden="false" customHeight="false" outlineLevel="0" collapsed="false">
      <c r="A309" s="21"/>
      <c r="B309" s="24" t="str">
        <f aca="false">IFERROR(__xludf.dummyfunction("Filter('Réponses au formulaire 1'!S:S,'Réponses au formulaire 1'!B:B=A309)"),"#REF!")</f>
        <v>#REF!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1"/>
      <c r="BQ309" s="21"/>
      <c r="BR309" s="21"/>
      <c r="BS309" s="21"/>
      <c r="BT309" s="21"/>
      <c r="BU309" s="21"/>
      <c r="BV309" s="21"/>
      <c r="BW309" s="21"/>
      <c r="BX309" s="21"/>
      <c r="BY309" s="21"/>
      <c r="BZ309" s="21"/>
    </row>
    <row r="310" customFormat="false" ht="15.75" hidden="false" customHeight="false" outlineLevel="0" collapsed="false">
      <c r="A310" s="21"/>
      <c r="B310" s="24" t="str">
        <f aca="false">IFERROR(__xludf.dummyfunction("Filter('Réponses au formulaire 1'!S:S,'Réponses au formulaire 1'!B:B=A310)"),"#REF!")</f>
        <v>#REF!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1"/>
      <c r="BQ310" s="21"/>
      <c r="BR310" s="21"/>
      <c r="BS310" s="21"/>
      <c r="BT310" s="21"/>
      <c r="BU310" s="21"/>
      <c r="BV310" s="21"/>
      <c r="BW310" s="21"/>
      <c r="BX310" s="21"/>
      <c r="BY310" s="21"/>
      <c r="BZ310" s="21"/>
    </row>
    <row r="311" customFormat="false" ht="15.75" hidden="false" customHeight="false" outlineLevel="0" collapsed="false">
      <c r="A311" s="21"/>
      <c r="B311" s="24" t="str">
        <f aca="false">IFERROR(__xludf.dummyfunction("Filter('Réponses au formulaire 1'!S:S,'Réponses au formulaire 1'!B:B=A311)"),"#REF!")</f>
        <v>#REF!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1"/>
      <c r="BQ311" s="21"/>
      <c r="BR311" s="21"/>
      <c r="BS311" s="21"/>
      <c r="BT311" s="21"/>
      <c r="BU311" s="21"/>
      <c r="BV311" s="21"/>
      <c r="BW311" s="21"/>
      <c r="BX311" s="21"/>
      <c r="BY311" s="21"/>
      <c r="BZ311" s="21"/>
    </row>
    <row r="312" customFormat="false" ht="15.75" hidden="false" customHeight="false" outlineLevel="0" collapsed="false">
      <c r="A312" s="21"/>
      <c r="B312" s="24" t="str">
        <f aca="false">IFERROR(__xludf.dummyfunction("Filter('Réponses au formulaire 1'!S:S,'Réponses au formulaire 1'!B:B=A312)"),"#REF!")</f>
        <v>#REF!</v>
      </c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</row>
    <row r="313" customFormat="false" ht="15.75" hidden="false" customHeight="false" outlineLevel="0" collapsed="false">
      <c r="A313" s="21"/>
      <c r="B313" s="24" t="str">
        <f aca="false">IFERROR(__xludf.dummyfunction("Filter('Réponses au formulaire 1'!S:S,'Réponses au formulaire 1'!B:B=A313)"),"#REF!")</f>
        <v>#REF!</v>
      </c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1"/>
      <c r="BQ313" s="21"/>
      <c r="BR313" s="21"/>
      <c r="BS313" s="21"/>
      <c r="BT313" s="21"/>
      <c r="BU313" s="21"/>
      <c r="BV313" s="21"/>
      <c r="BW313" s="21"/>
      <c r="BX313" s="21"/>
      <c r="BY313" s="21"/>
      <c r="BZ313" s="21"/>
    </row>
    <row r="314" customFormat="false" ht="15.75" hidden="false" customHeight="false" outlineLevel="0" collapsed="false">
      <c r="A314" s="21"/>
      <c r="B314" s="24" t="str">
        <f aca="false">IFERROR(__xludf.dummyfunction("Filter('Réponses au formulaire 1'!S:S,'Réponses au formulaire 1'!B:B=A314)"),"#REF!")</f>
        <v>#REF!</v>
      </c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1"/>
      <c r="BQ314" s="21"/>
      <c r="BR314" s="21"/>
      <c r="BS314" s="21"/>
      <c r="BT314" s="21"/>
      <c r="BU314" s="21"/>
      <c r="BV314" s="21"/>
      <c r="BW314" s="21"/>
      <c r="BX314" s="21"/>
      <c r="BY314" s="21"/>
      <c r="BZ314" s="21"/>
    </row>
    <row r="315" customFormat="false" ht="15.75" hidden="false" customHeight="false" outlineLevel="0" collapsed="false">
      <c r="A315" s="21"/>
      <c r="B315" s="24" t="str">
        <f aca="false">IFERROR(__xludf.dummyfunction("Filter('Réponses au formulaire 1'!S:S,'Réponses au formulaire 1'!B:B=A315)"),"#REF!")</f>
        <v>#REF!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1"/>
      <c r="BQ315" s="21"/>
      <c r="BR315" s="21"/>
      <c r="BS315" s="21"/>
      <c r="BT315" s="21"/>
      <c r="BU315" s="21"/>
      <c r="BV315" s="21"/>
      <c r="BW315" s="21"/>
      <c r="BX315" s="21"/>
      <c r="BY315" s="21"/>
      <c r="BZ315" s="21"/>
    </row>
    <row r="316" customFormat="false" ht="15.75" hidden="false" customHeight="false" outlineLevel="0" collapsed="false">
      <c r="A316" s="21"/>
      <c r="B316" s="24" t="str">
        <f aca="false">IFERROR(__xludf.dummyfunction("Filter('Réponses au formulaire 1'!S:S,'Réponses au formulaire 1'!B:B=A316)"),"#REF!")</f>
        <v>#REF!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</row>
    <row r="317" customFormat="false" ht="15.75" hidden="false" customHeight="false" outlineLevel="0" collapsed="false">
      <c r="A317" s="21"/>
      <c r="B317" s="24" t="str">
        <f aca="false">IFERROR(__xludf.dummyfunction("Filter('Réponses au formulaire 1'!S:S,'Réponses au formulaire 1'!B:B=A317)"),"#REF!")</f>
        <v>#REF!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</row>
    <row r="318" customFormat="false" ht="15.75" hidden="false" customHeight="false" outlineLevel="0" collapsed="false">
      <c r="A318" s="21"/>
      <c r="B318" s="24" t="str">
        <f aca="false">IFERROR(__xludf.dummyfunction("Filter('Réponses au formulaire 1'!S:S,'Réponses au formulaire 1'!B:B=A318)"),"#REF!")</f>
        <v>#REF!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</row>
    <row r="319" customFormat="false" ht="15.75" hidden="false" customHeight="false" outlineLevel="0" collapsed="false">
      <c r="A319" s="21"/>
      <c r="B319" s="24" t="str">
        <f aca="false">IFERROR(__xludf.dummyfunction("Filter('Réponses au formulaire 1'!S:S,'Réponses au formulaire 1'!B:B=A319)"),"#REF!")</f>
        <v>#REF!</v>
      </c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</row>
    <row r="320" customFormat="false" ht="15.75" hidden="false" customHeight="false" outlineLevel="0" collapsed="false">
      <c r="A320" s="21"/>
      <c r="B320" s="24" t="str">
        <f aca="false">IFERROR(__xludf.dummyfunction("Filter('Réponses au formulaire 1'!S:S,'Réponses au formulaire 1'!B:B=A320)"),"#REF!")</f>
        <v>#REF!</v>
      </c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</row>
    <row r="321" customFormat="false" ht="15.75" hidden="false" customHeight="false" outlineLevel="0" collapsed="false">
      <c r="A321" s="21"/>
      <c r="B321" s="24" t="str">
        <f aca="false">IFERROR(__xludf.dummyfunction("Filter('Réponses au formulaire 1'!S:S,'Réponses au formulaire 1'!B:B=A321)"),"#REF!")</f>
        <v>#REF!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1"/>
      <c r="BQ321" s="21"/>
      <c r="BR321" s="21"/>
      <c r="BS321" s="21"/>
      <c r="BT321" s="21"/>
      <c r="BU321" s="21"/>
      <c r="BV321" s="21"/>
      <c r="BW321" s="21"/>
      <c r="BX321" s="21"/>
      <c r="BY321" s="21"/>
      <c r="BZ321" s="21"/>
    </row>
    <row r="322" customFormat="false" ht="15.75" hidden="false" customHeight="false" outlineLevel="0" collapsed="false">
      <c r="A322" s="21"/>
      <c r="B322" s="24" t="str">
        <f aca="false">IFERROR(__xludf.dummyfunction("Filter('Réponses au formulaire 1'!S:S,'Réponses au formulaire 1'!B:B=A322)"),"#REF!")</f>
        <v>#REF!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1"/>
      <c r="BQ322" s="21"/>
      <c r="BR322" s="21"/>
      <c r="BS322" s="21"/>
      <c r="BT322" s="21"/>
      <c r="BU322" s="21"/>
      <c r="BV322" s="21"/>
      <c r="BW322" s="21"/>
      <c r="BX322" s="21"/>
      <c r="BY322" s="21"/>
      <c r="BZ322" s="21"/>
    </row>
    <row r="323" customFormat="false" ht="15.75" hidden="false" customHeight="false" outlineLevel="0" collapsed="false">
      <c r="A323" s="21"/>
      <c r="B323" s="24" t="str">
        <f aca="false">IFERROR(__xludf.dummyfunction("Filter('Réponses au formulaire 1'!S:S,'Réponses au formulaire 1'!B:B=A323)"),"#REF!")</f>
        <v>#REF!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1"/>
      <c r="BQ323" s="21"/>
      <c r="BR323" s="21"/>
      <c r="BS323" s="21"/>
      <c r="BT323" s="21"/>
      <c r="BU323" s="21"/>
      <c r="BV323" s="21"/>
      <c r="BW323" s="21"/>
      <c r="BX323" s="21"/>
      <c r="BY323" s="21"/>
      <c r="BZ323" s="21"/>
    </row>
    <row r="324" customFormat="false" ht="15.75" hidden="false" customHeight="false" outlineLevel="0" collapsed="false">
      <c r="A324" s="21"/>
      <c r="B324" s="24" t="str">
        <f aca="false">IFERROR(__xludf.dummyfunction("Filter('Réponses au formulaire 1'!S:S,'Réponses au formulaire 1'!B:B=A324)"),"#REF!")</f>
        <v>#REF!</v>
      </c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1"/>
      <c r="BQ324" s="21"/>
      <c r="BR324" s="21"/>
      <c r="BS324" s="21"/>
      <c r="BT324" s="21"/>
      <c r="BU324" s="21"/>
      <c r="BV324" s="21"/>
      <c r="BW324" s="21"/>
      <c r="BX324" s="21"/>
      <c r="BY324" s="21"/>
      <c r="BZ324" s="21"/>
    </row>
    <row r="325" customFormat="false" ht="15.75" hidden="false" customHeight="false" outlineLevel="0" collapsed="false">
      <c r="A325" s="21"/>
      <c r="B325" s="24" t="str">
        <f aca="false">IFERROR(__xludf.dummyfunction("Filter('Réponses au formulaire 1'!S:S,'Réponses au formulaire 1'!B:B=A325)"),"#REF!")</f>
        <v>#REF!</v>
      </c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1"/>
      <c r="BQ325" s="21"/>
      <c r="BR325" s="21"/>
      <c r="BS325" s="21"/>
      <c r="BT325" s="21"/>
      <c r="BU325" s="21"/>
      <c r="BV325" s="21"/>
      <c r="BW325" s="21"/>
      <c r="BX325" s="21"/>
      <c r="BY325" s="21"/>
      <c r="BZ325" s="21"/>
    </row>
    <row r="326" customFormat="false" ht="15.75" hidden="false" customHeight="false" outlineLevel="0" collapsed="false">
      <c r="A326" s="21"/>
      <c r="B326" s="24" t="str">
        <f aca="false">IFERROR(__xludf.dummyfunction("Filter('Réponses au formulaire 1'!S:S,'Réponses au formulaire 1'!B:B=A326)"),"#REF!")</f>
        <v>#REF!</v>
      </c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1"/>
      <c r="BQ326" s="21"/>
      <c r="BR326" s="21"/>
      <c r="BS326" s="21"/>
      <c r="BT326" s="21"/>
      <c r="BU326" s="21"/>
      <c r="BV326" s="21"/>
      <c r="BW326" s="21"/>
      <c r="BX326" s="21"/>
      <c r="BY326" s="21"/>
      <c r="BZ326" s="21"/>
    </row>
    <row r="327" customFormat="false" ht="15.75" hidden="false" customHeight="false" outlineLevel="0" collapsed="false">
      <c r="A327" s="21"/>
      <c r="B327" s="24" t="str">
        <f aca="false">IFERROR(__xludf.dummyfunction("Filter('Réponses au formulaire 1'!S:S,'Réponses au formulaire 1'!B:B=A327)"),"#REF!")</f>
        <v>#REF!</v>
      </c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</row>
    <row r="328" customFormat="false" ht="15.75" hidden="false" customHeight="false" outlineLevel="0" collapsed="false">
      <c r="A328" s="21"/>
      <c r="B328" s="24" t="str">
        <f aca="false">IFERROR(__xludf.dummyfunction("Filter('Réponses au formulaire 1'!S:S,'Réponses au formulaire 1'!B:B=A328)"),"#REF!")</f>
        <v>#REF!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1"/>
      <c r="BV328" s="21"/>
      <c r="BW328" s="21"/>
      <c r="BX328" s="21"/>
      <c r="BY328" s="21"/>
      <c r="BZ328" s="21"/>
    </row>
    <row r="329" customFormat="false" ht="15.75" hidden="false" customHeight="false" outlineLevel="0" collapsed="false">
      <c r="A329" s="21"/>
      <c r="B329" s="24" t="str">
        <f aca="false">IFERROR(__xludf.dummyfunction("Filter('Réponses au formulaire 1'!S:S,'Réponses au formulaire 1'!B:B=A329)"),"#REF!")</f>
        <v>#REF!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1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</row>
    <row r="330" customFormat="false" ht="15.75" hidden="false" customHeight="false" outlineLevel="0" collapsed="false">
      <c r="A330" s="21"/>
      <c r="B330" s="24" t="str">
        <f aca="false">IFERROR(__xludf.dummyfunction("Filter('Réponses au formulaire 1'!S:S,'Réponses au formulaire 1'!B:B=A330)"),"#REF!")</f>
        <v>#REF!</v>
      </c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/>
      <c r="BX330" s="21"/>
      <c r="BY330" s="21"/>
      <c r="BZ330" s="21"/>
    </row>
    <row r="331" customFormat="false" ht="15.75" hidden="false" customHeight="false" outlineLevel="0" collapsed="false">
      <c r="A331" s="21"/>
      <c r="B331" s="24" t="str">
        <f aca="false">IFERROR(__xludf.dummyfunction("Filter('Réponses au formulaire 1'!S:S,'Réponses au formulaire 1'!B:B=A331)"),"#REF!")</f>
        <v>#REF!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1"/>
      <c r="BQ331" s="21"/>
      <c r="BR331" s="21"/>
      <c r="BS331" s="21"/>
      <c r="BT331" s="21"/>
      <c r="BU331" s="21"/>
      <c r="BV331" s="21"/>
      <c r="BW331" s="21"/>
      <c r="BX331" s="21"/>
      <c r="BY331" s="21"/>
      <c r="BZ331" s="21"/>
    </row>
    <row r="332" customFormat="false" ht="15.75" hidden="false" customHeight="false" outlineLevel="0" collapsed="false">
      <c r="A332" s="21"/>
      <c r="B332" s="24" t="str">
        <f aca="false">IFERROR(__xludf.dummyfunction("Filter('Réponses au formulaire 1'!S:S,'Réponses au formulaire 1'!B:B=A332)"),"#REF!")</f>
        <v>#REF!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/>
      <c r="BX332" s="21"/>
      <c r="BY332" s="21"/>
      <c r="BZ332" s="21"/>
    </row>
    <row r="333" customFormat="false" ht="15.75" hidden="false" customHeight="false" outlineLevel="0" collapsed="false">
      <c r="A333" s="21"/>
      <c r="B333" s="24" t="str">
        <f aca="false">IFERROR(__xludf.dummyfunction("Filter('Réponses au formulaire 1'!S:S,'Réponses au formulaire 1'!B:B=A333)"),"#REF!")</f>
        <v>#REF!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1"/>
      <c r="BQ333" s="21"/>
      <c r="BR333" s="21"/>
      <c r="BS333" s="21"/>
      <c r="BT333" s="21"/>
      <c r="BU333" s="21"/>
      <c r="BV333" s="21"/>
      <c r="BW333" s="21"/>
      <c r="BX333" s="21"/>
      <c r="BY333" s="21"/>
      <c r="BZ333" s="21"/>
    </row>
    <row r="334" customFormat="false" ht="15.75" hidden="false" customHeight="false" outlineLevel="0" collapsed="false">
      <c r="A334" s="21"/>
      <c r="B334" s="24" t="str">
        <f aca="false">IFERROR(__xludf.dummyfunction("Filter('Réponses au formulaire 1'!S:S,'Réponses au formulaire 1'!B:B=A334)"),"#REF!")</f>
        <v>#REF!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/>
      <c r="BX334" s="21"/>
      <c r="BY334" s="21"/>
      <c r="BZ334" s="21"/>
    </row>
    <row r="335" customFormat="false" ht="15.75" hidden="false" customHeight="false" outlineLevel="0" collapsed="false">
      <c r="A335" s="21"/>
      <c r="B335" s="24" t="str">
        <f aca="false">IFERROR(__xludf.dummyfunction("Filter('Réponses au formulaire 1'!S:S,'Réponses au formulaire 1'!B:B=A335)"),"#REF!")</f>
        <v>#REF!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1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</row>
    <row r="336" customFormat="false" ht="15.75" hidden="false" customHeight="false" outlineLevel="0" collapsed="false">
      <c r="A336" s="21"/>
      <c r="B336" s="24" t="str">
        <f aca="false">IFERROR(__xludf.dummyfunction("Filter('Réponses au formulaire 1'!S:S,'Réponses au formulaire 1'!B:B=A336)"),"#REF!")</f>
        <v>#REF!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1"/>
      <c r="BQ336" s="21"/>
      <c r="BR336" s="21"/>
      <c r="BS336" s="21"/>
      <c r="BT336" s="21"/>
      <c r="BU336" s="21"/>
      <c r="BV336" s="21"/>
      <c r="BW336" s="21"/>
      <c r="BX336" s="21"/>
      <c r="BY336" s="21"/>
      <c r="BZ336" s="21"/>
    </row>
    <row r="337" customFormat="false" ht="15.75" hidden="false" customHeight="false" outlineLevel="0" collapsed="false">
      <c r="A337" s="21"/>
      <c r="B337" s="24" t="str">
        <f aca="false">IFERROR(__xludf.dummyfunction("Filter('Réponses au formulaire 1'!S:S,'Réponses au formulaire 1'!B:B=A337)"),"#REF!")</f>
        <v>#REF!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  <c r="BP337" s="21"/>
      <c r="BQ337" s="21"/>
      <c r="BR337" s="21"/>
      <c r="BS337" s="21"/>
      <c r="BT337" s="21"/>
      <c r="BU337" s="21"/>
      <c r="BV337" s="21"/>
      <c r="BW337" s="21"/>
      <c r="BX337" s="21"/>
      <c r="BY337" s="21"/>
      <c r="BZ337" s="21"/>
    </row>
    <row r="338" customFormat="false" ht="15.75" hidden="false" customHeight="false" outlineLevel="0" collapsed="false">
      <c r="A338" s="21"/>
      <c r="B338" s="24" t="str">
        <f aca="false">IFERROR(__xludf.dummyfunction("Filter('Réponses au formulaire 1'!S:S,'Réponses au formulaire 1'!B:B=A338)"),"#REF!")</f>
        <v>#REF!</v>
      </c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1"/>
      <c r="BQ338" s="21"/>
      <c r="BR338" s="21"/>
      <c r="BS338" s="21"/>
      <c r="BT338" s="21"/>
      <c r="BU338" s="21"/>
      <c r="BV338" s="21"/>
      <c r="BW338" s="21"/>
      <c r="BX338" s="21"/>
      <c r="BY338" s="21"/>
      <c r="BZ338" s="21"/>
    </row>
    <row r="339" customFormat="false" ht="15.75" hidden="false" customHeight="false" outlineLevel="0" collapsed="false">
      <c r="A339" s="21"/>
      <c r="B339" s="24" t="str">
        <f aca="false">IFERROR(__xludf.dummyfunction("Filter('Réponses au formulaire 1'!S:S,'Réponses au formulaire 1'!B:B=A339)"),"#REF!")</f>
        <v>#REF!</v>
      </c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1"/>
      <c r="BQ339" s="21"/>
      <c r="BR339" s="21"/>
      <c r="BS339" s="21"/>
      <c r="BT339" s="21"/>
      <c r="BU339" s="21"/>
      <c r="BV339" s="21"/>
      <c r="BW339" s="21"/>
      <c r="BX339" s="21"/>
      <c r="BY339" s="21"/>
      <c r="BZ339" s="21"/>
    </row>
    <row r="340" customFormat="false" ht="15.75" hidden="false" customHeight="false" outlineLevel="0" collapsed="false">
      <c r="A340" s="21"/>
      <c r="B340" s="24" t="str">
        <f aca="false">IFERROR(__xludf.dummyfunction("Filter('Réponses au formulaire 1'!S:S,'Réponses au formulaire 1'!B:B=A340)"),"#REF!")</f>
        <v>#REF!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  <c r="BP340" s="21"/>
      <c r="BQ340" s="21"/>
      <c r="BR340" s="21"/>
      <c r="BS340" s="21"/>
      <c r="BT340" s="21"/>
      <c r="BU340" s="21"/>
      <c r="BV340" s="21"/>
      <c r="BW340" s="21"/>
      <c r="BX340" s="21"/>
      <c r="BY340" s="21"/>
      <c r="BZ340" s="21"/>
    </row>
    <row r="341" customFormat="false" ht="15.75" hidden="false" customHeight="false" outlineLevel="0" collapsed="false">
      <c r="A341" s="21"/>
      <c r="B341" s="24" t="str">
        <f aca="false">IFERROR(__xludf.dummyfunction("Filter('Réponses au formulaire 1'!S:S,'Réponses au formulaire 1'!B:B=A341)"),"#REF!")</f>
        <v>#REF!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  <c r="BP341" s="21"/>
      <c r="BQ341" s="21"/>
      <c r="BR341" s="21"/>
      <c r="BS341" s="21"/>
      <c r="BT341" s="21"/>
      <c r="BU341" s="21"/>
      <c r="BV341" s="21"/>
      <c r="BW341" s="21"/>
      <c r="BX341" s="21"/>
      <c r="BY341" s="21"/>
      <c r="BZ341" s="21"/>
    </row>
    <row r="342" customFormat="false" ht="15.75" hidden="false" customHeight="false" outlineLevel="0" collapsed="false">
      <c r="A342" s="21"/>
      <c r="B342" s="24" t="str">
        <f aca="false">IFERROR(__xludf.dummyfunction("Filter('Réponses au formulaire 1'!S:S,'Réponses au formulaire 1'!B:B=A342)"),"#REF!")</f>
        <v>#REF!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1"/>
      <c r="BQ342" s="21"/>
      <c r="BR342" s="21"/>
      <c r="BS342" s="21"/>
      <c r="BT342" s="21"/>
      <c r="BU342" s="21"/>
      <c r="BV342" s="21"/>
      <c r="BW342" s="21"/>
      <c r="BX342" s="21"/>
      <c r="BY342" s="21"/>
      <c r="BZ342" s="21"/>
    </row>
    <row r="343" customFormat="false" ht="15.75" hidden="false" customHeight="false" outlineLevel="0" collapsed="false">
      <c r="A343" s="21"/>
      <c r="B343" s="24" t="str">
        <f aca="false">IFERROR(__xludf.dummyfunction("Filter('Réponses au formulaire 1'!S:S,'Réponses au formulaire 1'!B:B=A343)"),"#REF!")</f>
        <v>#REF!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1"/>
      <c r="BQ343" s="21"/>
      <c r="BR343" s="21"/>
      <c r="BS343" s="21"/>
      <c r="BT343" s="21"/>
      <c r="BU343" s="21"/>
      <c r="BV343" s="21"/>
      <c r="BW343" s="21"/>
      <c r="BX343" s="21"/>
      <c r="BY343" s="21"/>
      <c r="BZ343" s="21"/>
    </row>
    <row r="344" customFormat="false" ht="15.75" hidden="false" customHeight="false" outlineLevel="0" collapsed="false">
      <c r="A344" s="21"/>
      <c r="B344" s="24" t="str">
        <f aca="false">IFERROR(__xludf.dummyfunction("Filter('Réponses au formulaire 1'!S:S,'Réponses au formulaire 1'!B:B=A344)"),"#REF!")</f>
        <v>#REF!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  <c r="BP344" s="21"/>
      <c r="BQ344" s="21"/>
      <c r="BR344" s="21"/>
      <c r="BS344" s="21"/>
      <c r="BT344" s="21"/>
      <c r="BU344" s="21"/>
      <c r="BV344" s="21"/>
      <c r="BW344" s="21"/>
      <c r="BX344" s="21"/>
      <c r="BY344" s="21"/>
      <c r="BZ344" s="21"/>
    </row>
    <row r="345" customFormat="false" ht="15.75" hidden="false" customHeight="false" outlineLevel="0" collapsed="false">
      <c r="A345" s="21"/>
      <c r="B345" s="24" t="str">
        <f aca="false">IFERROR(__xludf.dummyfunction("Filter('Réponses au formulaire 1'!S:S,'Réponses au formulaire 1'!B:B=A345)"),"#REF!")</f>
        <v>#REF!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  <c r="BP345" s="21"/>
      <c r="BQ345" s="21"/>
      <c r="BR345" s="21"/>
      <c r="BS345" s="21"/>
      <c r="BT345" s="21"/>
      <c r="BU345" s="21"/>
      <c r="BV345" s="21"/>
      <c r="BW345" s="21"/>
      <c r="BX345" s="21"/>
      <c r="BY345" s="21"/>
      <c r="BZ345" s="21"/>
    </row>
    <row r="346" customFormat="false" ht="15.75" hidden="false" customHeight="false" outlineLevel="0" collapsed="false">
      <c r="A346" s="21"/>
      <c r="B346" s="24" t="str">
        <f aca="false">IFERROR(__xludf.dummyfunction("Filter('Réponses au formulaire 1'!S:S,'Réponses au formulaire 1'!B:B=A346)"),"#REF!")</f>
        <v>#REF!</v>
      </c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  <c r="BP346" s="21"/>
      <c r="BQ346" s="21"/>
      <c r="BR346" s="21"/>
      <c r="BS346" s="21"/>
      <c r="BT346" s="21"/>
      <c r="BU346" s="21"/>
      <c r="BV346" s="21"/>
      <c r="BW346" s="21"/>
      <c r="BX346" s="21"/>
      <c r="BY346" s="21"/>
      <c r="BZ346" s="21"/>
    </row>
    <row r="347" customFormat="false" ht="15.75" hidden="false" customHeight="false" outlineLevel="0" collapsed="false">
      <c r="A347" s="21"/>
      <c r="B347" s="24" t="str">
        <f aca="false">IFERROR(__xludf.dummyfunction("Filter('Réponses au formulaire 1'!S:S,'Réponses au formulaire 1'!B:B=A347)"),"#REF!")</f>
        <v>#REF!</v>
      </c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  <c r="BL347" s="21"/>
      <c r="BM347" s="21"/>
      <c r="BN347" s="21"/>
      <c r="BO347" s="21"/>
      <c r="BP347" s="21"/>
      <c r="BQ347" s="21"/>
      <c r="BR347" s="21"/>
      <c r="BS347" s="21"/>
      <c r="BT347" s="21"/>
      <c r="BU347" s="21"/>
      <c r="BV347" s="21"/>
      <c r="BW347" s="21"/>
      <c r="BX347" s="21"/>
      <c r="BY347" s="21"/>
      <c r="BZ347" s="21"/>
    </row>
    <row r="348" customFormat="false" ht="15.75" hidden="false" customHeight="false" outlineLevel="0" collapsed="false">
      <c r="A348" s="21"/>
      <c r="B348" s="24" t="str">
        <f aca="false">IFERROR(__xludf.dummyfunction("Filter('Réponses au formulaire 1'!S:S,'Réponses au formulaire 1'!B:B=A348)"),"#REF!")</f>
        <v>#REF!</v>
      </c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  <c r="BP348" s="21"/>
      <c r="BQ348" s="21"/>
      <c r="BR348" s="21"/>
      <c r="BS348" s="21"/>
      <c r="BT348" s="21"/>
      <c r="BU348" s="21"/>
      <c r="BV348" s="21"/>
      <c r="BW348" s="21"/>
      <c r="BX348" s="21"/>
      <c r="BY348" s="21"/>
      <c r="BZ348" s="21"/>
    </row>
    <row r="349" customFormat="false" ht="15.75" hidden="false" customHeight="false" outlineLevel="0" collapsed="false">
      <c r="A349" s="21"/>
      <c r="B349" s="24" t="str">
        <f aca="false">IFERROR(__xludf.dummyfunction("Filter('Réponses au formulaire 1'!S:S,'Réponses au formulaire 1'!B:B=A349)"),"#REF!")</f>
        <v>#REF!</v>
      </c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  <c r="BP349" s="21"/>
      <c r="BQ349" s="21"/>
      <c r="BR349" s="21"/>
      <c r="BS349" s="21"/>
      <c r="BT349" s="21"/>
      <c r="BU349" s="21"/>
      <c r="BV349" s="21"/>
      <c r="BW349" s="21"/>
      <c r="BX349" s="21"/>
      <c r="BY349" s="21"/>
      <c r="BZ349" s="21"/>
    </row>
    <row r="350" customFormat="false" ht="15.75" hidden="false" customHeight="false" outlineLevel="0" collapsed="false">
      <c r="A350" s="21"/>
      <c r="B350" s="24" t="str">
        <f aca="false">IFERROR(__xludf.dummyfunction("Filter('Réponses au formulaire 1'!S:S,'Réponses au formulaire 1'!B:B=A350)"),"#REF!")</f>
        <v>#REF!</v>
      </c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1"/>
      <c r="BL350" s="21"/>
      <c r="BM350" s="21"/>
      <c r="BN350" s="21"/>
      <c r="BO350" s="21"/>
      <c r="BP350" s="21"/>
      <c r="BQ350" s="21"/>
      <c r="BR350" s="21"/>
      <c r="BS350" s="21"/>
      <c r="BT350" s="21"/>
      <c r="BU350" s="21"/>
      <c r="BV350" s="21"/>
      <c r="BW350" s="21"/>
      <c r="BX350" s="21"/>
      <c r="BY350" s="21"/>
      <c r="BZ350" s="21"/>
    </row>
    <row r="351" customFormat="false" ht="15.75" hidden="false" customHeight="false" outlineLevel="0" collapsed="false">
      <c r="A351" s="21"/>
      <c r="B351" s="24" t="str">
        <f aca="false">IFERROR(__xludf.dummyfunction("Filter('Réponses au formulaire 1'!S:S,'Réponses au formulaire 1'!B:B=A351)"),"#REF!")</f>
        <v>#REF!</v>
      </c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  <c r="BL351" s="21"/>
      <c r="BM351" s="21"/>
      <c r="BN351" s="21"/>
      <c r="BO351" s="21"/>
      <c r="BP351" s="21"/>
      <c r="BQ351" s="21"/>
      <c r="BR351" s="21"/>
      <c r="BS351" s="21"/>
      <c r="BT351" s="21"/>
      <c r="BU351" s="21"/>
      <c r="BV351" s="21"/>
      <c r="BW351" s="21"/>
      <c r="BX351" s="21"/>
      <c r="BY351" s="21"/>
      <c r="BZ351" s="21"/>
    </row>
    <row r="352" customFormat="false" ht="15.75" hidden="false" customHeight="false" outlineLevel="0" collapsed="false">
      <c r="A352" s="21"/>
      <c r="B352" s="24" t="str">
        <f aca="false">IFERROR(__xludf.dummyfunction("Filter('Réponses au formulaire 1'!S:S,'Réponses au formulaire 1'!B:B=A352)"),"#REF!")</f>
        <v>#REF!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  <c r="BP352" s="21"/>
      <c r="BQ352" s="21"/>
      <c r="BR352" s="21"/>
      <c r="BS352" s="21"/>
      <c r="BT352" s="21"/>
      <c r="BU352" s="21"/>
      <c r="BV352" s="21"/>
      <c r="BW352" s="21"/>
      <c r="BX352" s="21"/>
      <c r="BY352" s="21"/>
      <c r="BZ352" s="21"/>
    </row>
    <row r="353" customFormat="false" ht="15.75" hidden="false" customHeight="false" outlineLevel="0" collapsed="false">
      <c r="A353" s="21"/>
      <c r="B353" s="24" t="str">
        <f aca="false">IFERROR(__xludf.dummyfunction("Filter('Réponses au formulaire 1'!S:S,'Réponses au formulaire 1'!B:B=A353)"),"#REF!")</f>
        <v>#REF!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  <c r="BP353" s="21"/>
      <c r="BQ353" s="21"/>
      <c r="BR353" s="21"/>
      <c r="BS353" s="21"/>
      <c r="BT353" s="21"/>
      <c r="BU353" s="21"/>
      <c r="BV353" s="21"/>
      <c r="BW353" s="21"/>
      <c r="BX353" s="21"/>
      <c r="BY353" s="21"/>
      <c r="BZ353" s="21"/>
    </row>
    <row r="354" customFormat="false" ht="15.75" hidden="false" customHeight="false" outlineLevel="0" collapsed="false">
      <c r="A354" s="21"/>
      <c r="B354" s="24" t="str">
        <f aca="false">IFERROR(__xludf.dummyfunction("Filter('Réponses au formulaire 1'!S:S,'Réponses au formulaire 1'!B:B=A354)"),"#REF!")</f>
        <v>#REF!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  <c r="BP354" s="21"/>
      <c r="BQ354" s="21"/>
      <c r="BR354" s="21"/>
      <c r="BS354" s="21"/>
      <c r="BT354" s="21"/>
      <c r="BU354" s="21"/>
      <c r="BV354" s="21"/>
      <c r="BW354" s="21"/>
      <c r="BX354" s="21"/>
      <c r="BY354" s="21"/>
      <c r="BZ354" s="21"/>
    </row>
    <row r="355" customFormat="false" ht="15.75" hidden="false" customHeight="false" outlineLevel="0" collapsed="false">
      <c r="A355" s="21"/>
      <c r="B355" s="24" t="str">
        <f aca="false">IFERROR(__xludf.dummyfunction("Filter('Réponses au formulaire 1'!S:S,'Réponses au formulaire 1'!B:B=A355)"),"#REF!")</f>
        <v>#REF!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  <c r="BP355" s="21"/>
      <c r="BQ355" s="21"/>
      <c r="BR355" s="21"/>
      <c r="BS355" s="21"/>
      <c r="BT355" s="21"/>
      <c r="BU355" s="21"/>
      <c r="BV355" s="21"/>
      <c r="BW355" s="21"/>
      <c r="BX355" s="21"/>
      <c r="BY355" s="21"/>
      <c r="BZ355" s="21"/>
    </row>
    <row r="356" customFormat="false" ht="15.75" hidden="false" customHeight="false" outlineLevel="0" collapsed="false">
      <c r="A356" s="21"/>
      <c r="B356" s="24" t="str">
        <f aca="false">IFERROR(__xludf.dummyfunction("Filter('Réponses au formulaire 1'!S:S,'Réponses au formulaire 1'!B:B=A356)"),"#REF!")</f>
        <v>#REF!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1"/>
      <c r="BQ356" s="21"/>
      <c r="BR356" s="21"/>
      <c r="BS356" s="21"/>
      <c r="BT356" s="21"/>
      <c r="BU356" s="21"/>
      <c r="BV356" s="21"/>
      <c r="BW356" s="21"/>
      <c r="BX356" s="21"/>
      <c r="BY356" s="21"/>
      <c r="BZ356" s="21"/>
    </row>
    <row r="357" customFormat="false" ht="15.75" hidden="false" customHeight="false" outlineLevel="0" collapsed="false">
      <c r="A357" s="21"/>
      <c r="B357" s="24" t="str">
        <f aca="false">IFERROR(__xludf.dummyfunction("Filter('Réponses au formulaire 1'!S:S,'Réponses au formulaire 1'!B:B=A357)"),"#REF!")</f>
        <v>#REF!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  <c r="BP357" s="21"/>
      <c r="BQ357" s="21"/>
      <c r="BR357" s="21"/>
      <c r="BS357" s="21"/>
      <c r="BT357" s="21"/>
      <c r="BU357" s="21"/>
      <c r="BV357" s="21"/>
      <c r="BW357" s="21"/>
      <c r="BX357" s="21"/>
      <c r="BY357" s="21"/>
      <c r="BZ357" s="21"/>
    </row>
    <row r="358" customFormat="false" ht="15.75" hidden="false" customHeight="false" outlineLevel="0" collapsed="false">
      <c r="A358" s="21"/>
      <c r="B358" s="24" t="str">
        <f aca="false">IFERROR(__xludf.dummyfunction("Filter('Réponses au formulaire 1'!S:S,'Réponses au formulaire 1'!B:B=A358)"),"#REF!")</f>
        <v>#REF!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  <c r="BP358" s="21"/>
      <c r="BQ358" s="21"/>
      <c r="BR358" s="21"/>
      <c r="BS358" s="21"/>
      <c r="BT358" s="21"/>
      <c r="BU358" s="21"/>
      <c r="BV358" s="21"/>
      <c r="BW358" s="21"/>
      <c r="BX358" s="21"/>
      <c r="BY358" s="21"/>
      <c r="BZ358" s="21"/>
    </row>
    <row r="359" customFormat="false" ht="15.75" hidden="false" customHeight="false" outlineLevel="0" collapsed="false">
      <c r="A359" s="21"/>
      <c r="B359" s="24" t="str">
        <f aca="false">IFERROR(__xludf.dummyfunction("Filter('Réponses au formulaire 1'!S:S,'Réponses au formulaire 1'!B:B=A359)"),"#REF!")</f>
        <v>#REF!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</row>
    <row r="360" customFormat="false" ht="15.75" hidden="false" customHeight="false" outlineLevel="0" collapsed="false">
      <c r="A360" s="21"/>
      <c r="B360" s="24" t="str">
        <f aca="false">IFERROR(__xludf.dummyfunction("Filter('Réponses au formulaire 1'!S:S,'Réponses au formulaire 1'!B:B=A360)"),"#REF!")</f>
        <v>#REF!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  <c r="BP360" s="21"/>
      <c r="BQ360" s="21"/>
      <c r="BR360" s="21"/>
      <c r="BS360" s="21"/>
      <c r="BT360" s="21"/>
      <c r="BU360" s="21"/>
      <c r="BV360" s="21"/>
      <c r="BW360" s="21"/>
      <c r="BX360" s="21"/>
      <c r="BY360" s="21"/>
      <c r="BZ360" s="21"/>
    </row>
    <row r="361" customFormat="false" ht="15.75" hidden="false" customHeight="false" outlineLevel="0" collapsed="false">
      <c r="A361" s="21"/>
      <c r="B361" s="24" t="str">
        <f aca="false">IFERROR(__xludf.dummyfunction("Filter('Réponses au formulaire 1'!S:S,'Réponses au formulaire 1'!B:B=A361)"),"#REF!")</f>
        <v>#REF!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  <c r="BL361" s="21"/>
      <c r="BM361" s="21"/>
      <c r="BN361" s="21"/>
      <c r="BO361" s="21"/>
      <c r="BP361" s="21"/>
      <c r="BQ361" s="21"/>
      <c r="BR361" s="21"/>
      <c r="BS361" s="21"/>
      <c r="BT361" s="21"/>
      <c r="BU361" s="21"/>
      <c r="BV361" s="21"/>
      <c r="BW361" s="21"/>
      <c r="BX361" s="21"/>
      <c r="BY361" s="21"/>
      <c r="BZ361" s="21"/>
    </row>
    <row r="362" customFormat="false" ht="15.75" hidden="false" customHeight="false" outlineLevel="0" collapsed="false">
      <c r="A362" s="21"/>
      <c r="B362" s="24" t="str">
        <f aca="false">IFERROR(__xludf.dummyfunction("Filter('Réponses au formulaire 1'!S:S,'Réponses au formulaire 1'!B:B=A362)"),"#REF!")</f>
        <v>#REF!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  <c r="BP362" s="21"/>
      <c r="BQ362" s="21"/>
      <c r="BR362" s="21"/>
      <c r="BS362" s="21"/>
      <c r="BT362" s="21"/>
      <c r="BU362" s="21"/>
      <c r="BV362" s="21"/>
      <c r="BW362" s="21"/>
      <c r="BX362" s="21"/>
      <c r="BY362" s="21"/>
      <c r="BZ362" s="21"/>
    </row>
    <row r="363" customFormat="false" ht="15.75" hidden="false" customHeight="false" outlineLevel="0" collapsed="false">
      <c r="A363" s="21"/>
      <c r="B363" s="24" t="str">
        <f aca="false">IFERROR(__xludf.dummyfunction("Filter('Réponses au formulaire 1'!S:S,'Réponses au formulaire 1'!B:B=A363)"),"#REF!")</f>
        <v>#REF!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  <c r="BP363" s="21"/>
      <c r="BQ363" s="21"/>
      <c r="BR363" s="21"/>
      <c r="BS363" s="21"/>
      <c r="BT363" s="21"/>
      <c r="BU363" s="21"/>
      <c r="BV363" s="21"/>
      <c r="BW363" s="21"/>
      <c r="BX363" s="21"/>
      <c r="BY363" s="21"/>
      <c r="BZ363" s="21"/>
    </row>
    <row r="364" customFormat="false" ht="15.75" hidden="false" customHeight="false" outlineLevel="0" collapsed="false">
      <c r="A364" s="21"/>
      <c r="B364" s="24" t="str">
        <f aca="false">IFERROR(__xludf.dummyfunction("Filter('Réponses au formulaire 1'!S:S,'Réponses au formulaire 1'!B:B=A364)"),"#REF!")</f>
        <v>#REF!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  <c r="BP364" s="21"/>
      <c r="BQ364" s="21"/>
      <c r="BR364" s="21"/>
      <c r="BS364" s="21"/>
      <c r="BT364" s="21"/>
      <c r="BU364" s="21"/>
      <c r="BV364" s="21"/>
      <c r="BW364" s="21"/>
      <c r="BX364" s="21"/>
      <c r="BY364" s="21"/>
      <c r="BZ364" s="21"/>
    </row>
    <row r="365" customFormat="false" ht="15.75" hidden="false" customHeight="false" outlineLevel="0" collapsed="false">
      <c r="A365" s="21"/>
      <c r="B365" s="24" t="str">
        <f aca="false">IFERROR(__xludf.dummyfunction("Filter('Réponses au formulaire 1'!S:S,'Réponses au formulaire 1'!B:B=A365)"),"#REF!")</f>
        <v>#REF!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  <c r="BP365" s="21"/>
      <c r="BQ365" s="21"/>
      <c r="BR365" s="21"/>
      <c r="BS365" s="21"/>
      <c r="BT365" s="21"/>
      <c r="BU365" s="21"/>
      <c r="BV365" s="21"/>
      <c r="BW365" s="21"/>
      <c r="BX365" s="21"/>
      <c r="BY365" s="21"/>
      <c r="BZ365" s="21"/>
    </row>
    <row r="366" customFormat="false" ht="15.75" hidden="false" customHeight="false" outlineLevel="0" collapsed="false">
      <c r="A366" s="21"/>
      <c r="B366" s="24" t="str">
        <f aca="false">IFERROR(__xludf.dummyfunction("Filter('Réponses au formulaire 1'!S:S,'Réponses au formulaire 1'!B:B=A366)"),"#REF!")</f>
        <v>#REF!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  <c r="BP366" s="21"/>
      <c r="BQ366" s="21"/>
      <c r="BR366" s="21"/>
      <c r="BS366" s="21"/>
      <c r="BT366" s="21"/>
      <c r="BU366" s="21"/>
      <c r="BV366" s="21"/>
      <c r="BW366" s="21"/>
      <c r="BX366" s="21"/>
      <c r="BY366" s="21"/>
      <c r="BZ366" s="21"/>
    </row>
    <row r="367" customFormat="false" ht="15.75" hidden="false" customHeight="false" outlineLevel="0" collapsed="false">
      <c r="A367" s="21"/>
      <c r="B367" s="24" t="str">
        <f aca="false">IFERROR(__xludf.dummyfunction("Filter('Réponses au formulaire 1'!S:S,'Réponses au formulaire 1'!B:B=A367)"),"#REF!")</f>
        <v>#REF!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  <c r="BP367" s="21"/>
      <c r="BQ367" s="21"/>
      <c r="BR367" s="21"/>
      <c r="BS367" s="21"/>
      <c r="BT367" s="21"/>
      <c r="BU367" s="21"/>
      <c r="BV367" s="21"/>
      <c r="BW367" s="21"/>
      <c r="BX367" s="21"/>
      <c r="BY367" s="21"/>
      <c r="BZ367" s="21"/>
    </row>
    <row r="368" customFormat="false" ht="15.75" hidden="false" customHeight="false" outlineLevel="0" collapsed="false">
      <c r="A368" s="21"/>
      <c r="B368" s="24" t="str">
        <f aca="false">IFERROR(__xludf.dummyfunction("Filter('Réponses au formulaire 1'!S:S,'Réponses au formulaire 1'!B:B=A368)"),"#REF!")</f>
        <v>#REF!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1"/>
      <c r="BQ368" s="21"/>
      <c r="BR368" s="21"/>
      <c r="BS368" s="21"/>
      <c r="BT368" s="21"/>
      <c r="BU368" s="21"/>
      <c r="BV368" s="21"/>
      <c r="BW368" s="21"/>
      <c r="BX368" s="21"/>
      <c r="BY368" s="21"/>
      <c r="BZ368" s="21"/>
    </row>
    <row r="369" customFormat="false" ht="15.75" hidden="false" customHeight="false" outlineLevel="0" collapsed="false">
      <c r="A369" s="21"/>
      <c r="B369" s="24" t="str">
        <f aca="false">IFERROR(__xludf.dummyfunction("Filter('Réponses au formulaire 1'!S:S,'Réponses au formulaire 1'!B:B=A369)"),"#REF!")</f>
        <v>#REF!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  <c r="BP369" s="21"/>
      <c r="BQ369" s="21"/>
      <c r="BR369" s="21"/>
      <c r="BS369" s="21"/>
      <c r="BT369" s="21"/>
      <c r="BU369" s="21"/>
      <c r="BV369" s="21"/>
      <c r="BW369" s="21"/>
      <c r="BX369" s="21"/>
      <c r="BY369" s="21"/>
      <c r="BZ369" s="21"/>
    </row>
    <row r="370" customFormat="false" ht="15.75" hidden="false" customHeight="false" outlineLevel="0" collapsed="false">
      <c r="A370" s="21"/>
      <c r="B370" s="24" t="str">
        <f aca="false">IFERROR(__xludf.dummyfunction("Filter('Réponses au formulaire 1'!S:S,'Réponses au formulaire 1'!B:B=A370)"),"#REF!")</f>
        <v>#REF!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1"/>
      <c r="BQ370" s="21"/>
      <c r="BR370" s="21"/>
      <c r="BS370" s="21"/>
      <c r="BT370" s="21"/>
      <c r="BU370" s="21"/>
      <c r="BV370" s="21"/>
      <c r="BW370" s="21"/>
      <c r="BX370" s="21"/>
      <c r="BY370" s="21"/>
      <c r="BZ370" s="21"/>
    </row>
    <row r="371" customFormat="false" ht="15.75" hidden="false" customHeight="false" outlineLevel="0" collapsed="false">
      <c r="A371" s="21"/>
      <c r="B371" s="24" t="str">
        <f aca="false">IFERROR(__xludf.dummyfunction("Filter('Réponses au formulaire 1'!S:S,'Réponses au formulaire 1'!B:B=A371)"),"#REF!")</f>
        <v>#REF!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  <c r="BP371" s="21"/>
      <c r="BQ371" s="21"/>
      <c r="BR371" s="21"/>
      <c r="BS371" s="21"/>
      <c r="BT371" s="21"/>
      <c r="BU371" s="21"/>
      <c r="BV371" s="21"/>
      <c r="BW371" s="21"/>
      <c r="BX371" s="21"/>
      <c r="BY371" s="21"/>
      <c r="BZ371" s="21"/>
    </row>
    <row r="372" customFormat="false" ht="15.75" hidden="false" customHeight="false" outlineLevel="0" collapsed="false">
      <c r="A372" s="21"/>
      <c r="B372" s="24" t="str">
        <f aca="false">IFERROR(__xludf.dummyfunction("Filter('Réponses au formulaire 1'!S:S,'Réponses au formulaire 1'!B:B=A372)"),"#REF!")</f>
        <v>#REF!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1"/>
      <c r="BQ372" s="21"/>
      <c r="BR372" s="21"/>
      <c r="BS372" s="21"/>
      <c r="BT372" s="21"/>
      <c r="BU372" s="21"/>
      <c r="BV372" s="21"/>
      <c r="BW372" s="21"/>
      <c r="BX372" s="21"/>
      <c r="BY372" s="21"/>
      <c r="BZ372" s="21"/>
    </row>
    <row r="373" customFormat="false" ht="15.75" hidden="false" customHeight="false" outlineLevel="0" collapsed="false">
      <c r="A373" s="21"/>
      <c r="B373" s="24" t="str">
        <f aca="false">IFERROR(__xludf.dummyfunction("Filter('Réponses au formulaire 1'!S:S,'Réponses au formulaire 1'!B:B=A373)"),"#REF!")</f>
        <v>#REF!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1"/>
      <c r="BQ373" s="21"/>
      <c r="BR373" s="21"/>
      <c r="BS373" s="21"/>
      <c r="BT373" s="21"/>
      <c r="BU373" s="21"/>
      <c r="BV373" s="21"/>
      <c r="BW373" s="21"/>
      <c r="BX373" s="21"/>
      <c r="BY373" s="21"/>
      <c r="BZ373" s="21"/>
    </row>
    <row r="374" customFormat="false" ht="15.75" hidden="false" customHeight="false" outlineLevel="0" collapsed="false">
      <c r="A374" s="21"/>
      <c r="B374" s="24" t="str">
        <f aca="false">IFERROR(__xludf.dummyfunction("Filter('Réponses au formulaire 1'!S:S,'Réponses au formulaire 1'!B:B=A374)"),"#REF!")</f>
        <v>#REF!</v>
      </c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  <c r="BP374" s="21"/>
      <c r="BQ374" s="21"/>
      <c r="BR374" s="21"/>
      <c r="BS374" s="21"/>
      <c r="BT374" s="21"/>
      <c r="BU374" s="21"/>
      <c r="BV374" s="21"/>
      <c r="BW374" s="21"/>
      <c r="BX374" s="21"/>
      <c r="BY374" s="21"/>
      <c r="BZ374" s="21"/>
    </row>
    <row r="375" customFormat="false" ht="15.75" hidden="false" customHeight="false" outlineLevel="0" collapsed="false">
      <c r="A375" s="21"/>
      <c r="B375" s="24" t="str">
        <f aca="false">IFERROR(__xludf.dummyfunction("Filter('Réponses au formulaire 1'!S:S,'Réponses au formulaire 1'!B:B=A375)"),"#REF!")</f>
        <v>#REF!</v>
      </c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1"/>
      <c r="BQ375" s="21"/>
      <c r="BR375" s="21"/>
      <c r="BS375" s="21"/>
      <c r="BT375" s="21"/>
      <c r="BU375" s="21"/>
      <c r="BV375" s="21"/>
      <c r="BW375" s="21"/>
      <c r="BX375" s="21"/>
      <c r="BY375" s="21"/>
      <c r="BZ375" s="21"/>
    </row>
    <row r="376" customFormat="false" ht="15.75" hidden="false" customHeight="false" outlineLevel="0" collapsed="false">
      <c r="A376" s="21"/>
      <c r="B376" s="24" t="str">
        <f aca="false">IFERROR(__xludf.dummyfunction("Filter('Réponses au formulaire 1'!S:S,'Réponses au formulaire 1'!B:B=A376)"),"#REF!")</f>
        <v>#REF!</v>
      </c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1"/>
      <c r="BQ376" s="21"/>
      <c r="BR376" s="21"/>
      <c r="BS376" s="21"/>
      <c r="BT376" s="21"/>
      <c r="BU376" s="21"/>
      <c r="BV376" s="21"/>
      <c r="BW376" s="21"/>
      <c r="BX376" s="21"/>
      <c r="BY376" s="21"/>
      <c r="BZ376" s="21"/>
    </row>
    <row r="377" customFormat="false" ht="15.75" hidden="false" customHeight="false" outlineLevel="0" collapsed="false">
      <c r="A377" s="21"/>
      <c r="B377" s="24" t="str">
        <f aca="false">IFERROR(__xludf.dummyfunction("Filter('Réponses au formulaire 1'!S:S,'Réponses au formulaire 1'!B:B=A377)"),"#REF!")</f>
        <v>#REF!</v>
      </c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  <c r="BP377" s="21"/>
      <c r="BQ377" s="21"/>
      <c r="BR377" s="21"/>
      <c r="BS377" s="21"/>
      <c r="BT377" s="21"/>
      <c r="BU377" s="21"/>
      <c r="BV377" s="21"/>
      <c r="BW377" s="21"/>
      <c r="BX377" s="21"/>
      <c r="BY377" s="21"/>
      <c r="BZ377" s="21"/>
    </row>
    <row r="378" customFormat="false" ht="15.75" hidden="false" customHeight="false" outlineLevel="0" collapsed="false">
      <c r="A378" s="21"/>
      <c r="B378" s="24" t="str">
        <f aca="false">IFERROR(__xludf.dummyfunction("Filter('Réponses au formulaire 1'!S:S,'Réponses au formulaire 1'!B:B=A378)"),"#REF!")</f>
        <v>#REF!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1"/>
      <c r="BQ378" s="21"/>
      <c r="BR378" s="21"/>
      <c r="BS378" s="21"/>
      <c r="BT378" s="21"/>
      <c r="BU378" s="21"/>
      <c r="BV378" s="21"/>
      <c r="BW378" s="21"/>
      <c r="BX378" s="21"/>
      <c r="BY378" s="21"/>
      <c r="BZ378" s="21"/>
    </row>
    <row r="379" customFormat="false" ht="15.75" hidden="false" customHeight="false" outlineLevel="0" collapsed="false">
      <c r="A379" s="21"/>
      <c r="B379" s="24" t="str">
        <f aca="false">IFERROR(__xludf.dummyfunction("Filter('Réponses au formulaire 1'!S:S,'Réponses au formulaire 1'!B:B=A379)"),"#REF!")</f>
        <v>#REF!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1"/>
      <c r="BQ379" s="21"/>
      <c r="BR379" s="21"/>
      <c r="BS379" s="21"/>
      <c r="BT379" s="21"/>
      <c r="BU379" s="21"/>
      <c r="BV379" s="21"/>
      <c r="BW379" s="21"/>
      <c r="BX379" s="21"/>
      <c r="BY379" s="21"/>
      <c r="BZ379" s="21"/>
    </row>
    <row r="380" customFormat="false" ht="15.75" hidden="false" customHeight="false" outlineLevel="0" collapsed="false">
      <c r="A380" s="21"/>
      <c r="B380" s="24" t="str">
        <f aca="false">IFERROR(__xludf.dummyfunction("Filter('Réponses au formulaire 1'!S:S,'Réponses au formulaire 1'!B:B=A380)"),"#REF!")</f>
        <v>#REF!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1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</row>
    <row r="381" customFormat="false" ht="15.75" hidden="false" customHeight="false" outlineLevel="0" collapsed="false">
      <c r="A381" s="21"/>
      <c r="B381" s="24" t="str">
        <f aca="false">IFERROR(__xludf.dummyfunction("Filter('Réponses au formulaire 1'!S:S,'Réponses au formulaire 1'!B:B=A381)"),"#REF!")</f>
        <v>#REF!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1"/>
      <c r="BZ381" s="21"/>
    </row>
    <row r="382" customFormat="false" ht="15.75" hidden="false" customHeight="false" outlineLevel="0" collapsed="false">
      <c r="A382" s="21"/>
      <c r="B382" s="24" t="str">
        <f aca="false">IFERROR(__xludf.dummyfunction("Filter('Réponses au formulaire 1'!S:S,'Réponses au formulaire 1'!B:B=A382)"),"#REF!")</f>
        <v>#REF!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</row>
    <row r="383" customFormat="false" ht="15.75" hidden="false" customHeight="false" outlineLevel="0" collapsed="false">
      <c r="A383" s="21"/>
      <c r="B383" s="24" t="str">
        <f aca="false">IFERROR(__xludf.dummyfunction("Filter('Réponses au formulaire 1'!S:S,'Réponses au formulaire 1'!B:B=A383)"),"#REF!")</f>
        <v>#REF!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1"/>
      <c r="BQ383" s="21"/>
      <c r="BR383" s="21"/>
      <c r="BS383" s="21"/>
      <c r="BT383" s="21"/>
      <c r="BU383" s="21"/>
      <c r="BV383" s="21"/>
      <c r="BW383" s="21"/>
      <c r="BX383" s="21"/>
      <c r="BY383" s="21"/>
      <c r="BZ383" s="21"/>
    </row>
    <row r="384" customFormat="false" ht="15.75" hidden="false" customHeight="false" outlineLevel="0" collapsed="false">
      <c r="A384" s="21"/>
      <c r="B384" s="24" t="str">
        <f aca="false">IFERROR(__xludf.dummyfunction("Filter('Réponses au formulaire 1'!S:S,'Réponses au formulaire 1'!B:B=A384)"),"#REF!")</f>
        <v>#REF!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</row>
    <row r="385" customFormat="false" ht="15.75" hidden="false" customHeight="false" outlineLevel="0" collapsed="false">
      <c r="A385" s="21"/>
      <c r="B385" s="24" t="str">
        <f aca="false">IFERROR(__xludf.dummyfunction("Filter('Réponses au formulaire 1'!S:S,'Réponses au formulaire 1'!B:B=A385)"),"#REF!")</f>
        <v>#REF!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1"/>
      <c r="BQ385" s="21"/>
      <c r="BR385" s="21"/>
      <c r="BS385" s="21"/>
      <c r="BT385" s="21"/>
      <c r="BU385" s="21"/>
      <c r="BV385" s="21"/>
      <c r="BW385" s="21"/>
      <c r="BX385" s="21"/>
      <c r="BY385" s="21"/>
      <c r="BZ385" s="21"/>
    </row>
    <row r="386" customFormat="false" ht="15.75" hidden="false" customHeight="false" outlineLevel="0" collapsed="false">
      <c r="A386" s="21"/>
      <c r="B386" s="24" t="str">
        <f aca="false">IFERROR(__xludf.dummyfunction("Filter('Réponses au formulaire 1'!S:S,'Réponses au formulaire 1'!B:B=A386)"),"#REF!")</f>
        <v>#REF!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1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</row>
    <row r="387" customFormat="false" ht="15.75" hidden="false" customHeight="false" outlineLevel="0" collapsed="false">
      <c r="A387" s="21"/>
      <c r="B387" s="24" t="str">
        <f aca="false">IFERROR(__xludf.dummyfunction("Filter('Réponses au formulaire 1'!S:S,'Réponses au formulaire 1'!B:B=A387)"),"#REF!")</f>
        <v>#REF!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1"/>
      <c r="BQ387" s="21"/>
      <c r="BR387" s="21"/>
      <c r="BS387" s="21"/>
      <c r="BT387" s="21"/>
      <c r="BU387" s="21"/>
      <c r="BV387" s="21"/>
      <c r="BW387" s="21"/>
      <c r="BX387" s="21"/>
      <c r="BY387" s="21"/>
      <c r="BZ387" s="21"/>
    </row>
    <row r="388" customFormat="false" ht="15.75" hidden="false" customHeight="false" outlineLevel="0" collapsed="false">
      <c r="A388" s="21"/>
      <c r="B388" s="24" t="str">
        <f aca="false">IFERROR(__xludf.dummyfunction("Filter('Réponses au formulaire 1'!S:S,'Réponses au formulaire 1'!B:B=A388)"),"#REF!")</f>
        <v>#REF!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1"/>
      <c r="BQ388" s="21"/>
      <c r="BR388" s="21"/>
      <c r="BS388" s="21"/>
      <c r="BT388" s="21"/>
      <c r="BU388" s="21"/>
      <c r="BV388" s="21"/>
      <c r="BW388" s="21"/>
      <c r="BX388" s="21"/>
      <c r="BY388" s="21"/>
      <c r="BZ388" s="21"/>
    </row>
    <row r="389" customFormat="false" ht="15.75" hidden="false" customHeight="false" outlineLevel="0" collapsed="false">
      <c r="A389" s="21"/>
      <c r="B389" s="24" t="str">
        <f aca="false">IFERROR(__xludf.dummyfunction("Filter('Réponses au formulaire 1'!S:S,'Réponses au formulaire 1'!B:B=A389)"),"#REF!")</f>
        <v>#REF!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</row>
    <row r="390" customFormat="false" ht="15.75" hidden="false" customHeight="false" outlineLevel="0" collapsed="false">
      <c r="A390" s="21"/>
      <c r="B390" s="24" t="str">
        <f aca="false">IFERROR(__xludf.dummyfunction("Filter('Réponses au formulaire 1'!S:S,'Réponses au formulaire 1'!B:B=A390)"),"#REF!")</f>
        <v>#REF!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  <c r="BP390" s="21"/>
      <c r="BQ390" s="21"/>
      <c r="BR390" s="21"/>
      <c r="BS390" s="21"/>
      <c r="BT390" s="21"/>
      <c r="BU390" s="21"/>
      <c r="BV390" s="21"/>
      <c r="BW390" s="21"/>
      <c r="BX390" s="21"/>
      <c r="BY390" s="21"/>
      <c r="BZ390" s="21"/>
    </row>
    <row r="391" customFormat="false" ht="15.75" hidden="false" customHeight="false" outlineLevel="0" collapsed="false">
      <c r="A391" s="21"/>
      <c r="B391" s="24" t="str">
        <f aca="false">IFERROR(__xludf.dummyfunction("Filter('Réponses au formulaire 1'!S:S,'Réponses au formulaire 1'!B:B=A391)"),"#REF!")</f>
        <v>#REF!</v>
      </c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  <c r="BL391" s="21"/>
      <c r="BM391" s="21"/>
      <c r="BN391" s="21"/>
      <c r="BO391" s="21"/>
      <c r="BP391" s="21"/>
      <c r="BQ391" s="21"/>
      <c r="BR391" s="21"/>
      <c r="BS391" s="21"/>
      <c r="BT391" s="21"/>
      <c r="BU391" s="21"/>
      <c r="BV391" s="21"/>
      <c r="BW391" s="21"/>
      <c r="BX391" s="21"/>
      <c r="BY391" s="21"/>
      <c r="BZ391" s="21"/>
    </row>
    <row r="392" customFormat="false" ht="15.75" hidden="false" customHeight="false" outlineLevel="0" collapsed="false">
      <c r="A392" s="21"/>
      <c r="B392" s="24" t="str">
        <f aca="false">IFERROR(__xludf.dummyfunction("Filter('Réponses au formulaire 1'!S:S,'Réponses au formulaire 1'!B:B=A392)"),"#REF!")</f>
        <v>#REF!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1"/>
      <c r="BO392" s="21"/>
      <c r="BP392" s="21"/>
      <c r="BQ392" s="21"/>
      <c r="BR392" s="21"/>
      <c r="BS392" s="21"/>
      <c r="BT392" s="21"/>
      <c r="BU392" s="21"/>
      <c r="BV392" s="21"/>
      <c r="BW392" s="21"/>
      <c r="BX392" s="21"/>
      <c r="BY392" s="21"/>
      <c r="BZ392" s="21"/>
    </row>
    <row r="393" customFormat="false" ht="15.75" hidden="false" customHeight="false" outlineLevel="0" collapsed="false">
      <c r="A393" s="21"/>
      <c r="B393" s="24" t="str">
        <f aca="false">IFERROR(__xludf.dummyfunction("Filter('Réponses au formulaire 1'!S:S,'Réponses au formulaire 1'!B:B=A393)"),"#REF!")</f>
        <v>#REF!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1"/>
      <c r="BO393" s="21"/>
      <c r="BP393" s="21"/>
      <c r="BQ393" s="21"/>
      <c r="BR393" s="21"/>
      <c r="BS393" s="21"/>
      <c r="BT393" s="21"/>
      <c r="BU393" s="21"/>
      <c r="BV393" s="21"/>
      <c r="BW393" s="21"/>
      <c r="BX393" s="21"/>
      <c r="BY393" s="21"/>
      <c r="BZ393" s="21"/>
    </row>
    <row r="394" customFormat="false" ht="15.75" hidden="false" customHeight="false" outlineLevel="0" collapsed="false">
      <c r="A394" s="21"/>
      <c r="B394" s="24" t="str">
        <f aca="false">IFERROR(__xludf.dummyfunction("Filter('Réponses au formulaire 1'!S:S,'Réponses au formulaire 1'!B:B=A394)"),"#REF!")</f>
        <v>#REF!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  <c r="BP394" s="21"/>
      <c r="BQ394" s="21"/>
      <c r="BR394" s="21"/>
      <c r="BS394" s="21"/>
      <c r="BT394" s="21"/>
      <c r="BU394" s="21"/>
      <c r="BV394" s="21"/>
      <c r="BW394" s="21"/>
      <c r="BX394" s="21"/>
      <c r="BY394" s="21"/>
      <c r="BZ394" s="21"/>
    </row>
    <row r="395" customFormat="false" ht="15.75" hidden="false" customHeight="false" outlineLevel="0" collapsed="false">
      <c r="A395" s="21"/>
      <c r="B395" s="24" t="str">
        <f aca="false">IFERROR(__xludf.dummyfunction("Filter('Réponses au formulaire 1'!S:S,'Réponses au formulaire 1'!B:B=A395)"),"#REF!")</f>
        <v>#REF!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  <c r="BP395" s="21"/>
      <c r="BQ395" s="21"/>
      <c r="BR395" s="21"/>
      <c r="BS395" s="21"/>
      <c r="BT395" s="21"/>
      <c r="BU395" s="21"/>
      <c r="BV395" s="21"/>
      <c r="BW395" s="21"/>
      <c r="BX395" s="21"/>
      <c r="BY395" s="21"/>
      <c r="BZ395" s="21"/>
    </row>
    <row r="396" customFormat="false" ht="15.75" hidden="false" customHeight="false" outlineLevel="0" collapsed="false">
      <c r="A396" s="21"/>
      <c r="B396" s="24" t="str">
        <f aca="false">IFERROR(__xludf.dummyfunction("Filter('Réponses au formulaire 1'!S:S,'Réponses au formulaire 1'!B:B=A396)"),"#REF!")</f>
        <v>#REF!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  <c r="BP396" s="21"/>
      <c r="BQ396" s="21"/>
      <c r="BR396" s="21"/>
      <c r="BS396" s="21"/>
      <c r="BT396" s="21"/>
      <c r="BU396" s="21"/>
      <c r="BV396" s="21"/>
      <c r="BW396" s="21"/>
      <c r="BX396" s="21"/>
      <c r="BY396" s="21"/>
      <c r="BZ396" s="21"/>
    </row>
    <row r="397" customFormat="false" ht="15.75" hidden="false" customHeight="false" outlineLevel="0" collapsed="false">
      <c r="A397" s="21"/>
      <c r="B397" s="24" t="str">
        <f aca="false">IFERROR(__xludf.dummyfunction("Filter('Réponses au formulaire 1'!S:S,'Réponses au formulaire 1'!B:B=A397)"),"#REF!")</f>
        <v>#REF!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  <c r="BL397" s="21"/>
      <c r="BM397" s="21"/>
      <c r="BN397" s="21"/>
      <c r="BO397" s="21"/>
      <c r="BP397" s="21"/>
      <c r="BQ397" s="21"/>
      <c r="BR397" s="21"/>
      <c r="BS397" s="21"/>
      <c r="BT397" s="21"/>
      <c r="BU397" s="21"/>
      <c r="BV397" s="21"/>
      <c r="BW397" s="21"/>
      <c r="BX397" s="21"/>
      <c r="BY397" s="21"/>
      <c r="BZ397" s="21"/>
    </row>
    <row r="398" customFormat="false" ht="15.75" hidden="false" customHeight="false" outlineLevel="0" collapsed="false">
      <c r="A398" s="21"/>
      <c r="B398" s="24" t="str">
        <f aca="false">IFERROR(__xludf.dummyfunction("Filter('Réponses au formulaire 1'!S:S,'Réponses au formulaire 1'!B:B=A398)"),"#REF!")</f>
        <v>#REF!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  <c r="BP398" s="21"/>
      <c r="BQ398" s="21"/>
      <c r="BR398" s="21"/>
      <c r="BS398" s="21"/>
      <c r="BT398" s="21"/>
      <c r="BU398" s="21"/>
      <c r="BV398" s="21"/>
      <c r="BW398" s="21"/>
      <c r="BX398" s="21"/>
      <c r="BY398" s="21"/>
      <c r="BZ398" s="21"/>
    </row>
    <row r="399" customFormat="false" ht="15.75" hidden="false" customHeight="false" outlineLevel="0" collapsed="false">
      <c r="A399" s="21"/>
      <c r="B399" s="24" t="str">
        <f aca="false">IFERROR(__xludf.dummyfunction("Filter('Réponses au formulaire 1'!S:S,'Réponses au formulaire 1'!B:B=A399)"),"#REF!")</f>
        <v>#REF!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1"/>
      <c r="BQ399" s="21"/>
      <c r="BR399" s="21"/>
      <c r="BS399" s="21"/>
      <c r="BT399" s="21"/>
      <c r="BU399" s="21"/>
      <c r="BV399" s="21"/>
      <c r="BW399" s="21"/>
      <c r="BX399" s="21"/>
      <c r="BY399" s="21"/>
      <c r="BZ399" s="21"/>
    </row>
    <row r="400" customFormat="false" ht="15.75" hidden="false" customHeight="false" outlineLevel="0" collapsed="false">
      <c r="A400" s="21"/>
      <c r="B400" s="24" t="str">
        <f aca="false">IFERROR(__xludf.dummyfunction("Filter('Réponses au formulaire 1'!S:S,'Réponses au formulaire 1'!B:B=A400)"),"#REF!")</f>
        <v>#REF!</v>
      </c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  <c r="BP400" s="21"/>
      <c r="BQ400" s="21"/>
      <c r="BR400" s="21"/>
      <c r="BS400" s="21"/>
      <c r="BT400" s="21"/>
      <c r="BU400" s="21"/>
      <c r="BV400" s="21"/>
      <c r="BW400" s="21"/>
      <c r="BX400" s="21"/>
      <c r="BY400" s="21"/>
      <c r="BZ400" s="21"/>
    </row>
    <row r="401" customFormat="false" ht="15.75" hidden="false" customHeight="false" outlineLevel="0" collapsed="false">
      <c r="A401" s="21"/>
      <c r="B401" s="24" t="str">
        <f aca="false">IFERROR(__xludf.dummyfunction("Filter('Réponses au formulaire 1'!S:S,'Réponses au formulaire 1'!B:B=A401)"),"#REF!")</f>
        <v>#REF!</v>
      </c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  <c r="BL401" s="21"/>
      <c r="BM401" s="21"/>
      <c r="BN401" s="21"/>
      <c r="BO401" s="21"/>
      <c r="BP401" s="21"/>
      <c r="BQ401" s="21"/>
      <c r="BR401" s="21"/>
      <c r="BS401" s="21"/>
      <c r="BT401" s="21"/>
      <c r="BU401" s="21"/>
      <c r="BV401" s="21"/>
      <c r="BW401" s="21"/>
      <c r="BX401" s="21"/>
      <c r="BY401" s="21"/>
      <c r="BZ401" s="21"/>
    </row>
    <row r="402" customFormat="false" ht="15.75" hidden="false" customHeight="false" outlineLevel="0" collapsed="false">
      <c r="A402" s="21"/>
      <c r="B402" s="24" t="str">
        <f aca="false">IFERROR(__xludf.dummyfunction("Filter('Réponses au formulaire 1'!S:S,'Réponses au formulaire 1'!B:B=A402)"),"#REF!")</f>
        <v>#REF!</v>
      </c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  <c r="BP402" s="21"/>
      <c r="BQ402" s="21"/>
      <c r="BR402" s="21"/>
      <c r="BS402" s="21"/>
      <c r="BT402" s="21"/>
      <c r="BU402" s="21"/>
      <c r="BV402" s="21"/>
      <c r="BW402" s="21"/>
      <c r="BX402" s="21"/>
      <c r="BY402" s="21"/>
      <c r="BZ402" s="21"/>
    </row>
    <row r="403" customFormat="false" ht="15.75" hidden="false" customHeight="false" outlineLevel="0" collapsed="false">
      <c r="A403" s="21"/>
      <c r="B403" s="24" t="str">
        <f aca="false">IFERROR(__xludf.dummyfunction("Filter('Réponses au formulaire 1'!S:S,'Réponses au formulaire 1'!B:B=A403)"),"#REF!")</f>
        <v>#REF!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  <c r="BP403" s="21"/>
      <c r="BQ403" s="21"/>
      <c r="BR403" s="21"/>
      <c r="BS403" s="21"/>
      <c r="BT403" s="21"/>
      <c r="BU403" s="21"/>
      <c r="BV403" s="21"/>
      <c r="BW403" s="21"/>
      <c r="BX403" s="21"/>
      <c r="BY403" s="21"/>
      <c r="BZ403" s="21"/>
    </row>
    <row r="404" customFormat="false" ht="15.75" hidden="false" customHeight="false" outlineLevel="0" collapsed="false">
      <c r="A404" s="21"/>
      <c r="B404" s="24" t="str">
        <f aca="false">IFERROR(__xludf.dummyfunction("Filter('Réponses au formulaire 1'!S:S,'Réponses au formulaire 1'!B:B=A404)"),"#REF!")</f>
        <v>#REF!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</row>
    <row r="405" customFormat="false" ht="15.75" hidden="false" customHeight="false" outlineLevel="0" collapsed="false">
      <c r="A405" s="21"/>
      <c r="B405" s="24" t="str">
        <f aca="false">IFERROR(__xludf.dummyfunction("Filter('Réponses au formulaire 1'!S:S,'Réponses au formulaire 1'!B:B=A405)"),"#REF!")</f>
        <v>#REF!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  <c r="BL405" s="21"/>
      <c r="BM405" s="21"/>
      <c r="BN405" s="21"/>
      <c r="BO405" s="21"/>
      <c r="BP405" s="21"/>
      <c r="BQ405" s="21"/>
      <c r="BR405" s="21"/>
      <c r="BS405" s="21"/>
      <c r="BT405" s="21"/>
      <c r="BU405" s="21"/>
      <c r="BV405" s="21"/>
      <c r="BW405" s="21"/>
      <c r="BX405" s="21"/>
      <c r="BY405" s="21"/>
      <c r="BZ405" s="21"/>
    </row>
    <row r="406" customFormat="false" ht="15.75" hidden="false" customHeight="false" outlineLevel="0" collapsed="false">
      <c r="A406" s="21"/>
      <c r="B406" s="24" t="str">
        <f aca="false">IFERROR(__xludf.dummyfunction("Filter('Réponses au formulaire 1'!S:S,'Réponses au formulaire 1'!B:B=A406)"),"#REF!")</f>
        <v>#REF!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  <c r="BP406" s="21"/>
      <c r="BQ406" s="21"/>
      <c r="BR406" s="21"/>
      <c r="BS406" s="21"/>
      <c r="BT406" s="21"/>
      <c r="BU406" s="21"/>
      <c r="BV406" s="21"/>
      <c r="BW406" s="21"/>
      <c r="BX406" s="21"/>
      <c r="BY406" s="21"/>
      <c r="BZ406" s="21"/>
    </row>
    <row r="407" customFormat="false" ht="15.75" hidden="false" customHeight="false" outlineLevel="0" collapsed="false">
      <c r="A407" s="21"/>
      <c r="B407" s="24" t="str">
        <f aca="false">IFERROR(__xludf.dummyfunction("Filter('Réponses au formulaire 1'!S:S,'Réponses au formulaire 1'!B:B=A407)"),"#REF!")</f>
        <v>#REF!</v>
      </c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  <c r="BP407" s="21"/>
      <c r="BQ407" s="21"/>
      <c r="BR407" s="21"/>
      <c r="BS407" s="21"/>
      <c r="BT407" s="21"/>
      <c r="BU407" s="21"/>
      <c r="BV407" s="21"/>
      <c r="BW407" s="21"/>
      <c r="BX407" s="21"/>
      <c r="BY407" s="21"/>
      <c r="BZ407" s="21"/>
    </row>
    <row r="408" customFormat="false" ht="15.75" hidden="false" customHeight="false" outlineLevel="0" collapsed="false">
      <c r="A408" s="21"/>
      <c r="B408" s="24" t="str">
        <f aca="false">IFERROR(__xludf.dummyfunction("Filter('Réponses au formulaire 1'!S:S,'Réponses au formulaire 1'!B:B=A408)"),"#REF!")</f>
        <v>#REF!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  <c r="BP408" s="21"/>
      <c r="BQ408" s="21"/>
      <c r="BR408" s="21"/>
      <c r="BS408" s="21"/>
      <c r="BT408" s="21"/>
      <c r="BU408" s="21"/>
      <c r="BV408" s="21"/>
      <c r="BW408" s="21"/>
      <c r="BX408" s="21"/>
      <c r="BY408" s="21"/>
      <c r="BZ408" s="21"/>
    </row>
    <row r="409" customFormat="false" ht="15.75" hidden="false" customHeight="false" outlineLevel="0" collapsed="false">
      <c r="A409" s="21"/>
      <c r="B409" s="24" t="str">
        <f aca="false">IFERROR(__xludf.dummyfunction("Filter('Réponses au formulaire 1'!S:S,'Réponses au formulaire 1'!B:B=A409)"),"#REF!")</f>
        <v>#REF!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  <c r="BP409" s="21"/>
      <c r="BQ409" s="21"/>
      <c r="BR409" s="21"/>
      <c r="BS409" s="21"/>
      <c r="BT409" s="21"/>
      <c r="BU409" s="21"/>
      <c r="BV409" s="21"/>
      <c r="BW409" s="21"/>
      <c r="BX409" s="21"/>
      <c r="BY409" s="21"/>
      <c r="BZ409" s="21"/>
    </row>
    <row r="410" customFormat="false" ht="15.75" hidden="false" customHeight="false" outlineLevel="0" collapsed="false">
      <c r="A410" s="21"/>
      <c r="B410" s="24" t="str">
        <f aca="false">IFERROR(__xludf.dummyfunction("Filter('Réponses au formulaire 1'!S:S,'Réponses au formulaire 1'!B:B=A410)"),"#REF!")</f>
        <v>#REF!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  <c r="BP410" s="21"/>
      <c r="BQ410" s="21"/>
      <c r="BR410" s="21"/>
      <c r="BS410" s="21"/>
      <c r="BT410" s="21"/>
      <c r="BU410" s="21"/>
      <c r="BV410" s="21"/>
      <c r="BW410" s="21"/>
      <c r="BX410" s="21"/>
      <c r="BY410" s="21"/>
      <c r="BZ410" s="21"/>
    </row>
    <row r="411" customFormat="false" ht="15.75" hidden="false" customHeight="false" outlineLevel="0" collapsed="false">
      <c r="A411" s="21"/>
      <c r="B411" s="24" t="str">
        <f aca="false">IFERROR(__xludf.dummyfunction("Filter('Réponses au formulaire 1'!S:S,'Réponses au formulaire 1'!B:B=A411)"),"#REF!")</f>
        <v>#REF!</v>
      </c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  <c r="BP411" s="21"/>
      <c r="BQ411" s="21"/>
      <c r="BR411" s="21"/>
      <c r="BS411" s="21"/>
      <c r="BT411" s="21"/>
      <c r="BU411" s="21"/>
      <c r="BV411" s="21"/>
      <c r="BW411" s="21"/>
      <c r="BX411" s="21"/>
      <c r="BY411" s="21"/>
      <c r="BZ411" s="21"/>
    </row>
    <row r="412" customFormat="false" ht="15.75" hidden="false" customHeight="false" outlineLevel="0" collapsed="false">
      <c r="A412" s="21"/>
      <c r="B412" s="24" t="str">
        <f aca="false">IFERROR(__xludf.dummyfunction("Filter('Réponses au formulaire 1'!S:S,'Réponses au formulaire 1'!B:B=A412)"),"#REF!")</f>
        <v>#REF!</v>
      </c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  <c r="BP412" s="21"/>
      <c r="BQ412" s="21"/>
      <c r="BR412" s="21"/>
      <c r="BS412" s="21"/>
      <c r="BT412" s="21"/>
      <c r="BU412" s="21"/>
      <c r="BV412" s="21"/>
      <c r="BW412" s="21"/>
      <c r="BX412" s="21"/>
      <c r="BY412" s="21"/>
      <c r="BZ412" s="21"/>
    </row>
    <row r="413" customFormat="false" ht="15.75" hidden="false" customHeight="false" outlineLevel="0" collapsed="false">
      <c r="A413" s="21"/>
      <c r="B413" s="24" t="str">
        <f aca="false">IFERROR(__xludf.dummyfunction("Filter('Réponses au formulaire 1'!S:S,'Réponses au formulaire 1'!B:B=A413)"),"#REF!")</f>
        <v>#REF!</v>
      </c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1"/>
      <c r="BK413" s="21"/>
      <c r="BL413" s="21"/>
      <c r="BM413" s="21"/>
      <c r="BN413" s="21"/>
      <c r="BO413" s="21"/>
      <c r="BP413" s="21"/>
      <c r="BQ413" s="21"/>
      <c r="BR413" s="21"/>
      <c r="BS413" s="21"/>
      <c r="BT413" s="21"/>
      <c r="BU413" s="21"/>
      <c r="BV413" s="21"/>
      <c r="BW413" s="21"/>
      <c r="BX413" s="21"/>
      <c r="BY413" s="21"/>
      <c r="BZ413" s="21"/>
    </row>
    <row r="414" customFormat="false" ht="15.75" hidden="false" customHeight="false" outlineLevel="0" collapsed="false">
      <c r="A414" s="21"/>
      <c r="B414" s="24" t="str">
        <f aca="false">IFERROR(__xludf.dummyfunction("Filter('Réponses au formulaire 1'!S:S,'Réponses au formulaire 1'!B:B=A414)"),"#REF!")</f>
        <v>#REF!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  <c r="BL414" s="21"/>
      <c r="BM414" s="21"/>
      <c r="BN414" s="21"/>
      <c r="BO414" s="21"/>
      <c r="BP414" s="21"/>
      <c r="BQ414" s="21"/>
      <c r="BR414" s="21"/>
      <c r="BS414" s="21"/>
      <c r="BT414" s="21"/>
      <c r="BU414" s="21"/>
      <c r="BV414" s="21"/>
      <c r="BW414" s="21"/>
      <c r="BX414" s="21"/>
      <c r="BY414" s="21"/>
      <c r="BZ414" s="21"/>
    </row>
    <row r="415" customFormat="false" ht="15.75" hidden="false" customHeight="false" outlineLevel="0" collapsed="false">
      <c r="A415" s="21"/>
      <c r="B415" s="24" t="str">
        <f aca="false">IFERROR(__xludf.dummyfunction("Filter('Réponses au formulaire 1'!S:S,'Réponses au formulaire 1'!B:B=A415)"),"#REF!")</f>
        <v>#REF!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  <c r="BP415" s="21"/>
      <c r="BQ415" s="21"/>
      <c r="BR415" s="21"/>
      <c r="BS415" s="21"/>
      <c r="BT415" s="21"/>
      <c r="BU415" s="21"/>
      <c r="BV415" s="21"/>
      <c r="BW415" s="21"/>
      <c r="BX415" s="21"/>
      <c r="BY415" s="21"/>
      <c r="BZ415" s="21"/>
    </row>
    <row r="416" customFormat="false" ht="15.75" hidden="false" customHeight="false" outlineLevel="0" collapsed="false">
      <c r="A416" s="21"/>
      <c r="B416" s="24" t="str">
        <f aca="false">IFERROR(__xludf.dummyfunction("Filter('Réponses au formulaire 1'!S:S,'Réponses au formulaire 1'!B:B=A416)"),"#REF!")</f>
        <v>#REF!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  <c r="BP416" s="21"/>
      <c r="BQ416" s="21"/>
      <c r="BR416" s="21"/>
      <c r="BS416" s="21"/>
      <c r="BT416" s="21"/>
      <c r="BU416" s="21"/>
      <c r="BV416" s="21"/>
      <c r="BW416" s="21"/>
      <c r="BX416" s="21"/>
      <c r="BY416" s="21"/>
      <c r="BZ416" s="21"/>
    </row>
    <row r="417" customFormat="false" ht="15.75" hidden="false" customHeight="false" outlineLevel="0" collapsed="false">
      <c r="A417" s="21"/>
      <c r="B417" s="24" t="str">
        <f aca="false">IFERROR(__xludf.dummyfunction("Filter('Réponses au formulaire 1'!S:S,'Réponses au formulaire 1'!B:B=A417)"),"#REF!")</f>
        <v>#REF!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  <c r="BP417" s="21"/>
      <c r="BQ417" s="21"/>
      <c r="BR417" s="21"/>
      <c r="BS417" s="21"/>
      <c r="BT417" s="21"/>
      <c r="BU417" s="21"/>
      <c r="BV417" s="21"/>
      <c r="BW417" s="21"/>
      <c r="BX417" s="21"/>
      <c r="BY417" s="21"/>
      <c r="BZ417" s="21"/>
    </row>
    <row r="418" customFormat="false" ht="15.75" hidden="false" customHeight="false" outlineLevel="0" collapsed="false">
      <c r="A418" s="21"/>
      <c r="B418" s="24" t="str">
        <f aca="false">IFERROR(__xludf.dummyfunction("Filter('Réponses au formulaire 1'!S:S,'Réponses au formulaire 1'!B:B=A418)"),"")</f>
        <v/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  <c r="BP418" s="21"/>
      <c r="BQ418" s="21"/>
      <c r="BR418" s="21"/>
      <c r="BS418" s="21"/>
      <c r="BT418" s="21"/>
      <c r="BU418" s="21"/>
      <c r="BV418" s="21"/>
      <c r="BW418" s="21"/>
      <c r="BX418" s="21"/>
      <c r="BY418" s="21"/>
      <c r="BZ418" s="21"/>
    </row>
    <row r="419" customFormat="false" ht="15.75" hidden="false" customHeight="false" outlineLevel="0" collapsed="false">
      <c r="A419" s="21"/>
      <c r="B419" s="21" t="str">
        <f aca="false">IFERROR(__xludf.dummyfunction("""COMPUTED_VALUE"""),"")</f>
        <v/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  <c r="BL419" s="21"/>
      <c r="BM419" s="21"/>
      <c r="BN419" s="21"/>
      <c r="BO419" s="21"/>
      <c r="BP419" s="21"/>
      <c r="BQ419" s="21"/>
      <c r="BR419" s="21"/>
      <c r="BS419" s="21"/>
      <c r="BT419" s="21"/>
      <c r="BU419" s="21"/>
      <c r="BV419" s="21"/>
      <c r="BW419" s="21"/>
      <c r="BX419" s="21"/>
      <c r="BY419" s="21"/>
      <c r="BZ419" s="21"/>
    </row>
    <row r="420" customFormat="false" ht="15.75" hidden="false" customHeight="false" outlineLevel="0" collapsed="false">
      <c r="A420" s="21"/>
      <c r="B420" s="21" t="str">
        <f aca="false">IFERROR(__xludf.dummyfunction("""COMPUTED_VALUE"""),"")</f>
        <v/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  <c r="BP420" s="21"/>
      <c r="BQ420" s="21"/>
      <c r="BR420" s="21"/>
      <c r="BS420" s="21"/>
      <c r="BT420" s="21"/>
      <c r="BU420" s="21"/>
      <c r="BV420" s="21"/>
      <c r="BW420" s="21"/>
      <c r="BX420" s="21"/>
      <c r="BY420" s="21"/>
      <c r="BZ420" s="21"/>
    </row>
    <row r="421" customFormat="false" ht="15.75" hidden="false" customHeight="false" outlineLevel="0" collapsed="false">
      <c r="A421" s="21"/>
      <c r="B421" s="21" t="str">
        <f aca="false">IFERROR(__xludf.dummyfunction("""COMPUTED_VALUE"""),"")</f>
        <v/>
      </c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  <c r="BL421" s="21"/>
      <c r="BM421" s="21"/>
      <c r="BN421" s="21"/>
      <c r="BO421" s="21"/>
      <c r="BP421" s="21"/>
      <c r="BQ421" s="21"/>
      <c r="BR421" s="21"/>
      <c r="BS421" s="21"/>
      <c r="BT421" s="21"/>
      <c r="BU421" s="21"/>
      <c r="BV421" s="21"/>
      <c r="BW421" s="21"/>
      <c r="BX421" s="21"/>
      <c r="BY421" s="21"/>
      <c r="BZ421" s="21"/>
    </row>
    <row r="422" customFormat="false" ht="15.75" hidden="false" customHeight="false" outlineLevel="0" collapsed="false">
      <c r="A422" s="21"/>
      <c r="B422" s="21" t="str">
        <f aca="false">IFERROR(__xludf.dummyfunction("""COMPUTED_VALUE"""),"")</f>
        <v/>
      </c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  <c r="BL422" s="21"/>
      <c r="BM422" s="21"/>
      <c r="BN422" s="21"/>
      <c r="BO422" s="21"/>
      <c r="BP422" s="21"/>
      <c r="BQ422" s="21"/>
      <c r="BR422" s="21"/>
      <c r="BS422" s="21"/>
      <c r="BT422" s="21"/>
      <c r="BU422" s="21"/>
      <c r="BV422" s="21"/>
      <c r="BW422" s="21"/>
      <c r="BX422" s="21"/>
      <c r="BY422" s="21"/>
      <c r="BZ422" s="21"/>
    </row>
    <row r="423" customFormat="false" ht="15.75" hidden="false" customHeight="false" outlineLevel="0" collapsed="false">
      <c r="A423" s="21"/>
      <c r="B423" s="21" t="str">
        <f aca="false">IFERROR(__xludf.dummyfunction("""COMPUTED_VALUE"""),"")</f>
        <v/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  <c r="BP423" s="21"/>
      <c r="BQ423" s="21"/>
      <c r="BR423" s="21"/>
      <c r="BS423" s="21"/>
      <c r="BT423" s="21"/>
      <c r="BU423" s="21"/>
      <c r="BV423" s="21"/>
      <c r="BW423" s="21"/>
      <c r="BX423" s="21"/>
      <c r="BY423" s="21"/>
      <c r="BZ423" s="21"/>
    </row>
    <row r="424" customFormat="false" ht="15.75" hidden="false" customHeight="false" outlineLevel="0" collapsed="false">
      <c r="A424" s="21"/>
      <c r="B424" s="21" t="str">
        <f aca="false">IFERROR(__xludf.dummyfunction("""COMPUTED_VALUE"""),"")</f>
        <v/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  <c r="BL424" s="21"/>
      <c r="BM424" s="21"/>
      <c r="BN424" s="21"/>
      <c r="BO424" s="21"/>
      <c r="BP424" s="21"/>
      <c r="BQ424" s="21"/>
      <c r="BR424" s="21"/>
      <c r="BS424" s="21"/>
      <c r="BT424" s="21"/>
      <c r="BU424" s="21"/>
      <c r="BV424" s="21"/>
      <c r="BW424" s="21"/>
      <c r="BX424" s="21"/>
      <c r="BY424" s="21"/>
      <c r="BZ424" s="21"/>
    </row>
    <row r="425" customFormat="false" ht="15.75" hidden="false" customHeight="false" outlineLevel="0" collapsed="false">
      <c r="A425" s="21"/>
      <c r="B425" s="21" t="str">
        <f aca="false">IFERROR(__xludf.dummyfunction("""COMPUTED_VALUE"""),"")</f>
        <v/>
      </c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</row>
    <row r="426" customFormat="false" ht="15.75" hidden="false" customHeight="false" outlineLevel="0" collapsed="false">
      <c r="A426" s="21"/>
      <c r="B426" s="21" t="str">
        <f aca="false">IFERROR(__xludf.dummyfunction("""COMPUTED_VALUE"""),"")</f>
        <v/>
      </c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</row>
    <row r="427" customFormat="false" ht="15.75" hidden="false" customHeight="false" outlineLevel="0" collapsed="false">
      <c r="A427" s="21"/>
      <c r="B427" s="21" t="str">
        <f aca="false">IFERROR(__xludf.dummyfunction("""COMPUTED_VALUE"""),"")</f>
        <v/>
      </c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</row>
    <row r="428" customFormat="false" ht="15.75" hidden="false" customHeight="false" outlineLevel="0" collapsed="false">
      <c r="A428" s="21"/>
      <c r="B428" s="21" t="str">
        <f aca="false">IFERROR(__xludf.dummyfunction("""COMPUTED_VALUE"""),"")</f>
        <v/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</row>
    <row r="429" customFormat="false" ht="15.75" hidden="false" customHeight="false" outlineLevel="0" collapsed="false">
      <c r="A429" s="21"/>
      <c r="B429" s="21" t="str">
        <f aca="false">IFERROR(__xludf.dummyfunction("""COMPUTED_VALUE"""),"")</f>
        <v/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</row>
    <row r="430" customFormat="false" ht="15.75" hidden="false" customHeight="false" outlineLevel="0" collapsed="false">
      <c r="A430" s="21"/>
      <c r="B430" s="21" t="str">
        <f aca="false">IFERROR(__xludf.dummyfunction("""COMPUTED_VALUE"""),"")</f>
        <v/>
      </c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</row>
    <row r="431" customFormat="false" ht="15.75" hidden="false" customHeight="false" outlineLevel="0" collapsed="false">
      <c r="A431" s="21"/>
      <c r="B431" s="21" t="str">
        <f aca="false">IFERROR(__xludf.dummyfunction("""COMPUTED_VALUE"""),"")</f>
        <v/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  <c r="BP431" s="21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</row>
    <row r="432" customFormat="false" ht="15.75" hidden="false" customHeight="false" outlineLevel="0" collapsed="false">
      <c r="A432" s="21"/>
      <c r="B432" s="21" t="str">
        <f aca="false">IFERROR(__xludf.dummyfunction("""COMPUTED_VALUE"""),"")</f>
        <v/>
      </c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  <c r="BL432" s="21"/>
      <c r="BM432" s="21"/>
      <c r="BN432" s="21"/>
      <c r="BO432" s="21"/>
      <c r="BP432" s="21"/>
      <c r="BQ432" s="21"/>
      <c r="BR432" s="21"/>
      <c r="BS432" s="21"/>
      <c r="BT432" s="21"/>
      <c r="BU432" s="21"/>
      <c r="BV432" s="21"/>
      <c r="BW432" s="21"/>
      <c r="BX432" s="21"/>
      <c r="BY432" s="21"/>
      <c r="BZ432" s="21"/>
    </row>
    <row r="433" customFormat="false" ht="15.75" hidden="false" customHeight="false" outlineLevel="0" collapsed="false">
      <c r="A433" s="21"/>
      <c r="B433" s="21" t="str">
        <f aca="false">IFERROR(__xludf.dummyfunction("""COMPUTED_VALUE"""),"")</f>
        <v/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  <c r="BL433" s="21"/>
      <c r="BM433" s="21"/>
      <c r="BN433" s="21"/>
      <c r="BO433" s="21"/>
      <c r="BP433" s="21"/>
      <c r="BQ433" s="21"/>
      <c r="BR433" s="21"/>
      <c r="BS433" s="21"/>
      <c r="BT433" s="21"/>
      <c r="BU433" s="21"/>
      <c r="BV433" s="21"/>
      <c r="BW433" s="21"/>
      <c r="BX433" s="21"/>
      <c r="BY433" s="21"/>
      <c r="BZ433" s="21"/>
    </row>
    <row r="434" customFormat="false" ht="15.75" hidden="false" customHeight="false" outlineLevel="0" collapsed="false">
      <c r="A434" s="21"/>
      <c r="B434" s="21" t="str">
        <f aca="false">IFERROR(__xludf.dummyfunction("""COMPUTED_VALUE"""),"")</f>
        <v/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  <c r="BP434" s="21"/>
      <c r="BQ434" s="21"/>
      <c r="BR434" s="21"/>
      <c r="BS434" s="21"/>
      <c r="BT434" s="21"/>
      <c r="BU434" s="21"/>
      <c r="BV434" s="21"/>
      <c r="BW434" s="21"/>
      <c r="BX434" s="21"/>
      <c r="BY434" s="21"/>
      <c r="BZ434" s="21"/>
    </row>
    <row r="435" customFormat="false" ht="15.75" hidden="false" customHeight="false" outlineLevel="0" collapsed="false">
      <c r="A435" s="21"/>
      <c r="B435" s="21" t="str">
        <f aca="false">IFERROR(__xludf.dummyfunction("""COMPUTED_VALUE"""),"")</f>
        <v/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  <c r="BP435" s="21"/>
      <c r="BQ435" s="21"/>
      <c r="BR435" s="21"/>
      <c r="BS435" s="21"/>
      <c r="BT435" s="21"/>
      <c r="BU435" s="21"/>
      <c r="BV435" s="21"/>
      <c r="BW435" s="21"/>
      <c r="BX435" s="21"/>
      <c r="BY435" s="21"/>
      <c r="BZ435" s="21"/>
    </row>
    <row r="436" customFormat="false" ht="15.75" hidden="false" customHeight="false" outlineLevel="0" collapsed="false">
      <c r="A436" s="21"/>
      <c r="B436" s="21" t="str">
        <f aca="false">IFERROR(__xludf.dummyfunction("""COMPUTED_VALUE"""),"")</f>
        <v/>
      </c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  <c r="BP436" s="21"/>
      <c r="BQ436" s="21"/>
      <c r="BR436" s="21"/>
      <c r="BS436" s="21"/>
      <c r="BT436" s="21"/>
      <c r="BU436" s="21"/>
      <c r="BV436" s="21"/>
      <c r="BW436" s="21"/>
      <c r="BX436" s="21"/>
      <c r="BY436" s="21"/>
      <c r="BZ436" s="21"/>
    </row>
    <row r="437" customFormat="false" ht="15.75" hidden="false" customHeight="false" outlineLevel="0" collapsed="false">
      <c r="A437" s="21"/>
      <c r="B437" s="21" t="str">
        <f aca="false">IFERROR(__xludf.dummyfunction("""COMPUTED_VALUE"""),"")</f>
        <v/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1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</row>
    <row r="438" customFormat="false" ht="15.75" hidden="false" customHeight="false" outlineLevel="0" collapsed="false">
      <c r="A438" s="21"/>
      <c r="B438" s="21" t="str">
        <f aca="false">IFERROR(__xludf.dummyfunction("""COMPUTED_VALUE"""),"")</f>
        <v/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  <c r="BL438" s="21"/>
      <c r="BM438" s="21"/>
      <c r="BN438" s="21"/>
      <c r="BO438" s="21"/>
      <c r="BP438" s="21"/>
      <c r="BQ438" s="21"/>
      <c r="BR438" s="21"/>
      <c r="BS438" s="21"/>
      <c r="BT438" s="21"/>
      <c r="BU438" s="21"/>
      <c r="BV438" s="21"/>
      <c r="BW438" s="21"/>
      <c r="BX438" s="21"/>
      <c r="BY438" s="21"/>
      <c r="BZ438" s="21"/>
    </row>
    <row r="439" customFormat="false" ht="15.75" hidden="false" customHeight="false" outlineLevel="0" collapsed="false">
      <c r="A439" s="21"/>
      <c r="B439" s="21" t="str">
        <f aca="false">IFERROR(__xludf.dummyfunction("""COMPUTED_VALUE"""),"")</f>
        <v/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</row>
    <row r="440" customFormat="false" ht="15.75" hidden="false" customHeight="false" outlineLevel="0" collapsed="false">
      <c r="A440" s="21"/>
      <c r="B440" s="21" t="str">
        <f aca="false">IFERROR(__xludf.dummyfunction("""COMPUTED_VALUE"""),"")</f>
        <v/>
      </c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/>
      <c r="BX440" s="21"/>
      <c r="BY440" s="21"/>
      <c r="BZ440" s="21"/>
    </row>
    <row r="441" customFormat="false" ht="15.75" hidden="false" customHeight="false" outlineLevel="0" collapsed="false">
      <c r="A441" s="21"/>
      <c r="B441" s="21" t="str">
        <f aca="false">IFERROR(__xludf.dummyfunction("""COMPUTED_VALUE"""),"")</f>
        <v/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</row>
    <row r="442" customFormat="false" ht="15.75" hidden="false" customHeight="false" outlineLevel="0" collapsed="false">
      <c r="A442" s="21"/>
      <c r="B442" s="21" t="str">
        <f aca="false">IFERROR(__xludf.dummyfunction("""COMPUTED_VALUE"""),"")</f>
        <v/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  <c r="BP442" s="21"/>
      <c r="BQ442" s="21"/>
      <c r="BR442" s="21"/>
      <c r="BS442" s="21"/>
      <c r="BT442" s="21"/>
      <c r="BU442" s="21"/>
      <c r="BV442" s="21"/>
      <c r="BW442" s="21"/>
      <c r="BX442" s="21"/>
      <c r="BY442" s="21"/>
      <c r="BZ442" s="21"/>
    </row>
    <row r="443" customFormat="false" ht="15.75" hidden="false" customHeight="false" outlineLevel="0" collapsed="false">
      <c r="A443" s="21"/>
      <c r="B443" s="21" t="str">
        <f aca="false">IFERROR(__xludf.dummyfunction("""COMPUTED_VALUE"""),"")</f>
        <v/>
      </c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  <c r="BP443" s="21"/>
      <c r="BQ443" s="21"/>
      <c r="BR443" s="21"/>
      <c r="BS443" s="21"/>
      <c r="BT443" s="21"/>
      <c r="BU443" s="21"/>
      <c r="BV443" s="21"/>
      <c r="BW443" s="21"/>
      <c r="BX443" s="21"/>
      <c r="BY443" s="21"/>
      <c r="BZ443" s="21"/>
    </row>
    <row r="444" customFormat="false" ht="15.75" hidden="false" customHeight="false" outlineLevel="0" collapsed="false">
      <c r="A444" s="21"/>
      <c r="B444" s="21" t="str">
        <f aca="false">IFERROR(__xludf.dummyfunction("""COMPUTED_VALUE"""),"")</f>
        <v/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1"/>
      <c r="BK444" s="21"/>
      <c r="BL444" s="21"/>
      <c r="BM444" s="21"/>
      <c r="BN444" s="21"/>
      <c r="BO444" s="21"/>
      <c r="BP444" s="21"/>
      <c r="BQ444" s="21"/>
      <c r="BR444" s="21"/>
      <c r="BS444" s="21"/>
      <c r="BT444" s="21"/>
      <c r="BU444" s="21"/>
      <c r="BV444" s="21"/>
      <c r="BW444" s="21"/>
      <c r="BX444" s="21"/>
      <c r="BY444" s="21"/>
      <c r="BZ444" s="21"/>
    </row>
    <row r="445" customFormat="false" ht="15.75" hidden="false" customHeight="false" outlineLevel="0" collapsed="false">
      <c r="A445" s="21"/>
      <c r="B445" s="21" t="str">
        <f aca="false">IFERROR(__xludf.dummyfunction("""COMPUTED_VALUE"""),"")</f>
        <v/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  <c r="BL445" s="21"/>
      <c r="BM445" s="21"/>
      <c r="BN445" s="21"/>
      <c r="BO445" s="21"/>
      <c r="BP445" s="21"/>
      <c r="BQ445" s="21"/>
      <c r="BR445" s="21"/>
      <c r="BS445" s="21"/>
      <c r="BT445" s="21"/>
      <c r="BU445" s="21"/>
      <c r="BV445" s="21"/>
      <c r="BW445" s="21"/>
      <c r="BX445" s="21"/>
      <c r="BY445" s="21"/>
      <c r="BZ445" s="21"/>
    </row>
    <row r="446" customFormat="false" ht="15.75" hidden="false" customHeight="false" outlineLevel="0" collapsed="false">
      <c r="A446" s="21"/>
      <c r="B446" s="21" t="str">
        <f aca="false">IFERROR(__xludf.dummyfunction("""COMPUTED_VALUE"""),"")</f>
        <v/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21"/>
      <c r="BK446" s="21"/>
      <c r="BL446" s="21"/>
      <c r="BM446" s="21"/>
      <c r="BN446" s="21"/>
      <c r="BO446" s="21"/>
      <c r="BP446" s="21"/>
      <c r="BQ446" s="21"/>
      <c r="BR446" s="21"/>
      <c r="BS446" s="21"/>
      <c r="BT446" s="21"/>
      <c r="BU446" s="21"/>
      <c r="BV446" s="21"/>
      <c r="BW446" s="21"/>
      <c r="BX446" s="21"/>
      <c r="BY446" s="21"/>
      <c r="BZ446" s="21"/>
    </row>
    <row r="447" customFormat="false" ht="15.75" hidden="false" customHeight="false" outlineLevel="0" collapsed="false">
      <c r="A447" s="21"/>
      <c r="B447" s="21" t="str">
        <f aca="false">IFERROR(__xludf.dummyfunction("""COMPUTED_VALUE"""),"")</f>
        <v/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21"/>
      <c r="BK447" s="21"/>
      <c r="BL447" s="21"/>
      <c r="BM447" s="21"/>
      <c r="BN447" s="21"/>
      <c r="BO447" s="21"/>
      <c r="BP447" s="21"/>
      <c r="BQ447" s="21"/>
      <c r="BR447" s="21"/>
      <c r="BS447" s="21"/>
      <c r="BT447" s="21"/>
      <c r="BU447" s="21"/>
      <c r="BV447" s="21"/>
      <c r="BW447" s="21"/>
      <c r="BX447" s="21"/>
      <c r="BY447" s="21"/>
      <c r="BZ447" s="21"/>
    </row>
    <row r="448" customFormat="false" ht="15.75" hidden="false" customHeight="false" outlineLevel="0" collapsed="false">
      <c r="A448" s="21"/>
      <c r="B448" s="21" t="str">
        <f aca="false">IFERROR(__xludf.dummyfunction("""COMPUTED_VALUE"""),"")</f>
        <v/>
      </c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</row>
    <row r="449" customFormat="false" ht="15.75" hidden="false" customHeight="false" outlineLevel="0" collapsed="false">
      <c r="A449" s="21"/>
      <c r="B449" s="21" t="str">
        <f aca="false">IFERROR(__xludf.dummyfunction("""COMPUTED_VALUE"""),"")</f>
        <v/>
      </c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</row>
    <row r="450" customFormat="false" ht="15.75" hidden="false" customHeight="false" outlineLevel="0" collapsed="false">
      <c r="A450" s="21"/>
      <c r="B450" s="21" t="str">
        <f aca="false">IFERROR(__xludf.dummyfunction("""COMPUTED_VALUE"""),"")</f>
        <v/>
      </c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</row>
    <row r="451" customFormat="false" ht="15.75" hidden="false" customHeight="false" outlineLevel="0" collapsed="false">
      <c r="A451" s="21"/>
      <c r="B451" s="21" t="str">
        <f aca="false">IFERROR(__xludf.dummyfunction("""COMPUTED_VALUE"""),"")</f>
        <v/>
      </c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</row>
    <row r="452" customFormat="false" ht="15.75" hidden="false" customHeight="false" outlineLevel="0" collapsed="false">
      <c r="A452" s="21"/>
      <c r="B452" s="21" t="str">
        <f aca="false">IFERROR(__xludf.dummyfunction("""COMPUTED_VALUE"""),"")</f>
        <v/>
      </c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</row>
    <row r="453" customFormat="false" ht="15.75" hidden="false" customHeight="false" outlineLevel="0" collapsed="false">
      <c r="A453" s="21"/>
      <c r="B453" s="21" t="str">
        <f aca="false">IFERROR(__xludf.dummyfunction("""COMPUTED_VALUE"""),"")</f>
        <v/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/>
      <c r="BR453" s="21"/>
      <c r="BS453" s="21"/>
      <c r="BT453" s="21"/>
      <c r="BU453" s="21"/>
      <c r="BV453" s="21"/>
      <c r="BW453" s="21"/>
      <c r="BX453" s="21"/>
      <c r="BY453" s="21"/>
      <c r="BZ453" s="21"/>
    </row>
    <row r="454" customFormat="false" ht="15.75" hidden="false" customHeight="false" outlineLevel="0" collapsed="false">
      <c r="A454" s="21"/>
      <c r="B454" s="21" t="str">
        <f aca="false">IFERROR(__xludf.dummyfunction("""COMPUTED_VALUE"""),"")</f>
        <v/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</row>
    <row r="455" customFormat="false" ht="15.75" hidden="false" customHeight="false" outlineLevel="0" collapsed="false">
      <c r="A455" s="21"/>
      <c r="B455" s="21" t="str">
        <f aca="false">IFERROR(__xludf.dummyfunction("""COMPUTED_VALUE"""),"")</f>
        <v/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</row>
    <row r="456" customFormat="false" ht="15.75" hidden="false" customHeight="false" outlineLevel="0" collapsed="false">
      <c r="A456" s="21"/>
      <c r="B456" s="21" t="str">
        <f aca="false">IFERROR(__xludf.dummyfunction("""COMPUTED_VALUE"""),"")</f>
        <v/>
      </c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1"/>
      <c r="BK456" s="21"/>
      <c r="BL456" s="21"/>
      <c r="BM456" s="21"/>
      <c r="BN456" s="21"/>
      <c r="BO456" s="21"/>
      <c r="BP456" s="21"/>
      <c r="BQ456" s="21"/>
      <c r="BR456" s="21"/>
      <c r="BS456" s="21"/>
      <c r="BT456" s="21"/>
      <c r="BU456" s="21"/>
      <c r="BV456" s="21"/>
      <c r="BW456" s="21"/>
      <c r="BX456" s="21"/>
      <c r="BY456" s="21"/>
      <c r="BZ456" s="21"/>
    </row>
    <row r="457" customFormat="false" ht="15.75" hidden="false" customHeight="false" outlineLevel="0" collapsed="false">
      <c r="A457" s="21"/>
      <c r="B457" s="21" t="str">
        <f aca="false">IFERROR(__xludf.dummyfunction("""COMPUTED_VALUE"""),"")</f>
        <v/>
      </c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21"/>
      <c r="BK457" s="21"/>
      <c r="BL457" s="21"/>
      <c r="BM457" s="21"/>
      <c r="BN457" s="21"/>
      <c r="BO457" s="21"/>
      <c r="BP457" s="21"/>
      <c r="BQ457" s="21"/>
      <c r="BR457" s="21"/>
      <c r="BS457" s="21"/>
      <c r="BT457" s="21"/>
      <c r="BU457" s="21"/>
      <c r="BV457" s="21"/>
      <c r="BW457" s="21"/>
      <c r="BX457" s="21"/>
      <c r="BY457" s="21"/>
      <c r="BZ457" s="21"/>
    </row>
    <row r="458" customFormat="false" ht="15.75" hidden="false" customHeight="false" outlineLevel="0" collapsed="false">
      <c r="A458" s="21"/>
      <c r="B458" s="21" t="str">
        <f aca="false">IFERROR(__xludf.dummyfunction("""COMPUTED_VALUE"""),"")</f>
        <v/>
      </c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21"/>
      <c r="BK458" s="21"/>
      <c r="BL458" s="21"/>
      <c r="BM458" s="21"/>
      <c r="BN458" s="21"/>
      <c r="BO458" s="21"/>
      <c r="BP458" s="21"/>
      <c r="BQ458" s="21"/>
      <c r="BR458" s="21"/>
      <c r="BS458" s="21"/>
      <c r="BT458" s="21"/>
      <c r="BU458" s="21"/>
      <c r="BV458" s="21"/>
      <c r="BW458" s="21"/>
      <c r="BX458" s="21"/>
      <c r="BY458" s="21"/>
      <c r="BZ458" s="21"/>
    </row>
    <row r="459" customFormat="false" ht="15.75" hidden="false" customHeight="false" outlineLevel="0" collapsed="false">
      <c r="A459" s="21"/>
      <c r="B459" s="21" t="str">
        <f aca="false">IFERROR(__xludf.dummyfunction("""COMPUTED_VALUE"""),"")</f>
        <v/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  <c r="BL459" s="21"/>
      <c r="BM459" s="21"/>
      <c r="BN459" s="21"/>
      <c r="BO459" s="21"/>
      <c r="BP459" s="21"/>
      <c r="BQ459" s="21"/>
      <c r="BR459" s="21"/>
      <c r="BS459" s="21"/>
      <c r="BT459" s="21"/>
      <c r="BU459" s="21"/>
      <c r="BV459" s="21"/>
      <c r="BW459" s="21"/>
      <c r="BX459" s="21"/>
      <c r="BY459" s="21"/>
      <c r="BZ459" s="21"/>
    </row>
    <row r="460" customFormat="false" ht="15.75" hidden="false" customHeight="false" outlineLevel="0" collapsed="false">
      <c r="A460" s="21"/>
      <c r="B460" s="21" t="str">
        <f aca="false">IFERROR(__xludf.dummyfunction("""COMPUTED_VALUE"""),"")</f>
        <v/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  <c r="BO460" s="21"/>
      <c r="BP460" s="21"/>
      <c r="BQ460" s="21"/>
      <c r="BR460" s="21"/>
      <c r="BS460" s="21"/>
      <c r="BT460" s="21"/>
      <c r="BU460" s="21"/>
      <c r="BV460" s="21"/>
      <c r="BW460" s="21"/>
      <c r="BX460" s="21"/>
      <c r="BY460" s="21"/>
      <c r="BZ460" s="21"/>
    </row>
    <row r="461" customFormat="false" ht="15.75" hidden="false" customHeight="false" outlineLevel="0" collapsed="false">
      <c r="A461" s="21"/>
      <c r="B461" s="21" t="str">
        <f aca="false">IFERROR(__xludf.dummyfunction("""COMPUTED_VALUE"""),"")</f>
        <v/>
      </c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1"/>
      <c r="BK461" s="21"/>
      <c r="BL461" s="21"/>
      <c r="BM461" s="21"/>
      <c r="BN461" s="21"/>
      <c r="BO461" s="21"/>
      <c r="BP461" s="21"/>
      <c r="BQ461" s="21"/>
      <c r="BR461" s="21"/>
      <c r="BS461" s="21"/>
      <c r="BT461" s="21"/>
      <c r="BU461" s="21"/>
      <c r="BV461" s="21"/>
      <c r="BW461" s="21"/>
      <c r="BX461" s="21"/>
      <c r="BY461" s="21"/>
      <c r="BZ461" s="21"/>
    </row>
    <row r="462" customFormat="false" ht="15.75" hidden="false" customHeight="false" outlineLevel="0" collapsed="false">
      <c r="A462" s="21"/>
      <c r="B462" s="21" t="str">
        <f aca="false">IFERROR(__xludf.dummyfunction("""COMPUTED_VALUE"""),"")</f>
        <v/>
      </c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21"/>
      <c r="BK462" s="21"/>
      <c r="BL462" s="21"/>
      <c r="BM462" s="21"/>
      <c r="BN462" s="21"/>
      <c r="BO462" s="21"/>
      <c r="BP462" s="21"/>
      <c r="BQ462" s="21"/>
      <c r="BR462" s="21"/>
      <c r="BS462" s="21"/>
      <c r="BT462" s="21"/>
      <c r="BU462" s="21"/>
      <c r="BV462" s="21"/>
      <c r="BW462" s="21"/>
      <c r="BX462" s="21"/>
      <c r="BY462" s="21"/>
      <c r="BZ462" s="21"/>
    </row>
    <row r="463" customFormat="false" ht="15.75" hidden="false" customHeight="false" outlineLevel="0" collapsed="false">
      <c r="A463" s="21"/>
      <c r="B463" s="21" t="str">
        <f aca="false">IFERROR(__xludf.dummyfunction("""COMPUTED_VALUE"""),"")</f>
        <v/>
      </c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1"/>
      <c r="BK463" s="21"/>
      <c r="BL463" s="21"/>
      <c r="BM463" s="21"/>
      <c r="BN463" s="21"/>
      <c r="BO463" s="21"/>
      <c r="BP463" s="21"/>
      <c r="BQ463" s="21"/>
      <c r="BR463" s="21"/>
      <c r="BS463" s="21"/>
      <c r="BT463" s="21"/>
      <c r="BU463" s="21"/>
      <c r="BV463" s="21"/>
      <c r="BW463" s="21"/>
      <c r="BX463" s="21"/>
      <c r="BY463" s="21"/>
      <c r="BZ463" s="21"/>
    </row>
    <row r="464" customFormat="false" ht="15.75" hidden="false" customHeight="false" outlineLevel="0" collapsed="false">
      <c r="A464" s="21"/>
      <c r="B464" s="21" t="str">
        <f aca="false">IFERROR(__xludf.dummyfunction("""COMPUTED_VALUE"""),"")</f>
        <v/>
      </c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1"/>
      <c r="BK464" s="21"/>
      <c r="BL464" s="21"/>
      <c r="BM464" s="21"/>
      <c r="BN464" s="21"/>
      <c r="BO464" s="21"/>
      <c r="BP464" s="21"/>
      <c r="BQ464" s="21"/>
      <c r="BR464" s="21"/>
      <c r="BS464" s="21"/>
      <c r="BT464" s="21"/>
      <c r="BU464" s="21"/>
      <c r="BV464" s="21"/>
      <c r="BW464" s="21"/>
      <c r="BX464" s="21"/>
      <c r="BY464" s="21"/>
      <c r="BZ464" s="21"/>
    </row>
    <row r="465" customFormat="false" ht="15.75" hidden="false" customHeight="false" outlineLevel="0" collapsed="false">
      <c r="A465" s="21"/>
      <c r="B465" s="21" t="str">
        <f aca="false">IFERROR(__xludf.dummyfunction("""COMPUTED_VALUE"""),"")</f>
        <v/>
      </c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21"/>
      <c r="BK465" s="21"/>
      <c r="BL465" s="21"/>
      <c r="BM465" s="21"/>
      <c r="BN465" s="21"/>
      <c r="BO465" s="21"/>
      <c r="BP465" s="21"/>
      <c r="BQ465" s="21"/>
      <c r="BR465" s="21"/>
      <c r="BS465" s="21"/>
      <c r="BT465" s="21"/>
      <c r="BU465" s="21"/>
      <c r="BV465" s="21"/>
      <c r="BW465" s="21"/>
      <c r="BX465" s="21"/>
      <c r="BY465" s="21"/>
      <c r="BZ465" s="21"/>
    </row>
    <row r="466" customFormat="false" ht="15.75" hidden="false" customHeight="false" outlineLevel="0" collapsed="false">
      <c r="A466" s="21"/>
      <c r="B466" s="21" t="str">
        <f aca="false">IFERROR(__xludf.dummyfunction("""COMPUTED_VALUE"""),"")</f>
        <v/>
      </c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21"/>
      <c r="BK466" s="21"/>
      <c r="BL466" s="21"/>
      <c r="BM466" s="21"/>
      <c r="BN466" s="21"/>
      <c r="BO466" s="21"/>
      <c r="BP466" s="21"/>
      <c r="BQ466" s="21"/>
      <c r="BR466" s="21"/>
      <c r="BS466" s="21"/>
      <c r="BT466" s="21"/>
      <c r="BU466" s="21"/>
      <c r="BV466" s="21"/>
      <c r="BW466" s="21"/>
      <c r="BX466" s="21"/>
      <c r="BY466" s="21"/>
      <c r="BZ466" s="21"/>
    </row>
    <row r="467" customFormat="false" ht="15.75" hidden="false" customHeight="false" outlineLevel="0" collapsed="false">
      <c r="A467" s="21"/>
      <c r="B467" s="21" t="str">
        <f aca="false">IFERROR(__xludf.dummyfunction("""COMPUTED_VALUE"""),"")</f>
        <v/>
      </c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1"/>
      <c r="BK467" s="21"/>
      <c r="BL467" s="21"/>
      <c r="BM467" s="21"/>
      <c r="BN467" s="21"/>
      <c r="BO467" s="21"/>
      <c r="BP467" s="21"/>
      <c r="BQ467" s="21"/>
      <c r="BR467" s="21"/>
      <c r="BS467" s="21"/>
      <c r="BT467" s="21"/>
      <c r="BU467" s="21"/>
      <c r="BV467" s="21"/>
      <c r="BW467" s="21"/>
      <c r="BX467" s="21"/>
      <c r="BY467" s="21"/>
      <c r="BZ467" s="21"/>
    </row>
    <row r="468" customFormat="false" ht="15.75" hidden="false" customHeight="false" outlineLevel="0" collapsed="false">
      <c r="A468" s="21"/>
      <c r="B468" s="21" t="str">
        <f aca="false">IFERROR(__xludf.dummyfunction("""COMPUTED_VALUE"""),"")</f>
        <v/>
      </c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21"/>
      <c r="BK468" s="21"/>
      <c r="BL468" s="21"/>
      <c r="BM468" s="21"/>
      <c r="BN468" s="21"/>
      <c r="BO468" s="21"/>
      <c r="BP468" s="21"/>
      <c r="BQ468" s="21"/>
      <c r="BR468" s="21"/>
      <c r="BS468" s="21"/>
      <c r="BT468" s="21"/>
      <c r="BU468" s="21"/>
      <c r="BV468" s="21"/>
      <c r="BW468" s="21"/>
      <c r="BX468" s="21"/>
      <c r="BY468" s="21"/>
      <c r="BZ468" s="21"/>
    </row>
    <row r="469" customFormat="false" ht="15.75" hidden="false" customHeight="false" outlineLevel="0" collapsed="false">
      <c r="A469" s="21"/>
      <c r="B469" s="21" t="str">
        <f aca="false">IFERROR(__xludf.dummyfunction("""COMPUTED_VALUE"""),"")</f>
        <v/>
      </c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  <c r="BP469" s="21"/>
      <c r="BQ469" s="21"/>
      <c r="BR469" s="21"/>
      <c r="BS469" s="21"/>
      <c r="BT469" s="21"/>
      <c r="BU469" s="21"/>
      <c r="BV469" s="21"/>
      <c r="BW469" s="21"/>
      <c r="BX469" s="21"/>
      <c r="BY469" s="21"/>
      <c r="BZ469" s="21"/>
    </row>
    <row r="470" customFormat="false" ht="15.75" hidden="false" customHeight="false" outlineLevel="0" collapsed="false">
      <c r="A470" s="21"/>
      <c r="B470" s="21" t="str">
        <f aca="false">IFERROR(__xludf.dummyfunction("""COMPUTED_VALUE"""),"")</f>
        <v/>
      </c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  <c r="BP470" s="21"/>
      <c r="BQ470" s="21"/>
      <c r="BR470" s="21"/>
      <c r="BS470" s="21"/>
      <c r="BT470" s="21"/>
      <c r="BU470" s="21"/>
      <c r="BV470" s="21"/>
      <c r="BW470" s="21"/>
      <c r="BX470" s="21"/>
      <c r="BY470" s="21"/>
      <c r="BZ470" s="21"/>
    </row>
    <row r="471" customFormat="false" ht="15.75" hidden="false" customHeight="false" outlineLevel="0" collapsed="false">
      <c r="A471" s="21"/>
      <c r="B471" s="21" t="str">
        <f aca="false">IFERROR(__xludf.dummyfunction("""COMPUTED_VALUE"""),"")</f>
        <v/>
      </c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  <c r="BP471" s="21"/>
      <c r="BQ471" s="21"/>
      <c r="BR471" s="21"/>
      <c r="BS471" s="21"/>
      <c r="BT471" s="21"/>
      <c r="BU471" s="21"/>
      <c r="BV471" s="21"/>
      <c r="BW471" s="21"/>
      <c r="BX471" s="21"/>
      <c r="BY471" s="21"/>
      <c r="BZ471" s="21"/>
    </row>
    <row r="472" customFormat="false" ht="15.75" hidden="false" customHeight="false" outlineLevel="0" collapsed="false">
      <c r="A472" s="21"/>
      <c r="B472" s="21" t="str">
        <f aca="false">IFERROR(__xludf.dummyfunction("""COMPUTED_VALUE"""),"")</f>
        <v/>
      </c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1"/>
      <c r="BK472" s="21"/>
      <c r="BL472" s="21"/>
      <c r="BM472" s="21"/>
      <c r="BN472" s="21"/>
      <c r="BO472" s="21"/>
      <c r="BP472" s="21"/>
      <c r="BQ472" s="21"/>
      <c r="BR472" s="21"/>
      <c r="BS472" s="21"/>
      <c r="BT472" s="21"/>
      <c r="BU472" s="21"/>
      <c r="BV472" s="21"/>
      <c r="BW472" s="21"/>
      <c r="BX472" s="21"/>
      <c r="BY472" s="21"/>
      <c r="BZ472" s="21"/>
    </row>
    <row r="473" customFormat="false" ht="15.75" hidden="false" customHeight="false" outlineLevel="0" collapsed="false">
      <c r="A473" s="21"/>
      <c r="B473" s="21" t="str">
        <f aca="false">IFERROR(__xludf.dummyfunction("""COMPUTED_VALUE"""),"")</f>
        <v/>
      </c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</row>
    <row r="474" customFormat="false" ht="15.75" hidden="false" customHeight="false" outlineLevel="0" collapsed="false">
      <c r="A474" s="21"/>
      <c r="B474" s="21" t="str">
        <f aca="false">IFERROR(__xludf.dummyfunction("""COMPUTED_VALUE"""),"")</f>
        <v/>
      </c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1"/>
      <c r="BQ474" s="21"/>
      <c r="BR474" s="21"/>
      <c r="BS474" s="21"/>
      <c r="BT474" s="21"/>
      <c r="BU474" s="21"/>
      <c r="BV474" s="21"/>
      <c r="BW474" s="21"/>
      <c r="BX474" s="21"/>
      <c r="BY474" s="21"/>
      <c r="BZ474" s="21"/>
    </row>
    <row r="475" customFormat="false" ht="15.75" hidden="false" customHeight="false" outlineLevel="0" collapsed="false">
      <c r="A475" s="21"/>
      <c r="B475" s="21" t="str">
        <f aca="false">IFERROR(__xludf.dummyfunction("""COMPUTED_VALUE"""),"")</f>
        <v/>
      </c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  <c r="BP475" s="21"/>
      <c r="BQ475" s="21"/>
      <c r="BR475" s="21"/>
      <c r="BS475" s="21"/>
      <c r="BT475" s="21"/>
      <c r="BU475" s="21"/>
      <c r="BV475" s="21"/>
      <c r="BW475" s="21"/>
      <c r="BX475" s="21"/>
      <c r="BY475" s="21"/>
      <c r="BZ475" s="21"/>
    </row>
    <row r="476" customFormat="false" ht="15.75" hidden="false" customHeight="false" outlineLevel="0" collapsed="false">
      <c r="A476" s="21"/>
      <c r="B476" s="21" t="str">
        <f aca="false">IFERROR(__xludf.dummyfunction("""COMPUTED_VALUE"""),"")</f>
        <v/>
      </c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  <c r="BP476" s="21"/>
      <c r="BQ476" s="21"/>
      <c r="BR476" s="21"/>
      <c r="BS476" s="21"/>
      <c r="BT476" s="21"/>
      <c r="BU476" s="21"/>
      <c r="BV476" s="21"/>
      <c r="BW476" s="21"/>
      <c r="BX476" s="21"/>
      <c r="BY476" s="21"/>
      <c r="BZ476" s="21"/>
    </row>
    <row r="477" customFormat="false" ht="15.75" hidden="false" customHeight="false" outlineLevel="0" collapsed="false">
      <c r="A477" s="21"/>
      <c r="B477" s="21" t="str">
        <f aca="false">IFERROR(__xludf.dummyfunction("""COMPUTED_VALUE"""),"")</f>
        <v/>
      </c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  <c r="BP477" s="21"/>
      <c r="BQ477" s="21"/>
      <c r="BR477" s="21"/>
      <c r="BS477" s="21"/>
      <c r="BT477" s="21"/>
      <c r="BU477" s="21"/>
      <c r="BV477" s="21"/>
      <c r="BW477" s="21"/>
      <c r="BX477" s="21"/>
      <c r="BY477" s="21"/>
      <c r="BZ477" s="21"/>
    </row>
    <row r="478" customFormat="false" ht="15.75" hidden="false" customHeight="false" outlineLevel="0" collapsed="false">
      <c r="A478" s="21"/>
      <c r="B478" s="21" t="str">
        <f aca="false">IFERROR(__xludf.dummyfunction("""COMPUTED_VALUE"""),"")</f>
        <v/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  <c r="BP478" s="21"/>
      <c r="BQ478" s="21"/>
      <c r="BR478" s="21"/>
      <c r="BS478" s="21"/>
      <c r="BT478" s="21"/>
      <c r="BU478" s="21"/>
      <c r="BV478" s="21"/>
      <c r="BW478" s="21"/>
      <c r="BX478" s="21"/>
      <c r="BY478" s="21"/>
      <c r="BZ478" s="21"/>
    </row>
    <row r="479" customFormat="false" ht="15.75" hidden="false" customHeight="false" outlineLevel="0" collapsed="false">
      <c r="A479" s="21"/>
      <c r="B479" s="21" t="str">
        <f aca="false">IFERROR(__xludf.dummyfunction("""COMPUTED_VALUE"""),"")</f>
        <v/>
      </c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/>
      <c r="BX479" s="21"/>
      <c r="BY479" s="21"/>
      <c r="BZ479" s="21"/>
    </row>
    <row r="480" customFormat="false" ht="15.75" hidden="false" customHeight="false" outlineLevel="0" collapsed="false">
      <c r="A480" s="21"/>
      <c r="B480" s="21" t="str">
        <f aca="false">IFERROR(__xludf.dummyfunction("""COMPUTED_VALUE"""),"")</f>
        <v/>
      </c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/>
      <c r="BX480" s="21"/>
      <c r="BY480" s="21"/>
      <c r="BZ480" s="21"/>
    </row>
    <row r="481" customFormat="false" ht="15.75" hidden="false" customHeight="false" outlineLevel="0" collapsed="false">
      <c r="A481" s="21"/>
      <c r="B481" s="21" t="str">
        <f aca="false">IFERROR(__xludf.dummyfunction("""COMPUTED_VALUE"""),"")</f>
        <v/>
      </c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  <c r="BP481" s="21"/>
      <c r="BQ481" s="21"/>
      <c r="BR481" s="21"/>
      <c r="BS481" s="21"/>
      <c r="BT481" s="21"/>
      <c r="BU481" s="21"/>
      <c r="BV481" s="21"/>
      <c r="BW481" s="21"/>
      <c r="BX481" s="21"/>
      <c r="BY481" s="21"/>
      <c r="BZ481" s="21"/>
    </row>
    <row r="482" customFormat="false" ht="15.75" hidden="false" customHeight="false" outlineLevel="0" collapsed="false">
      <c r="A482" s="21"/>
      <c r="B482" s="21" t="str">
        <f aca="false">IFERROR(__xludf.dummyfunction("""COMPUTED_VALUE"""),"")</f>
        <v/>
      </c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  <c r="BP482" s="21"/>
      <c r="BQ482" s="21"/>
      <c r="BR482" s="21"/>
      <c r="BS482" s="21"/>
      <c r="BT482" s="21"/>
      <c r="BU482" s="21"/>
      <c r="BV482" s="21"/>
      <c r="BW482" s="21"/>
      <c r="BX482" s="21"/>
      <c r="BY482" s="21"/>
      <c r="BZ482" s="21"/>
    </row>
    <row r="483" customFormat="false" ht="15.75" hidden="false" customHeight="false" outlineLevel="0" collapsed="false">
      <c r="A483" s="21"/>
      <c r="B483" s="21" t="str">
        <f aca="false">IFERROR(__xludf.dummyfunction("""COMPUTED_VALUE"""),"")</f>
        <v/>
      </c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1"/>
      <c r="BQ483" s="21"/>
      <c r="BR483" s="21"/>
      <c r="BS483" s="21"/>
      <c r="BT483" s="21"/>
      <c r="BU483" s="21"/>
      <c r="BV483" s="21"/>
      <c r="BW483" s="21"/>
      <c r="BX483" s="21"/>
      <c r="BY483" s="21"/>
      <c r="BZ483" s="21"/>
    </row>
    <row r="484" customFormat="false" ht="15.75" hidden="false" customHeight="false" outlineLevel="0" collapsed="false">
      <c r="A484" s="21"/>
      <c r="B484" s="21" t="str">
        <f aca="false">IFERROR(__xludf.dummyfunction("""COMPUTED_VALUE"""),"")</f>
        <v/>
      </c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  <c r="BP484" s="21"/>
      <c r="BQ484" s="21"/>
      <c r="BR484" s="21"/>
      <c r="BS484" s="21"/>
      <c r="BT484" s="21"/>
      <c r="BU484" s="21"/>
      <c r="BV484" s="21"/>
      <c r="BW484" s="21"/>
      <c r="BX484" s="21"/>
      <c r="BY484" s="21"/>
      <c r="BZ484" s="21"/>
    </row>
    <row r="485" customFormat="false" ht="15.75" hidden="false" customHeight="false" outlineLevel="0" collapsed="false">
      <c r="A485" s="21"/>
      <c r="B485" s="21" t="str">
        <f aca="false">IFERROR(__xludf.dummyfunction("""COMPUTED_VALUE"""),"")</f>
        <v/>
      </c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/>
      <c r="BX485" s="21"/>
      <c r="BY485" s="21"/>
      <c r="BZ485" s="21"/>
    </row>
    <row r="486" customFormat="false" ht="15.75" hidden="false" customHeight="false" outlineLevel="0" collapsed="false">
      <c r="A486" s="21"/>
      <c r="B486" s="21" t="str">
        <f aca="false">IFERROR(__xludf.dummyfunction("""COMPUTED_VALUE"""),"")</f>
        <v/>
      </c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1"/>
      <c r="BQ486" s="21"/>
      <c r="BR486" s="21"/>
      <c r="BS486" s="21"/>
      <c r="BT486" s="21"/>
      <c r="BU486" s="21"/>
      <c r="BV486" s="21"/>
      <c r="BW486" s="21"/>
      <c r="BX486" s="21"/>
      <c r="BY486" s="21"/>
      <c r="BZ486" s="21"/>
    </row>
    <row r="487" customFormat="false" ht="15.75" hidden="false" customHeight="false" outlineLevel="0" collapsed="false">
      <c r="A487" s="21"/>
      <c r="B487" s="21" t="str">
        <f aca="false">IFERROR(__xludf.dummyfunction("""COMPUTED_VALUE"""),"")</f>
        <v/>
      </c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  <c r="BP487" s="21"/>
      <c r="BQ487" s="21"/>
      <c r="BR487" s="21"/>
      <c r="BS487" s="21"/>
      <c r="BT487" s="21"/>
      <c r="BU487" s="21"/>
      <c r="BV487" s="21"/>
      <c r="BW487" s="21"/>
      <c r="BX487" s="21"/>
      <c r="BY487" s="21"/>
      <c r="BZ487" s="21"/>
    </row>
    <row r="488" customFormat="false" ht="15.75" hidden="false" customHeight="false" outlineLevel="0" collapsed="false">
      <c r="A488" s="21"/>
      <c r="B488" s="21" t="str">
        <f aca="false">IFERROR(__xludf.dummyfunction("""COMPUTED_VALUE"""),"")</f>
        <v/>
      </c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1"/>
      <c r="BK488" s="21"/>
      <c r="BL488" s="21"/>
      <c r="BM488" s="21"/>
      <c r="BN488" s="21"/>
      <c r="BO488" s="21"/>
      <c r="BP488" s="21"/>
      <c r="BQ488" s="21"/>
      <c r="BR488" s="21"/>
      <c r="BS488" s="21"/>
      <c r="BT488" s="21"/>
      <c r="BU488" s="21"/>
      <c r="BV488" s="21"/>
      <c r="BW488" s="21"/>
      <c r="BX488" s="21"/>
      <c r="BY488" s="21"/>
      <c r="BZ488" s="21"/>
    </row>
    <row r="489" customFormat="false" ht="15.75" hidden="false" customHeight="false" outlineLevel="0" collapsed="false">
      <c r="A489" s="21"/>
      <c r="B489" s="21" t="str">
        <f aca="false">IFERROR(__xludf.dummyfunction("""COMPUTED_VALUE"""),"")</f>
        <v/>
      </c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</row>
    <row r="490" customFormat="false" ht="15.75" hidden="false" customHeight="false" outlineLevel="0" collapsed="false">
      <c r="A490" s="21"/>
      <c r="B490" s="21" t="str">
        <f aca="false">IFERROR(__xludf.dummyfunction("""COMPUTED_VALUE"""),"")</f>
        <v/>
      </c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</row>
    <row r="491" customFormat="false" ht="15.75" hidden="false" customHeight="false" outlineLevel="0" collapsed="false">
      <c r="A491" s="21"/>
      <c r="B491" s="21" t="str">
        <f aca="false">IFERROR(__xludf.dummyfunction("""COMPUTED_VALUE"""),"")</f>
        <v/>
      </c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</row>
    <row r="492" customFormat="false" ht="15.75" hidden="false" customHeight="false" outlineLevel="0" collapsed="false">
      <c r="A492" s="21"/>
      <c r="B492" s="21" t="str">
        <f aca="false">IFERROR(__xludf.dummyfunction("""COMPUTED_VALUE"""),"")</f>
        <v/>
      </c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</row>
    <row r="493" customFormat="false" ht="15.75" hidden="false" customHeight="false" outlineLevel="0" collapsed="false">
      <c r="A493" s="21"/>
      <c r="B493" s="21" t="str">
        <f aca="false">IFERROR(__xludf.dummyfunction("""COMPUTED_VALUE"""),"")</f>
        <v/>
      </c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</row>
    <row r="494" customFormat="false" ht="15.75" hidden="false" customHeight="false" outlineLevel="0" collapsed="false">
      <c r="A494" s="21"/>
      <c r="B494" s="21" t="str">
        <f aca="false">IFERROR(__xludf.dummyfunction("""COMPUTED_VALUE"""),"")</f>
        <v/>
      </c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1"/>
      <c r="BW494" s="21"/>
      <c r="BX494" s="21"/>
      <c r="BY494" s="21"/>
      <c r="BZ494" s="21"/>
    </row>
    <row r="495" customFormat="false" ht="15.75" hidden="false" customHeight="false" outlineLevel="0" collapsed="false">
      <c r="A495" s="21"/>
      <c r="B495" s="21" t="str">
        <f aca="false">IFERROR(__xludf.dummyfunction("""COMPUTED_VALUE"""),"")</f>
        <v/>
      </c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</row>
    <row r="496" customFormat="false" ht="15.75" hidden="false" customHeight="false" outlineLevel="0" collapsed="false">
      <c r="A496" s="21"/>
      <c r="B496" s="21" t="str">
        <f aca="false">IFERROR(__xludf.dummyfunction("""COMPUTED_VALUE"""),"")</f>
        <v/>
      </c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</row>
    <row r="497" customFormat="false" ht="15.75" hidden="false" customHeight="false" outlineLevel="0" collapsed="false">
      <c r="A497" s="21"/>
      <c r="B497" s="21" t="str">
        <f aca="false">IFERROR(__xludf.dummyfunction("""COMPUTED_VALUE"""),"")</f>
        <v/>
      </c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1"/>
      <c r="BW497" s="21"/>
      <c r="BX497" s="21"/>
      <c r="BY497" s="21"/>
      <c r="BZ497" s="21"/>
    </row>
    <row r="498" customFormat="false" ht="15.75" hidden="false" customHeight="false" outlineLevel="0" collapsed="false">
      <c r="A498" s="21"/>
      <c r="B498" s="21" t="str">
        <f aca="false">IFERROR(__xludf.dummyfunction("""COMPUTED_VALUE"""),"")</f>
        <v/>
      </c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/>
      <c r="BR498" s="21"/>
      <c r="BS498" s="21"/>
      <c r="BT498" s="21"/>
      <c r="BU498" s="21"/>
      <c r="BV498" s="21"/>
      <c r="BW498" s="21"/>
      <c r="BX498" s="21"/>
      <c r="BY498" s="21"/>
      <c r="BZ498" s="21"/>
    </row>
    <row r="499" customFormat="false" ht="15.75" hidden="false" customHeight="false" outlineLevel="0" collapsed="false">
      <c r="A499" s="21"/>
      <c r="B499" s="21" t="str">
        <f aca="false">IFERROR(__xludf.dummyfunction("""COMPUTED_VALUE"""),"")</f>
        <v/>
      </c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  <c r="BH499" s="21"/>
      <c r="BI499" s="21"/>
      <c r="BJ499" s="21"/>
      <c r="BK499" s="21"/>
      <c r="BL499" s="21"/>
      <c r="BM499" s="21"/>
      <c r="BN499" s="21"/>
      <c r="BO499" s="21"/>
      <c r="BP499" s="21"/>
      <c r="BQ499" s="21"/>
      <c r="BR499" s="21"/>
      <c r="BS499" s="21"/>
      <c r="BT499" s="21"/>
      <c r="BU499" s="21"/>
      <c r="BV499" s="21"/>
      <c r="BW499" s="21"/>
      <c r="BX499" s="21"/>
      <c r="BY499" s="21"/>
      <c r="BZ499" s="21"/>
    </row>
    <row r="500" customFormat="false" ht="15.75" hidden="false" customHeight="false" outlineLevel="0" collapsed="false">
      <c r="A500" s="21"/>
      <c r="B500" s="21" t="str">
        <f aca="false">IFERROR(__xludf.dummyfunction("""COMPUTED_VALUE"""),"")</f>
        <v/>
      </c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  <c r="BL500" s="21"/>
      <c r="BM500" s="21"/>
      <c r="BN500" s="21"/>
      <c r="BO500" s="21"/>
      <c r="BP500" s="21"/>
      <c r="BQ500" s="21"/>
      <c r="BR500" s="21"/>
      <c r="BS500" s="21"/>
      <c r="BT500" s="21"/>
      <c r="BU500" s="21"/>
      <c r="BV500" s="21"/>
      <c r="BW500" s="21"/>
      <c r="BX500" s="21"/>
      <c r="BY500" s="21"/>
      <c r="BZ500" s="21"/>
    </row>
    <row r="501" customFormat="false" ht="15.75" hidden="false" customHeight="false" outlineLevel="0" collapsed="false">
      <c r="A501" s="21"/>
      <c r="B501" s="21" t="str">
        <f aca="false">IFERROR(__xludf.dummyfunction("""COMPUTED_VALUE"""),"")</f>
        <v/>
      </c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</row>
    <row r="502" customFormat="false" ht="15.75" hidden="false" customHeight="false" outlineLevel="0" collapsed="false">
      <c r="A502" s="21"/>
      <c r="B502" s="21" t="str">
        <f aca="false">IFERROR(__xludf.dummyfunction("""COMPUTED_VALUE"""),"")</f>
        <v/>
      </c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/>
      <c r="BX502" s="21"/>
      <c r="BY502" s="21"/>
      <c r="BZ502" s="21"/>
    </row>
    <row r="503" customFormat="false" ht="15.75" hidden="false" customHeight="false" outlineLevel="0" collapsed="false">
      <c r="A503" s="21"/>
      <c r="B503" s="21" t="str">
        <f aca="false">IFERROR(__xludf.dummyfunction("""COMPUTED_VALUE"""),"")</f>
        <v/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/>
      <c r="BR503" s="21"/>
      <c r="BS503" s="21"/>
      <c r="BT503" s="21"/>
      <c r="BU503" s="21"/>
      <c r="BV503" s="21"/>
      <c r="BW503" s="21"/>
      <c r="BX503" s="21"/>
      <c r="BY503" s="21"/>
      <c r="BZ503" s="21"/>
    </row>
    <row r="504" customFormat="false" ht="15.75" hidden="false" customHeight="false" outlineLevel="0" collapsed="false">
      <c r="A504" s="21"/>
      <c r="B504" s="21" t="str">
        <f aca="false">IFERROR(__xludf.dummyfunction("""COMPUTED_VALUE"""),"")</f>
        <v/>
      </c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/>
      <c r="BX504" s="21"/>
      <c r="BY504" s="21"/>
      <c r="BZ504" s="21"/>
    </row>
    <row r="505" customFormat="false" ht="15.75" hidden="false" customHeight="false" outlineLevel="0" collapsed="false">
      <c r="A505" s="21"/>
      <c r="B505" s="21" t="str">
        <f aca="false">IFERROR(__xludf.dummyfunction("""COMPUTED_VALUE"""),"")</f>
        <v/>
      </c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/>
      <c r="BR505" s="21"/>
      <c r="BS505" s="21"/>
      <c r="BT505" s="21"/>
      <c r="BU505" s="21"/>
      <c r="BV505" s="21"/>
      <c r="BW505" s="21"/>
      <c r="BX505" s="21"/>
      <c r="BY505" s="21"/>
      <c r="BZ505" s="21"/>
    </row>
    <row r="506" customFormat="false" ht="15.75" hidden="false" customHeight="false" outlineLevel="0" collapsed="false">
      <c r="A506" s="21"/>
      <c r="B506" s="21" t="str">
        <f aca="false">IFERROR(__xludf.dummyfunction("""COMPUTED_VALUE"""),"")</f>
        <v/>
      </c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/>
      <c r="BX506" s="21"/>
      <c r="BY506" s="21"/>
      <c r="BZ506" s="21"/>
    </row>
    <row r="507" customFormat="false" ht="15.75" hidden="false" customHeight="false" outlineLevel="0" collapsed="false">
      <c r="A507" s="21"/>
      <c r="B507" s="21" t="str">
        <f aca="false">IFERROR(__xludf.dummyfunction("""COMPUTED_VALUE"""),"")</f>
        <v/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/>
      <c r="BX507" s="21"/>
      <c r="BY507" s="21"/>
      <c r="BZ507" s="21"/>
    </row>
    <row r="508" customFormat="false" ht="15.75" hidden="false" customHeight="false" outlineLevel="0" collapsed="false">
      <c r="A508" s="21"/>
      <c r="B508" s="21" t="str">
        <f aca="false">IFERROR(__xludf.dummyfunction("""COMPUTED_VALUE"""),"")</f>
        <v/>
      </c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/>
      <c r="BR508" s="21"/>
      <c r="BS508" s="21"/>
      <c r="BT508" s="21"/>
      <c r="BU508" s="21"/>
      <c r="BV508" s="21"/>
      <c r="BW508" s="21"/>
      <c r="BX508" s="21"/>
      <c r="BY508" s="21"/>
      <c r="BZ508" s="21"/>
    </row>
    <row r="509" customFormat="false" ht="15.75" hidden="false" customHeight="false" outlineLevel="0" collapsed="false">
      <c r="A509" s="21"/>
      <c r="B509" s="21" t="str">
        <f aca="false">IFERROR(__xludf.dummyfunction("""COMPUTED_VALUE"""),"")</f>
        <v/>
      </c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/>
      <c r="BR509" s="21"/>
      <c r="BS509" s="21"/>
      <c r="BT509" s="21"/>
      <c r="BU509" s="21"/>
      <c r="BV509" s="21"/>
      <c r="BW509" s="21"/>
      <c r="BX509" s="21"/>
      <c r="BY509" s="21"/>
      <c r="BZ509" s="21"/>
    </row>
    <row r="510" customFormat="false" ht="15.75" hidden="false" customHeight="false" outlineLevel="0" collapsed="false">
      <c r="A510" s="21"/>
      <c r="B510" s="21" t="str">
        <f aca="false">IFERROR(__xludf.dummyfunction("""COMPUTED_VALUE"""),"")</f>
        <v/>
      </c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  <c r="BH510" s="21"/>
      <c r="BI510" s="21"/>
      <c r="BJ510" s="21"/>
      <c r="BK510" s="21"/>
      <c r="BL510" s="21"/>
      <c r="BM510" s="21"/>
      <c r="BN510" s="21"/>
      <c r="BO510" s="21"/>
      <c r="BP510" s="21"/>
      <c r="BQ510" s="21"/>
      <c r="BR510" s="21"/>
      <c r="BS510" s="21"/>
      <c r="BT510" s="21"/>
      <c r="BU510" s="21"/>
      <c r="BV510" s="21"/>
      <c r="BW510" s="21"/>
      <c r="BX510" s="21"/>
      <c r="BY510" s="21"/>
      <c r="BZ510" s="21"/>
    </row>
    <row r="511" customFormat="false" ht="15.75" hidden="false" customHeight="false" outlineLevel="0" collapsed="false">
      <c r="A511" s="21"/>
      <c r="B511" s="21" t="str">
        <f aca="false">IFERROR(__xludf.dummyfunction("""COMPUTED_VALUE"""),"")</f>
        <v/>
      </c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  <c r="BH511" s="21"/>
      <c r="BI511" s="21"/>
      <c r="BJ511" s="21"/>
      <c r="BK511" s="21"/>
      <c r="BL511" s="21"/>
      <c r="BM511" s="21"/>
      <c r="BN511" s="21"/>
      <c r="BO511" s="21"/>
      <c r="BP511" s="21"/>
      <c r="BQ511" s="21"/>
      <c r="BR511" s="21"/>
      <c r="BS511" s="21"/>
      <c r="BT511" s="21"/>
      <c r="BU511" s="21"/>
      <c r="BV511" s="21"/>
      <c r="BW511" s="21"/>
      <c r="BX511" s="21"/>
      <c r="BY511" s="21"/>
      <c r="BZ511" s="21"/>
    </row>
    <row r="512" customFormat="false" ht="15.75" hidden="false" customHeight="false" outlineLevel="0" collapsed="false">
      <c r="A512" s="21"/>
      <c r="B512" s="21" t="str">
        <f aca="false">IFERROR(__xludf.dummyfunction("""COMPUTED_VALUE"""),"")</f>
        <v/>
      </c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  <c r="BH512" s="21"/>
      <c r="BI512" s="21"/>
      <c r="BJ512" s="21"/>
      <c r="BK512" s="21"/>
      <c r="BL512" s="21"/>
      <c r="BM512" s="21"/>
      <c r="BN512" s="21"/>
      <c r="BO512" s="21"/>
      <c r="BP512" s="21"/>
      <c r="BQ512" s="21"/>
      <c r="BR512" s="21"/>
      <c r="BS512" s="21"/>
      <c r="BT512" s="21"/>
      <c r="BU512" s="21"/>
      <c r="BV512" s="21"/>
      <c r="BW512" s="21"/>
      <c r="BX512" s="21"/>
      <c r="BY512" s="21"/>
      <c r="BZ512" s="21"/>
    </row>
    <row r="513" customFormat="false" ht="15.75" hidden="false" customHeight="false" outlineLevel="0" collapsed="false">
      <c r="A513" s="21"/>
      <c r="B513" s="21" t="str">
        <f aca="false">IFERROR(__xludf.dummyfunction("""COMPUTED_VALUE"""),"")</f>
        <v/>
      </c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  <c r="BH513" s="21"/>
      <c r="BI513" s="21"/>
      <c r="BJ513" s="21"/>
      <c r="BK513" s="21"/>
      <c r="BL513" s="21"/>
      <c r="BM513" s="21"/>
      <c r="BN513" s="21"/>
      <c r="BO513" s="21"/>
      <c r="BP513" s="21"/>
      <c r="BQ513" s="21"/>
      <c r="BR513" s="21"/>
      <c r="BS513" s="21"/>
      <c r="BT513" s="21"/>
      <c r="BU513" s="21"/>
      <c r="BV513" s="21"/>
      <c r="BW513" s="21"/>
      <c r="BX513" s="21"/>
      <c r="BY513" s="21"/>
      <c r="BZ513" s="21"/>
    </row>
    <row r="514" customFormat="false" ht="15.75" hidden="false" customHeight="false" outlineLevel="0" collapsed="false">
      <c r="A514" s="21"/>
      <c r="B514" s="21" t="str">
        <f aca="false">IFERROR(__xludf.dummyfunction("""COMPUTED_VALUE"""),"")</f>
        <v/>
      </c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  <c r="BP514" s="21"/>
      <c r="BQ514" s="21"/>
      <c r="BR514" s="21"/>
      <c r="BS514" s="21"/>
      <c r="BT514" s="21"/>
      <c r="BU514" s="21"/>
      <c r="BV514" s="21"/>
      <c r="BW514" s="21"/>
      <c r="BX514" s="21"/>
      <c r="BY514" s="21"/>
      <c r="BZ514" s="21"/>
    </row>
    <row r="515" customFormat="false" ht="15.75" hidden="false" customHeight="false" outlineLevel="0" collapsed="false">
      <c r="A515" s="21"/>
      <c r="B515" s="21" t="str">
        <f aca="false">IFERROR(__xludf.dummyfunction("""COMPUTED_VALUE"""),"")</f>
        <v/>
      </c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21"/>
      <c r="BK515" s="21"/>
      <c r="BL515" s="21"/>
      <c r="BM515" s="21"/>
      <c r="BN515" s="21"/>
      <c r="BO515" s="21"/>
      <c r="BP515" s="21"/>
      <c r="BQ515" s="21"/>
      <c r="BR515" s="21"/>
      <c r="BS515" s="21"/>
      <c r="BT515" s="21"/>
      <c r="BU515" s="21"/>
      <c r="BV515" s="21"/>
      <c r="BW515" s="21"/>
      <c r="BX515" s="21"/>
      <c r="BY515" s="21"/>
      <c r="BZ515" s="21"/>
    </row>
    <row r="516" customFormat="false" ht="15.75" hidden="false" customHeight="false" outlineLevel="0" collapsed="false">
      <c r="A516" s="21"/>
      <c r="B516" s="21" t="str">
        <f aca="false">IFERROR(__xludf.dummyfunction("""COMPUTED_VALUE"""),"")</f>
        <v/>
      </c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  <c r="BG516" s="21"/>
      <c r="BH516" s="21"/>
      <c r="BI516" s="21"/>
      <c r="BJ516" s="21"/>
      <c r="BK516" s="21"/>
      <c r="BL516" s="21"/>
      <c r="BM516" s="21"/>
      <c r="BN516" s="21"/>
      <c r="BO516" s="21"/>
      <c r="BP516" s="21"/>
      <c r="BQ516" s="21"/>
      <c r="BR516" s="21"/>
      <c r="BS516" s="21"/>
      <c r="BT516" s="21"/>
      <c r="BU516" s="21"/>
      <c r="BV516" s="21"/>
      <c r="BW516" s="21"/>
      <c r="BX516" s="21"/>
      <c r="BY516" s="21"/>
      <c r="BZ516" s="21"/>
    </row>
    <row r="517" customFormat="false" ht="15.75" hidden="false" customHeight="false" outlineLevel="0" collapsed="false">
      <c r="A517" s="21"/>
      <c r="B517" s="21" t="str">
        <f aca="false">IFERROR(__xludf.dummyfunction("""COMPUTED_VALUE"""),"")</f>
        <v/>
      </c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/>
      <c r="BX517" s="21"/>
      <c r="BY517" s="21"/>
      <c r="BZ517" s="21"/>
    </row>
    <row r="518" customFormat="false" ht="15.75" hidden="false" customHeight="false" outlineLevel="0" collapsed="false">
      <c r="A518" s="21"/>
      <c r="B518" s="21" t="str">
        <f aca="false">IFERROR(__xludf.dummyfunction("""COMPUTED_VALUE"""),"")</f>
        <v/>
      </c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  <c r="BG518" s="21"/>
      <c r="BH518" s="21"/>
      <c r="BI518" s="21"/>
      <c r="BJ518" s="21"/>
      <c r="BK518" s="21"/>
      <c r="BL518" s="21"/>
      <c r="BM518" s="21"/>
      <c r="BN518" s="21"/>
      <c r="BO518" s="21"/>
      <c r="BP518" s="21"/>
      <c r="BQ518" s="21"/>
      <c r="BR518" s="21"/>
      <c r="BS518" s="21"/>
      <c r="BT518" s="21"/>
      <c r="BU518" s="21"/>
      <c r="BV518" s="21"/>
      <c r="BW518" s="21"/>
      <c r="BX518" s="21"/>
      <c r="BY518" s="21"/>
      <c r="BZ518" s="21"/>
    </row>
    <row r="519" customFormat="false" ht="15.75" hidden="false" customHeight="false" outlineLevel="0" collapsed="false">
      <c r="A519" s="21"/>
      <c r="B519" s="21" t="str">
        <f aca="false">IFERROR(__xludf.dummyfunction("""COMPUTED_VALUE"""),"")</f>
        <v/>
      </c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  <c r="BG519" s="21"/>
      <c r="BH519" s="21"/>
      <c r="BI519" s="21"/>
      <c r="BJ519" s="21"/>
      <c r="BK519" s="21"/>
      <c r="BL519" s="21"/>
      <c r="BM519" s="21"/>
      <c r="BN519" s="21"/>
      <c r="BO519" s="21"/>
      <c r="BP519" s="21"/>
      <c r="BQ519" s="21"/>
      <c r="BR519" s="21"/>
      <c r="BS519" s="21"/>
      <c r="BT519" s="21"/>
      <c r="BU519" s="21"/>
      <c r="BV519" s="21"/>
      <c r="BW519" s="21"/>
      <c r="BX519" s="21"/>
      <c r="BY519" s="21"/>
      <c r="BZ519" s="21"/>
    </row>
    <row r="520" customFormat="false" ht="15.75" hidden="false" customHeight="false" outlineLevel="0" collapsed="false">
      <c r="A520" s="21"/>
      <c r="B520" s="21" t="str">
        <f aca="false">IFERROR(__xludf.dummyfunction("""COMPUTED_VALUE"""),"")</f>
        <v/>
      </c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  <c r="BG520" s="21"/>
      <c r="BH520" s="21"/>
      <c r="BI520" s="21"/>
      <c r="BJ520" s="21"/>
      <c r="BK520" s="21"/>
      <c r="BL520" s="21"/>
      <c r="BM520" s="21"/>
      <c r="BN520" s="21"/>
      <c r="BO520" s="21"/>
      <c r="BP520" s="21"/>
      <c r="BQ520" s="21"/>
      <c r="BR520" s="21"/>
      <c r="BS520" s="21"/>
      <c r="BT520" s="21"/>
      <c r="BU520" s="21"/>
      <c r="BV520" s="21"/>
      <c r="BW520" s="21"/>
      <c r="BX520" s="21"/>
      <c r="BY520" s="21"/>
      <c r="BZ520" s="21"/>
    </row>
    <row r="521" customFormat="false" ht="15.75" hidden="false" customHeight="false" outlineLevel="0" collapsed="false">
      <c r="A521" s="21"/>
      <c r="B521" s="21" t="str">
        <f aca="false">IFERROR(__xludf.dummyfunction("""COMPUTED_VALUE"""),"")</f>
        <v/>
      </c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21"/>
      <c r="BK521" s="21"/>
      <c r="BL521" s="21"/>
      <c r="BM521" s="21"/>
      <c r="BN521" s="21"/>
      <c r="BO521" s="21"/>
      <c r="BP521" s="21"/>
      <c r="BQ521" s="21"/>
      <c r="BR521" s="21"/>
      <c r="BS521" s="21"/>
      <c r="BT521" s="21"/>
      <c r="BU521" s="21"/>
      <c r="BV521" s="21"/>
      <c r="BW521" s="21"/>
      <c r="BX521" s="21"/>
      <c r="BY521" s="21"/>
      <c r="BZ521" s="21"/>
    </row>
    <row r="522" customFormat="false" ht="15.75" hidden="false" customHeight="false" outlineLevel="0" collapsed="false">
      <c r="A522" s="21"/>
      <c r="B522" s="21" t="str">
        <f aca="false">IFERROR(__xludf.dummyfunction("""COMPUTED_VALUE"""),"")</f>
        <v/>
      </c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  <c r="BG522" s="21"/>
      <c r="BH522" s="21"/>
      <c r="BI522" s="21"/>
      <c r="BJ522" s="21"/>
      <c r="BK522" s="21"/>
      <c r="BL522" s="21"/>
      <c r="BM522" s="21"/>
      <c r="BN522" s="21"/>
      <c r="BO522" s="21"/>
      <c r="BP522" s="21"/>
      <c r="BQ522" s="21"/>
      <c r="BR522" s="21"/>
      <c r="BS522" s="21"/>
      <c r="BT522" s="21"/>
      <c r="BU522" s="21"/>
      <c r="BV522" s="21"/>
      <c r="BW522" s="21"/>
      <c r="BX522" s="21"/>
      <c r="BY522" s="21"/>
      <c r="BZ522" s="21"/>
    </row>
    <row r="523" customFormat="false" ht="15.75" hidden="false" customHeight="false" outlineLevel="0" collapsed="false">
      <c r="A523" s="21"/>
      <c r="B523" s="21" t="str">
        <f aca="false">IFERROR(__xludf.dummyfunction("""COMPUTED_VALUE"""),"")</f>
        <v/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21"/>
      <c r="BK523" s="21"/>
      <c r="BL523" s="21"/>
      <c r="BM523" s="21"/>
      <c r="BN523" s="21"/>
      <c r="BO523" s="21"/>
      <c r="BP523" s="21"/>
      <c r="BQ523" s="21"/>
      <c r="BR523" s="21"/>
      <c r="BS523" s="21"/>
      <c r="BT523" s="21"/>
      <c r="BU523" s="21"/>
      <c r="BV523" s="21"/>
      <c r="BW523" s="21"/>
      <c r="BX523" s="21"/>
      <c r="BY523" s="21"/>
      <c r="BZ523" s="21"/>
    </row>
    <row r="524" customFormat="false" ht="15.75" hidden="false" customHeight="false" outlineLevel="0" collapsed="false">
      <c r="A524" s="21"/>
      <c r="B524" s="21" t="str">
        <f aca="false">IFERROR(__xludf.dummyfunction("""COMPUTED_VALUE"""),"")</f>
        <v/>
      </c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21"/>
      <c r="BK524" s="21"/>
      <c r="BL524" s="21"/>
      <c r="BM524" s="21"/>
      <c r="BN524" s="21"/>
      <c r="BO524" s="21"/>
      <c r="BP524" s="21"/>
      <c r="BQ524" s="21"/>
      <c r="BR524" s="21"/>
      <c r="BS524" s="21"/>
      <c r="BT524" s="21"/>
      <c r="BU524" s="21"/>
      <c r="BV524" s="21"/>
      <c r="BW524" s="21"/>
      <c r="BX524" s="21"/>
      <c r="BY524" s="21"/>
      <c r="BZ524" s="21"/>
    </row>
    <row r="525" customFormat="false" ht="15.75" hidden="false" customHeight="false" outlineLevel="0" collapsed="false">
      <c r="A525" s="21"/>
      <c r="B525" s="21" t="str">
        <f aca="false">IFERROR(__xludf.dummyfunction("""COMPUTED_VALUE"""),"")</f>
        <v/>
      </c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21"/>
      <c r="BK525" s="21"/>
      <c r="BL525" s="21"/>
      <c r="BM525" s="21"/>
      <c r="BN525" s="21"/>
      <c r="BO525" s="21"/>
      <c r="BP525" s="21"/>
      <c r="BQ525" s="21"/>
      <c r="BR525" s="21"/>
      <c r="BS525" s="21"/>
      <c r="BT525" s="21"/>
      <c r="BU525" s="21"/>
      <c r="BV525" s="21"/>
      <c r="BW525" s="21"/>
      <c r="BX525" s="21"/>
      <c r="BY525" s="21"/>
      <c r="BZ525" s="21"/>
    </row>
    <row r="526" customFormat="false" ht="15.75" hidden="false" customHeight="false" outlineLevel="0" collapsed="false">
      <c r="A526" s="21"/>
      <c r="B526" s="21" t="str">
        <f aca="false">IFERROR(__xludf.dummyfunction("""COMPUTED_VALUE"""),"")</f>
        <v/>
      </c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1"/>
      <c r="BK526" s="21"/>
      <c r="BL526" s="21"/>
      <c r="BM526" s="21"/>
      <c r="BN526" s="21"/>
      <c r="BO526" s="21"/>
      <c r="BP526" s="21"/>
      <c r="BQ526" s="21"/>
      <c r="BR526" s="21"/>
      <c r="BS526" s="21"/>
      <c r="BT526" s="21"/>
      <c r="BU526" s="21"/>
      <c r="BV526" s="21"/>
      <c r="BW526" s="21"/>
      <c r="BX526" s="21"/>
      <c r="BY526" s="21"/>
      <c r="BZ526" s="21"/>
    </row>
    <row r="527" customFormat="false" ht="15.75" hidden="false" customHeight="false" outlineLevel="0" collapsed="false">
      <c r="A527" s="21"/>
      <c r="B527" s="21" t="str">
        <f aca="false">IFERROR(__xludf.dummyfunction("""COMPUTED_VALUE"""),"")</f>
        <v/>
      </c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</row>
    <row r="528" customFormat="false" ht="15.75" hidden="false" customHeight="false" outlineLevel="0" collapsed="false">
      <c r="A528" s="21"/>
      <c r="B528" s="21" t="str">
        <f aca="false">IFERROR(__xludf.dummyfunction("""COMPUTED_VALUE"""),"")</f>
        <v/>
      </c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/>
      <c r="BX528" s="21"/>
      <c r="BY528" s="21"/>
      <c r="BZ528" s="21"/>
    </row>
    <row r="529" customFormat="false" ht="15.75" hidden="false" customHeight="false" outlineLevel="0" collapsed="false">
      <c r="A529" s="21"/>
      <c r="B529" s="21" t="str">
        <f aca="false">IFERROR(__xludf.dummyfunction("""COMPUTED_VALUE"""),"")</f>
        <v/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  <c r="BP529" s="21"/>
      <c r="BQ529" s="21"/>
      <c r="BR529" s="21"/>
      <c r="BS529" s="21"/>
      <c r="BT529" s="21"/>
      <c r="BU529" s="21"/>
      <c r="BV529" s="21"/>
      <c r="BW529" s="21"/>
      <c r="BX529" s="21"/>
      <c r="BY529" s="21"/>
      <c r="BZ529" s="21"/>
    </row>
    <row r="530" customFormat="false" ht="15.75" hidden="false" customHeight="false" outlineLevel="0" collapsed="false">
      <c r="A530" s="21"/>
      <c r="B530" s="21" t="str">
        <f aca="false">IFERROR(__xludf.dummyfunction("""COMPUTED_VALUE"""),"")</f>
        <v/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  <c r="BP530" s="21"/>
      <c r="BQ530" s="21"/>
      <c r="BR530" s="21"/>
      <c r="BS530" s="21"/>
      <c r="BT530" s="21"/>
      <c r="BU530" s="21"/>
      <c r="BV530" s="21"/>
      <c r="BW530" s="21"/>
      <c r="BX530" s="21"/>
      <c r="BY530" s="21"/>
      <c r="BZ530" s="21"/>
    </row>
    <row r="531" customFormat="false" ht="15.75" hidden="false" customHeight="false" outlineLevel="0" collapsed="false">
      <c r="A531" s="21"/>
      <c r="B531" s="21" t="str">
        <f aca="false">IFERROR(__xludf.dummyfunction("""COMPUTED_VALUE"""),"")</f>
        <v/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</row>
    <row r="532" customFormat="false" ht="15.75" hidden="false" customHeight="false" outlineLevel="0" collapsed="false">
      <c r="A532" s="21"/>
      <c r="B532" s="21" t="str">
        <f aca="false">IFERROR(__xludf.dummyfunction("""COMPUTED_VALUE"""),"")</f>
        <v/>
      </c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</row>
    <row r="533" customFormat="false" ht="15.75" hidden="false" customHeight="false" outlineLevel="0" collapsed="false">
      <c r="A533" s="21"/>
      <c r="B533" s="21" t="str">
        <f aca="false">IFERROR(__xludf.dummyfunction("""COMPUTED_VALUE"""),"")</f>
        <v/>
      </c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</row>
    <row r="534" customFormat="false" ht="15.75" hidden="false" customHeight="false" outlineLevel="0" collapsed="false">
      <c r="A534" s="21"/>
      <c r="B534" s="21" t="str">
        <f aca="false">IFERROR(__xludf.dummyfunction("""COMPUTED_VALUE"""),"")</f>
        <v/>
      </c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</row>
    <row r="535" customFormat="false" ht="15.75" hidden="false" customHeight="false" outlineLevel="0" collapsed="false">
      <c r="A535" s="21"/>
      <c r="B535" s="21" t="str">
        <f aca="false">IFERROR(__xludf.dummyfunction("""COMPUTED_VALUE"""),"")</f>
        <v/>
      </c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/>
      <c r="BX535" s="21"/>
      <c r="BY535" s="21"/>
      <c r="BZ535" s="21"/>
    </row>
    <row r="536" customFormat="false" ht="15.75" hidden="false" customHeight="false" outlineLevel="0" collapsed="false">
      <c r="A536" s="21"/>
      <c r="B536" s="21" t="str">
        <f aca="false">IFERROR(__xludf.dummyfunction("""COMPUTED_VALUE"""),"")</f>
        <v/>
      </c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1"/>
      <c r="BQ536" s="21"/>
      <c r="BR536" s="21"/>
      <c r="BS536" s="21"/>
      <c r="BT536" s="21"/>
      <c r="BU536" s="21"/>
      <c r="BV536" s="21"/>
      <c r="BW536" s="21"/>
      <c r="BX536" s="21"/>
      <c r="BY536" s="21"/>
      <c r="BZ536" s="21"/>
    </row>
    <row r="537" customFormat="false" ht="15.75" hidden="false" customHeight="false" outlineLevel="0" collapsed="false">
      <c r="A537" s="21"/>
      <c r="B537" s="21" t="str">
        <f aca="false">IFERROR(__xludf.dummyfunction("""COMPUTED_VALUE"""),"")</f>
        <v/>
      </c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1"/>
      <c r="BQ537" s="21"/>
      <c r="BR537" s="21"/>
      <c r="BS537" s="21"/>
      <c r="BT537" s="21"/>
      <c r="BU537" s="21"/>
      <c r="BV537" s="21"/>
      <c r="BW537" s="21"/>
      <c r="BX537" s="21"/>
      <c r="BY537" s="21"/>
      <c r="BZ537" s="21"/>
    </row>
    <row r="538" customFormat="false" ht="15.75" hidden="false" customHeight="false" outlineLevel="0" collapsed="false">
      <c r="A538" s="21"/>
      <c r="B538" s="21" t="str">
        <f aca="false">IFERROR(__xludf.dummyfunction("""COMPUTED_VALUE"""),"")</f>
        <v/>
      </c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  <c r="BG538" s="21"/>
      <c r="BH538" s="21"/>
      <c r="BI538" s="21"/>
      <c r="BJ538" s="21"/>
      <c r="BK538" s="21"/>
      <c r="BL538" s="21"/>
      <c r="BM538" s="21"/>
      <c r="BN538" s="21"/>
      <c r="BO538" s="21"/>
      <c r="BP538" s="21"/>
      <c r="BQ538" s="21"/>
      <c r="BR538" s="21"/>
      <c r="BS538" s="21"/>
      <c r="BT538" s="21"/>
      <c r="BU538" s="21"/>
      <c r="BV538" s="21"/>
      <c r="BW538" s="21"/>
      <c r="BX538" s="21"/>
      <c r="BY538" s="21"/>
      <c r="BZ538" s="21"/>
    </row>
    <row r="539" customFormat="false" ht="15.75" hidden="false" customHeight="false" outlineLevel="0" collapsed="false">
      <c r="A539" s="21"/>
      <c r="B539" s="21" t="str">
        <f aca="false">IFERROR(__xludf.dummyfunction("""COMPUTED_VALUE"""),"")</f>
        <v/>
      </c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1"/>
      <c r="BK539" s="21"/>
      <c r="BL539" s="21"/>
      <c r="BM539" s="21"/>
      <c r="BN539" s="21"/>
      <c r="BO539" s="21"/>
      <c r="BP539" s="21"/>
      <c r="BQ539" s="21"/>
      <c r="BR539" s="21"/>
      <c r="BS539" s="21"/>
      <c r="BT539" s="21"/>
      <c r="BU539" s="21"/>
      <c r="BV539" s="21"/>
      <c r="BW539" s="21"/>
      <c r="BX539" s="21"/>
      <c r="BY539" s="21"/>
      <c r="BZ539" s="21"/>
    </row>
    <row r="540" customFormat="false" ht="15.75" hidden="false" customHeight="false" outlineLevel="0" collapsed="false">
      <c r="A540" s="21"/>
      <c r="B540" s="21" t="str">
        <f aca="false">IFERROR(__xludf.dummyfunction("""COMPUTED_VALUE"""),"")</f>
        <v/>
      </c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21"/>
      <c r="BK540" s="21"/>
      <c r="BL540" s="21"/>
      <c r="BM540" s="21"/>
      <c r="BN540" s="21"/>
      <c r="BO540" s="21"/>
      <c r="BP540" s="21"/>
      <c r="BQ540" s="21"/>
      <c r="BR540" s="21"/>
      <c r="BS540" s="21"/>
      <c r="BT540" s="21"/>
      <c r="BU540" s="21"/>
      <c r="BV540" s="21"/>
      <c r="BW540" s="21"/>
      <c r="BX540" s="21"/>
      <c r="BY540" s="21"/>
      <c r="BZ540" s="21"/>
    </row>
    <row r="541" customFormat="false" ht="15.75" hidden="false" customHeight="false" outlineLevel="0" collapsed="false">
      <c r="A541" s="21"/>
      <c r="B541" s="21" t="str">
        <f aca="false">IFERROR(__xludf.dummyfunction("""COMPUTED_VALUE"""),"")</f>
        <v/>
      </c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21"/>
      <c r="BK541" s="21"/>
      <c r="BL541" s="21"/>
      <c r="BM541" s="21"/>
      <c r="BN541" s="21"/>
      <c r="BO541" s="21"/>
      <c r="BP541" s="21"/>
      <c r="BQ541" s="21"/>
      <c r="BR541" s="21"/>
      <c r="BS541" s="21"/>
      <c r="BT541" s="21"/>
      <c r="BU541" s="21"/>
      <c r="BV541" s="21"/>
      <c r="BW541" s="21"/>
      <c r="BX541" s="21"/>
      <c r="BY541" s="21"/>
      <c r="BZ541" s="21"/>
    </row>
    <row r="542" customFormat="false" ht="15.75" hidden="false" customHeight="false" outlineLevel="0" collapsed="false">
      <c r="A542" s="21"/>
      <c r="B542" s="21" t="str">
        <f aca="false">IFERROR(__xludf.dummyfunction("""COMPUTED_VALUE"""),"")</f>
        <v/>
      </c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/>
      <c r="BX542" s="21"/>
      <c r="BY542" s="21"/>
      <c r="BZ542" s="21"/>
    </row>
    <row r="543" customFormat="false" ht="15.75" hidden="false" customHeight="false" outlineLevel="0" collapsed="false">
      <c r="A543" s="21"/>
      <c r="B543" s="21" t="str">
        <f aca="false">IFERROR(__xludf.dummyfunction("""COMPUTED_VALUE"""),"")</f>
        <v/>
      </c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  <c r="BH543" s="21"/>
      <c r="BI543" s="21"/>
      <c r="BJ543" s="21"/>
      <c r="BK543" s="21"/>
      <c r="BL543" s="21"/>
      <c r="BM543" s="21"/>
      <c r="BN543" s="21"/>
      <c r="BO543" s="21"/>
      <c r="BP543" s="21"/>
      <c r="BQ543" s="21"/>
      <c r="BR543" s="21"/>
      <c r="BS543" s="21"/>
      <c r="BT543" s="21"/>
      <c r="BU543" s="21"/>
      <c r="BV543" s="21"/>
      <c r="BW543" s="21"/>
      <c r="BX543" s="21"/>
      <c r="BY543" s="21"/>
      <c r="BZ543" s="21"/>
    </row>
    <row r="544" customFormat="false" ht="15.75" hidden="false" customHeight="false" outlineLevel="0" collapsed="false">
      <c r="A544" s="21"/>
      <c r="B544" s="21" t="str">
        <f aca="false">IFERROR(__xludf.dummyfunction("""COMPUTED_VALUE"""),"")</f>
        <v/>
      </c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  <c r="BH544" s="21"/>
      <c r="BI544" s="21"/>
      <c r="BJ544" s="21"/>
      <c r="BK544" s="21"/>
      <c r="BL544" s="21"/>
      <c r="BM544" s="21"/>
      <c r="BN544" s="21"/>
      <c r="BO544" s="21"/>
      <c r="BP544" s="21"/>
      <c r="BQ544" s="21"/>
      <c r="BR544" s="21"/>
      <c r="BS544" s="21"/>
      <c r="BT544" s="21"/>
      <c r="BU544" s="21"/>
      <c r="BV544" s="21"/>
      <c r="BW544" s="21"/>
      <c r="BX544" s="21"/>
      <c r="BY544" s="21"/>
      <c r="BZ544" s="21"/>
    </row>
    <row r="545" customFormat="false" ht="15.75" hidden="false" customHeight="false" outlineLevel="0" collapsed="false">
      <c r="A545" s="21"/>
      <c r="B545" s="21" t="str">
        <f aca="false">IFERROR(__xludf.dummyfunction("""COMPUTED_VALUE"""),"")</f>
        <v/>
      </c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  <c r="BG545" s="21"/>
      <c r="BH545" s="21"/>
      <c r="BI545" s="21"/>
      <c r="BJ545" s="21"/>
      <c r="BK545" s="21"/>
      <c r="BL545" s="21"/>
      <c r="BM545" s="21"/>
      <c r="BN545" s="21"/>
      <c r="BO545" s="21"/>
      <c r="BP545" s="21"/>
      <c r="BQ545" s="21"/>
      <c r="BR545" s="21"/>
      <c r="BS545" s="21"/>
      <c r="BT545" s="21"/>
      <c r="BU545" s="21"/>
      <c r="BV545" s="21"/>
      <c r="BW545" s="21"/>
      <c r="BX545" s="21"/>
      <c r="BY545" s="21"/>
      <c r="BZ545" s="21"/>
    </row>
    <row r="546" customFormat="false" ht="15.75" hidden="false" customHeight="false" outlineLevel="0" collapsed="false">
      <c r="A546" s="21"/>
      <c r="B546" s="21" t="str">
        <f aca="false">IFERROR(__xludf.dummyfunction("""COMPUTED_VALUE"""),"")</f>
        <v/>
      </c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  <c r="BH546" s="21"/>
      <c r="BI546" s="21"/>
      <c r="BJ546" s="21"/>
      <c r="BK546" s="21"/>
      <c r="BL546" s="21"/>
      <c r="BM546" s="21"/>
      <c r="BN546" s="21"/>
      <c r="BO546" s="21"/>
      <c r="BP546" s="21"/>
      <c r="BQ546" s="21"/>
      <c r="BR546" s="21"/>
      <c r="BS546" s="21"/>
      <c r="BT546" s="21"/>
      <c r="BU546" s="21"/>
      <c r="BV546" s="21"/>
      <c r="BW546" s="21"/>
      <c r="BX546" s="21"/>
      <c r="BY546" s="21"/>
      <c r="BZ546" s="21"/>
    </row>
    <row r="547" customFormat="false" ht="15.75" hidden="false" customHeight="false" outlineLevel="0" collapsed="false">
      <c r="A547" s="21"/>
      <c r="B547" s="21" t="str">
        <f aca="false">IFERROR(__xludf.dummyfunction("""COMPUTED_VALUE"""),"")</f>
        <v/>
      </c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  <c r="BG547" s="21"/>
      <c r="BH547" s="21"/>
      <c r="BI547" s="21"/>
      <c r="BJ547" s="21"/>
      <c r="BK547" s="21"/>
      <c r="BL547" s="21"/>
      <c r="BM547" s="21"/>
      <c r="BN547" s="21"/>
      <c r="BO547" s="21"/>
      <c r="BP547" s="21"/>
      <c r="BQ547" s="21"/>
      <c r="BR547" s="21"/>
      <c r="BS547" s="21"/>
      <c r="BT547" s="21"/>
      <c r="BU547" s="21"/>
      <c r="BV547" s="21"/>
      <c r="BW547" s="21"/>
      <c r="BX547" s="21"/>
      <c r="BY547" s="21"/>
      <c r="BZ547" s="21"/>
    </row>
    <row r="548" customFormat="false" ht="15.75" hidden="false" customHeight="false" outlineLevel="0" collapsed="false">
      <c r="A548" s="21"/>
      <c r="B548" s="21" t="str">
        <f aca="false">IFERROR(__xludf.dummyfunction("""COMPUTED_VALUE"""),"")</f>
        <v/>
      </c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21"/>
      <c r="BK548" s="21"/>
      <c r="BL548" s="21"/>
      <c r="BM548" s="21"/>
      <c r="BN548" s="21"/>
      <c r="BO548" s="21"/>
      <c r="BP548" s="21"/>
      <c r="BQ548" s="21"/>
      <c r="BR548" s="21"/>
      <c r="BS548" s="21"/>
      <c r="BT548" s="21"/>
      <c r="BU548" s="21"/>
      <c r="BV548" s="21"/>
      <c r="BW548" s="21"/>
      <c r="BX548" s="21"/>
      <c r="BY548" s="21"/>
      <c r="BZ548" s="21"/>
    </row>
    <row r="549" customFormat="false" ht="15.75" hidden="false" customHeight="false" outlineLevel="0" collapsed="false">
      <c r="A549" s="21"/>
      <c r="B549" s="21" t="str">
        <f aca="false">IFERROR(__xludf.dummyfunction("""COMPUTED_VALUE"""),"")</f>
        <v/>
      </c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1"/>
      <c r="BK549" s="21"/>
      <c r="BL549" s="21"/>
      <c r="BM549" s="21"/>
      <c r="BN549" s="21"/>
      <c r="BO549" s="21"/>
      <c r="BP549" s="21"/>
      <c r="BQ549" s="21"/>
      <c r="BR549" s="21"/>
      <c r="BS549" s="21"/>
      <c r="BT549" s="21"/>
      <c r="BU549" s="21"/>
      <c r="BV549" s="21"/>
      <c r="BW549" s="21"/>
      <c r="BX549" s="21"/>
      <c r="BY549" s="21"/>
      <c r="BZ549" s="21"/>
    </row>
    <row r="550" customFormat="false" ht="15.75" hidden="false" customHeight="false" outlineLevel="0" collapsed="false">
      <c r="A550" s="21"/>
      <c r="B550" s="21" t="str">
        <f aca="false">IFERROR(__xludf.dummyfunction("""COMPUTED_VALUE"""),"")</f>
        <v/>
      </c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/>
      <c r="BX550" s="21"/>
      <c r="BY550" s="21"/>
      <c r="BZ550" s="21"/>
    </row>
    <row r="551" customFormat="false" ht="15.75" hidden="false" customHeight="false" outlineLevel="0" collapsed="false">
      <c r="A551" s="21"/>
      <c r="B551" s="21" t="str">
        <f aca="false">IFERROR(__xludf.dummyfunction("""COMPUTED_VALUE"""),"")</f>
        <v/>
      </c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21"/>
      <c r="BK551" s="21"/>
      <c r="BL551" s="21"/>
      <c r="BM551" s="21"/>
      <c r="BN551" s="21"/>
      <c r="BO551" s="21"/>
      <c r="BP551" s="21"/>
      <c r="BQ551" s="21"/>
      <c r="BR551" s="21"/>
      <c r="BS551" s="21"/>
      <c r="BT551" s="21"/>
      <c r="BU551" s="21"/>
      <c r="BV551" s="21"/>
      <c r="BW551" s="21"/>
      <c r="BX551" s="21"/>
      <c r="BY551" s="21"/>
      <c r="BZ551" s="21"/>
    </row>
    <row r="552" customFormat="false" ht="15.75" hidden="false" customHeight="false" outlineLevel="0" collapsed="false">
      <c r="A552" s="21"/>
      <c r="B552" s="21" t="str">
        <f aca="false">IFERROR(__xludf.dummyfunction("""COMPUTED_VALUE"""),"")</f>
        <v/>
      </c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/>
      <c r="BX552" s="21"/>
      <c r="BY552" s="21"/>
      <c r="BZ552" s="21"/>
    </row>
    <row r="553" customFormat="false" ht="15.75" hidden="false" customHeight="false" outlineLevel="0" collapsed="false">
      <c r="A553" s="21"/>
      <c r="B553" s="21" t="str">
        <f aca="false">IFERROR(__xludf.dummyfunction("""COMPUTED_VALUE"""),"")</f>
        <v/>
      </c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21"/>
      <c r="BK553" s="21"/>
      <c r="BL553" s="21"/>
      <c r="BM553" s="21"/>
      <c r="BN553" s="21"/>
      <c r="BO553" s="21"/>
      <c r="BP553" s="21"/>
      <c r="BQ553" s="21"/>
      <c r="BR553" s="21"/>
      <c r="BS553" s="21"/>
      <c r="BT553" s="21"/>
      <c r="BU553" s="21"/>
      <c r="BV553" s="21"/>
      <c r="BW553" s="21"/>
      <c r="BX553" s="21"/>
      <c r="BY553" s="21"/>
      <c r="BZ553" s="21"/>
    </row>
    <row r="554" customFormat="false" ht="15.75" hidden="false" customHeight="false" outlineLevel="0" collapsed="false">
      <c r="A554" s="21"/>
      <c r="B554" s="21" t="str">
        <f aca="false">IFERROR(__xludf.dummyfunction("""COMPUTED_VALUE"""),"")</f>
        <v/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21"/>
      <c r="BK554" s="21"/>
      <c r="BL554" s="21"/>
      <c r="BM554" s="21"/>
      <c r="BN554" s="21"/>
      <c r="BO554" s="21"/>
      <c r="BP554" s="21"/>
      <c r="BQ554" s="21"/>
      <c r="BR554" s="21"/>
      <c r="BS554" s="21"/>
      <c r="BT554" s="21"/>
      <c r="BU554" s="21"/>
      <c r="BV554" s="21"/>
      <c r="BW554" s="21"/>
      <c r="BX554" s="21"/>
      <c r="BY554" s="21"/>
      <c r="BZ554" s="21"/>
    </row>
    <row r="555" customFormat="false" ht="15.75" hidden="false" customHeight="false" outlineLevel="0" collapsed="false">
      <c r="A555" s="21"/>
      <c r="B555" s="21" t="str">
        <f aca="false">IFERROR(__xludf.dummyfunction("""COMPUTED_VALUE"""),"")</f>
        <v/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  <c r="BP555" s="21"/>
      <c r="BQ555" s="21"/>
      <c r="BR555" s="21"/>
      <c r="BS555" s="21"/>
      <c r="BT555" s="21"/>
      <c r="BU555" s="21"/>
      <c r="BV555" s="21"/>
      <c r="BW555" s="21"/>
      <c r="BX555" s="21"/>
      <c r="BY555" s="21"/>
      <c r="BZ555" s="21"/>
    </row>
    <row r="556" customFormat="false" ht="15.75" hidden="false" customHeight="false" outlineLevel="0" collapsed="false">
      <c r="A556" s="21"/>
      <c r="B556" s="21" t="str">
        <f aca="false">IFERROR(__xludf.dummyfunction("""COMPUTED_VALUE"""),"")</f>
        <v/>
      </c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/>
      <c r="BR556" s="21"/>
      <c r="BS556" s="21"/>
      <c r="BT556" s="21"/>
      <c r="BU556" s="21"/>
      <c r="BV556" s="21"/>
      <c r="BW556" s="21"/>
      <c r="BX556" s="21"/>
      <c r="BY556" s="21"/>
      <c r="BZ556" s="21"/>
    </row>
    <row r="557" customFormat="false" ht="15.75" hidden="false" customHeight="false" outlineLevel="0" collapsed="false">
      <c r="A557" s="21"/>
      <c r="B557" s="21" t="str">
        <f aca="false">IFERROR(__xludf.dummyfunction("""COMPUTED_VALUE"""),"")</f>
        <v/>
      </c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/>
      <c r="BR557" s="21"/>
      <c r="BS557" s="21"/>
      <c r="BT557" s="21"/>
      <c r="BU557" s="21"/>
      <c r="BV557" s="21"/>
      <c r="BW557" s="21"/>
      <c r="BX557" s="21"/>
      <c r="BY557" s="21"/>
      <c r="BZ557" s="21"/>
    </row>
    <row r="1048576" customFormat="false" ht="15.75" hidden="false" customHeight="true" outlineLevel="0" collapsed="false"/>
  </sheetData>
  <mergeCells count="4">
    <mergeCell ref="A2:A7"/>
    <mergeCell ref="A11:C11"/>
    <mergeCell ref="D11:E11"/>
    <mergeCell ref="K13:W13"/>
  </mergeCells>
  <conditionalFormatting sqref="A1:Q1000 R1:R5 S1:BI1000 BK1:BZ1000 R7:R1000 BJ8:BJ1000">
    <cfRule type="endsWith" priority="2" operator="endsWith" aboveAverage="0" equalAverage="0" bottom="0" percent="0" rank="0" text=" " dxfId="0"/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78" min="1" style="0" width="28.71"/>
    <col collapsed="false" customWidth="true" hidden="false" outlineLevel="0" max="1025" min="79" style="0" width="14.43"/>
  </cols>
  <sheetData>
    <row r="1" customFormat="false" ht="15.75" hidden="false" customHeight="false" outlineLevel="0" collapsed="false">
      <c r="A1" s="36" t="s">
        <v>1150</v>
      </c>
      <c r="B1" s="37" t="n">
        <v>1</v>
      </c>
      <c r="C1" s="37" t="n">
        <v>2</v>
      </c>
      <c r="D1" s="37" t="n">
        <v>3</v>
      </c>
      <c r="E1" s="37" t="n">
        <v>4</v>
      </c>
      <c r="F1" s="37" t="n">
        <v>5</v>
      </c>
      <c r="G1" s="37" t="n">
        <v>6</v>
      </c>
      <c r="H1" s="37" t="n">
        <v>7</v>
      </c>
      <c r="I1" s="37" t="n">
        <v>8</v>
      </c>
      <c r="J1" s="37" t="n">
        <v>9</v>
      </c>
      <c r="K1" s="37" t="n">
        <v>10</v>
      </c>
      <c r="L1" s="37" t="n">
        <v>11</v>
      </c>
      <c r="M1" s="37" t="n">
        <v>12</v>
      </c>
      <c r="N1" s="37" t="n">
        <v>13</v>
      </c>
      <c r="O1" s="37" t="n">
        <v>14</v>
      </c>
      <c r="P1" s="37" t="n">
        <v>15</v>
      </c>
      <c r="Q1" s="37" t="n">
        <v>16</v>
      </c>
      <c r="R1" s="37" t="n">
        <v>17</v>
      </c>
      <c r="S1" s="37" t="n">
        <v>18</v>
      </c>
      <c r="T1" s="37" t="n">
        <v>19</v>
      </c>
      <c r="U1" s="37" t="n">
        <v>20</v>
      </c>
      <c r="V1" s="37" t="n">
        <v>21</v>
      </c>
      <c r="W1" s="37" t="n">
        <v>22</v>
      </c>
      <c r="X1" s="37" t="n">
        <v>23</v>
      </c>
      <c r="Y1" s="37" t="n">
        <v>24</v>
      </c>
      <c r="Z1" s="37" t="n">
        <v>25</v>
      </c>
      <c r="AA1" s="37" t="n">
        <v>26</v>
      </c>
      <c r="AB1" s="37" t="n">
        <v>27</v>
      </c>
      <c r="AC1" s="37" t="n">
        <v>28</v>
      </c>
      <c r="AD1" s="37" t="n">
        <v>29</v>
      </c>
      <c r="AE1" s="37" t="n">
        <v>30</v>
      </c>
      <c r="AF1" s="37" t="n">
        <v>31</v>
      </c>
      <c r="AG1" s="37" t="n">
        <v>32</v>
      </c>
      <c r="AH1" s="37" t="n">
        <v>33</v>
      </c>
      <c r="AI1" s="37" t="n">
        <v>34</v>
      </c>
      <c r="AJ1" s="37" t="n">
        <v>35</v>
      </c>
      <c r="AK1" s="37" t="n">
        <v>36</v>
      </c>
      <c r="AL1" s="37" t="n">
        <v>37</v>
      </c>
      <c r="AM1" s="37" t="n">
        <v>38</v>
      </c>
      <c r="AN1" s="37" t="n">
        <v>39</v>
      </c>
      <c r="AO1" s="37" t="n">
        <v>40</v>
      </c>
      <c r="AP1" s="37" t="n">
        <v>41</v>
      </c>
      <c r="AQ1" s="37" t="n">
        <v>42</v>
      </c>
      <c r="AR1" s="37" t="n">
        <v>43</v>
      </c>
      <c r="AS1" s="37" t="n">
        <v>44</v>
      </c>
      <c r="AT1" s="37" t="n">
        <v>45</v>
      </c>
      <c r="AU1" s="37" t="n">
        <v>46</v>
      </c>
      <c r="AV1" s="37" t="n">
        <v>47</v>
      </c>
      <c r="AW1" s="37" t="n">
        <v>48</v>
      </c>
      <c r="AX1" s="37" t="n">
        <v>49</v>
      </c>
      <c r="AY1" s="37" t="n">
        <v>50</v>
      </c>
      <c r="AZ1" s="37" t="n">
        <v>51</v>
      </c>
      <c r="BA1" s="37" t="n">
        <v>52</v>
      </c>
      <c r="BB1" s="37" t="n">
        <v>53</v>
      </c>
      <c r="BC1" s="37" t="n">
        <v>54</v>
      </c>
      <c r="BD1" s="37" t="n">
        <v>55</v>
      </c>
      <c r="BE1" s="37" t="n">
        <v>56</v>
      </c>
      <c r="BF1" s="37" t="n">
        <v>57</v>
      </c>
      <c r="BG1" s="37" t="n">
        <v>58</v>
      </c>
      <c r="BH1" s="37" t="n">
        <v>59</v>
      </c>
      <c r="BI1" s="37" t="n">
        <v>60</v>
      </c>
      <c r="BJ1" s="37" t="n">
        <v>61</v>
      </c>
      <c r="BK1" s="37" t="n">
        <v>62</v>
      </c>
      <c r="BL1" s="37" t="n">
        <v>63</v>
      </c>
      <c r="BM1" s="37" t="n">
        <v>64</v>
      </c>
      <c r="BN1" s="37" t="n">
        <v>65</v>
      </c>
      <c r="BO1" s="37" t="n">
        <v>66</v>
      </c>
      <c r="BP1" s="37" t="n">
        <v>67</v>
      </c>
      <c r="BQ1" s="37" t="n">
        <v>68</v>
      </c>
      <c r="BR1" s="37" t="n">
        <v>69</v>
      </c>
      <c r="BS1" s="37" t="n">
        <v>70</v>
      </c>
      <c r="BT1" s="37" t="n">
        <v>71</v>
      </c>
      <c r="BU1" s="37" t="n">
        <v>72</v>
      </c>
      <c r="BV1" s="37" t="n">
        <v>73</v>
      </c>
      <c r="BW1" s="37" t="n">
        <v>74</v>
      </c>
      <c r="BX1" s="37" t="n">
        <v>75</v>
      </c>
      <c r="BY1" s="37" t="n">
        <v>76</v>
      </c>
      <c r="BZ1" s="37" t="n">
        <v>77</v>
      </c>
    </row>
    <row r="2" customFormat="false" ht="15.75" hidden="false" customHeight="false" outlineLevel="0" collapsed="false">
      <c r="A2" s="38" t="s">
        <v>1131</v>
      </c>
      <c r="B2" s="39" t="str">
        <f aca="false">FamillePersonnes!B1</f>
        <v>DPSU</v>
      </c>
      <c r="C2" s="39" t="str">
        <f aca="false">FamillePersonnes!C1</f>
        <v>Le Bordel</v>
      </c>
      <c r="D2" s="39" t="str">
        <f aca="false">FamillePersonnes!D1</f>
        <v>La Glotte</v>
      </c>
      <c r="E2" s="39" t="str">
        <f aca="false">FamillePersonnes!E1</f>
        <v>Consulm3ow</v>
      </c>
      <c r="F2" s="39" t="str">
        <f aca="false">FamillePersonnes!F1</f>
        <v>Le Zoo </v>
      </c>
      <c r="G2" s="39" t="str">
        <f aca="false">FamillePersonnes!G1</f>
        <v>Beurre salé &amp; chocolatine</v>
      </c>
      <c r="H2" s="39" t="str">
        <f aca="false">FamillePersonnes!H1</f>
        <v>Les domineurs</v>
      </c>
      <c r="I2" s="39" t="str">
        <f aca="false">FamillePersonnes!I1</f>
        <v>La Comté</v>
      </c>
      <c r="J2" s="39" t="str">
        <f aca="false">FamillePersonnes!J1</f>
        <v>La chevroll's </v>
      </c>
      <c r="K2" s="39" t="str">
        <f aca="false">FamillePersonnes!K1</f>
        <v>La Tracharnasse</v>
      </c>
      <c r="L2" s="39" t="str">
        <f aca="false">FamillePersonnes!L1</f>
        <v>Waltherock</v>
      </c>
      <c r="M2" s="39" t="str">
        <f aca="false">FamillePersonnes!M1</f>
        <v>L'Influence</v>
      </c>
      <c r="N2" s="39" t="str">
        <f aca="false">FamillePersonnes!N1</f>
        <v>COMA</v>
      </c>
      <c r="O2" s="39" t="str">
        <f aca="false">FamillePersonnes!O1</f>
        <v>Mafia</v>
      </c>
      <c r="P2" s="39" t="str">
        <f aca="false">FamillePersonnes!P1</f>
        <v>Summerfaigle</v>
      </c>
      <c r="Q2" s="39" t="str">
        <f aca="false">FamillePersonnes!Q1</f>
        <v>Nuage</v>
      </c>
      <c r="R2" s="39" t="str">
        <f aca="false">FamillePersonnes!R1</f>
        <v>PB</v>
      </c>
      <c r="S2" s="39" t="str">
        <f aca="false">FamillePersonnes!S1</f>
        <v>Trident X ChaPau</v>
      </c>
      <c r="T2" s="39" t="str">
        <f aca="false">FamillePersonnes!T1</f>
        <v>Galerie ++</v>
      </c>
      <c r="U2" s="39" t="str">
        <f aca="false">FamillePersonnes!U1</f>
        <v>Le Corridor</v>
      </c>
      <c r="V2" s="39" t="str">
        <f aca="false">FamillePersonnes!V1</f>
        <v>Dark Ludi et ses copines </v>
      </c>
      <c r="W2" s="39" t="str">
        <f aca="false">FamillePersonnes!W1</f>
        <v>Dusex</v>
      </c>
      <c r="X2" s="39" t="str">
        <f aca="false">FamillePersonnes!X1</f>
        <v>La Roulotte</v>
      </c>
      <c r="Y2" s="39" t="str">
        <f aca="false">FamillePersonnes!Y1</f>
        <v>La dezingue</v>
      </c>
      <c r="Z2" s="39" t="str">
        <f aca="false">FamillePersonnes!Z1</f>
        <v>Aquamif</v>
      </c>
      <c r="AA2" s="39" t="str">
        <f aca="false">FamillePersonnes!AA1</f>
        <v>Les Mages</v>
      </c>
      <c r="AB2" s="39" t="str">
        <f aca="false">FamillePersonnes!AB1</f>
        <v>Auberge-Monastère</v>
      </c>
      <c r="AC2" s="39" t="str">
        <f aca="false">FamillePersonnes!AC1</f>
        <v>Pimp my Ride</v>
      </c>
      <c r="AD2" s="39" t="str">
        <f aca="false">FamillePersonnes!AD1</f>
        <v>La 4 étoiles</v>
      </c>
      <c r="AE2" s="39" t="str">
        <f aca="false">FamillePersonnes!AE1</f>
        <v>Le Donjon</v>
      </c>
      <c r="AF2" s="39" t="str">
        <f aca="false">FamillePersonnes!AF1</f>
        <v>Malandros Team</v>
      </c>
      <c r="AG2" s="39" t="str">
        <f aca="false">FamillePersonnes!AG1</f>
        <v>Barton</v>
      </c>
      <c r="AH2" s="39" t="str">
        <f aca="false">FamillePersonnes!AH1</f>
        <v>La Crypte</v>
      </c>
      <c r="AI2" s="39" t="str">
        <f aca="false">FamillePersonnes!AI1</f>
        <v>Jodyssée</v>
      </c>
      <c r="AJ2" s="39" t="str">
        <f aca="false">FamillePersonnes!AJ1</f>
        <v>Les trutitas</v>
      </c>
      <c r="AK2" s="39" t="str">
        <f aca="false">FamillePersonnes!AK1</f>
        <v>Les grosses cochonnes</v>
      </c>
      <c r="AL2" s="39" t="str">
        <f aca="false">FamillePersonnes!AL1</f>
        <v>Sans-abri </v>
      </c>
      <c r="AM2" s="39" t="str">
        <f aca="false">FamillePersonnes!AM1</f>
        <v>Le Panthéon</v>
      </c>
      <c r="AN2" s="39" t="str">
        <f aca="false">FamillePersonnes!AN1</f>
        <v>la team corlay</v>
      </c>
      <c r="AO2" s="39" t="str">
        <f aca="false">FamillePersonnes!AO1</f>
        <v>Les fortiches</v>
      </c>
      <c r="AP2" s="39" t="str">
        <f aca="false">FamillePersonnes!AP1</f>
        <v>LePatio</v>
      </c>
      <c r="AQ2" s="39" t="str">
        <f aca="false">FamillePersonnes!AQ1</f>
        <v>Les coulisses</v>
      </c>
      <c r="AR2" s="39" t="str">
        <f aca="false">FamillePersonnes!AR1</f>
        <v>RACLETENTOUTAN</v>
      </c>
      <c r="AS2" s="39" t="str">
        <f aca="false">FamillePersonnes!AS1</f>
        <v>La boisson</v>
      </c>
      <c r="AT2" s="39" t="str">
        <f aca="false">FamillePersonnes!AT1</f>
        <v>Le squat</v>
      </c>
      <c r="AU2" s="39" t="str">
        <f aca="false">FamillePersonnes!AU1</f>
        <v>Les topeurs</v>
      </c>
      <c r="AV2" s="39" t="str">
        <f aca="false">FamillePersonnes!AV1</f>
        <v>azerty44</v>
      </c>
      <c r="AW2" s="39" t="str">
        <f aca="false">FamillePersonnes!AW1</f>
        <v>Parainplégiques</v>
      </c>
      <c r="AX2" s="39" t="str">
        <f aca="false">FamillePersonnes!AX1</f>
        <v>Le Kraal</v>
      </c>
      <c r="AY2" s="39" t="str">
        <f aca="false">FamillePersonnes!AY1</f>
        <v>Discorde</v>
      </c>
      <c r="AZ2" s="39" t="str">
        <f aca="false">FamillePersonnes!AZ1</f>
        <v>BBC</v>
      </c>
      <c r="BA2" s="39" t="str">
        <f aca="false">FamillePersonnes!BA1</f>
        <v>EI3 mous cancer</v>
      </c>
      <c r="BB2" s="39" t="str">
        <f aca="false">FamillePersonnes!BB1</f>
        <v>Badge</v>
      </c>
      <c r="BC2" s="39" t="str">
        <f aca="false">FamillePersonnes!BC1</f>
        <v>l'Alliance</v>
      </c>
      <c r="BD2" s="39" t="str">
        <f aca="false">FamillePersonnes!BD1</f>
        <v>Grande Famille</v>
      </c>
      <c r="BE2" s="39" t="str">
        <f aca="false">FamillePersonnes!BE1</f>
        <v>La vigie</v>
      </c>
      <c r="BF2" s="39" t="str">
        <f aca="false">FamillePersonnes!BF1</f>
        <v>Los Insoportables </v>
      </c>
      <c r="BG2" s="39" t="str">
        <f aca="false">FamillePersonnes!BG1</f>
        <v>Les 6 salopards</v>
      </c>
      <c r="BH2" s="39" t="str">
        <f aca="false">FamillePersonnes!BH1</f>
        <v>Les cyclistes</v>
      </c>
      <c r="BI2" s="39" t="str">
        <f aca="false">FamillePersonnes!BI1</f>
        <v>Juaman’GI Reloaded</v>
      </c>
      <c r="BJ2" s="39"/>
      <c r="BK2" s="39"/>
      <c r="BL2" s="39" t="n">
        <f aca="false">FamillePersonnes!BL1</f>
        <v>0</v>
      </c>
      <c r="BM2" s="39" t="n">
        <f aca="false">FamillePersonnes!BM1</f>
        <v>0</v>
      </c>
      <c r="BN2" s="39" t="n">
        <f aca="false">FamillePersonnes!BN1</f>
        <v>0</v>
      </c>
      <c r="BO2" s="39" t="n">
        <f aca="false">FamillePersonnes!BO1</f>
        <v>0</v>
      </c>
      <c r="BP2" s="39" t="n">
        <f aca="false">FamillePersonnes!BP1</f>
        <v>0</v>
      </c>
      <c r="BQ2" s="39" t="n">
        <f aca="false">FamillePersonnes!BQ1</f>
        <v>0</v>
      </c>
      <c r="BR2" s="39" t="n">
        <f aca="false">FamillePersonnes!BR1</f>
        <v>0</v>
      </c>
      <c r="BS2" s="39" t="n">
        <f aca="false">FamillePersonnes!BS1</f>
        <v>0</v>
      </c>
      <c r="BT2" s="39" t="n">
        <f aca="false">FamillePersonnes!BT1</f>
        <v>0</v>
      </c>
      <c r="BU2" s="39" t="n">
        <f aca="false">FamillePersonnes!BU1</f>
        <v>0</v>
      </c>
      <c r="BV2" s="39" t="n">
        <f aca="false">FamillePersonnes!BV1</f>
        <v>0</v>
      </c>
      <c r="BW2" s="39" t="n">
        <f aca="false">FamillePersonnes!BW1</f>
        <v>0</v>
      </c>
      <c r="BX2" s="39" t="n">
        <f aca="false">FamillePersonnes!BX1</f>
        <v>0</v>
      </c>
      <c r="BY2" s="39" t="n">
        <f aca="false">FamillePersonnes!BY1</f>
        <v>0</v>
      </c>
      <c r="BZ2" s="39" t="n">
        <f aca="false">FamillePersonnes!BZ1</f>
        <v>0</v>
      </c>
    </row>
    <row r="3" customFormat="false" ht="15.75" hidden="false" customHeight="false" outlineLevel="0" collapsed="false">
      <c r="A3" s="40" t="s">
        <v>1151</v>
      </c>
      <c r="B3" s="41" t="n">
        <f aca="false">COUNTA(FamillePersonnes!B2:B7)</f>
        <v>6</v>
      </c>
      <c r="C3" s="41" t="n">
        <f aca="false">COUNTA(FamillePersonnes!C2:C7)</f>
        <v>3</v>
      </c>
      <c r="D3" s="41" t="n">
        <f aca="false">COUNTA(FamillePersonnes!D2:D7)</f>
        <v>5</v>
      </c>
      <c r="E3" s="41" t="n">
        <f aca="false">COUNTA(FamillePersonnes!E2:E7)</f>
        <v>6</v>
      </c>
      <c r="F3" s="41" t="n">
        <f aca="false">COUNTA(FamillePersonnes!F2:F7)</f>
        <v>4</v>
      </c>
      <c r="G3" s="41" t="n">
        <f aca="false">COUNTA(FamillePersonnes!G2:G7)</f>
        <v>4</v>
      </c>
      <c r="H3" s="41" t="n">
        <f aca="false">COUNTA(FamillePersonnes!H2:H7)</f>
        <v>6</v>
      </c>
      <c r="I3" s="41" t="n">
        <f aca="false">COUNTA(FamillePersonnes!I2:I7)</f>
        <v>6</v>
      </c>
      <c r="J3" s="41" t="n">
        <f aca="false">COUNTA(FamillePersonnes!J2:J7)</f>
        <v>5</v>
      </c>
      <c r="K3" s="41" t="n">
        <f aca="false">COUNTA(FamillePersonnes!K2:K7)</f>
        <v>5</v>
      </c>
      <c r="L3" s="41" t="n">
        <f aca="false">COUNTA(FamillePersonnes!L2:L7)</f>
        <v>5</v>
      </c>
      <c r="M3" s="41" t="n">
        <f aca="false">COUNTA(FamillePersonnes!M2:M7)</f>
        <v>5</v>
      </c>
      <c r="N3" s="41" t="n">
        <f aca="false">COUNTA(FamillePersonnes!N2:N7)</f>
        <v>6</v>
      </c>
      <c r="O3" s="41" t="n">
        <f aca="false">COUNTA(FamillePersonnes!O2:O7)</f>
        <v>6</v>
      </c>
      <c r="P3" s="41" t="n">
        <f aca="false">COUNTA(FamillePersonnes!P2:P7)</f>
        <v>6</v>
      </c>
      <c r="Q3" s="41" t="n">
        <f aca="false">COUNTA(FamillePersonnes!Q2:Q7)</f>
        <v>5</v>
      </c>
      <c r="R3" s="41" t="n">
        <f aca="false">COUNTA(FamillePersonnes!R2:R7)</f>
        <v>4</v>
      </c>
      <c r="S3" s="41" t="n">
        <f aca="false">COUNTA(FamillePersonnes!S2:S7)</f>
        <v>6</v>
      </c>
      <c r="T3" s="41" t="n">
        <f aca="false">COUNTA(FamillePersonnes!T2:T7)</f>
        <v>6</v>
      </c>
      <c r="U3" s="41" t="n">
        <f aca="false">COUNTA(FamillePersonnes!U2:U7)</f>
        <v>4</v>
      </c>
      <c r="V3" s="41" t="n">
        <f aca="false">COUNTA(FamillePersonnes!V2:V7)</f>
        <v>4</v>
      </c>
      <c r="W3" s="41" t="n">
        <f aca="false">COUNTA(FamillePersonnes!W2:W7)</f>
        <v>6</v>
      </c>
      <c r="X3" s="41" t="n">
        <f aca="false">COUNTA(FamillePersonnes!X2:X7)</f>
        <v>4</v>
      </c>
      <c r="Y3" s="41" t="n">
        <f aca="false">COUNTA(FamillePersonnes!Y2:Y7)</f>
        <v>6</v>
      </c>
      <c r="Z3" s="41" t="n">
        <f aca="false">COUNTA(FamillePersonnes!Z2:Z7)</f>
        <v>4</v>
      </c>
      <c r="AA3" s="41" t="n">
        <f aca="false">COUNTA(FamillePersonnes!AA2:AA7)</f>
        <v>4</v>
      </c>
      <c r="AB3" s="41" t="n">
        <f aca="false">COUNTA(FamillePersonnes!AB2:AB7)</f>
        <v>6</v>
      </c>
      <c r="AC3" s="41" t="n">
        <f aca="false">COUNTA(FamillePersonnes!AC2:AC7)</f>
        <v>6</v>
      </c>
      <c r="AD3" s="41" t="n">
        <f aca="false">COUNTA(FamillePersonnes!AD2:AD7)</f>
        <v>4</v>
      </c>
      <c r="AE3" s="41" t="n">
        <f aca="false">COUNTA(FamillePersonnes!AE2:AE7)</f>
        <v>5</v>
      </c>
      <c r="AF3" s="41" t="n">
        <f aca="false">COUNTA(FamillePersonnes!AF2:AF7)</f>
        <v>4</v>
      </c>
      <c r="AG3" s="41" t="n">
        <f aca="false">COUNTA(FamillePersonnes!AG2:AG7)</f>
        <v>6</v>
      </c>
      <c r="AH3" s="41" t="n">
        <f aca="false">COUNTA(FamillePersonnes!AH2:AH7)</f>
        <v>5</v>
      </c>
      <c r="AI3" s="41" t="n">
        <f aca="false">COUNTA(FamillePersonnes!AI2:AI7)</f>
        <v>5</v>
      </c>
      <c r="AJ3" s="41" t="n">
        <f aca="false">COUNTA(FamillePersonnes!AJ2:AJ7)</f>
        <v>6</v>
      </c>
      <c r="AK3" s="41" t="n">
        <f aca="false">COUNTA(FamillePersonnes!AK2:AK7)</f>
        <v>4</v>
      </c>
      <c r="AL3" s="41" t="n">
        <f aca="false">COUNTA(FamillePersonnes!AL2:AL7)</f>
        <v>5</v>
      </c>
      <c r="AM3" s="41" t="n">
        <f aca="false">COUNTA(FamillePersonnes!AM2:AM7)</f>
        <v>5</v>
      </c>
      <c r="AN3" s="41" t="n">
        <f aca="false">COUNTA(FamillePersonnes!AN2:AN7)</f>
        <v>4</v>
      </c>
      <c r="AO3" s="41" t="n">
        <f aca="false">COUNTA(FamillePersonnes!AO2:AO7)</f>
        <v>5</v>
      </c>
      <c r="AP3" s="41" t="n">
        <f aca="false">COUNTA(FamillePersonnes!AP2:AP7)</f>
        <v>6</v>
      </c>
      <c r="AQ3" s="41" t="n">
        <f aca="false">COUNTA(FamillePersonnes!AQ2:AQ7)</f>
        <v>3</v>
      </c>
      <c r="AR3" s="41" t="n">
        <f aca="false">COUNTA(FamillePersonnes!AR2:AR7)</f>
        <v>5</v>
      </c>
      <c r="AS3" s="41" t="n">
        <f aca="false">COUNTA(FamillePersonnes!AS2:AS7)</f>
        <v>4</v>
      </c>
      <c r="AT3" s="41" t="n">
        <f aca="false">COUNTA(FamillePersonnes!AT2:AT7)</f>
        <v>6</v>
      </c>
      <c r="AU3" s="41" t="n">
        <f aca="false">COUNTA(FamillePersonnes!AU2:AU7)</f>
        <v>3</v>
      </c>
      <c r="AV3" s="41" t="n">
        <f aca="false">COUNTA(FamillePersonnes!AV2:AV7)</f>
        <v>4</v>
      </c>
      <c r="AW3" s="41" t="n">
        <f aca="false">COUNTA(FamillePersonnes!AW2:AW7)</f>
        <v>5</v>
      </c>
      <c r="AX3" s="41" t="n">
        <f aca="false">COUNTA(FamillePersonnes!AX2:AX7)</f>
        <v>5</v>
      </c>
      <c r="AY3" s="41" t="n">
        <f aca="false">COUNTA(FamillePersonnes!AY2:AY7)</f>
        <v>4</v>
      </c>
      <c r="AZ3" s="41" t="n">
        <f aca="false">COUNTA(FamillePersonnes!AZ2:AZ7)</f>
        <v>3</v>
      </c>
      <c r="BA3" s="41" t="n">
        <f aca="false">COUNTA(FamillePersonnes!BA2:BA7)</f>
        <v>6</v>
      </c>
      <c r="BB3" s="41" t="n">
        <f aca="false">COUNTA(FamillePersonnes!BB2:BB7)</f>
        <v>3</v>
      </c>
      <c r="BC3" s="41" t="n">
        <f aca="false">COUNTA(FamillePersonnes!BC2:BC7)</f>
        <v>5</v>
      </c>
      <c r="BD3" s="41" t="n">
        <f aca="false">COUNTA(FamillePersonnes!BD2:BD7)</f>
        <v>3</v>
      </c>
      <c r="BE3" s="41" t="n">
        <f aca="false">COUNTA(FamillePersonnes!BE2:BE7)</f>
        <v>4</v>
      </c>
      <c r="BF3" s="41" t="n">
        <f aca="false">COUNTA(FamillePersonnes!BF2:BF7)</f>
        <v>6</v>
      </c>
      <c r="BG3" s="41" t="n">
        <f aca="false">COUNTA(FamillePersonnes!BG2:BG7)</f>
        <v>6</v>
      </c>
      <c r="BH3" s="41" t="n">
        <f aca="false">COUNTA(FamillePersonnes!BH2:BH7)</f>
        <v>4</v>
      </c>
      <c r="BI3" s="41" t="n">
        <f aca="false">COUNTA(FamillePersonnes!BI2:BI7)</f>
        <v>5</v>
      </c>
      <c r="BJ3" s="41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3"/>
    </row>
    <row r="6" customFormat="false" ht="15.75" hidden="false" customHeight="false" outlineLevel="0" collapsed="false">
      <c r="A6" s="44" t="str">
        <f aca="false">FamillePersonnes!A1</f>
        <v>Familles :</v>
      </c>
      <c r="B6" s="44" t="str">
        <f aca="false">FamillePersonnes!B1</f>
        <v>DPSU</v>
      </c>
      <c r="C6" s="44" t="str">
        <f aca="false">FamillePersonnes!C1</f>
        <v>Le Bordel</v>
      </c>
      <c r="D6" s="44" t="str">
        <f aca="false">FamillePersonnes!D1</f>
        <v>La Glotte</v>
      </c>
      <c r="E6" s="44" t="str">
        <f aca="false">FamillePersonnes!E1</f>
        <v>Consulm3ow</v>
      </c>
      <c r="F6" s="44" t="str">
        <f aca="false">FamillePersonnes!F1</f>
        <v>Le Zoo </v>
      </c>
      <c r="G6" s="44" t="str">
        <f aca="false">FamillePersonnes!G1</f>
        <v>Beurre salé &amp; chocolatine</v>
      </c>
      <c r="H6" s="44" t="str">
        <f aca="false">FamillePersonnes!H1</f>
        <v>Les domineurs</v>
      </c>
      <c r="I6" s="44" t="str">
        <f aca="false">FamillePersonnes!I1</f>
        <v>La Comté</v>
      </c>
      <c r="J6" s="44" t="str">
        <f aca="false">FamillePersonnes!J1</f>
        <v>La chevroll's </v>
      </c>
      <c r="K6" s="44" t="str">
        <f aca="false">FamillePersonnes!K1</f>
        <v>La Tracharnasse</v>
      </c>
      <c r="L6" s="44" t="str">
        <f aca="false">FamillePersonnes!L1</f>
        <v>Waltherock</v>
      </c>
      <c r="M6" s="44" t="str">
        <f aca="false">FamillePersonnes!M1</f>
        <v>L'Influence</v>
      </c>
      <c r="N6" s="44" t="str">
        <f aca="false">FamillePersonnes!N1</f>
        <v>COMA</v>
      </c>
      <c r="O6" s="44" t="str">
        <f aca="false">FamillePersonnes!O1</f>
        <v>Mafia</v>
      </c>
      <c r="P6" s="44" t="str">
        <f aca="false">FamillePersonnes!P1</f>
        <v>Summerfaigle</v>
      </c>
      <c r="Q6" s="44" t="str">
        <f aca="false">FamillePersonnes!Q1</f>
        <v>Nuage</v>
      </c>
      <c r="R6" s="44" t="str">
        <f aca="false">FamillePersonnes!R1</f>
        <v>PB</v>
      </c>
      <c r="S6" s="44" t="str">
        <f aca="false">FamillePersonnes!S1</f>
        <v>Trident X ChaPau</v>
      </c>
      <c r="T6" s="44" t="str">
        <f aca="false">FamillePersonnes!T1</f>
        <v>Galerie ++</v>
      </c>
      <c r="U6" s="44" t="str">
        <f aca="false">FamillePersonnes!U1</f>
        <v>Le Corridor</v>
      </c>
      <c r="V6" s="44" t="str">
        <f aca="false">FamillePersonnes!V1</f>
        <v>Dark Ludi et ses copines </v>
      </c>
      <c r="W6" s="44" t="str">
        <f aca="false">FamillePersonnes!W1</f>
        <v>Dusex</v>
      </c>
      <c r="X6" s="44" t="str">
        <f aca="false">FamillePersonnes!X1</f>
        <v>La Roulotte</v>
      </c>
      <c r="Y6" s="44" t="str">
        <f aca="false">FamillePersonnes!Y1</f>
        <v>La dezingue</v>
      </c>
      <c r="Z6" s="44" t="str">
        <f aca="false">FamillePersonnes!Z1</f>
        <v>Aquamif</v>
      </c>
      <c r="AA6" s="44" t="str">
        <f aca="false">FamillePersonnes!AA1</f>
        <v>Les Mages</v>
      </c>
      <c r="AB6" s="44" t="str">
        <f aca="false">FamillePersonnes!AB1</f>
        <v>Auberge-Monastère</v>
      </c>
      <c r="AC6" s="44" t="str">
        <f aca="false">FamillePersonnes!AC1</f>
        <v>Pimp my Ride</v>
      </c>
      <c r="AD6" s="44" t="str">
        <f aca="false">FamillePersonnes!AD1</f>
        <v>La 4 étoiles</v>
      </c>
      <c r="AE6" s="44" t="str">
        <f aca="false">FamillePersonnes!AE1</f>
        <v>Le Donjon</v>
      </c>
      <c r="AF6" s="44" t="str">
        <f aca="false">FamillePersonnes!AF1</f>
        <v>Malandros Team</v>
      </c>
      <c r="AG6" s="44" t="str">
        <f aca="false">FamillePersonnes!AG1</f>
        <v>Barton</v>
      </c>
      <c r="AH6" s="44" t="str">
        <f aca="false">FamillePersonnes!AH1</f>
        <v>La Crypte</v>
      </c>
      <c r="AI6" s="44" t="str">
        <f aca="false">FamillePersonnes!AI1</f>
        <v>Jodyssée</v>
      </c>
      <c r="AJ6" s="44" t="str">
        <f aca="false">FamillePersonnes!AJ1</f>
        <v>Les trutitas</v>
      </c>
      <c r="AK6" s="44" t="str">
        <f aca="false">FamillePersonnes!AK1</f>
        <v>Les grosses cochonnes</v>
      </c>
      <c r="AL6" s="44" t="str">
        <f aca="false">FamillePersonnes!AL1</f>
        <v>Sans-abri </v>
      </c>
      <c r="AM6" s="44" t="str">
        <f aca="false">FamillePersonnes!AM1</f>
        <v>Le Panthéon</v>
      </c>
      <c r="AN6" s="44" t="str">
        <f aca="false">FamillePersonnes!AN1</f>
        <v>la team corlay</v>
      </c>
      <c r="AO6" s="44" t="str">
        <f aca="false">FamillePersonnes!AO1</f>
        <v>Les fortiches</v>
      </c>
      <c r="AP6" s="44" t="str">
        <f aca="false">FamillePersonnes!AP1</f>
        <v>LePatio</v>
      </c>
      <c r="AQ6" s="44" t="str">
        <f aca="false">FamillePersonnes!AQ1</f>
        <v>Les coulisses</v>
      </c>
      <c r="AR6" s="44" t="str">
        <f aca="false">FamillePersonnes!AR1</f>
        <v>RACLETENTOUTAN</v>
      </c>
      <c r="AS6" s="44" t="str">
        <f aca="false">FamillePersonnes!AS1</f>
        <v>La boisson</v>
      </c>
      <c r="AT6" s="44" t="str">
        <f aca="false">FamillePersonnes!AT1</f>
        <v>Le squat</v>
      </c>
      <c r="AU6" s="44" t="str">
        <f aca="false">FamillePersonnes!AU1</f>
        <v>Les topeurs</v>
      </c>
      <c r="AV6" s="44" t="str">
        <f aca="false">FamillePersonnes!AV1</f>
        <v>azerty44</v>
      </c>
      <c r="AW6" s="44" t="str">
        <f aca="false">FamillePersonnes!AW1</f>
        <v>Parainplégiques</v>
      </c>
      <c r="AX6" s="44" t="str">
        <f aca="false">FamillePersonnes!AX1</f>
        <v>Le Kraal</v>
      </c>
      <c r="AY6" s="44" t="str">
        <f aca="false">FamillePersonnes!AY1</f>
        <v>Discorde</v>
      </c>
      <c r="AZ6" s="44" t="str">
        <f aca="false">FamillePersonnes!AZ1</f>
        <v>BBC</v>
      </c>
      <c r="BA6" s="44" t="str">
        <f aca="false">FamillePersonnes!BA1</f>
        <v>EI3 mous cancer</v>
      </c>
      <c r="BB6" s="44" t="str">
        <f aca="false">FamillePersonnes!BB1</f>
        <v>Badge</v>
      </c>
      <c r="BC6" s="44" t="str">
        <f aca="false">FamillePersonnes!BC1</f>
        <v>l'Alliance</v>
      </c>
      <c r="BD6" s="44" t="str">
        <f aca="false">FamillePersonnes!BD1</f>
        <v>Grande Famille</v>
      </c>
      <c r="BE6" s="44" t="str">
        <f aca="false">FamillePersonnes!BE1</f>
        <v>La vigie</v>
      </c>
      <c r="BF6" s="44" t="str">
        <f aca="false">FamillePersonnes!BF1</f>
        <v>Los Insoportables </v>
      </c>
      <c r="BG6" s="44" t="str">
        <f aca="false">FamillePersonnes!BG1</f>
        <v>Les 6 salopards</v>
      </c>
      <c r="BH6" s="44" t="str">
        <f aca="false">FamillePersonnes!BH1</f>
        <v>Les cyclistes</v>
      </c>
      <c r="BI6" s="44" t="str">
        <f aca="false">FamillePersonnes!BI1</f>
        <v>Juaman’GI Reloaded</v>
      </c>
      <c r="BJ6" s="44" t="n">
        <f aca="false">FamillePersonnes!BJ1</f>
        <v>0</v>
      </c>
      <c r="BK6" s="44" t="n">
        <f aca="false">FamillePersonnes!BK1</f>
        <v>0</v>
      </c>
      <c r="BL6" s="44" t="n">
        <f aca="false">FamillePersonnes!BL1</f>
        <v>0</v>
      </c>
      <c r="BM6" s="44" t="n">
        <f aca="false">FamillePersonnes!BM1</f>
        <v>0</v>
      </c>
      <c r="BN6" s="44" t="n">
        <f aca="false">FamillePersonnes!BN1</f>
        <v>0</v>
      </c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6"/>
    </row>
    <row r="7" customFormat="false" ht="15.75" hidden="false" customHeight="false" outlineLevel="0" collapsed="false">
      <c r="A7" s="44" t="str">
        <f aca="false">FamillePersonnes!A2</f>
        <v>Personnes :</v>
      </c>
      <c r="B7" s="44" t="str">
        <f aca="false">FamillePersonnes!B2</f>
        <v>Michel Qu</v>
      </c>
      <c r="C7" s="44" t="str">
        <f aca="false">FamillePersonnes!C2</f>
        <v>Alexis Birée</v>
      </c>
      <c r="D7" s="44" t="str">
        <f aca="false">FamillePersonnes!D2</f>
        <v>Pablo CARDONA ALVAREZ</v>
      </c>
      <c r="E7" s="44" t="str">
        <f aca="false">FamillePersonnes!E2</f>
        <v>Enzo MORI</v>
      </c>
      <c r="F7" s="44" t="str">
        <f aca="false">FamillePersonnes!F2</f>
        <v>Laura BOIS</v>
      </c>
      <c r="G7" s="44" t="str">
        <f aca="false">FamillePersonnes!G2</f>
        <v>Guillaume SALUDEN</v>
      </c>
      <c r="H7" s="44" t="str">
        <f aca="false">FamillePersonnes!H2</f>
        <v>Louis Duhem</v>
      </c>
      <c r="I7" s="44" t="str">
        <f aca="false">FamillePersonnes!I2</f>
        <v>Adrien COCHARD</v>
      </c>
      <c r="J7" s="44" t="str">
        <f aca="false">FamillePersonnes!J2</f>
        <v>Tom Aubelle</v>
      </c>
      <c r="K7" s="44" t="str">
        <f aca="false">FamillePersonnes!K2</f>
        <v>Julie Ugolini</v>
      </c>
      <c r="L7" s="44" t="str">
        <f aca="false">FamillePersonnes!L2</f>
        <v>Constance Kooyman</v>
      </c>
      <c r="M7" s="44" t="str">
        <f aca="false">FamillePersonnes!M2</f>
        <v>Mathieu KERMAREC</v>
      </c>
      <c r="N7" s="44" t="str">
        <f aca="false">FamillePersonnes!N2</f>
        <v>Thomas Serratrice</v>
      </c>
      <c r="O7" s="44" t="str">
        <f aca="false">FamillePersonnes!O2</f>
        <v>Cédric DUSSERRE</v>
      </c>
      <c r="P7" s="44" t="str">
        <f aca="false">FamillePersonnes!P2</f>
        <v>Agathe MADAULE</v>
      </c>
      <c r="Q7" s="44" t="str">
        <f aca="false">FamillePersonnes!Q2</f>
        <v>Marie Cozzi</v>
      </c>
      <c r="R7" s="44" t="str">
        <f aca="false">FamillePersonnes!R2</f>
        <v>Charles-Eole MARICHAL</v>
      </c>
      <c r="S7" s="44" t="str">
        <f aca="false">FamillePersonnes!S2</f>
        <v>Charlotte Fosse</v>
      </c>
      <c r="T7" s="44" t="str">
        <f aca="false">FamillePersonnes!T2</f>
        <v>Marie VIOLLEAU</v>
      </c>
      <c r="U7" s="44" t="str">
        <f aca="false">FamillePersonnes!U2</f>
        <v>Paul MARTEL</v>
      </c>
      <c r="V7" s="44" t="str">
        <f aca="false">FamillePersonnes!V2</f>
        <v>Lisa SAVARIEAU</v>
      </c>
      <c r="W7" s="44" t="str">
        <f aca="false">FamillePersonnes!W2</f>
        <v>Jules SINTES</v>
      </c>
      <c r="X7" s="44" t="str">
        <f aca="false">FamillePersonnes!X2</f>
        <v>Ferreol GORIOUX</v>
      </c>
      <c r="Y7" s="44" t="str">
        <f aca="false">FamillePersonnes!Y2</f>
        <v>Thomas SAEZ</v>
      </c>
      <c r="Z7" s="44" t="str">
        <f aca="false">FamillePersonnes!Z2</f>
        <v>Thomas MEDORI</v>
      </c>
      <c r="AA7" s="44" t="str">
        <f aca="false">FamillePersonnes!AA2</f>
        <v>Benjamin Martin</v>
      </c>
      <c r="AB7" s="44" t="str">
        <f aca="false">FamillePersonnes!AB2</f>
        <v>Pauline AUBRY</v>
      </c>
      <c r="AC7" s="44" t="str">
        <f aca="false">FamillePersonnes!AC2</f>
        <v>Sol VILLEGAS</v>
      </c>
      <c r="AD7" s="44" t="str">
        <f aca="false">FamillePersonnes!AD2</f>
        <v>Alizée DIATCHENKO</v>
      </c>
      <c r="AE7" s="44" t="str">
        <f aca="false">FamillePersonnes!AE2</f>
        <v>Nicolas GUYONNEAU</v>
      </c>
      <c r="AF7" s="44" t="str">
        <f aca="false">FamillePersonnes!AF2</f>
        <v>Juan Felipe GÓMEZ ALFARO</v>
      </c>
      <c r="AG7" s="44" t="str">
        <f aca="false">FamillePersonnes!AG2</f>
        <v>Alban VILLEDIEU</v>
      </c>
      <c r="AH7" s="44" t="str">
        <f aca="false">FamillePersonnes!AH2</f>
        <v>Marius DUVILLARD</v>
      </c>
      <c r="AI7" s="44" t="str">
        <f aca="false">FamillePersonnes!AI2</f>
        <v>Juline CORNET-GOY</v>
      </c>
      <c r="AJ7" s="44" t="str">
        <f aca="false">FamillePersonnes!AJ2</f>
        <v>Maxence PASCAL</v>
      </c>
      <c r="AK7" s="44" t="str">
        <f aca="false">FamillePersonnes!AK2</f>
        <v>Léa SCETBUN</v>
      </c>
      <c r="AL7" s="44" t="str">
        <f aca="false">FamillePersonnes!AL2</f>
        <v>Solene LE FUR</v>
      </c>
      <c r="AM7" s="44" t="str">
        <f aca="false">FamillePersonnes!AM2</f>
        <v>Pierre MAQUET</v>
      </c>
      <c r="AN7" s="44" t="str">
        <f aca="false">FamillePersonnes!AN2</f>
        <v>simeo Potiron</v>
      </c>
      <c r="AO7" s="44" t="str">
        <f aca="false">FamillePersonnes!AO2</f>
        <v>Grégoire Turzo</v>
      </c>
      <c r="AP7" s="44" t="str">
        <f aca="false">FamillePersonnes!AP2</f>
        <v>Moens Diego</v>
      </c>
      <c r="AQ7" s="44" t="str">
        <f aca="false">FamillePersonnes!AQ2</f>
        <v>Baptiste Marlet</v>
      </c>
      <c r="AR7" s="44" t="str">
        <f aca="false">FamillePersonnes!AR2</f>
        <v>Maximilien LESSAULT</v>
      </c>
      <c r="AS7" s="44" t="str">
        <f aca="false">FamillePersonnes!AS2</f>
        <v>Pierre BOURREAU</v>
      </c>
      <c r="AT7" s="44" t="str">
        <f aca="false">FamillePersonnes!AT2</f>
        <v>Charlotte BEAUNE</v>
      </c>
      <c r="AU7" s="44" t="str">
        <f aca="false">FamillePersonnes!AU2</f>
        <v>Louis LEQUES</v>
      </c>
      <c r="AV7" s="44" t="str">
        <f aca="false">FamillePersonnes!AV2</f>
        <v>Mathis CELCE</v>
      </c>
      <c r="AW7" s="44" t="str">
        <f aca="false">FamillePersonnes!AW2</f>
        <v>Théo Hennion</v>
      </c>
      <c r="AX7" s="44" t="str">
        <f aca="false">FamillePersonnes!AX2</f>
        <v>Cyriane BIENVENUE</v>
      </c>
      <c r="AY7" s="44" t="str">
        <f aca="false">FamillePersonnes!AY2</f>
        <v>Amine CHEKROUD</v>
      </c>
      <c r="AZ7" s="44" t="str">
        <f aca="false">FamillePersonnes!AZ2</f>
        <v>Arthur LEMASSON</v>
      </c>
      <c r="BA7" s="44" t="str">
        <f aca="false">FamillePersonnes!BA2</f>
        <v>Antoine DAROUX</v>
      </c>
      <c r="BB7" s="44" t="str">
        <f aca="false">FamillePersonnes!BB2</f>
        <v>Eric Ali Mehenni</v>
      </c>
      <c r="BC7" s="44" t="str">
        <f aca="false">FamillePersonnes!BC2</f>
        <v>Ruben MATONDZI</v>
      </c>
      <c r="BD7" s="44" t="str">
        <f aca="false">FamillePersonnes!BD2</f>
        <v>TOMAZ AMORIM</v>
      </c>
      <c r="BE7" s="44" t="str">
        <f aca="false">FamillePersonnes!BE2</f>
        <v>Corentin GILBERT</v>
      </c>
      <c r="BF7" s="44" t="str">
        <f aca="false">FamillePersonnes!BF2</f>
        <v>Sergio MORENO LÓPEZ</v>
      </c>
      <c r="BG7" s="44" t="str">
        <f aca="false">FamillePersonnes!BG2</f>
        <v>Pierre Libault</v>
      </c>
      <c r="BH7" s="44" t="str">
        <f aca="false">FamillePersonnes!BH2</f>
        <v>Romain SUCCHE</v>
      </c>
      <c r="BI7" s="44" t="str">
        <f aca="false">FamillePersonnes!BI2</f>
        <v>Paul SAUBION</v>
      </c>
      <c r="BJ7" s="44" t="n">
        <f aca="false">FamillePersonnes!BJ2</f>
        <v>0</v>
      </c>
      <c r="BK7" s="44" t="n">
        <f aca="false">FamillePersonnes!BK2</f>
        <v>0</v>
      </c>
      <c r="BL7" s="44" t="n">
        <f aca="false">FamillePersonnes!BL2</f>
        <v>0</v>
      </c>
      <c r="BM7" s="44" t="n">
        <f aca="false">FamillePersonnes!BM2</f>
        <v>0</v>
      </c>
      <c r="BN7" s="44" t="n">
        <f aca="false">FamillePersonnes!BN2</f>
        <v>0</v>
      </c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8"/>
    </row>
    <row r="8" customFormat="false" ht="15.75" hidden="false" customHeight="false" outlineLevel="0" collapsed="false">
      <c r="A8" s="44" t="n">
        <f aca="false">FamillePersonnes!A3</f>
        <v>0</v>
      </c>
      <c r="B8" s="44" t="str">
        <f aca="false">FamillePersonnes!B3</f>
        <v>Marie BOUTROUX</v>
      </c>
      <c r="C8" s="44" t="str">
        <f aca="false">FamillePersonnes!C3</f>
        <v>Laura DRAUX</v>
      </c>
      <c r="D8" s="44" t="str">
        <f aca="false">FamillePersonnes!D3</f>
        <v>Maelig GABORIEAU</v>
      </c>
      <c r="E8" s="44" t="str">
        <f aca="false">FamillePersonnes!E3</f>
        <v>Victor VINCENT DE LESTRADE</v>
      </c>
      <c r="F8" s="44" t="str">
        <f aca="false">FamillePersonnes!F3</f>
        <v>Dimitri DEGONHIER</v>
      </c>
      <c r="G8" s="44" t="str">
        <f aca="false">FamillePersonnes!G3</f>
        <v>Gonzalez JoseRi 😇</v>
      </c>
      <c r="H8" s="44" t="str">
        <f aca="false">FamillePersonnes!H3</f>
        <v>Vincent PASCAT</v>
      </c>
      <c r="I8" s="44" t="str">
        <f aca="false">FamillePersonnes!I3</f>
        <v>Pauline Viault</v>
      </c>
      <c r="J8" s="44" t="str">
        <f aca="false">FamillePersonnes!J3</f>
        <v>Joanna MARTIN</v>
      </c>
      <c r="K8" s="44" t="str">
        <f aca="false">FamillePersonnes!K3</f>
        <v>Marie POIRIER</v>
      </c>
      <c r="L8" s="44" t="str">
        <f aca="false">FamillePersonnes!L3</f>
        <v>Damien GUYONVARCH</v>
      </c>
      <c r="M8" s="44" t="str">
        <f aca="false">FamillePersonnes!M3</f>
        <v>Thomas LE JAN</v>
      </c>
      <c r="N8" s="44" t="str">
        <f aca="false">FamillePersonnes!N3</f>
        <v>Grégory Perret</v>
      </c>
      <c r="O8" s="44" t="str">
        <f aca="false">FamillePersonnes!O3</f>
        <v>Julien Douxami</v>
      </c>
      <c r="P8" s="44" t="str">
        <f aca="false">FamillePersonnes!P3</f>
        <v>Valentine KEMPF</v>
      </c>
      <c r="Q8" s="44" t="str">
        <f aca="false">FamillePersonnes!Q3</f>
        <v>Justin Becker</v>
      </c>
      <c r="R8" s="44" t="str">
        <f aca="false">FamillePersonnes!R3</f>
        <v>J'ui une grosse pute</v>
      </c>
      <c r="S8" s="44" t="str">
        <f aca="false">FamillePersonnes!S3</f>
        <v>Aurélien DE LA HOUGUE</v>
      </c>
      <c r="T8" s="44" t="str">
        <f aca="false">FamillePersonnes!T3</f>
        <v>Mathieu ZACH</v>
      </c>
      <c r="U8" s="44" t="str">
        <f aca="false">FamillePersonnes!U3</f>
        <v>Pierre-Louis lombard</v>
      </c>
      <c r="V8" s="44" t="str">
        <f aca="false">FamillePersonnes!V3</f>
        <v>Ludivine LUXEY</v>
      </c>
      <c r="W8" s="44" t="str">
        <f aca="false">FamillePersonnes!W3</f>
        <v>Emeric Claudel</v>
      </c>
      <c r="X8" s="44" t="str">
        <f aca="false">FamillePersonnes!X3</f>
        <v>Samuel RATOUIT</v>
      </c>
      <c r="Y8" s="44" t="str">
        <f aca="false">FamillePersonnes!Y3</f>
        <v>Marius MENAULT</v>
      </c>
      <c r="Z8" s="44" t="str">
        <f aca="false">FamillePersonnes!Z3</f>
        <v>Aurèle HAINAUT</v>
      </c>
      <c r="AA8" s="44" t="str">
        <f aca="false">FamillePersonnes!AA3</f>
        <v>Alix BOSSU</v>
      </c>
      <c r="AB8" s="44" t="str">
        <f aca="false">FamillePersonnes!AB3</f>
        <v>Flora SOUSSAND</v>
      </c>
      <c r="AC8" s="44" t="str">
        <f aca="false">FamillePersonnes!AC3</f>
        <v>Mario ALVAREZ-CASTRILLON</v>
      </c>
      <c r="AD8" s="44" t="str">
        <f aca="false">FamillePersonnes!AD3</f>
        <v>Chloé CANAVATE</v>
      </c>
      <c r="AE8" s="44" t="str">
        <f aca="false">FamillePersonnes!AE3</f>
        <v>Sarah PETROCCHI</v>
      </c>
      <c r="AF8" s="44" t="str">
        <f aca="false">FamillePersonnes!AF3</f>
        <v>Alfonso COLON DE CARVAJAL</v>
      </c>
      <c r="AG8" s="44" t="str">
        <f aca="false">FamillePersonnes!AG3</f>
        <v>Pierre Go</v>
      </c>
      <c r="AH8" s="44" t="str">
        <f aca="false">FamillePersonnes!AH3</f>
        <v>Maxime GRAS</v>
      </c>
      <c r="AI8" s="44" t="str">
        <f aca="false">FamillePersonnes!AI3</f>
        <v>Lise GERMON</v>
      </c>
      <c r="AJ8" s="44" t="str">
        <f aca="false">FamillePersonnes!AJ3</f>
        <v>Henrique MARTINEZ DE AZEVEDO</v>
      </c>
      <c r="AK8" s="44" t="str">
        <f aca="false">FamillePersonnes!AK3</f>
        <v>Théo DELOBEL</v>
      </c>
      <c r="AL8" s="44" t="str">
        <f aca="false">FamillePersonnes!AL3</f>
        <v>Eugénie cotte</v>
      </c>
      <c r="AM8" s="44" t="str">
        <f aca="false">FamillePersonnes!AM3</f>
        <v>Céline FEREC</v>
      </c>
      <c r="AN8" s="44" t="str">
        <f aca="false">FamillePersonnes!AN3</f>
        <v>Antoine TARDIVON</v>
      </c>
      <c r="AO8" s="44" t="str">
        <f aca="false">FamillePersonnes!AO3</f>
        <v>Henri de Chanterac</v>
      </c>
      <c r="AP8" s="44" t="str">
        <f aca="false">FamillePersonnes!AP3</f>
        <v>Felipe Altamirano</v>
      </c>
      <c r="AQ8" s="44" t="str">
        <f aca="false">FamillePersonnes!AQ3</f>
        <v>Nicolas Meniconi</v>
      </c>
      <c r="AR8" s="44" t="str">
        <f aca="false">FamillePersonnes!AR3</f>
        <v>Thomas oppmann</v>
      </c>
      <c r="AS8" s="44" t="str">
        <f aca="false">FamillePersonnes!AS3</f>
        <v>Antoine SENELLART</v>
      </c>
      <c r="AT8" s="44" t="str">
        <f aca="false">FamillePersonnes!AT3</f>
        <v>Helena Delmotte</v>
      </c>
      <c r="AU8" s="44" t="str">
        <f aca="false">FamillePersonnes!AU3</f>
        <v>Samir ZINA-RAGGOUA</v>
      </c>
      <c r="AV8" s="44" t="str">
        <f aca="false">FamillePersonnes!AV3</f>
        <v>Maxime Roy</v>
      </c>
      <c r="AW8" s="44" t="str">
        <f aca="false">FamillePersonnes!AW3</f>
        <v>Clément Wozniak</v>
      </c>
      <c r="AX8" s="44" t="str">
        <f aca="false">FamillePersonnes!AX3</f>
        <v>Cyprien MARION</v>
      </c>
      <c r="AY8" s="44" t="str">
        <f aca="false">FamillePersonnes!AY3</f>
        <v>Pm Guyot</v>
      </c>
      <c r="AZ8" s="44" t="str">
        <f aca="false">FamillePersonnes!AZ3</f>
        <v>Vincent MESLIER</v>
      </c>
      <c r="BA8" s="44" t="str">
        <f aca="false">FamillePersonnes!BA3</f>
        <v>Lucas SANCIET--MUNIER</v>
      </c>
      <c r="BB8" s="44" t="str">
        <f aca="false">FamillePersonnes!BB3</f>
        <v>Thomas LE BOURHIS</v>
      </c>
      <c r="BC8" s="44" t="str">
        <f aca="false">FamillePersonnes!BC3</f>
        <v>Manon DUBREIL</v>
      </c>
      <c r="BD8" s="44" t="str">
        <f aca="false">FamillePersonnes!BD3</f>
        <v>Ananda VANDERWEGEN</v>
      </c>
      <c r="BE8" s="44" t="str">
        <f aca="false">FamillePersonnes!BE3</f>
        <v>Alexandre Bryk</v>
      </c>
      <c r="BF8" s="44" t="str">
        <f aca="false">FamillePersonnes!BF3</f>
        <v>Adán REYES REYES</v>
      </c>
      <c r="BG8" s="44" t="str">
        <f aca="false">FamillePersonnes!BG3</f>
        <v>Félix-Olivier Ngangue Nseke</v>
      </c>
      <c r="BH8" s="44" t="str">
        <f aca="false">FamillePersonnes!BH3</f>
        <v>Nicolas ROGER</v>
      </c>
      <c r="BI8" s="44" t="str">
        <f aca="false">FamillePersonnes!BI3</f>
        <v>Florian BARTOCCI</v>
      </c>
      <c r="BJ8" s="44" t="n">
        <f aca="false">FamillePersonnes!BJ3</f>
        <v>0</v>
      </c>
      <c r="BK8" s="44" t="n">
        <f aca="false">FamillePersonnes!BK3</f>
        <v>0</v>
      </c>
      <c r="BL8" s="44" t="n">
        <f aca="false">FamillePersonnes!BL3</f>
        <v>0</v>
      </c>
      <c r="BM8" s="44" t="n">
        <f aca="false">FamillePersonnes!BM3</f>
        <v>0</v>
      </c>
      <c r="BN8" s="44" t="n">
        <f aca="false">FamillePersonnes!BN3</f>
        <v>0</v>
      </c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50"/>
    </row>
    <row r="9" customFormat="false" ht="15.75" hidden="false" customHeight="false" outlineLevel="0" collapsed="false">
      <c r="A9" s="44" t="n">
        <f aca="false">FamillePersonnes!A4</f>
        <v>0</v>
      </c>
      <c r="B9" s="44" t="str">
        <f aca="false">FamillePersonnes!B4</f>
        <v>Kheira POUVREAU</v>
      </c>
      <c r="C9" s="44" t="str">
        <f aca="false">FamillePersonnes!C4</f>
        <v>Célia CHABRANT</v>
      </c>
      <c r="D9" s="44" t="str">
        <f aca="false">FamillePersonnes!D4</f>
        <v>Carmen SORIA</v>
      </c>
      <c r="E9" s="44" t="str">
        <f aca="false">FamillePersonnes!E4</f>
        <v>Mathis BARTHERE</v>
      </c>
      <c r="F9" s="44" t="str">
        <f aca="false">FamillePersonnes!F4</f>
        <v>André D'ELBREIL</v>
      </c>
      <c r="G9" s="44" t="str">
        <f aca="false">FamillePersonnes!G4</f>
        <v>Jeremy Garcia</v>
      </c>
      <c r="H9" s="44" t="str">
        <f aca="false">FamillePersonnes!H4</f>
        <v>Lucas MIRANDE</v>
      </c>
      <c r="I9" s="44" t="str">
        <f aca="false">FamillePersonnes!I4</f>
        <v>Laurine DECROS</v>
      </c>
      <c r="J9" s="44" t="str">
        <f aca="false">FamillePersonnes!J4</f>
        <v>Alexandre VURLOD</v>
      </c>
      <c r="K9" s="44" t="str">
        <f aca="false">FamillePersonnes!K4</f>
        <v>Marc de Ponnat</v>
      </c>
      <c r="L9" s="44" t="str">
        <f aca="false">FamillePersonnes!L4</f>
        <v>Florent COLLOCH</v>
      </c>
      <c r="M9" s="44" t="str">
        <f aca="false">FamillePersonnes!M4</f>
        <v>Paul LENOIR</v>
      </c>
      <c r="N9" s="44" t="str">
        <f aca="false">FamillePersonnes!N4</f>
        <v>Louis DA COSTA</v>
      </c>
      <c r="O9" s="44" t="str">
        <f aca="false">FamillePersonnes!O4</f>
        <v>Paul CHAUVIN</v>
      </c>
      <c r="P9" s="44" t="str">
        <f aca="false">FamillePersonnes!P4</f>
        <v>Baptiste Miossec</v>
      </c>
      <c r="Q9" s="44" t="str">
        <f aca="false">FamillePersonnes!Q4</f>
        <v>Alessandro MASI</v>
      </c>
      <c r="R9" s="44" t="str">
        <f aca="false">FamillePersonnes!R4</f>
        <v>Erwan Sauvage</v>
      </c>
      <c r="S9" s="44" t="str">
        <f aca="false">FamillePersonnes!S4</f>
        <v>Matthieu BARCET</v>
      </c>
      <c r="T9" s="44" t="str">
        <f aca="false">FamillePersonnes!T4</f>
        <v>Iris PROUST</v>
      </c>
      <c r="U9" s="44" t="str">
        <f aca="false">FamillePersonnes!U4</f>
        <v>Lucas Chaubier</v>
      </c>
      <c r="V9" s="44" t="str">
        <f aca="false">FamillePersonnes!V4</f>
        <v>Ariane BERGER</v>
      </c>
      <c r="W9" s="44" t="str">
        <f aca="false">FamillePersonnes!W4</f>
        <v>Thomas AUZARD</v>
      </c>
      <c r="X9" s="44" t="str">
        <f aca="false">FamillePersonnes!X4</f>
        <v>Martin Fauchille-Martin</v>
      </c>
      <c r="Y9" s="44" t="str">
        <f aca="false">FamillePersonnes!Y4</f>
        <v>Léonce AUDIBERT</v>
      </c>
      <c r="Z9" s="44" t="str">
        <f aca="false">FamillePersonnes!Z4</f>
        <v>Aurèle DALIBOT</v>
      </c>
      <c r="AA9" s="44" t="str">
        <f aca="false">FamillePersonnes!AA4</f>
        <v>Oscar JACINTHO</v>
      </c>
      <c r="AB9" s="44" t="str">
        <f aca="false">FamillePersonnes!AB4</f>
        <v>Claire TRINQUET</v>
      </c>
      <c r="AC9" s="44" t="str">
        <f aca="false">FamillePersonnes!AC4</f>
        <v>Vincent Maillou</v>
      </c>
      <c r="AD9" s="44" t="str">
        <f aca="false">FamillePersonnes!AD4</f>
        <v>Maena GALERON</v>
      </c>
      <c r="AE9" s="44" t="str">
        <f aca="false">FamillePersonnes!AE4</f>
        <v>Constance PHILIPPE</v>
      </c>
      <c r="AF9" s="44" t="str">
        <f aca="false">FamillePersonnes!AF4</f>
        <v>Luis FERNANDEZ</v>
      </c>
      <c r="AG9" s="44" t="str">
        <f aca="false">FamillePersonnes!AG4</f>
        <v>Mitsi R.</v>
      </c>
      <c r="AH9" s="44" t="str">
        <f aca="false">FamillePersonnes!AH4</f>
        <v>Audrey BOYENVAL</v>
      </c>
      <c r="AI9" s="44" t="str">
        <f aca="false">FamillePersonnes!AI4</f>
        <v>Alizée AMSLER</v>
      </c>
      <c r="AJ9" s="44" t="str">
        <f aca="false">FamillePersonnes!AJ4</f>
        <v>José Ronzel</v>
      </c>
      <c r="AK9" s="44" t="str">
        <f aca="false">FamillePersonnes!AK4</f>
        <v>Jérôme KAYSER</v>
      </c>
      <c r="AL9" s="44" t="str">
        <f aca="false">FamillePersonnes!AL4</f>
        <v>Samuel BISMUT</v>
      </c>
      <c r="AM9" s="44" t="str">
        <f aca="false">FamillePersonnes!AM4</f>
        <v>Léo HUREAU</v>
      </c>
      <c r="AN9" s="44" t="str">
        <f aca="false">FamillePersonnes!AN4</f>
        <v>Adrien Simonet</v>
      </c>
      <c r="AO9" s="44" t="str">
        <f aca="false">FamillePersonnes!AO4</f>
        <v>Elouan BARBEREAU</v>
      </c>
      <c r="AP9" s="44" t="str">
        <f aca="false">FamillePersonnes!AP4</f>
        <v>Alison ALIAGA</v>
      </c>
      <c r="AQ9" s="44" t="str">
        <f aca="false">FamillePersonnes!AQ4</f>
        <v>Pierre-Jean POLLOT</v>
      </c>
      <c r="AR9" s="44" t="str">
        <f aca="false">FamillePersonnes!AR4</f>
        <v>Alexandre Ghannad</v>
      </c>
      <c r="AS9" s="44" t="str">
        <f aca="false">FamillePersonnes!AS4</f>
        <v>Louis CLAUCE</v>
      </c>
      <c r="AT9" s="44" t="str">
        <f aca="false">FamillePersonnes!AT4</f>
        <v>Anis KHEZNADJI</v>
      </c>
      <c r="AU9" s="44" t="str">
        <f aca="false">FamillePersonnes!AU4</f>
        <v>Mikaël Farje</v>
      </c>
      <c r="AV9" s="44" t="str">
        <f aca="false">FamillePersonnes!AV4</f>
        <v>Gauthier PEZZOLI</v>
      </c>
      <c r="AW9" s="44" t="str">
        <f aca="false">FamillePersonnes!AW4</f>
        <v>Adam EL YOUMI</v>
      </c>
      <c r="AX9" s="44" t="str">
        <f aca="false">FamillePersonnes!AX4</f>
        <v>Louis COGAN</v>
      </c>
      <c r="AY9" s="44" t="str">
        <f aca="false">FamillePersonnes!AY4</f>
        <v>Richard ARNAUD</v>
      </c>
      <c r="AZ9" s="44" t="str">
        <f aca="false">FamillePersonnes!AZ4</f>
        <v>Tom OVISTE</v>
      </c>
      <c r="BA9" s="44" t="str">
        <f aca="false">FamillePersonnes!BA4</f>
        <v>Hugo GAYRARD</v>
      </c>
      <c r="BB9" s="44" t="str">
        <f aca="false">FamillePersonnes!BB4</f>
        <v>Ramy SLIM</v>
      </c>
      <c r="BC9" s="44" t="str">
        <f aca="false">FamillePersonnes!BC4</f>
        <v>Maëlenn COLSON</v>
      </c>
      <c r="BD9" s="44" t="str">
        <f aca="false">FamillePersonnes!BD4</f>
        <v>Márcio Bruno DOS SANTOS CORREIA</v>
      </c>
      <c r="BE9" s="44" t="str">
        <f aca="false">FamillePersonnes!BE4</f>
        <v>Thomas HERRBACH</v>
      </c>
      <c r="BF9" s="44" t="str">
        <f aca="false">FamillePersonnes!BF4</f>
        <v>Jose Luís RIVERA BLANCO</v>
      </c>
      <c r="BG9" s="44" t="str">
        <f aca="false">FamillePersonnes!BG4</f>
        <v>Laurène THILLIER</v>
      </c>
      <c r="BH9" s="44" t="str">
        <f aca="false">FamillePersonnes!BH4</f>
        <v>Emmanuel COLLIGNAN</v>
      </c>
      <c r="BI9" s="44" t="str">
        <f aca="false">FamillePersonnes!BI4</f>
        <v>Jean-Baptiste de BECO</v>
      </c>
      <c r="BJ9" s="44" t="n">
        <f aca="false">FamillePersonnes!BJ4</f>
        <v>0</v>
      </c>
      <c r="BK9" s="44" t="n">
        <f aca="false">FamillePersonnes!BK4</f>
        <v>0</v>
      </c>
      <c r="BL9" s="44" t="n">
        <f aca="false">FamillePersonnes!BL4</f>
        <v>0</v>
      </c>
      <c r="BM9" s="44" t="n">
        <f aca="false">FamillePersonnes!BM4</f>
        <v>0</v>
      </c>
      <c r="BN9" s="44" t="n">
        <f aca="false">FamillePersonnes!BN4</f>
        <v>0</v>
      </c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50"/>
    </row>
    <row r="10" customFormat="false" ht="15.75" hidden="false" customHeight="false" outlineLevel="0" collapsed="false">
      <c r="A10" s="44" t="n">
        <f aca="false">FamillePersonnes!A5</f>
        <v>0</v>
      </c>
      <c r="B10" s="44" t="str">
        <f aca="false">FamillePersonnes!B5</f>
        <v>Jean ROMAN</v>
      </c>
      <c r="C10" s="44" t="n">
        <f aca="false">FamillePersonnes!C5</f>
        <v>0</v>
      </c>
      <c r="D10" s="44" t="str">
        <f aca="false">FamillePersonnes!D5</f>
        <v>Quentin Peyle</v>
      </c>
      <c r="E10" s="44" t="str">
        <f aca="false">FamillePersonnes!E5</f>
        <v>Andrew FONDJO</v>
      </c>
      <c r="F10" s="44" t="str">
        <f aca="false">FamillePersonnes!F5</f>
        <v>Maximin TOURAILLE</v>
      </c>
      <c r="G10" s="44" t="str">
        <f aca="false">FamillePersonnes!G5</f>
        <v>Maxence FORT</v>
      </c>
      <c r="H10" s="44" t="str">
        <f aca="false">FamillePersonnes!H5</f>
        <v>Mathilde Querné</v>
      </c>
      <c r="I10" s="44" t="str">
        <f aca="false">FamillePersonnes!I5</f>
        <v>Suzanne COUTELOU</v>
      </c>
      <c r="J10" s="44" t="str">
        <f aca="false">FamillePersonnes!J5</f>
        <v>Tony MARTINEAU</v>
      </c>
      <c r="K10" s="44" t="str">
        <f aca="false">FamillePersonnes!K5</f>
        <v>Matthieu Brunot</v>
      </c>
      <c r="L10" s="44" t="str">
        <f aca="false">FamillePersonnes!L5</f>
        <v>Adrien RIDOUARD</v>
      </c>
      <c r="M10" s="44" t="str">
        <f aca="false">FamillePersonnes!M5</f>
        <v>Alexandre MERVILLE</v>
      </c>
      <c r="N10" s="44" t="str">
        <f aca="false">FamillePersonnes!N5</f>
        <v>Antoine Dupuis</v>
      </c>
      <c r="O10" s="44" t="str">
        <f aca="false">FamillePersonnes!O5</f>
        <v>Hugo Weiss</v>
      </c>
      <c r="P10" s="44" t="str">
        <f aca="false">FamillePersonnes!P5</f>
        <v>Maxime Guldner</v>
      </c>
      <c r="Q10" s="44" t="str">
        <f aca="false">FamillePersonnes!Q5</f>
        <v>Robin Tanquerel</v>
      </c>
      <c r="R10" s="44" t="str">
        <f aca="false">FamillePersonnes!R5</f>
        <v>Rémy MAIGE</v>
      </c>
      <c r="S10" s="44" t="str">
        <f aca="false">FamillePersonnes!S5</f>
        <v>Louis AUGEREAU</v>
      </c>
      <c r="T10" s="44" t="str">
        <f aca="false">FamillePersonnes!T5</f>
        <v>Sébastien MARAIS</v>
      </c>
      <c r="U10" s="44" t="str">
        <f aca="false">FamillePersonnes!U5</f>
        <v>Matthieu RETIERE</v>
      </c>
      <c r="V10" s="44" t="str">
        <f aca="false">FamillePersonnes!V5</f>
        <v>Alice Mennesson</v>
      </c>
      <c r="W10" s="44" t="str">
        <f aca="false">FamillePersonnes!W5</f>
        <v>Orson JAY</v>
      </c>
      <c r="X10" s="44" t="str">
        <f aca="false">FamillePersonnes!X5</f>
        <v>Nils Hornet</v>
      </c>
      <c r="Y10" s="44" t="str">
        <f aca="false">FamillePersonnes!Y5</f>
        <v>Antoine Chillet</v>
      </c>
      <c r="Z10" s="44" t="str">
        <f aca="false">FamillePersonnes!Z5</f>
        <v>Tommy GEHENIAU</v>
      </c>
      <c r="AA10" s="44" t="str">
        <f aca="false">FamillePersonnes!AA5</f>
        <v>Victor BLANCART</v>
      </c>
      <c r="AB10" s="44" t="str">
        <f aca="false">FamillePersonnes!AB5</f>
        <v>Marie-Jeanne PAUL</v>
      </c>
      <c r="AC10" s="44" t="str">
        <f aca="false">FamillePersonnes!AC5</f>
        <v>Hugo SEMPÉ</v>
      </c>
      <c r="AD10" s="44" t="str">
        <f aca="false">FamillePersonnes!AD5</f>
        <v>KONATE</v>
      </c>
      <c r="AE10" s="44" t="str">
        <f aca="false">FamillePersonnes!AE5</f>
        <v>Alexandre SEVENO</v>
      </c>
      <c r="AF10" s="44" t="str">
        <f aca="false">FamillePersonnes!AF5</f>
        <v>Raúl VILLAFUERTE</v>
      </c>
      <c r="AG10" s="44" t="str">
        <f aca="false">FamillePersonnes!AG5</f>
        <v>Marie COUPÉ</v>
      </c>
      <c r="AH10" s="44" t="str">
        <f aca="false">FamillePersonnes!AH5</f>
        <v>Mathieu Rey-Herme</v>
      </c>
      <c r="AI10" s="44" t="str">
        <f aca="false">FamillePersonnes!AI5</f>
        <v>Mai-Vi VU</v>
      </c>
      <c r="AJ10" s="44" t="str">
        <f aca="false">FamillePersonnes!AJ5</f>
        <v>Exequiel</v>
      </c>
      <c r="AK10" s="44" t="str">
        <f aca="false">FamillePersonnes!AK5</f>
        <v>Esteban LECOURT</v>
      </c>
      <c r="AL10" s="44" t="str">
        <f aca="false">FamillePersonnes!AL5</f>
        <v>Antoine LETOFFET</v>
      </c>
      <c r="AM10" s="44" t="str">
        <f aca="false">FamillePersonnes!AM5</f>
        <v>Awen BRUNEAU</v>
      </c>
      <c r="AN10" s="44" t="str">
        <f aca="false">FamillePersonnes!AN5</f>
        <v>Timothée Corlay</v>
      </c>
      <c r="AO10" s="44" t="str">
        <f aca="false">FamillePersonnes!AO5</f>
        <v>Jean Pichard</v>
      </c>
      <c r="AP10" s="44" t="str">
        <f aca="false">FamillePersonnes!AP5</f>
        <v>Argueta Tamayo Emanuel</v>
      </c>
      <c r="AQ10" s="44" t="n">
        <f aca="false">FamillePersonnes!AQ5</f>
        <v>0</v>
      </c>
      <c r="AR10" s="44" t="str">
        <f aca="false">FamillePersonnes!AR5</f>
        <v>Christopher LESDALONS</v>
      </c>
      <c r="AS10" s="44" t="str">
        <f aca="false">FamillePersonnes!AS5</f>
        <v>Allouache</v>
      </c>
      <c r="AT10" s="44" t="str">
        <f aca="false">FamillePersonnes!AT5</f>
        <v>Noémie RABILLOUD</v>
      </c>
      <c r="AU10" s="44" t="n">
        <f aca="false">FamillePersonnes!AU5</f>
        <v>0</v>
      </c>
      <c r="AV10" s="44" t="str">
        <f aca="false">FamillePersonnes!AV5</f>
        <v>Adrien Jamelot</v>
      </c>
      <c r="AW10" s="44" t="str">
        <f aca="false">FamillePersonnes!AW5</f>
        <v>Valentin Pibernus</v>
      </c>
      <c r="AX10" s="44" t="str">
        <f aca="false">FamillePersonnes!AX5</f>
        <v>Le Mintier Emmanuel</v>
      </c>
      <c r="AY10" s="44" t="str">
        <f aca="false">FamillePersonnes!AY5</f>
        <v>Anaïs BOUCHET</v>
      </c>
      <c r="AZ10" s="44" t="n">
        <f aca="false">FamillePersonnes!AZ5</f>
        <v>0</v>
      </c>
      <c r="BA10" s="44" t="str">
        <f aca="false">FamillePersonnes!BA5</f>
        <v>Loïc</v>
      </c>
      <c r="BB10" s="44" t="n">
        <f aca="false">FamillePersonnes!BB5</f>
        <v>0</v>
      </c>
      <c r="BC10" s="44" t="str">
        <f aca="false">FamillePersonnes!BC5</f>
        <v>Werner</v>
      </c>
      <c r="BD10" s="44" t="n">
        <f aca="false">FamillePersonnes!BD5</f>
        <v>0</v>
      </c>
      <c r="BE10" s="44" t="str">
        <f aca="false">FamillePersonnes!BE5</f>
        <v>Fabien RAVET</v>
      </c>
      <c r="BF10" s="44" t="str">
        <f aca="false">FamillePersonnes!BF5</f>
        <v>Yinzheng ZHOU</v>
      </c>
      <c r="BG10" s="44" t="str">
        <f aca="false">FamillePersonnes!BG5</f>
        <v>Tanguy CABARET</v>
      </c>
      <c r="BH10" s="44" t="str">
        <f aca="false">FamillePersonnes!BH5</f>
        <v>Jérôme VILLEROT</v>
      </c>
      <c r="BI10" s="44" t="str">
        <f aca="false">FamillePersonnes!BI5</f>
        <v>Matthieu LAMIELLE</v>
      </c>
      <c r="BJ10" s="44" t="n">
        <f aca="false">FamillePersonnes!BJ5</f>
        <v>0</v>
      </c>
      <c r="BK10" s="44" t="n">
        <f aca="false">FamillePersonnes!BK5</f>
        <v>0</v>
      </c>
      <c r="BL10" s="44" t="n">
        <f aca="false">FamillePersonnes!BL5</f>
        <v>0</v>
      </c>
      <c r="BM10" s="44" t="n">
        <f aca="false">FamillePersonnes!BM5</f>
        <v>0</v>
      </c>
      <c r="BN10" s="44" t="n">
        <f aca="false">FamillePersonnes!BN5</f>
        <v>0</v>
      </c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50"/>
    </row>
    <row r="11" customFormat="false" ht="15.75" hidden="false" customHeight="false" outlineLevel="0" collapsed="false">
      <c r="A11" s="44" t="n">
        <f aca="false">FamillePersonnes!A6</f>
        <v>0</v>
      </c>
      <c r="B11" s="44" t="str">
        <f aca="false">FamillePersonnes!B6</f>
        <v>Jeanne SUDOUR</v>
      </c>
      <c r="C11" s="44" t="n">
        <f aca="false">FamillePersonnes!C6</f>
        <v>0</v>
      </c>
      <c r="D11" s="44" t="str">
        <f aca="false">FamillePersonnes!D6</f>
        <v>Sébastien VILLA</v>
      </c>
      <c r="E11" s="44" t="str">
        <f aca="false">FamillePersonnes!E6</f>
        <v>Clément DENIS</v>
      </c>
      <c r="F11" s="44" t="n">
        <f aca="false">FamillePersonnes!F6</f>
        <v>0</v>
      </c>
      <c r="G11" s="44" t="n">
        <f aca="false">FamillePersonnes!G6</f>
        <v>0</v>
      </c>
      <c r="H11" s="44" t="str">
        <f aca="false">FamillePersonnes!H6</f>
        <v>Irène Le Borgne</v>
      </c>
      <c r="I11" s="44" t="str">
        <f aca="false">FamillePersonnes!I6</f>
        <v>Hugo DOUX</v>
      </c>
      <c r="J11" s="44" t="str">
        <f aca="false">FamillePersonnes!J6</f>
        <v>Simon PUECH</v>
      </c>
      <c r="K11" s="44" t="str">
        <f aca="false">FamillePersonnes!K6</f>
        <v>Julien Bomberault</v>
      </c>
      <c r="L11" s="44" t="str">
        <f aca="false">FamillePersonnes!L6</f>
        <v>Audric BALSSA</v>
      </c>
      <c r="M11" s="44" t="str">
        <f aca="false">FamillePersonnes!M6</f>
        <v>Gabriel Lucas</v>
      </c>
      <c r="N11" s="44" t="str">
        <f aca="false">FamillePersonnes!N6</f>
        <v>Lucas Baraton</v>
      </c>
      <c r="O11" s="44" t="str">
        <f aca="false">FamillePersonnes!O6</f>
        <v>Adele ONDARCUHU</v>
      </c>
      <c r="P11" s="44" t="str">
        <f aca="false">FamillePersonnes!P6</f>
        <v>Thibaut BERTHOMÉ</v>
      </c>
      <c r="Q11" s="44" t="str">
        <f aca="false">FamillePersonnes!Q6</f>
        <v>Vincent ESPINASSE</v>
      </c>
      <c r="R11" s="44" t="n">
        <f aca="false">FamillePersonnes!R6</f>
        <v>0</v>
      </c>
      <c r="S11" s="44" t="str">
        <f aca="false">FamillePersonnes!S6</f>
        <v>Céline Balmes</v>
      </c>
      <c r="T11" s="44" t="str">
        <f aca="false">FamillePersonnes!T6</f>
        <v>Gauthier Maillard</v>
      </c>
      <c r="U11" s="44" t="n">
        <f aca="false">FamillePersonnes!U6</f>
        <v>0</v>
      </c>
      <c r="V11" s="44" t="n">
        <f aca="false">FamillePersonnes!V6</f>
        <v>0</v>
      </c>
      <c r="W11" s="44" t="str">
        <f aca="false">FamillePersonnes!W6</f>
        <v>Henri CHHOA</v>
      </c>
      <c r="X11" s="44" t="n">
        <f aca="false">FamillePersonnes!X6</f>
        <v>0</v>
      </c>
      <c r="Y11" s="44" t="str">
        <f aca="false">FamillePersonnes!Y6</f>
        <v>Lilie BOIZUMAULT</v>
      </c>
      <c r="Z11" s="44" t="n">
        <f aca="false">FamillePersonnes!Z6</f>
        <v>0</v>
      </c>
      <c r="AA11" s="44" t="n">
        <f aca="false">FamillePersonnes!AA6</f>
        <v>0</v>
      </c>
      <c r="AB11" s="44" t="str">
        <f aca="false">FamillePersonnes!AB6</f>
        <v>Marion JOUVIGNE</v>
      </c>
      <c r="AC11" s="44" t="str">
        <f aca="false">FamillePersonnes!AC6</f>
        <v>Adrien BOUVIER</v>
      </c>
      <c r="AD11" s="44" t="n">
        <f aca="false">FamillePersonnes!AD6</f>
        <v>0</v>
      </c>
      <c r="AE11" s="44" t="str">
        <f aca="false">FamillePersonnes!AE6</f>
        <v>Maxime PATRY</v>
      </c>
      <c r="AF11" s="44" t="n">
        <f aca="false">FamillePersonnes!AF6</f>
        <v>0</v>
      </c>
      <c r="AG11" s="44" t="str">
        <f aca="false">FamillePersonnes!AG6</f>
        <v>Geoffroy LECONTE</v>
      </c>
      <c r="AH11" s="44" t="str">
        <f aca="false">FamillePersonnes!AH6</f>
        <v>Romane CARIOU</v>
      </c>
      <c r="AI11" s="44" t="str">
        <f aca="false">FamillePersonnes!AI6</f>
        <v>Perrine JUILLET</v>
      </c>
      <c r="AJ11" s="44" t="str">
        <f aca="false">FamillePersonnes!AJ6</f>
        <v>Marina THIEME PETERSEN</v>
      </c>
      <c r="AK11" s="44" t="n">
        <f aca="false">FamillePersonnes!AK6</f>
        <v>0</v>
      </c>
      <c r="AL11" s="44" t="str">
        <f aca="false">FamillePersonnes!AL6</f>
        <v>Borget</v>
      </c>
      <c r="AM11" s="44" t="str">
        <f aca="false">FamillePersonnes!AM6</f>
        <v>Romain THIMON</v>
      </c>
      <c r="AN11" s="44" t="n">
        <f aca="false">FamillePersonnes!AN6</f>
        <v>0</v>
      </c>
      <c r="AO11" s="44" t="str">
        <f aca="false">FamillePersonnes!AO6</f>
        <v>Mathurin Schneider</v>
      </c>
      <c r="AP11" s="44" t="str">
        <f aca="false">FamillePersonnes!AP6</f>
        <v>Tapias</v>
      </c>
      <c r="AQ11" s="44" t="n">
        <f aca="false">FamillePersonnes!AQ6</f>
        <v>0</v>
      </c>
      <c r="AR11" s="44" t="str">
        <f aca="false">FamillePersonnes!AR6</f>
        <v>Amine BEDRANE</v>
      </c>
      <c r="AS11" s="44" t="n">
        <f aca="false">FamillePersonnes!AS6</f>
        <v>0</v>
      </c>
      <c r="AT11" s="44" t="str">
        <f aca="false">FamillePersonnes!AT6</f>
        <v>Amine MEHMOUDEN</v>
      </c>
      <c r="AU11" s="44" t="n">
        <f aca="false">FamillePersonnes!AU6</f>
        <v>0</v>
      </c>
      <c r="AV11" s="44" t="n">
        <f aca="false">FamillePersonnes!AV6</f>
        <v>0</v>
      </c>
      <c r="AW11" s="44" t="str">
        <f aca="false">FamillePersonnes!AW6</f>
        <v>Paniez</v>
      </c>
      <c r="AX11" s="44" t="str">
        <f aca="false">FamillePersonnes!AX6</f>
        <v>Adrien HALLARD</v>
      </c>
      <c r="AY11" s="44" t="n">
        <f aca="false">FamillePersonnes!AY6</f>
        <v>0</v>
      </c>
      <c r="AZ11" s="44" t="n">
        <f aca="false">FamillePersonnes!AZ6</f>
        <v>0</v>
      </c>
      <c r="BA11" s="44" t="str">
        <f aca="false">FamillePersonnes!BA6</f>
        <v>Pierre Veillard</v>
      </c>
      <c r="BB11" s="44" t="n">
        <f aca="false">FamillePersonnes!BB6</f>
        <v>0</v>
      </c>
      <c r="BC11" s="44" t="str">
        <f aca="false">FamillePersonnes!BC6</f>
        <v>Selim Autones</v>
      </c>
      <c r="BD11" s="44" t="n">
        <f aca="false">FamillePersonnes!BD6</f>
        <v>0</v>
      </c>
      <c r="BE11" s="44" t="n">
        <f aca="false">FamillePersonnes!BE6</f>
        <v>0</v>
      </c>
      <c r="BF11" s="44" t="str">
        <f aca="false">FamillePersonnes!BF6</f>
        <v>Sebastian CEPEDA</v>
      </c>
      <c r="BG11" s="44" t="str">
        <f aca="false">FamillePersonnes!BG6</f>
        <v>Alexandre FOSSORIER</v>
      </c>
      <c r="BH11" s="44" t="n">
        <f aca="false">FamillePersonnes!BH6</f>
        <v>0</v>
      </c>
      <c r="BI11" s="44" t="str">
        <f aca="false">FamillePersonnes!BI6</f>
        <v>Adrien BERSIER</v>
      </c>
      <c r="BJ11" s="44" t="n">
        <f aca="false">FamillePersonnes!BJ6</f>
        <v>0</v>
      </c>
      <c r="BK11" s="44" t="n">
        <f aca="false">FamillePersonnes!BK6</f>
        <v>0</v>
      </c>
      <c r="BL11" s="44" t="n">
        <f aca="false">FamillePersonnes!BL6</f>
        <v>0</v>
      </c>
      <c r="BM11" s="44" t="n">
        <f aca="false">FamillePersonnes!BM6</f>
        <v>0</v>
      </c>
      <c r="BN11" s="44" t="n">
        <f aca="false">FamillePersonnes!BN6</f>
        <v>0</v>
      </c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50"/>
    </row>
    <row r="12" customFormat="false" ht="15.75" hidden="false" customHeight="false" outlineLevel="0" collapsed="false">
      <c r="A12" s="44" t="n">
        <f aca="false">FamillePersonnes!A7</f>
        <v>0</v>
      </c>
      <c r="B12" s="44" t="str">
        <f aca="false">FamillePersonnes!B7</f>
        <v>Apolline Gorry</v>
      </c>
      <c r="C12" s="44" t="n">
        <f aca="false">FamillePersonnes!C7</f>
        <v>0</v>
      </c>
      <c r="D12" s="44" t="n">
        <f aca="false">FamillePersonnes!D7</f>
        <v>0</v>
      </c>
      <c r="E12" s="44" t="str">
        <f aca="false">FamillePersonnes!E7</f>
        <v>Lilian Dedecker</v>
      </c>
      <c r="F12" s="44" t="n">
        <f aca="false">FamillePersonnes!F7</f>
        <v>0</v>
      </c>
      <c r="G12" s="44" t="n">
        <f aca="false">FamillePersonnes!G7</f>
        <v>0</v>
      </c>
      <c r="H12" s="44" t="str">
        <f aca="false">FamillePersonnes!H7</f>
        <v>Nathan Gérard</v>
      </c>
      <c r="I12" s="44" t="str">
        <f aca="false">FamillePersonnes!I7</f>
        <v>Julien LACOUR</v>
      </c>
      <c r="J12" s="44" t="n">
        <f aca="false">FamillePersonnes!J7</f>
        <v>0</v>
      </c>
      <c r="K12" s="44" t="n">
        <f aca="false">FamillePersonnes!K7</f>
        <v>0</v>
      </c>
      <c r="L12" s="44" t="n">
        <f aca="false">FamillePersonnes!L7</f>
        <v>0</v>
      </c>
      <c r="M12" s="44" t="n">
        <f aca="false">FamillePersonnes!M7</f>
        <v>0</v>
      </c>
      <c r="N12" s="44" t="str">
        <f aca="false">FamillePersonnes!N7</f>
        <v>Quentin NIGRON</v>
      </c>
      <c r="O12" s="44" t="str">
        <f aca="false">FamillePersonnes!O7</f>
        <v>Vire</v>
      </c>
      <c r="P12" s="44" t="str">
        <f aca="false">FamillePersonnes!P7</f>
        <v>Judith LOUIS-ALEXANDRE</v>
      </c>
      <c r="Q12" s="44" t="n">
        <f aca="false">FamillePersonnes!Q7</f>
        <v>0</v>
      </c>
      <c r="R12" s="44" t="n">
        <f aca="false">FamillePersonnes!R7</f>
        <v>0</v>
      </c>
      <c r="S12" s="44" t="str">
        <f aca="false">FamillePersonnes!S7</f>
        <v>Paul SIMON</v>
      </c>
      <c r="T12" s="44" t="str">
        <f aca="false">FamillePersonnes!T7</f>
        <v>Maixent TIGNON</v>
      </c>
      <c r="U12" s="44" t="n">
        <f aca="false">FamillePersonnes!U7</f>
        <v>0</v>
      </c>
      <c r="V12" s="44" t="n">
        <f aca="false">FamillePersonnes!V7</f>
        <v>0</v>
      </c>
      <c r="W12" s="44" t="str">
        <f aca="false">FamillePersonnes!W7</f>
        <v>Valentin Antonio</v>
      </c>
      <c r="X12" s="44" t="n">
        <f aca="false">FamillePersonnes!X7</f>
        <v>0</v>
      </c>
      <c r="Y12" s="44" t="str">
        <f aca="false">FamillePersonnes!Y7</f>
        <v>Bastien</v>
      </c>
      <c r="Z12" s="44" t="n">
        <f aca="false">FamillePersonnes!Z7</f>
        <v>0</v>
      </c>
      <c r="AA12" s="44" t="n">
        <f aca="false">FamillePersonnes!AA7</f>
        <v>0</v>
      </c>
      <c r="AB12" s="44" t="str">
        <f aca="false">FamillePersonnes!AB7</f>
        <v>Manon VLIEGHE</v>
      </c>
      <c r="AC12" s="44" t="str">
        <f aca="false">FamillePersonnes!AC7</f>
        <v>Arthur</v>
      </c>
      <c r="AD12" s="44" t="n">
        <f aca="false">FamillePersonnes!AD7</f>
        <v>0</v>
      </c>
      <c r="AE12" s="44" t="n">
        <f aca="false">FamillePersonnes!AE7</f>
        <v>0</v>
      </c>
      <c r="AF12" s="44" t="n">
        <f aca="false">FamillePersonnes!AF7</f>
        <v>0</v>
      </c>
      <c r="AG12" s="44" t="str">
        <f aca="false">FamillePersonnes!AG7</f>
        <v>Alexandre MERASLI</v>
      </c>
      <c r="AH12" s="44" t="n">
        <f aca="false">FamillePersonnes!AH7</f>
        <v>0</v>
      </c>
      <c r="AI12" s="44" t="n">
        <f aca="false">FamillePersonnes!AI7</f>
        <v>0</v>
      </c>
      <c r="AJ12" s="44" t="str">
        <f aca="false">FamillePersonnes!AJ7</f>
        <v>Aurélio Catel</v>
      </c>
      <c r="AK12" s="44" t="n">
        <f aca="false">FamillePersonnes!AK7</f>
        <v>0</v>
      </c>
      <c r="AL12" s="44" t="n">
        <f aca="false">FamillePersonnes!AL7</f>
        <v>0</v>
      </c>
      <c r="AM12" s="44" t="n">
        <f aca="false">FamillePersonnes!AM7</f>
        <v>0</v>
      </c>
      <c r="AN12" s="44" t="n">
        <f aca="false">FamillePersonnes!AN7</f>
        <v>0</v>
      </c>
      <c r="AO12" s="44" t="n">
        <f aca="false">FamillePersonnes!AO7</f>
        <v>0</v>
      </c>
      <c r="AP12" s="44" t="str">
        <f aca="false">FamillePersonnes!AP7</f>
        <v>Miguel MORENO</v>
      </c>
      <c r="AQ12" s="44" t="n">
        <f aca="false">FamillePersonnes!AQ7</f>
        <v>0</v>
      </c>
      <c r="AR12" s="44" t="n">
        <f aca="false">FamillePersonnes!AR7</f>
        <v>0</v>
      </c>
      <c r="AS12" s="44" t="n">
        <f aca="false">FamillePersonnes!AS7</f>
        <v>0</v>
      </c>
      <c r="AT12" s="44" t="str">
        <f aca="false">FamillePersonnes!AT7</f>
        <v>Aygalic JARA</v>
      </c>
      <c r="AU12" s="44" t="n">
        <f aca="false">FamillePersonnes!AU7</f>
        <v>0</v>
      </c>
      <c r="AV12" s="44" t="n">
        <f aca="false">FamillePersonnes!AV7</f>
        <v>0</v>
      </c>
      <c r="AW12" s="44" t="n">
        <f aca="false">FamillePersonnes!AW7</f>
        <v>0</v>
      </c>
      <c r="AX12" s="44" t="n">
        <f aca="false">FamillePersonnes!AX7</f>
        <v>0</v>
      </c>
      <c r="AY12" s="44" t="n">
        <f aca="false">FamillePersonnes!AY7</f>
        <v>0</v>
      </c>
      <c r="AZ12" s="44" t="n">
        <f aca="false">FamillePersonnes!AZ7</f>
        <v>0</v>
      </c>
      <c r="BA12" s="44" t="str">
        <f aca="false">FamillePersonnes!BA7</f>
        <v>Maxime Canard</v>
      </c>
      <c r="BB12" s="44" t="n">
        <f aca="false">FamillePersonnes!BB7</f>
        <v>0</v>
      </c>
      <c r="BC12" s="44" t="n">
        <f aca="false">FamillePersonnes!BC7</f>
        <v>0</v>
      </c>
      <c r="BD12" s="44" t="n">
        <f aca="false">FamillePersonnes!BD7</f>
        <v>0</v>
      </c>
      <c r="BE12" s="44" t="n">
        <f aca="false">FamillePersonnes!BE7</f>
        <v>0</v>
      </c>
      <c r="BF12" s="44" t="str">
        <f aca="false">FamillePersonnes!BF7</f>
        <v>Julián David HERNÁNDEZ TOVAR</v>
      </c>
      <c r="BG12" s="44" t="str">
        <f aca="false">FamillePersonnes!BG7</f>
        <v>Yuna Landais</v>
      </c>
      <c r="BH12" s="44" t="n">
        <f aca="false">FamillePersonnes!BH7</f>
        <v>0</v>
      </c>
      <c r="BI12" s="44" t="n">
        <f aca="false">FamillePersonnes!BI7</f>
        <v>0</v>
      </c>
      <c r="BJ12" s="44" t="n">
        <f aca="false">FamillePersonnes!BJ7</f>
        <v>0</v>
      </c>
      <c r="BK12" s="44" t="n">
        <f aca="false">FamillePersonnes!BK7</f>
        <v>0</v>
      </c>
      <c r="BL12" s="44" t="n">
        <f aca="false">FamillePersonnes!BL7</f>
        <v>0</v>
      </c>
      <c r="BM12" s="44" t="n">
        <f aca="false">FamillePersonnes!BM7</f>
        <v>0</v>
      </c>
      <c r="BN12" s="44" t="n">
        <f aca="false">FamillePersonnes!BN7</f>
        <v>0</v>
      </c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2"/>
    </row>
    <row r="15" customFormat="false" ht="15.75" hidden="false" customHeight="false" outlineLevel="0" collapsed="false">
      <c r="A15" s="44" t="s">
        <v>1131</v>
      </c>
      <c r="B15" s="53" t="str">
        <f aca="false">B6</f>
        <v>DPSU</v>
      </c>
      <c r="C15" s="53" t="str">
        <f aca="false">C6</f>
        <v>Le Bordel</v>
      </c>
      <c r="D15" s="53" t="str">
        <f aca="false">D6</f>
        <v>La Glotte</v>
      </c>
      <c r="E15" s="53" t="str">
        <f aca="false">E6</f>
        <v>Consulm3ow</v>
      </c>
      <c r="F15" s="53" t="str">
        <f aca="false">F6</f>
        <v>Le Zoo </v>
      </c>
      <c r="G15" s="53" t="str">
        <f aca="false">G6</f>
        <v>Beurre salé &amp; chocolatine</v>
      </c>
      <c r="H15" s="53" t="str">
        <f aca="false">H6</f>
        <v>Les domineurs</v>
      </c>
      <c r="I15" s="53" t="str">
        <f aca="false">I6</f>
        <v>La Comté</v>
      </c>
      <c r="J15" s="53" t="str">
        <f aca="false">J6</f>
        <v>La chevroll's </v>
      </c>
      <c r="K15" s="53" t="str">
        <f aca="false">K6</f>
        <v>La Tracharnasse</v>
      </c>
      <c r="L15" s="53" t="str">
        <f aca="false">L6</f>
        <v>Waltherock</v>
      </c>
      <c r="M15" s="53" t="str">
        <f aca="false">M6</f>
        <v>L'Influence</v>
      </c>
      <c r="N15" s="53" t="str">
        <f aca="false">N6</f>
        <v>COMA</v>
      </c>
      <c r="O15" s="53" t="str">
        <f aca="false">O6</f>
        <v>Mafia</v>
      </c>
      <c r="P15" s="53" t="str">
        <f aca="false">P6</f>
        <v>Summerfaigle</v>
      </c>
      <c r="Q15" s="53" t="str">
        <f aca="false">Q6</f>
        <v>Nuage</v>
      </c>
      <c r="R15" s="53" t="str">
        <f aca="false">R6</f>
        <v>PB</v>
      </c>
      <c r="S15" s="53" t="str">
        <f aca="false">S6</f>
        <v>Trident X ChaPau</v>
      </c>
      <c r="T15" s="53" t="str">
        <f aca="false">T6</f>
        <v>Galerie ++</v>
      </c>
      <c r="U15" s="53" t="str">
        <f aca="false">U6</f>
        <v>Le Corridor</v>
      </c>
      <c r="V15" s="53" t="str">
        <f aca="false">V6</f>
        <v>Dark Ludi et ses copines </v>
      </c>
      <c r="W15" s="53" t="str">
        <f aca="false">W6</f>
        <v>Dusex</v>
      </c>
      <c r="X15" s="53" t="str">
        <f aca="false">X6</f>
        <v>La Roulotte</v>
      </c>
      <c r="Y15" s="53" t="str">
        <f aca="false">Y6</f>
        <v>La dezingue</v>
      </c>
      <c r="Z15" s="53" t="str">
        <f aca="false">Z6</f>
        <v>Aquamif</v>
      </c>
      <c r="AA15" s="53" t="str">
        <f aca="false">AA6</f>
        <v>Les Mages</v>
      </c>
      <c r="AB15" s="53" t="str">
        <f aca="false">AB6</f>
        <v>Auberge-Monastère</v>
      </c>
      <c r="AC15" s="53" t="str">
        <f aca="false">AC6</f>
        <v>Pimp my Ride</v>
      </c>
      <c r="AD15" s="53" t="str">
        <f aca="false">AD6</f>
        <v>La 4 étoiles</v>
      </c>
      <c r="AE15" s="53" t="str">
        <f aca="false">AE6</f>
        <v>Le Donjon</v>
      </c>
      <c r="AF15" s="53" t="str">
        <f aca="false">AF6</f>
        <v>Malandros Team</v>
      </c>
      <c r="AG15" s="53" t="str">
        <f aca="false">AG6</f>
        <v>Barton</v>
      </c>
      <c r="AH15" s="53" t="str">
        <f aca="false">AH6</f>
        <v>La Crypte</v>
      </c>
      <c r="AI15" s="53" t="str">
        <f aca="false">AI6</f>
        <v>Jodyssée</v>
      </c>
      <c r="AJ15" s="53" t="str">
        <f aca="false">AJ6</f>
        <v>Les trutitas</v>
      </c>
      <c r="AK15" s="53" t="str">
        <f aca="false">AK6</f>
        <v>Les grosses cochonnes</v>
      </c>
      <c r="AL15" s="53" t="str">
        <f aca="false">AL6</f>
        <v>Sans-abri </v>
      </c>
      <c r="AM15" s="53" t="str">
        <f aca="false">AM6</f>
        <v>Le Panthéon</v>
      </c>
      <c r="AN15" s="53" t="str">
        <f aca="false">AN6</f>
        <v>la team corlay</v>
      </c>
      <c r="AO15" s="53" t="str">
        <f aca="false">AO6</f>
        <v>Les fortiches</v>
      </c>
      <c r="AP15" s="53" t="str">
        <f aca="false">AP6</f>
        <v>LePatio</v>
      </c>
      <c r="AQ15" s="53" t="str">
        <f aca="false">AQ6</f>
        <v>Les coulisses</v>
      </c>
      <c r="AR15" s="53" t="str">
        <f aca="false">AR6</f>
        <v>RACLETENTOUTAN</v>
      </c>
      <c r="AS15" s="53" t="str">
        <f aca="false">AS6</f>
        <v>La boisson</v>
      </c>
      <c r="AT15" s="53" t="str">
        <f aca="false">AT6</f>
        <v>Le squat</v>
      </c>
      <c r="AU15" s="53" t="str">
        <f aca="false">AU6</f>
        <v>Les topeurs</v>
      </c>
      <c r="AV15" s="53" t="str">
        <f aca="false">AV6</f>
        <v>azerty44</v>
      </c>
      <c r="AW15" s="53" t="str">
        <f aca="false">AW6</f>
        <v>Parainplégiques</v>
      </c>
      <c r="AX15" s="53" t="str">
        <f aca="false">AX6</f>
        <v>Le Kraal</v>
      </c>
      <c r="AY15" s="53" t="str">
        <f aca="false">AY6</f>
        <v>Discorde</v>
      </c>
      <c r="AZ15" s="53" t="str">
        <f aca="false">AZ6</f>
        <v>BBC</v>
      </c>
      <c r="BA15" s="53" t="str">
        <f aca="false">BA6</f>
        <v>EI3 mous cancer</v>
      </c>
      <c r="BB15" s="53" t="str">
        <f aca="false">BB6</f>
        <v>Badge</v>
      </c>
      <c r="BC15" s="53" t="str">
        <f aca="false">BC6</f>
        <v>l'Alliance</v>
      </c>
      <c r="BD15" s="53" t="str">
        <f aca="false">BD6</f>
        <v>Grande Famille</v>
      </c>
      <c r="BE15" s="53" t="str">
        <f aca="false">BE6</f>
        <v>La vigie</v>
      </c>
      <c r="BF15" s="53" t="str">
        <f aca="false">BF6</f>
        <v>Los Insoportables </v>
      </c>
      <c r="BG15" s="53" t="str">
        <f aca="false">BG6</f>
        <v>Les 6 salopards</v>
      </c>
      <c r="BH15" s="53" t="str">
        <f aca="false">BH6</f>
        <v>Les cyclistes</v>
      </c>
      <c r="BI15" s="53" t="str">
        <f aca="false">BI6</f>
        <v>Juaman’GI Reloaded</v>
      </c>
      <c r="BJ15" s="53" t="n">
        <f aca="false">BJ6</f>
        <v>0</v>
      </c>
      <c r="BK15" s="53" t="n">
        <f aca="false">BK6</f>
        <v>0</v>
      </c>
      <c r="BL15" s="53" t="n">
        <f aca="false">BL6</f>
        <v>0</v>
      </c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6"/>
    </row>
    <row r="16" customFormat="false" ht="15.75" hidden="false" customHeight="false" outlineLevel="0" collapsed="false">
      <c r="A16" s="54" t="s">
        <v>1150</v>
      </c>
      <c r="B16" s="55" t="n">
        <f aca="false">IFERROR(__xludf.dummyfunction("ifs(filter( Personnesobjet!$A:$A,Personnesobjet!$C:$C=B7)&lt;$B$24,filter( Personnesobjet!$A:$A,Personnesobjet!$C:$C=B7), filter(Personnesobjet!$A:$A,Personnesobjet!$C:$C=B7)&gt;=$B$24,B15)"),1)</f>
        <v>1</v>
      </c>
      <c r="C16" s="55" t="n">
        <f aca="false">IFERROR(__xludf.dummyfunction("ifs(filter( Personnesobjet!$A:$A,Personnesobjet!$C:$C=C7)&lt;$B$24,filter( Personnesobjet!$A:$A,Personnesobjet!$C:$C=C7), filter(Personnesobjet!$A:$A,Personnesobjet!$C:$C=C7)&gt;=$B$24,C15)"),5)</f>
        <v>5</v>
      </c>
      <c r="D16" s="55" t="n">
        <f aca="false">IFERROR(__xludf.dummyfunction("ifs(filter( Personnesobjet!$A:$A,Personnesobjet!$C:$C=D7)&lt;$B$24,filter( Personnesobjet!$A:$A,Personnesobjet!$C:$C=D7), filter(Personnesobjet!$A:$A,Personnesobjet!$C:$C=D7)&gt;=$B$24,D15)"),9)</f>
        <v>9</v>
      </c>
      <c r="E16" s="55" t="n">
        <f aca="false">IFERROR(__xludf.dummyfunction("ifs(filter( Personnesobjet!$A:$A,Personnesobjet!$C:$C=E7)&lt;$B$24,filter( Personnesobjet!$A:$A,Personnesobjet!$C:$C=E7), filter(Personnesobjet!$A:$A,Personnesobjet!$C:$C=E7)&gt;=$B$24,E15)"),10)</f>
        <v>10</v>
      </c>
      <c r="F16" s="55" t="n">
        <f aca="false">IFERROR(__xludf.dummyfunction("ifs(filter( Personnesobjet!$A:$A,Personnesobjet!$C:$C=F7)&lt;$B$24,filter( Personnesobjet!$A:$A,Personnesobjet!$C:$C=F7), filter(Personnesobjet!$A:$A,Personnesobjet!$C:$C=F7)&gt;=$B$24,F15)"),15)</f>
        <v>15</v>
      </c>
      <c r="G16" s="55" t="n">
        <f aca="false">IFERROR(__xludf.dummyfunction("ifs(filter( Personnesobjet!$A:$A,Personnesobjet!$C:$C=G7)&lt;$B$24,filter( Personnesobjet!$A:$A,Personnesobjet!$C:$C=G7), filter(Personnesobjet!$A:$A,Personnesobjet!$C:$C=G7)&gt;=$B$24,G15)"),16)</f>
        <v>16</v>
      </c>
      <c r="H16" s="55" t="n">
        <f aca="false">IFERROR(__xludf.dummyfunction("ifs(filter( Personnesobjet!$A:$A,Personnesobjet!$C:$C=H7)&lt;$B$24,filter( Personnesobjet!$A:$A,Personnesobjet!$C:$C=H7), filter(Personnesobjet!$A:$A,Personnesobjet!$C:$C=H7)&gt;=$B$24,H15)"),19)</f>
        <v>19</v>
      </c>
      <c r="I16" s="55" t="n">
        <f aca="false">IFERROR(__xludf.dummyfunction("ifs(filter( Personnesobjet!$A:$A,Personnesobjet!$C:$C=I7)&lt;$B$24,filter( Personnesobjet!$A:$A,Personnesobjet!$C:$C=I7), filter(Personnesobjet!$A:$A,Personnesobjet!$C:$C=I7)&gt;=$B$24,I15)"),24)</f>
        <v>24</v>
      </c>
      <c r="J16" s="55" t="n">
        <f aca="false">IFERROR(__xludf.dummyfunction("ifs(filter( Personnesobjet!$A:$A,Personnesobjet!$C:$C=J7)&lt;$B$24,filter( Personnesobjet!$A:$A,Personnesobjet!$C:$C=J7), filter(Personnesobjet!$A:$A,Personnesobjet!$C:$C=J7)&gt;=$B$24,J15)"),25)</f>
        <v>25</v>
      </c>
      <c r="K16" s="55" t="n">
        <f aca="false">IFERROR(__xludf.dummyfunction("ifs(filter( Personnesobjet!$A:$A,Personnesobjet!$C:$C=K7)&lt;$B$24,filter( Personnesobjet!$A:$A,Personnesobjet!$C:$C=K7), filter(Personnesobjet!$A:$A,Personnesobjet!$C:$C=K7)&gt;=$B$24,K15)"),32)</f>
        <v>32</v>
      </c>
      <c r="L16" s="55" t="n">
        <f aca="false">IFERROR(__xludf.dummyfunction("ifs(filter( Personnesobjet!$A:$A,Personnesobjet!$C:$C=L7)&lt;$B$24,filter( Personnesobjet!$A:$A,Personnesobjet!$C:$C=L7), filter(Personnesobjet!$A:$A,Personnesobjet!$C:$C=L7)&gt;=$B$24,L15)"),41)</f>
        <v>41</v>
      </c>
      <c r="M16" s="55" t="n">
        <f aca="false">IFERROR(__xludf.dummyfunction("ifs(filter( Personnesobjet!$A:$A,Personnesobjet!$C:$C=M7)&lt;$B$24,filter( Personnesobjet!$A:$A,Personnesobjet!$C:$C=M7), filter(Personnesobjet!$A:$A,Personnesobjet!$C:$C=M7)&gt;=$B$24,M15)"),49)</f>
        <v>49</v>
      </c>
      <c r="N16" s="55" t="n">
        <f aca="false">IFERROR(__xludf.dummyfunction("ifs(filter( Personnesobjet!$A:$A,Personnesobjet!$C:$C=N7)&lt;$B$24,filter( Personnesobjet!$A:$A,Personnesobjet!$C:$C=N7), filter(Personnesobjet!$A:$A,Personnesobjet!$C:$C=N7)&gt;=$B$24,N15)"),47)</f>
        <v>47</v>
      </c>
      <c r="O16" s="55" t="n">
        <f aca="false">IFERROR(__xludf.dummyfunction("ifs(filter( Personnesobjet!$A:$A,Personnesobjet!$C:$C=O7)&lt;$B$24,filter( Personnesobjet!$A:$A,Personnesobjet!$C:$C=O7), filter(Personnesobjet!$A:$A,Personnesobjet!$C:$C=O7)&gt;=$B$24,O15)"),58)</f>
        <v>58</v>
      </c>
      <c r="P16" s="55" t="n">
        <f aca="false">IFERROR(__xludf.dummyfunction("ifs(filter( Personnesobjet!$A:$A,Personnesobjet!$C:$C=P7)&lt;$B$24,filter( Personnesobjet!$A:$A,Personnesobjet!$C:$C=P7), filter(Personnesobjet!$A:$A,Personnesobjet!$C:$C=P7)&gt;=$B$24,P15)"),55)</f>
        <v>55</v>
      </c>
      <c r="Q16" s="55" t="n">
        <f aca="false">IFERROR(__xludf.dummyfunction("ifs(filter( Personnesobjet!$A:$A,Personnesobjet!$C:$C=Q7)&lt;$B$24,filter( Personnesobjet!$A:$A,Personnesobjet!$C:$C=Q7), filter(Personnesobjet!$A:$A,Personnesobjet!$C:$C=Q7)&gt;=$B$24,Q15)"),57)</f>
        <v>57</v>
      </c>
      <c r="R16" s="55" t="n">
        <f aca="false">IFERROR(__xludf.dummyfunction("ifs(filter( Personnesobjet!$A:$A,Personnesobjet!$C:$C=R7)&lt;$B$24,filter( Personnesobjet!$A:$A,Personnesobjet!$C:$C=R7), filter(Personnesobjet!$A:$A,Personnesobjet!$C:$C=R7)&gt;=$B$24,R15)"),184)</f>
        <v>184</v>
      </c>
      <c r="S16" s="55" t="n">
        <f aca="false">IFERROR(__xludf.dummyfunction("ifs(filter( Personnesobjet!$A:$A,Personnesobjet!$C:$C=S7)&lt;$B$24,filter( Personnesobjet!$A:$A,Personnesobjet!$C:$C=S7), filter(Personnesobjet!$A:$A,Personnesobjet!$C:$C=S7)&gt;=$B$24,S15)"),65)</f>
        <v>65</v>
      </c>
      <c r="T16" s="55" t="n">
        <f aca="false">IFERROR(__xludf.dummyfunction("ifs(filter( Personnesobjet!$A:$A,Personnesobjet!$C:$C=T7)&lt;$B$24,filter( Personnesobjet!$A:$A,Personnesobjet!$C:$C=T7), filter(Personnesobjet!$A:$A,Personnesobjet!$C:$C=T7)&gt;=$B$24,T15)"),70)</f>
        <v>70</v>
      </c>
      <c r="U16" s="55" t="n">
        <f aca="false">IFERROR(__xludf.dummyfunction("ifs(filter( Personnesobjet!$A:$A,Personnesobjet!$C:$C=U7)&lt;$B$24,filter( Personnesobjet!$A:$A,Personnesobjet!$C:$C=U7), filter(Personnesobjet!$A:$A,Personnesobjet!$C:$C=U7)&gt;=$B$24,U15)"),77)</f>
        <v>77</v>
      </c>
      <c r="V16" s="55" t="n">
        <f aca="false">IFERROR(__xludf.dummyfunction("ifs(filter( Personnesobjet!$A:$A,Personnesobjet!$C:$C=V7)&lt;$B$24,filter( Personnesobjet!$A:$A,Personnesobjet!$C:$C=V7), filter(Personnesobjet!$A:$A,Personnesobjet!$C:$C=V7)&gt;=$B$24,V15)"),133)</f>
        <v>133</v>
      </c>
      <c r="W16" s="55" t="n">
        <f aca="false">IFERROR(__xludf.dummyfunction("ifs(filter( Personnesobjet!$A:$A,Personnesobjet!$C:$C=W7)&lt;$B$24,filter( Personnesobjet!$A:$A,Personnesobjet!$C:$C=W7), filter(Personnesobjet!$A:$A,Personnesobjet!$C:$C=W7)&gt;=$B$24,W15)"),81)</f>
        <v>81</v>
      </c>
      <c r="X16" s="55" t="n">
        <f aca="false">IFERROR(__xludf.dummyfunction("ifs(filter( Personnesobjet!$A:$A,Personnesobjet!$C:$C=X7)&lt;$B$24,filter( Personnesobjet!$A:$A,Personnesobjet!$C:$C=X7), filter(Personnesobjet!$A:$A,Personnesobjet!$C:$C=X7)&gt;=$B$24,X15)"),87)</f>
        <v>87</v>
      </c>
      <c r="Y16" s="55" t="n">
        <f aca="false">IFERROR(__xludf.dummyfunction("ifs(filter( Personnesobjet!$A:$A,Personnesobjet!$C:$C=Y7)&lt;$B$24,filter( Personnesobjet!$A:$A,Personnesobjet!$C:$C=Y7), filter(Personnesobjet!$A:$A,Personnesobjet!$C:$C=Y7)&gt;=$B$24,Y15)"),89)</f>
        <v>89</v>
      </c>
      <c r="Z16" s="55" t="n">
        <f aca="false">IFERROR(__xludf.dummyfunction("ifs(filter( Personnesobjet!$A:$A,Personnesobjet!$C:$C=Z7)&lt;$B$24,filter( Personnesobjet!$A:$A,Personnesobjet!$C:$C=Z7), filter(Personnesobjet!$A:$A,Personnesobjet!$C:$C=Z7)&gt;=$B$24,Z15)"),96)</f>
        <v>96</v>
      </c>
      <c r="AA16" s="55" t="n">
        <f aca="false">IFERROR(__xludf.dummyfunction("ifs(filter( Personnesobjet!$A:$A,Personnesobjet!$C:$C=AA7)&lt;$B$24,filter( Personnesobjet!$A:$A,Personnesobjet!$C:$C=AA7), filter(Personnesobjet!$A:$A,Personnesobjet!$C:$C=AA7)&gt;=$B$24,AA15)"),114)</f>
        <v>114</v>
      </c>
      <c r="AB16" s="55" t="n">
        <f aca="false">IFERROR(__xludf.dummyfunction("ifs(filter( Personnesobjet!$A:$A,Personnesobjet!$C:$C=AB7)&lt;$B$24,filter( Personnesobjet!$A:$A,Personnesobjet!$C:$C=AB7), filter(Personnesobjet!$A:$A,Personnesobjet!$C:$C=AB7)&gt;=$B$24,AB15)"),102)</f>
        <v>102</v>
      </c>
      <c r="AC16" s="55" t="n">
        <f aca="false">IFERROR(__xludf.dummyfunction("ifs(filter( Personnesobjet!$A:$A,Personnesobjet!$C:$C=AC7)&lt;$B$24,filter( Personnesobjet!$A:$A,Personnesobjet!$C:$C=AC7), filter(Personnesobjet!$A:$A,Personnesobjet!$C:$C=AC7)&gt;=$B$24,AC15)"),110)</f>
        <v>110</v>
      </c>
      <c r="AD16" s="55" t="n">
        <f aca="false">IFERROR(__xludf.dummyfunction("ifs(filter( Personnesobjet!$A:$A,Personnesobjet!$C:$C=AD7)&lt;$B$24,filter( Personnesobjet!$A:$A,Personnesobjet!$C:$C=AD7), filter(Personnesobjet!$A:$A,Personnesobjet!$C:$C=AD7)&gt;=$B$24,AD15)"),107)</f>
        <v>107</v>
      </c>
      <c r="AE16" s="55" t="n">
        <f aca="false">IFERROR(__xludf.dummyfunction("ifs(filter( Personnesobjet!$A:$A,Personnesobjet!$C:$C=AE7)&lt;$B$24,filter( Personnesobjet!$A:$A,Personnesobjet!$C:$C=AE7), filter(Personnesobjet!$A:$A,Personnesobjet!$C:$C=AE7)&gt;=$B$24,AE15)"),103)</f>
        <v>103</v>
      </c>
      <c r="AF16" s="55" t="n">
        <f aca="false">IFERROR(__xludf.dummyfunction("ifs(filter( Personnesobjet!$A:$A,Personnesobjet!$C:$C=AF7)&lt;$B$24,filter( Personnesobjet!$A:$A,Personnesobjet!$C:$C=AF7), filter(Personnesobjet!$A:$A,Personnesobjet!$C:$C=AF7)&gt;=$B$24,AF15)"),118)</f>
        <v>118</v>
      </c>
      <c r="AG16" s="55" t="n">
        <f aca="false">IFERROR(__xludf.dummyfunction("ifs(filter( Personnesobjet!$A:$A,Personnesobjet!$C:$C=AG7)&lt;$B$24,filter( Personnesobjet!$A:$A,Personnesobjet!$C:$C=AG7), filter(Personnesobjet!$A:$A,Personnesobjet!$C:$C=AG7)&gt;=$B$24,AG15)"),122)</f>
        <v>122</v>
      </c>
      <c r="AH16" s="55" t="n">
        <f aca="false">IFERROR(__xludf.dummyfunction("ifs(filter( Personnesobjet!$A:$A,Personnesobjet!$C:$C=AH7)&lt;$B$24,filter( Personnesobjet!$A:$A,Personnesobjet!$C:$C=AH7), filter(Personnesobjet!$A:$A,Personnesobjet!$C:$C=AH7)&gt;=$B$24,AH15)"),123)</f>
        <v>123</v>
      </c>
      <c r="AI16" s="55" t="n">
        <f aca="false">IFERROR(__xludf.dummyfunction("ifs(filter( Personnesobjet!$A:$A,Personnesobjet!$C:$C=AI7)&lt;$B$24,filter( Personnesobjet!$A:$A,Personnesobjet!$C:$C=AI7), filter(Personnesobjet!$A:$A,Personnesobjet!$C:$C=AI7)&gt;=$B$24,AI15)"),127)</f>
        <v>127</v>
      </c>
      <c r="AJ16" s="55" t="n">
        <f aca="false">IFERROR(__xludf.dummyfunction("ifs(filter( Personnesobjet!$A:$A,Personnesobjet!$C:$C=AJ7)&lt;$B$24,filter( Personnesobjet!$A:$A,Personnesobjet!$C:$C=AJ7), filter(Personnesobjet!$A:$A,Personnesobjet!$C:$C=AJ7)&gt;=$B$24,AJ15)"),132)</f>
        <v>132</v>
      </c>
      <c r="AK16" s="55" t="n">
        <f aca="false">IFERROR(__xludf.dummyfunction("ifs(filter( Personnesobjet!$A:$A,Personnesobjet!$C:$C=AK7)&lt;$B$24,filter( Personnesobjet!$A:$A,Personnesobjet!$C:$C=AK7), filter(Personnesobjet!$A:$A,Personnesobjet!$C:$C=AK7)&gt;=$B$24,AK15)"),140)</f>
        <v>140</v>
      </c>
      <c r="AL16" s="55" t="n">
        <f aca="false">IFERROR(__xludf.dummyfunction("ifs(filter( Personnesobjet!$A:$A,Personnesobjet!$C:$C=AL7)&lt;$B$24,filter( Personnesobjet!$A:$A,Personnesobjet!$C:$C=AL7), filter(Personnesobjet!$A:$A,Personnesobjet!$C:$C=AL7)&gt;=$B$24,AL15)"),145)</f>
        <v>145</v>
      </c>
      <c r="AM16" s="55" t="n">
        <f aca="false">IFERROR(__xludf.dummyfunction("ifs(filter( Personnesobjet!$A:$A,Personnesobjet!$C:$C=AM7)&lt;$B$24,filter( Personnesobjet!$A:$A,Personnesobjet!$C:$C=AM7), filter(Personnesobjet!$A:$A,Personnesobjet!$C:$C=AM7)&gt;=$B$24,AM15)"),153)</f>
        <v>153</v>
      </c>
      <c r="AN16" s="55" t="n">
        <f aca="false">IFERROR(__xludf.dummyfunction("ifs(filter( Personnesobjet!$A:$A,Personnesobjet!$C:$C=AN7)&lt;$B$24,filter( Personnesobjet!$A:$A,Personnesobjet!$C:$C=AN7), filter(Personnesobjet!$A:$A,Personnesobjet!$C:$C=AN7)&gt;=$B$24,AN15)"),152)</f>
        <v>152</v>
      </c>
      <c r="AO16" s="55" t="n">
        <f aca="false">IFERROR(__xludf.dummyfunction("ifs(filter( Personnesobjet!$A:$A,Personnesobjet!$C:$C=AO7)&lt;$B$24,filter( Personnesobjet!$A:$A,Personnesobjet!$C:$C=AO7), filter(Personnesobjet!$A:$A,Personnesobjet!$C:$C=AO7)&gt;=$B$24,AO15)"),162)</f>
        <v>162</v>
      </c>
      <c r="AP16" s="55" t="n">
        <f aca="false">IFERROR(__xludf.dummyfunction("ifs(filter( Personnesobjet!$A:$A,Personnesobjet!$C:$C=AP7)&lt;$B$24,filter( Personnesobjet!$A:$A,Personnesobjet!$C:$C=AP7), filter(Personnesobjet!$A:$A,Personnesobjet!$C:$C=AP7)&gt;=$B$24,AP15)"),165)</f>
        <v>165</v>
      </c>
      <c r="AQ16" s="55" t="n">
        <f aca="false">IFERROR(__xludf.dummyfunction("ifs(filter( Personnesobjet!$A:$A,Personnesobjet!$C:$C=AQ7)&lt;$B$24,filter( Personnesobjet!$A:$A,Personnesobjet!$C:$C=AQ7), filter(Personnesobjet!$A:$A,Personnesobjet!$C:$C=AQ7)&gt;=$B$24,AQ15)"),175)</f>
        <v>175</v>
      </c>
      <c r="AR16" s="55" t="n">
        <f aca="false">IFERROR(__xludf.dummyfunction("ifs(filter( Personnesobjet!$A:$A,Personnesobjet!$C:$C=AR7)&lt;$B$24,filter( Personnesobjet!$A:$A,Personnesobjet!$C:$C=AR7), filter(Personnesobjet!$A:$A,Personnesobjet!$C:$C=AR7)&gt;=$B$24,AR15)"),179)</f>
        <v>179</v>
      </c>
      <c r="AS16" s="55" t="n">
        <f aca="false">IFERROR(__xludf.dummyfunction("ifs(filter( Personnesobjet!$A:$A,Personnesobjet!$C:$C=AS7)&lt;$B$24,filter( Personnesobjet!$A:$A,Personnesobjet!$C:$C=AS7), filter(Personnesobjet!$A:$A,Personnesobjet!$C:$C=AS7)&gt;=$B$24,AS15)"),194)</f>
        <v>194</v>
      </c>
      <c r="AT16" s="55" t="n">
        <f aca="false">IFERROR(__xludf.dummyfunction("ifs(filter( Personnesobjet!$A:$A,Personnesobjet!$C:$C=AT7)&lt;$B$24,filter( Personnesobjet!$A:$A,Personnesobjet!$C:$C=AT7), filter(Personnesobjet!$A:$A,Personnesobjet!$C:$C=AT7)&gt;=$B$24,AT15)"),189)</f>
        <v>189</v>
      </c>
      <c r="AU16" s="55" t="n">
        <f aca="false">IFERROR(__xludf.dummyfunction("ifs(filter( Personnesobjet!$A:$A,Personnesobjet!$C:$C=AU7)&lt;$B$24,filter( Personnesobjet!$A:$A,Personnesobjet!$C:$C=AU7), filter(Personnesobjet!$A:$A,Personnesobjet!$C:$C=AU7)&gt;=$B$24,AU15)"),196)</f>
        <v>196</v>
      </c>
      <c r="AV16" s="55" t="n">
        <f aca="false">IFERROR(__xludf.dummyfunction("ifs(filter( Personnesobjet!$A:$A,Personnesobjet!$C:$C=AV7)&lt;$B$24,filter( Personnesobjet!$A:$A,Personnesobjet!$C:$C=AV7), filter(Personnesobjet!$A:$A,Personnesobjet!$C:$C=AV7)&gt;=$B$24,AV15)"),203)</f>
        <v>203</v>
      </c>
      <c r="AW16" s="55" t="n">
        <f aca="false">IFERROR(__xludf.dummyfunction("ifs(filter( Personnesobjet!$A:$A,Personnesobjet!$C:$C=AW7)&lt;$B$24,filter( Personnesobjet!$A:$A,Personnesobjet!$C:$C=AW7), filter(Personnesobjet!$A:$A,Personnesobjet!$C:$C=AW7)&gt;=$B$24,AW15)"),206)</f>
        <v>206</v>
      </c>
      <c r="AX16" s="55" t="n">
        <f aca="false">IFERROR(__xludf.dummyfunction("ifs(filter( Personnesobjet!$A:$A,Personnesobjet!$C:$C=AX7)&lt;$B$24,filter( Personnesobjet!$A:$A,Personnesobjet!$C:$C=AX7), filter(Personnesobjet!$A:$A,Personnesobjet!$C:$C=AX7)&gt;=$B$24,AX15)"),208)</f>
        <v>208</v>
      </c>
      <c r="AY16" s="55" t="n">
        <f aca="false">IFERROR(__xludf.dummyfunction("ifs(filter( Personnesobjet!$A:$A,Personnesobjet!$C:$C=AY7)&lt;$B$24,filter( Personnesobjet!$A:$A,Personnesobjet!$C:$C=AY7), filter(Personnesobjet!$A:$A,Personnesobjet!$C:$C=AY7)&gt;=$B$24,AY15)"),210)</f>
        <v>210</v>
      </c>
      <c r="AZ16" s="55" t="n">
        <f aca="false">IFERROR(__xludf.dummyfunction("ifs(filter( Personnesobjet!$A:$A,Personnesobjet!$C:$C=AZ7)&lt;$B$24,filter( Personnesobjet!$A:$A,Personnesobjet!$C:$C=AZ7), filter(Personnesobjet!$A:$A,Personnesobjet!$C:$C=AZ7)&gt;=$B$24,AZ15)"),212)</f>
        <v>212</v>
      </c>
      <c r="BA16" s="55" t="n">
        <f aca="false">IFERROR(__xludf.dummyfunction("ifs(filter( Personnesobjet!$A:$A,Personnesobjet!$C:$C=BA7)&lt;$B$24,filter( Personnesobjet!$A:$A,Personnesobjet!$C:$C=BA7), filter(Personnesobjet!$A:$A,Personnesobjet!$C:$C=BA7)&gt;=$B$24,BA15)"),226)</f>
        <v>226</v>
      </c>
      <c r="BB16" s="55" t="n">
        <f aca="false">IFERROR(__xludf.dummyfunction("ifs(filter( Personnesobjet!$A:$A,Personnesobjet!$C:$C=BB7)&lt;$B$24,filter( Personnesobjet!$A:$A,Personnesobjet!$C:$C=BB7), filter(Personnesobjet!$A:$A,Personnesobjet!$C:$C=BB7)&gt;=$B$24,BB15)"),224)</f>
        <v>224</v>
      </c>
      <c r="BC16" s="55" t="n">
        <f aca="false">IFERROR(__xludf.dummyfunction("ifs(filter( Personnesobjet!$A:$A,Personnesobjet!$C:$C=BC7)&lt;$B$24,filter( Personnesobjet!$A:$A,Personnesobjet!$C:$C=BC7), filter(Personnesobjet!$A:$A,Personnesobjet!$C:$C=BC7)&gt;=$B$24,BC15)"),232)</f>
        <v>232</v>
      </c>
      <c r="BD16" s="55" t="n">
        <f aca="false">IFERROR(__xludf.dummyfunction("ifs(filter( Personnesobjet!$A:$A,Personnesobjet!$C:$C=BD7)&lt;$B$24,filter( Personnesobjet!$A:$A,Personnesobjet!$C:$C=BD7), filter(Personnesobjet!$A:$A,Personnesobjet!$C:$C=BD7)&gt;=$B$24,BD15)"),237)</f>
        <v>237</v>
      </c>
      <c r="BE16" s="55" t="n">
        <f aca="false">IFERROR(__xludf.dummyfunction("ifs(filter( Personnesobjet!$A:$A,Personnesobjet!$C:$C=BE7)&lt;$B$24,filter( Personnesobjet!$A:$A,Personnesobjet!$C:$C=BE7), filter(Personnesobjet!$A:$A,Personnesobjet!$C:$C=BE7)&gt;=$B$24,BE15)"),239)</f>
        <v>239</v>
      </c>
      <c r="BF16" s="55" t="n">
        <f aca="false">IFERROR(__xludf.dummyfunction("ifs(filter( Personnesobjet!$A:$A,Personnesobjet!$C:$C=BF7)&lt;$B$24,filter( Personnesobjet!$A:$A,Personnesobjet!$C:$C=BF7), filter(Personnesobjet!$A:$A,Personnesobjet!$C:$C=BF7)&gt;=$B$24,BF15)"),240)</f>
        <v>240</v>
      </c>
      <c r="BG16" s="55" t="n">
        <f aca="false">IFERROR(__xludf.dummyfunction("ifs(filter( Personnesobjet!$A:$A,Personnesobjet!$C:$C=BG7)&lt;$B$24,filter( Personnesobjet!$A:$A,Personnesobjet!$C:$C=BG7), filter(Personnesobjet!$A:$A,Personnesobjet!$C:$C=BG7)&gt;=$B$24,BG15)"),249)</f>
        <v>249</v>
      </c>
      <c r="BH16" s="55" t="n">
        <f aca="false">IFERROR(__xludf.dummyfunction("ifs(filter( Personnesobjet!$A:$A,Personnesobjet!$C:$C=BH7)&lt;$B$24,filter( Personnesobjet!$A:$A,Personnesobjet!$C:$C=BH7), filter(Personnesobjet!$A:$A,Personnesobjet!$C:$C=BH7)&gt;=$B$24,BH15)"),256)</f>
        <v>256</v>
      </c>
      <c r="BI16" s="55" t="n">
        <f aca="false">IFERROR(__xludf.dummyfunction("ifs(filter( Personnesobjet!$A:$A,Personnesobjet!$C:$C=BI7)&lt;$B$24,filter( Personnesobjet!$A:$A,Personnesobjet!$C:$C=BI7), filter(Personnesobjet!$A:$A,Personnesobjet!$C:$C=BI7)&gt;=$B$24,BI15)"),262)</f>
        <v>262</v>
      </c>
      <c r="BJ16" s="55" t="str">
        <f aca="false">IFERROR(__xludf.dummyfunction("ifs(filter( Personnesobjet!$A:$A,Personnesobjet!$C:$C=BJ7)&lt;$B$24,filter( Personnesobjet!$A:$A,Personnesobjet!$C:$C=BJ7), filter(Personnesobjet!$A:$A,Personnesobjet!$C:$C=BJ7)&gt;=$B$24,BJ15)"),"")</f>
        <v/>
      </c>
      <c r="BK16" s="55" t="str">
        <f aca="false">IFERROR(__xludf.dummyfunction("ifs(filter( Personnesobjet!$A:$A,Personnesobjet!$C:$C=BK7)&lt;$B$24,filter( Personnesobjet!$A:$A,Personnesobjet!$C:$C=BK7), filter(Personnesobjet!$A:$A,Personnesobjet!$C:$C=BK7)&gt;=$B$24,BK15)"),"")</f>
        <v/>
      </c>
      <c r="BL16" s="55" t="str">
        <f aca="false">IFERROR(__xludf.dummyfunction("ifs(filter( Personnesobjet!$A:$A,Personnesobjet!$C:$C=BL7)&lt;$B$24,filter( Personnesobjet!$A:$A,Personnesobjet!$C:$C=BL7), filter(Personnesobjet!$A:$A,Personnesobjet!$C:$C=BL7)&gt;=$B$24,BL15)"),"")</f>
        <v/>
      </c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7"/>
    </row>
    <row r="17" customFormat="false" ht="15.75" hidden="false" customHeight="false" outlineLevel="0" collapsed="false">
      <c r="A17" s="58"/>
      <c r="B17" s="55" t="n">
        <f aca="false">IFERROR(__xludf.dummyfunction("ifs(filter( Personnesobjet!$A:$A,Personnesobjet!$C:$C=B8)&lt;$B$24,filter( Personnesobjet!$A:$A,Personnesobjet!$C:$C=B8), filter(Personnesobjet!$A:$A,Personnesobjet!$C:$C=B8)&gt;=$B$24,B16)"),2)</f>
        <v>2</v>
      </c>
      <c r="C17" s="55" t="n">
        <f aca="false">IFERROR(__xludf.dummyfunction("ifs(filter( Personnesobjet!$A:$A,Personnesobjet!$C:$C=C8)&lt;$B$24,filter( Personnesobjet!$A:$A,Personnesobjet!$C:$C=C8), filter(Personnesobjet!$A:$A,Personnesobjet!$C:$C=C8)&gt;=$B$24,C16)"),7)</f>
        <v>7</v>
      </c>
      <c r="D17" s="55" t="n">
        <f aca="false">IFERROR(__xludf.dummyfunction("ifs(filter( Personnesobjet!$A:$A,Personnesobjet!$C:$C=D8)&lt;$B$24,filter( Personnesobjet!$A:$A,Personnesobjet!$C:$C=D8), filter(Personnesobjet!$A:$A,Personnesobjet!$C:$C=D8)&gt;=$B$24,D16)"),35)</f>
        <v>35</v>
      </c>
      <c r="E17" s="55" t="n">
        <f aca="false">IFERROR(__xludf.dummyfunction("ifs(filter( Personnesobjet!$A:$A,Personnesobjet!$C:$C=E8)&lt;$B$24,filter( Personnesobjet!$A:$A,Personnesobjet!$C:$C=E8), filter(Personnesobjet!$A:$A,Personnesobjet!$C:$C=E8)&gt;=$B$24,E16)"),12)</f>
        <v>12</v>
      </c>
      <c r="F17" s="55" t="n">
        <f aca="false">IFERROR(__xludf.dummyfunction("ifs(filter( Personnesobjet!$A:$A,Personnesobjet!$C:$C=F8)&lt;$B$24,filter( Personnesobjet!$A:$A,Personnesobjet!$C:$C=F8), filter(Personnesobjet!$A:$A,Personnesobjet!$C:$C=F8)&gt;=$B$24,F16)"),17)</f>
        <v>17</v>
      </c>
      <c r="G17" s="55" t="n">
        <f aca="false">IFERROR(__xludf.dummyfunction("ifs(filter( Personnesobjet!$A:$A,Personnesobjet!$C:$C=G8)&lt;$B$24,filter( Personnesobjet!$A:$A,Personnesobjet!$C:$C=G8), filter(Personnesobjet!$A:$A,Personnesobjet!$C:$C=G8)&gt;=$B$24,G16)"),21)</f>
        <v>21</v>
      </c>
      <c r="H17" s="55" t="n">
        <f aca="false">IFERROR(__xludf.dummyfunction("ifs(filter( Personnesobjet!$A:$A,Personnesobjet!$C:$C=H8)&lt;$B$24,filter( Personnesobjet!$A:$A,Personnesobjet!$C:$C=H8), filter(Personnesobjet!$A:$A,Personnesobjet!$C:$C=H8)&gt;=$B$24,H16)"),37)</f>
        <v>37</v>
      </c>
      <c r="I17" s="55" t="n">
        <f aca="false">IFERROR(__xludf.dummyfunction("ifs(filter( Personnesobjet!$A:$A,Personnesobjet!$C:$C=I8)&lt;$B$24,filter( Personnesobjet!$A:$A,Personnesobjet!$C:$C=I8), filter(Personnesobjet!$A:$A,Personnesobjet!$C:$C=I8)&gt;=$B$24,I16)"),27)</f>
        <v>27</v>
      </c>
      <c r="J17" s="55" t="n">
        <f aca="false">IFERROR(__xludf.dummyfunction("ifs(filter( Personnesobjet!$A:$A,Personnesobjet!$C:$C=J8)&lt;$B$24,filter( Personnesobjet!$A:$A,Personnesobjet!$C:$C=J8), filter(Personnesobjet!$A:$A,Personnesobjet!$C:$C=J8)&gt;=$B$24,J16)"),26)</f>
        <v>26</v>
      </c>
      <c r="K17" s="55" t="n">
        <f aca="false">IFERROR(__xludf.dummyfunction("ifs(filter( Personnesobjet!$A:$A,Personnesobjet!$C:$C=K8)&lt;$B$24,filter( Personnesobjet!$A:$A,Personnesobjet!$C:$C=K8), filter(Personnesobjet!$A:$A,Personnesobjet!$C:$C=K8)&gt;=$B$24,K16)"),33)</f>
        <v>33</v>
      </c>
      <c r="L17" s="55" t="n">
        <f aca="false">IFERROR(__xludf.dummyfunction("ifs(filter( Personnesobjet!$A:$A,Personnesobjet!$C:$C=L8)&lt;$B$24,filter( Personnesobjet!$A:$A,Personnesobjet!$C:$C=L8), filter(Personnesobjet!$A:$A,Personnesobjet!$C:$C=L8)&gt;=$B$24,L16)"),42)</f>
        <v>42</v>
      </c>
      <c r="M17" s="55" t="n">
        <f aca="false">IFERROR(__xludf.dummyfunction("ifs(filter( Personnesobjet!$A:$A,Personnesobjet!$C:$C=M8)&lt;$B$24,filter( Personnesobjet!$A:$A,Personnesobjet!$C:$C=M8), filter(Personnesobjet!$A:$A,Personnesobjet!$C:$C=M8)&gt;=$B$24,M16)"),50)</f>
        <v>50</v>
      </c>
      <c r="N17" s="55" t="n">
        <f aca="false">IFERROR(__xludf.dummyfunction("ifs(filter( Personnesobjet!$A:$A,Personnesobjet!$C:$C=N8)&lt;$B$24,filter( Personnesobjet!$A:$A,Personnesobjet!$C:$C=N8), filter(Personnesobjet!$A:$A,Personnesobjet!$C:$C=N8)&gt;=$B$24,N16)"),54)</f>
        <v>54</v>
      </c>
      <c r="O17" s="55" t="n">
        <f aca="false">IFERROR(__xludf.dummyfunction("ifs(filter( Personnesobjet!$A:$A,Personnesobjet!$C:$C=O8)&lt;$B$24,filter( Personnesobjet!$A:$A,Personnesobjet!$C:$C=O8), filter(Personnesobjet!$A:$A,Personnesobjet!$C:$C=O8)&gt;=$B$24,O16)"),59)</f>
        <v>59</v>
      </c>
      <c r="P17" s="55" t="n">
        <f aca="false">IFERROR(__xludf.dummyfunction("ifs(filter( Personnesobjet!$A:$A,Personnesobjet!$C:$C=P8)&lt;$B$24,filter( Personnesobjet!$A:$A,Personnesobjet!$C:$C=P8), filter(Personnesobjet!$A:$A,Personnesobjet!$C:$C=P8)&gt;=$B$24,P16)"),64)</f>
        <v>64</v>
      </c>
      <c r="Q17" s="55" t="n">
        <f aca="false">IFERROR(__xludf.dummyfunction("ifs(filter( Personnesobjet!$A:$A,Personnesobjet!$C:$C=Q8)&lt;$B$24,filter( Personnesobjet!$A:$A,Personnesobjet!$C:$C=Q8), filter(Personnesobjet!$A:$A,Personnesobjet!$C:$C=Q8)&gt;=$B$24,Q16)"),185)</f>
        <v>185</v>
      </c>
      <c r="R17" s="55" t="n">
        <f aca="false">IFERROR(__xludf.dummyfunction("ifs(filter( Personnesobjet!$A:$A,Personnesobjet!$C:$C=R8)&lt;$B$24,filter( Personnesobjet!$A:$A,Personnesobjet!$C:$C=R8), filter(Personnesobjet!$A:$A,Personnesobjet!$C:$C=R8)&gt;=$B$24,R16)"),63)</f>
        <v>63</v>
      </c>
      <c r="S17" s="55" t="n">
        <f aca="false">IFERROR(__xludf.dummyfunction("ifs(filter( Personnesobjet!$A:$A,Personnesobjet!$C:$C=S8)&lt;$B$24,filter( Personnesobjet!$A:$A,Personnesobjet!$C:$C=S8), filter(Personnesobjet!$A:$A,Personnesobjet!$C:$C=S8)&gt;=$B$24,S16)"),68)</f>
        <v>68</v>
      </c>
      <c r="T17" s="55" t="n">
        <f aca="false">IFERROR(__xludf.dummyfunction("ifs(filter( Personnesobjet!$A:$A,Personnesobjet!$C:$C=T8)&lt;$B$24,filter( Personnesobjet!$A:$A,Personnesobjet!$C:$C=T8), filter(Personnesobjet!$A:$A,Personnesobjet!$C:$C=T8)&gt;=$B$24,T16)"),71)</f>
        <v>71</v>
      </c>
      <c r="U17" s="55" t="n">
        <f aca="false">IFERROR(__xludf.dummyfunction("ifs(filter( Personnesobjet!$A:$A,Personnesobjet!$C:$C=U8)&lt;$B$24,filter( Personnesobjet!$A:$A,Personnesobjet!$C:$C=U8), filter(Personnesobjet!$A:$A,Personnesobjet!$C:$C=U8)&gt;=$B$24,U16)"),78)</f>
        <v>78</v>
      </c>
      <c r="V17" s="55" t="n">
        <f aca="false">IFERROR(__xludf.dummyfunction("ifs(filter( Personnesobjet!$A:$A,Personnesobjet!$C:$C=V8)&lt;$B$24,filter( Personnesobjet!$A:$A,Personnesobjet!$C:$C=V8), filter(Personnesobjet!$A:$A,Personnesobjet!$C:$C=V8)&gt;=$B$24,V16)"),134)</f>
        <v>134</v>
      </c>
      <c r="W17" s="55" t="n">
        <f aca="false">IFERROR(__xludf.dummyfunction("ifs(filter( Personnesobjet!$A:$A,Personnesobjet!$C:$C=W8)&lt;$B$24,filter( Personnesobjet!$A:$A,Personnesobjet!$C:$C=W8), filter(Personnesobjet!$A:$A,Personnesobjet!$C:$C=W8)&gt;=$B$24,W16)"),82)</f>
        <v>82</v>
      </c>
      <c r="X17" s="55" t="n">
        <f aca="false">IFERROR(__xludf.dummyfunction("ifs(filter( Personnesobjet!$A:$A,Personnesobjet!$C:$C=X8)&lt;$B$24,filter( Personnesobjet!$A:$A,Personnesobjet!$C:$C=X8), filter(Personnesobjet!$A:$A,Personnesobjet!$C:$C=X8)&gt;=$B$24,X16)"),93)</f>
        <v>93</v>
      </c>
      <c r="Y17" s="55" t="n">
        <f aca="false">IFERROR(__xludf.dummyfunction("ifs(filter( Personnesobjet!$A:$A,Personnesobjet!$C:$C=Y8)&lt;$B$24,filter( Personnesobjet!$A:$A,Personnesobjet!$C:$C=Y8), filter(Personnesobjet!$A:$A,Personnesobjet!$C:$C=Y8)&gt;=$B$24,Y16)"),209)</f>
        <v>209</v>
      </c>
      <c r="Z17" s="55" t="n">
        <f aca="false">IFERROR(__xludf.dummyfunction("ifs(filter( Personnesobjet!$A:$A,Personnesobjet!$C:$C=Z8)&lt;$B$24,filter( Personnesobjet!$A:$A,Personnesobjet!$C:$C=Z8), filter(Personnesobjet!$A:$A,Personnesobjet!$C:$C=Z8)&gt;=$B$24,Z16)"),97)</f>
        <v>97</v>
      </c>
      <c r="AA17" s="55" t="n">
        <f aca="false">IFERROR(__xludf.dummyfunction("ifs(filter( Personnesobjet!$A:$A,Personnesobjet!$C:$C=AA8)&lt;$B$24,filter( Personnesobjet!$A:$A,Personnesobjet!$C:$C=AA8), filter(Personnesobjet!$A:$A,Personnesobjet!$C:$C=AA8)&gt;=$B$24,AA16)"),115)</f>
        <v>115</v>
      </c>
      <c r="AB17" s="55" t="n">
        <f aca="false">IFERROR(__xludf.dummyfunction("ifs(filter( Personnesobjet!$A:$A,Personnesobjet!$C:$C=AB8)&lt;$B$24,filter( Personnesobjet!$A:$A,Personnesobjet!$C:$C=AB8), filter(Personnesobjet!$A:$A,Personnesobjet!$C:$C=AB8)&gt;=$B$24,AB16)"),105)</f>
        <v>105</v>
      </c>
      <c r="AC17" s="55" t="n">
        <f aca="false">IFERROR(__xludf.dummyfunction("ifs(filter( Personnesobjet!$A:$A,Personnesobjet!$C:$C=AC8)&lt;$B$24,filter( Personnesobjet!$A:$A,Personnesobjet!$C:$C=AC8), filter(Personnesobjet!$A:$A,Personnesobjet!$C:$C=AC8)&gt;=$B$24,AC16)"),111)</f>
        <v>111</v>
      </c>
      <c r="AD17" s="55" t="n">
        <f aca="false">IFERROR(__xludf.dummyfunction("ifs(filter( Personnesobjet!$A:$A,Personnesobjet!$C:$C=AD8)&lt;$B$24,filter( Personnesobjet!$A:$A,Personnesobjet!$C:$C=AD8), filter(Personnesobjet!$A:$A,Personnesobjet!$C:$C=AD8)&gt;=$B$24,AD16)"),157)</f>
        <v>157</v>
      </c>
      <c r="AE17" s="55" t="n">
        <f aca="false">IFERROR(__xludf.dummyfunction("ifs(filter( Personnesobjet!$A:$A,Personnesobjet!$C:$C=AE8)&lt;$B$24,filter( Personnesobjet!$A:$A,Personnesobjet!$C:$C=AE8), filter(Personnesobjet!$A:$A,Personnesobjet!$C:$C=AE8)&gt;=$B$24,AE16)"),120)</f>
        <v>120</v>
      </c>
      <c r="AF17" s="55" t="n">
        <f aca="false">IFERROR(__xludf.dummyfunction("ifs(filter( Personnesobjet!$A:$A,Personnesobjet!$C:$C=AF8)&lt;$B$24,filter( Personnesobjet!$A:$A,Personnesobjet!$C:$C=AF8), filter(Personnesobjet!$A:$A,Personnesobjet!$C:$C=AF8)&gt;=$B$24,AF16)"),119)</f>
        <v>119</v>
      </c>
      <c r="AG17" s="55" t="n">
        <f aca="false">IFERROR(__xludf.dummyfunction("ifs(filter( Personnesobjet!$A:$A,Personnesobjet!$C:$C=AG8)&lt;$B$24,filter( Personnesobjet!$A:$A,Personnesobjet!$C:$C=AG8), filter(Personnesobjet!$A:$A,Personnesobjet!$C:$C=AG8)&gt;=$B$24,AG16)"),124)</f>
        <v>124</v>
      </c>
      <c r="AH17" s="55" t="n">
        <f aca="false">IFERROR(__xludf.dummyfunction("ifs(filter( Personnesobjet!$A:$A,Personnesobjet!$C:$C=AH8)&lt;$B$24,filter( Personnesobjet!$A:$A,Personnesobjet!$C:$C=AH8), filter(Personnesobjet!$A:$A,Personnesobjet!$C:$C=AH8)&gt;=$B$24,AH16)"),155)</f>
        <v>155</v>
      </c>
      <c r="AI17" s="55" t="n">
        <f aca="false">IFERROR(__xludf.dummyfunction("ifs(filter( Personnesobjet!$A:$A,Personnesobjet!$C:$C=AI8)&lt;$B$24,filter( Personnesobjet!$A:$A,Personnesobjet!$C:$C=AI8), filter(Personnesobjet!$A:$A,Personnesobjet!$C:$C=AI8)&gt;=$B$24,AI16)"),128)</f>
        <v>128</v>
      </c>
      <c r="AJ17" s="55" t="n">
        <f aca="false">IFERROR(__xludf.dummyfunction("ifs(filter( Personnesobjet!$A:$A,Personnesobjet!$C:$C=AJ8)&lt;$B$24,filter( Personnesobjet!$A:$A,Personnesobjet!$C:$C=AJ8), filter(Personnesobjet!$A:$A,Personnesobjet!$C:$C=AJ8)&gt;=$B$24,AJ16)"),135)</f>
        <v>135</v>
      </c>
      <c r="AK17" s="55" t="n">
        <f aca="false">IFERROR(__xludf.dummyfunction("ifs(filter( Personnesobjet!$A:$A,Personnesobjet!$C:$C=AK8)&lt;$B$24,filter( Personnesobjet!$A:$A,Personnesobjet!$C:$C=AK8), filter(Personnesobjet!$A:$A,Personnesobjet!$C:$C=AK8)&gt;=$B$24,AK16)"),141)</f>
        <v>141</v>
      </c>
      <c r="AL17" s="55" t="n">
        <f aca="false">IFERROR(__xludf.dummyfunction("ifs(filter( Personnesobjet!$A:$A,Personnesobjet!$C:$C=AL8)&lt;$B$24,filter( Personnesobjet!$A:$A,Personnesobjet!$C:$C=AL8), filter(Personnesobjet!$A:$A,Personnesobjet!$C:$C=AL8)&gt;=$B$24,AL16)"),146)</f>
        <v>146</v>
      </c>
      <c r="AM17" s="55" t="n">
        <f aca="false">IFERROR(__xludf.dummyfunction("ifs(filter( Personnesobjet!$A:$A,Personnesobjet!$C:$C=AM8)&lt;$B$24,filter( Personnesobjet!$A:$A,Personnesobjet!$C:$C=AM8), filter(Personnesobjet!$A:$A,Personnesobjet!$C:$C=AM8)&gt;=$B$24,AM16)"),154)</f>
        <v>154</v>
      </c>
      <c r="AN17" s="55" t="n">
        <f aca="false">IFERROR(__xludf.dummyfunction("ifs(filter( Personnesobjet!$A:$A,Personnesobjet!$C:$C=AN8)&lt;$B$24,filter( Personnesobjet!$A:$A,Personnesobjet!$C:$C=AN8), filter(Personnesobjet!$A:$A,Personnesobjet!$C:$C=AN8)&gt;=$B$24,AN16)"),158)</f>
        <v>158</v>
      </c>
      <c r="AO17" s="55" t="n">
        <f aca="false">IFERROR(__xludf.dummyfunction("ifs(filter( Personnesobjet!$A:$A,Personnesobjet!$C:$C=AO8)&lt;$B$24,filter( Personnesobjet!$A:$A,Personnesobjet!$C:$C=AO8), filter(Personnesobjet!$A:$A,Personnesobjet!$C:$C=AO8)&gt;=$B$24,AO16)"),163)</f>
        <v>163</v>
      </c>
      <c r="AP17" s="55" t="n">
        <f aca="false">IFERROR(__xludf.dummyfunction("ifs(filter( Personnesobjet!$A:$A,Personnesobjet!$C:$C=AP8)&lt;$B$24,filter( Personnesobjet!$A:$A,Personnesobjet!$C:$C=AP8), filter(Personnesobjet!$A:$A,Personnesobjet!$C:$C=AP8)&gt;=$B$24,AP16)"),166)</f>
        <v>166</v>
      </c>
      <c r="AQ17" s="55" t="n">
        <f aca="false">IFERROR(__xludf.dummyfunction("ifs(filter( Personnesobjet!$A:$A,Personnesobjet!$C:$C=AQ8)&lt;$B$24,filter( Personnesobjet!$A:$A,Personnesobjet!$C:$C=AQ8), filter(Personnesobjet!$A:$A,Personnesobjet!$C:$C=AQ8)&gt;=$B$24,AQ16)"),177)</f>
        <v>177</v>
      </c>
      <c r="AR17" s="55" t="n">
        <f aca="false">IFERROR(__xludf.dummyfunction("ifs(filter( Personnesobjet!$A:$A,Personnesobjet!$C:$C=AR8)&lt;$B$24,filter( Personnesobjet!$A:$A,Personnesobjet!$C:$C=AR8), filter(Personnesobjet!$A:$A,Personnesobjet!$C:$C=AR8)&gt;=$B$24,AR16)"),180)</f>
        <v>180</v>
      </c>
      <c r="AS17" s="55" t="n">
        <f aca="false">IFERROR(__xludf.dummyfunction("ifs(filter( Personnesobjet!$A:$A,Personnesobjet!$C:$C=AS8)&lt;$B$24,filter( Personnesobjet!$A:$A,Personnesobjet!$C:$C=AS8), filter(Personnesobjet!$A:$A,Personnesobjet!$C:$C=AS8)&gt;=$B$24,AS16)"),195)</f>
        <v>195</v>
      </c>
      <c r="AT17" s="55" t="n">
        <f aca="false">IFERROR(__xludf.dummyfunction("ifs(filter( Personnesobjet!$A:$A,Personnesobjet!$C:$C=AT8)&lt;$B$24,filter( Personnesobjet!$A:$A,Personnesobjet!$C:$C=AT8), filter(Personnesobjet!$A:$A,Personnesobjet!$C:$C=AT8)&gt;=$B$24,AT16)"),190)</f>
        <v>190</v>
      </c>
      <c r="AU17" s="55" t="n">
        <f aca="false">IFERROR(__xludf.dummyfunction("ifs(filter( Personnesobjet!$A:$A,Personnesobjet!$C:$C=AU8)&lt;$B$24,filter( Personnesobjet!$A:$A,Personnesobjet!$C:$C=AU8), filter(Personnesobjet!$A:$A,Personnesobjet!$C:$C=AU8)&gt;=$B$24,AU16)"),198)</f>
        <v>198</v>
      </c>
      <c r="AV17" s="55" t="n">
        <f aca="false">IFERROR(__xludf.dummyfunction("ifs(filter( Personnesobjet!$A:$A,Personnesobjet!$C:$C=AV8)&lt;$B$24,filter( Personnesobjet!$A:$A,Personnesobjet!$C:$C=AV8), filter(Personnesobjet!$A:$A,Personnesobjet!$C:$C=AV8)&gt;=$B$24,AV16)"),204)</f>
        <v>204</v>
      </c>
      <c r="AW17" s="55" t="n">
        <f aca="false">IFERROR(__xludf.dummyfunction("ifs(filter( Personnesobjet!$A:$A,Personnesobjet!$C:$C=AW8)&lt;$B$24,filter( Personnesobjet!$A:$A,Personnesobjet!$C:$C=AW8), filter(Personnesobjet!$A:$A,Personnesobjet!$C:$C=AW8)&gt;=$B$24,AW16)"),207)</f>
        <v>207</v>
      </c>
      <c r="AX17" s="55" t="n">
        <f aca="false">IFERROR(__xludf.dummyfunction("ifs(filter( Personnesobjet!$A:$A,Personnesobjet!$C:$C=AX8)&lt;$B$24,filter( Personnesobjet!$A:$A,Personnesobjet!$C:$C=AX8), filter(Personnesobjet!$A:$A,Personnesobjet!$C:$C=AX8)&gt;=$B$24,AX16)"),211)</f>
        <v>211</v>
      </c>
      <c r="AY17" s="55" t="n">
        <f aca="false">IFERROR(__xludf.dummyfunction("ifs(filter( Personnesobjet!$A:$A,Personnesobjet!$C:$C=AY8)&lt;$B$24,filter( Personnesobjet!$A:$A,Personnesobjet!$C:$C=AY8), filter(Personnesobjet!$A:$A,Personnesobjet!$C:$C=AY8)&gt;=$B$24,AY16)"),216)</f>
        <v>216</v>
      </c>
      <c r="AZ17" s="55" t="n">
        <f aca="false">IFERROR(__xludf.dummyfunction("ifs(filter( Personnesobjet!$A:$A,Personnesobjet!$C:$C=AZ8)&lt;$B$24,filter( Personnesobjet!$A:$A,Personnesobjet!$C:$C=AZ8), filter(Personnesobjet!$A:$A,Personnesobjet!$C:$C=AZ8)&gt;=$B$24,AZ16)"),213)</f>
        <v>213</v>
      </c>
      <c r="BA17" s="55" t="n">
        <f aca="false">IFERROR(__xludf.dummyfunction("ifs(filter( Personnesobjet!$A:$A,Personnesobjet!$C:$C=BA8)&lt;$B$24,filter( Personnesobjet!$A:$A,Personnesobjet!$C:$C=BA8), filter(Personnesobjet!$A:$A,Personnesobjet!$C:$C=BA8)&gt;=$B$24,BA16)"),227)</f>
        <v>227</v>
      </c>
      <c r="BB17" s="55" t="n">
        <f aca="false">IFERROR(__xludf.dummyfunction("ifs(filter( Personnesobjet!$A:$A,Personnesobjet!$C:$C=BB8)&lt;$B$24,filter( Personnesobjet!$A:$A,Personnesobjet!$C:$C=BB8), filter(Personnesobjet!$A:$A,Personnesobjet!$C:$C=BB8)&gt;=$B$24,BB16)"),228)</f>
        <v>228</v>
      </c>
      <c r="BC17" s="55" t="n">
        <f aca="false">IFERROR(__xludf.dummyfunction("ifs(filter( Personnesobjet!$A:$A,Personnesobjet!$C:$C=BC8)&lt;$B$24,filter( Personnesobjet!$A:$A,Personnesobjet!$C:$C=BC8), filter(Personnesobjet!$A:$A,Personnesobjet!$C:$C=BC8)&gt;=$B$24,BC16)"),233)</f>
        <v>233</v>
      </c>
      <c r="BD17" s="55" t="n">
        <f aca="false">IFERROR(__xludf.dummyfunction("ifs(filter( Personnesobjet!$A:$A,Personnesobjet!$C:$C=BD8)&lt;$B$24,filter( Personnesobjet!$A:$A,Personnesobjet!$C:$C=BD8), filter(Personnesobjet!$A:$A,Personnesobjet!$C:$C=BD8)&gt;=$B$24,BD16)"),247)</f>
        <v>247</v>
      </c>
      <c r="BE17" s="55" t="n">
        <f aca="false">IFERROR(__xludf.dummyfunction("ifs(filter( Personnesobjet!$A:$A,Personnesobjet!$C:$C=BE8)&lt;$B$24,filter( Personnesobjet!$A:$A,Personnesobjet!$C:$C=BE8), filter(Personnesobjet!$A:$A,Personnesobjet!$C:$C=BE8)&gt;=$B$24,BE16)"),244)</f>
        <v>244</v>
      </c>
      <c r="BF17" s="55" t="n">
        <f aca="false">IFERROR(__xludf.dummyfunction("ifs(filter( Personnesobjet!$A:$A,Personnesobjet!$C:$C=BF8)&lt;$B$24,filter( Personnesobjet!$A:$A,Personnesobjet!$C:$C=BF8), filter(Personnesobjet!$A:$A,Personnesobjet!$C:$C=BF8)&gt;=$B$24,BF16)"),241)</f>
        <v>241</v>
      </c>
      <c r="BG17" s="55" t="n">
        <f aca="false">IFERROR(__xludf.dummyfunction("ifs(filter( Personnesobjet!$A:$A,Personnesobjet!$C:$C=BG8)&lt;$B$24,filter( Personnesobjet!$A:$A,Personnesobjet!$C:$C=BG8), filter(Personnesobjet!$A:$A,Personnesobjet!$C:$C=BG8)&gt;=$B$24,BG16)"),252)</f>
        <v>252</v>
      </c>
      <c r="BH17" s="55" t="n">
        <f aca="false">IFERROR(__xludf.dummyfunction("ifs(filter( Personnesobjet!$A:$A,Personnesobjet!$C:$C=BH8)&lt;$B$24,filter( Personnesobjet!$A:$A,Personnesobjet!$C:$C=BH8), filter(Personnesobjet!$A:$A,Personnesobjet!$C:$C=BH8)&gt;=$B$24,BH16)"),257)</f>
        <v>257</v>
      </c>
      <c r="BI17" s="55" t="n">
        <f aca="false">IFERROR(__xludf.dummyfunction("ifs(filter( Personnesobjet!$A:$A,Personnesobjet!$C:$C=BI8)&lt;$B$24,filter( Personnesobjet!$A:$A,Personnesobjet!$C:$C=BI8), filter(Personnesobjet!$A:$A,Personnesobjet!$C:$C=BI8)&gt;=$B$24,BI16)"),263)</f>
        <v>263</v>
      </c>
      <c r="BJ17" s="55" t="str">
        <f aca="false">IFERROR(__xludf.dummyfunction("ifs(filter( Personnesobjet!$A:$A,Personnesobjet!$C:$C=BJ8)&lt;$B$24,filter( Personnesobjet!$A:$A,Personnesobjet!$C:$C=BJ8), filter(Personnesobjet!$A:$A,Personnesobjet!$C:$C=BJ8)&gt;=$B$24,BJ16)"),"")</f>
        <v/>
      </c>
      <c r="BK17" s="55" t="str">
        <f aca="false">IFERROR(__xludf.dummyfunction("ifs(filter( Personnesobjet!$A:$A,Personnesobjet!$C:$C=BK8)&lt;$B$24,filter( Personnesobjet!$A:$A,Personnesobjet!$C:$C=BK8), filter(Personnesobjet!$A:$A,Personnesobjet!$C:$C=BK8)&gt;=$B$24,BK16)"),"")</f>
        <v/>
      </c>
      <c r="BL17" s="55" t="str">
        <f aca="false">IFERROR(__xludf.dummyfunction("ifs(filter( Personnesobjet!$A:$A,Personnesobjet!$C:$C=BL8)&lt;$B$24,filter( Personnesobjet!$A:$A,Personnesobjet!$C:$C=BL8), filter(Personnesobjet!$A:$A,Personnesobjet!$C:$C=BL8)&gt;=$B$24,BL16)"),"")</f>
        <v/>
      </c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60"/>
    </row>
    <row r="18" customFormat="false" ht="15.75" hidden="false" customHeight="false" outlineLevel="0" collapsed="false">
      <c r="A18" s="58"/>
      <c r="B18" s="55" t="n">
        <f aca="false">IFERROR(__xludf.dummyfunction("ifs(filter( Personnesobjet!$A:$A,Personnesobjet!$C:$C=B9)&lt;$B$24,filter( Personnesobjet!$A:$A,Personnesobjet!$C:$C=B9), filter(Personnesobjet!$A:$A,Personnesobjet!$C:$C=B9)&gt;=$B$24,B17)"),3)</f>
        <v>3</v>
      </c>
      <c r="C18" s="55" t="n">
        <f aca="false">IFERROR(__xludf.dummyfunction("ifs(filter( Personnesobjet!$A:$A,Personnesobjet!$C:$C=C9)&lt;$B$24,filter( Personnesobjet!$A:$A,Personnesobjet!$C:$C=C9), filter(Personnesobjet!$A:$A,Personnesobjet!$C:$C=C9)&gt;=$B$24,C17)"),8)</f>
        <v>8</v>
      </c>
      <c r="D18" s="55" t="n">
        <f aca="false">IFERROR(__xludf.dummyfunction("ifs(filter( Personnesobjet!$A:$A,Personnesobjet!$C:$C=D9)&lt;$B$24,filter( Personnesobjet!$A:$A,Personnesobjet!$C:$C=D9), filter(Personnesobjet!$A:$A,Personnesobjet!$C:$C=D9)&gt;=$B$24,D17)"),40)</f>
        <v>40</v>
      </c>
      <c r="E18" s="55" t="n">
        <f aca="false">IFERROR(__xludf.dummyfunction("ifs(filter( Personnesobjet!$A:$A,Personnesobjet!$C:$C=E9)&lt;$B$24,filter( Personnesobjet!$A:$A,Personnesobjet!$C:$C=E9), filter(Personnesobjet!$A:$A,Personnesobjet!$C:$C=E9)&gt;=$B$24,E17)"),13)</f>
        <v>13</v>
      </c>
      <c r="F18" s="55" t="n">
        <f aca="false">IFERROR(__xludf.dummyfunction("ifs(filter( Personnesobjet!$A:$A,Personnesobjet!$C:$C=F9)&lt;$B$24,filter( Personnesobjet!$A:$A,Personnesobjet!$C:$C=F9), filter(Personnesobjet!$A:$A,Personnesobjet!$C:$C=F9)&gt;=$B$24,F17)"),18)</f>
        <v>18</v>
      </c>
      <c r="G18" s="55" t="n">
        <f aca="false">IFERROR(__xludf.dummyfunction("ifs(filter( Personnesobjet!$A:$A,Personnesobjet!$C:$C=G9)&lt;$B$24,filter( Personnesobjet!$A:$A,Personnesobjet!$C:$C=G9), filter(Personnesobjet!$A:$A,Personnesobjet!$C:$C=G9)&gt;=$B$24,G17)"),22)</f>
        <v>22</v>
      </c>
      <c r="H18" s="55" t="n">
        <f aca="false">IFERROR(__xludf.dummyfunction("ifs(filter( Personnesobjet!$A:$A,Personnesobjet!$C:$C=H9)&lt;$B$24,filter( Personnesobjet!$A:$A,Personnesobjet!$C:$C=H9), filter(Personnesobjet!$A:$A,Personnesobjet!$C:$C=H9)&gt;=$B$24,H17)"),45)</f>
        <v>45</v>
      </c>
      <c r="I18" s="55" t="n">
        <f aca="false">IFERROR(__xludf.dummyfunction("ifs(filter( Personnesobjet!$A:$A,Personnesobjet!$C:$C=I9)&lt;$B$24,filter( Personnesobjet!$A:$A,Personnesobjet!$C:$C=I9), filter(Personnesobjet!$A:$A,Personnesobjet!$C:$C=I9)&gt;=$B$24,I17)"),28)</f>
        <v>28</v>
      </c>
      <c r="J18" s="55" t="n">
        <f aca="false">IFERROR(__xludf.dummyfunction("ifs(filter( Personnesobjet!$A:$A,Personnesobjet!$C:$C=J9)&lt;$B$24,filter( Personnesobjet!$A:$A,Personnesobjet!$C:$C=J9), filter(Personnesobjet!$A:$A,Personnesobjet!$C:$C=J9)&gt;=$B$24,J17)"),31)</f>
        <v>31</v>
      </c>
      <c r="K18" s="55" t="n">
        <f aca="false">IFERROR(__xludf.dummyfunction("ifs(filter( Personnesobjet!$A:$A,Personnesobjet!$C:$C=K9)&lt;$B$24,filter( Personnesobjet!$A:$A,Personnesobjet!$C:$C=K9), filter(Personnesobjet!$A:$A,Personnesobjet!$C:$C=K9)&gt;=$B$24,K17)"),36)</f>
        <v>36</v>
      </c>
      <c r="L18" s="55" t="n">
        <f aca="false">IFERROR(__xludf.dummyfunction("ifs(filter( Personnesobjet!$A:$A,Personnesobjet!$C:$C=L9)&lt;$B$24,filter( Personnesobjet!$A:$A,Personnesobjet!$C:$C=L9), filter(Personnesobjet!$A:$A,Personnesobjet!$C:$C=L9)&gt;=$B$24,L17)"),43)</f>
        <v>43</v>
      </c>
      <c r="M18" s="55" t="n">
        <f aca="false">IFERROR(__xludf.dummyfunction("ifs(filter( Personnesobjet!$A:$A,Personnesobjet!$C:$C=M9)&lt;$B$24,filter( Personnesobjet!$A:$A,Personnesobjet!$C:$C=M9), filter(Personnesobjet!$A:$A,Personnesobjet!$C:$C=M9)&gt;=$B$24,M17)"),51)</f>
        <v>51</v>
      </c>
      <c r="N18" s="55" t="n">
        <f aca="false">IFERROR(__xludf.dummyfunction("ifs(filter( Personnesobjet!$A:$A,Personnesobjet!$C:$C=N9)&lt;$B$24,filter( Personnesobjet!$A:$A,Personnesobjet!$C:$C=N9), filter(Personnesobjet!$A:$A,Personnesobjet!$C:$C=N9)&gt;=$B$24,N17)"),60)</f>
        <v>60</v>
      </c>
      <c r="O18" s="55" t="n">
        <f aca="false">IFERROR(__xludf.dummyfunction("ifs(filter( Personnesobjet!$A:$A,Personnesobjet!$C:$C=O9)&lt;$B$24,filter( Personnesobjet!$A:$A,Personnesobjet!$C:$C=O9), filter(Personnesobjet!$A:$A,Personnesobjet!$C:$C=O9)&gt;=$B$24,O17)"),76)</f>
        <v>76</v>
      </c>
      <c r="P18" s="55" t="n">
        <f aca="false">IFERROR(__xludf.dummyfunction("ifs(filter( Personnesobjet!$A:$A,Personnesobjet!$C:$C=P9)&lt;$B$24,filter( Personnesobjet!$A:$A,Personnesobjet!$C:$C=P9), filter(Personnesobjet!$A:$A,Personnesobjet!$C:$C=P9)&gt;=$B$24,P17)"),86)</f>
        <v>86</v>
      </c>
      <c r="Q18" s="55" t="n">
        <f aca="false">IFERROR(__xludf.dummyfunction("ifs(filter( Personnesobjet!$A:$A,Personnesobjet!$C:$C=Q9)&lt;$B$24,filter( Personnesobjet!$A:$A,Personnesobjet!$C:$C=Q9), filter(Personnesobjet!$A:$A,Personnesobjet!$C:$C=Q9)&gt;=$B$24,Q17)"),100)</f>
        <v>100</v>
      </c>
      <c r="R18" s="55" t="n">
        <f aca="false">IFERROR(__xludf.dummyfunction("ifs(filter( Personnesobjet!$A:$A,Personnesobjet!$C:$C=R9)&lt;$B$24,filter( Personnesobjet!$A:$A,Personnesobjet!$C:$C=R9), filter(Personnesobjet!$A:$A,Personnesobjet!$C:$C=R9)&gt;=$B$24,R17)"),170)</f>
        <v>170</v>
      </c>
      <c r="S18" s="55" t="n">
        <f aca="false">IFERROR(__xludf.dummyfunction("ifs(filter( Personnesobjet!$A:$A,Personnesobjet!$C:$C=S9)&lt;$B$24,filter( Personnesobjet!$A:$A,Personnesobjet!$C:$C=S9), filter(Personnesobjet!$A:$A,Personnesobjet!$C:$C=S9)&gt;=$B$24,S17)"),69)</f>
        <v>69</v>
      </c>
      <c r="T18" s="55" t="n">
        <f aca="false">IFERROR(__xludf.dummyfunction("ifs(filter( Personnesobjet!$A:$A,Personnesobjet!$C:$C=T9)&lt;$B$24,filter( Personnesobjet!$A:$A,Personnesobjet!$C:$C=T9), filter(Personnesobjet!$A:$A,Personnesobjet!$C:$C=T9)&gt;=$B$24,T17)"),72)</f>
        <v>72</v>
      </c>
      <c r="U18" s="55" t="n">
        <f aca="false">IFERROR(__xludf.dummyfunction("ifs(filter( Personnesobjet!$A:$A,Personnesobjet!$C:$C=U9)&lt;$B$24,filter( Personnesobjet!$A:$A,Personnesobjet!$C:$C=U9), filter(Personnesobjet!$A:$A,Personnesobjet!$C:$C=U9)&gt;=$B$24,U17)"),79)</f>
        <v>79</v>
      </c>
      <c r="V18" s="55" t="n">
        <f aca="false">IFERROR(__xludf.dummyfunction("ifs(filter( Personnesobjet!$A:$A,Personnesobjet!$C:$C=V9)&lt;$B$24,filter( Personnesobjet!$A:$A,Personnesobjet!$C:$C=V9), filter(Personnesobjet!$A:$A,Personnesobjet!$C:$C=V9)&gt;=$B$24,V17)"),136)</f>
        <v>136</v>
      </c>
      <c r="W18" s="55" t="n">
        <f aca="false">IFERROR(__xludf.dummyfunction("ifs(filter( Personnesobjet!$A:$A,Personnesobjet!$C:$C=W9)&lt;$B$24,filter( Personnesobjet!$A:$A,Personnesobjet!$C:$C=W9), filter(Personnesobjet!$A:$A,Personnesobjet!$C:$C=W9)&gt;=$B$24,W17)"),83)</f>
        <v>83</v>
      </c>
      <c r="X18" s="55" t="n">
        <f aca="false">IFERROR(__xludf.dummyfunction("ifs(filter( Personnesobjet!$A:$A,Personnesobjet!$C:$C=X9)&lt;$B$24,filter( Personnesobjet!$A:$A,Personnesobjet!$C:$C=X9), filter(Personnesobjet!$A:$A,Personnesobjet!$C:$C=X9)&gt;=$B$24,X17)"),94)</f>
        <v>94</v>
      </c>
      <c r="Y18" s="55" t="n">
        <f aca="false">IFERROR(__xludf.dummyfunction("ifs(filter( Personnesobjet!$A:$A,Personnesobjet!$C:$C=Y9)&lt;$B$24,filter( Personnesobjet!$A:$A,Personnesobjet!$C:$C=Y9), filter(Personnesobjet!$A:$A,Personnesobjet!$C:$C=Y9)&gt;=$B$24,Y17)"),215)</f>
        <v>215</v>
      </c>
      <c r="Z18" s="55" t="n">
        <f aca="false">IFERROR(__xludf.dummyfunction("ifs(filter( Personnesobjet!$A:$A,Personnesobjet!$C:$C=Z9)&lt;$B$24,filter( Personnesobjet!$A:$A,Personnesobjet!$C:$C=Z9), filter(Personnesobjet!$A:$A,Personnesobjet!$C:$C=Z9)&gt;=$B$24,Z17)"),98)</f>
        <v>98</v>
      </c>
      <c r="AA18" s="55" t="n">
        <f aca="false">IFERROR(__xludf.dummyfunction("ifs(filter( Personnesobjet!$A:$A,Personnesobjet!$C:$C=AA9)&lt;$B$24,filter( Personnesobjet!$A:$A,Personnesobjet!$C:$C=AA9), filter(Personnesobjet!$A:$A,Personnesobjet!$C:$C=AA9)&gt;=$B$24,AA17)"),116)</f>
        <v>116</v>
      </c>
      <c r="AB18" s="55" t="n">
        <f aca="false">IFERROR(__xludf.dummyfunction("ifs(filter( Personnesobjet!$A:$A,Personnesobjet!$C:$C=AB9)&lt;$B$24,filter( Personnesobjet!$A:$A,Personnesobjet!$C:$C=AB9), filter(Personnesobjet!$A:$A,Personnesobjet!$C:$C=AB9)&gt;=$B$24,AB17)"),109)</f>
        <v>109</v>
      </c>
      <c r="AC18" s="55" t="n">
        <f aca="false">IFERROR(__xludf.dummyfunction("ifs(filter( Personnesobjet!$A:$A,Personnesobjet!$C:$C=AC9)&lt;$B$24,filter( Personnesobjet!$A:$A,Personnesobjet!$C:$C=AC9), filter(Personnesobjet!$A:$A,Personnesobjet!$C:$C=AC9)&gt;=$B$24,AC17)"),113)</f>
        <v>113</v>
      </c>
      <c r="AD18" s="55" t="n">
        <f aca="false">IFERROR(__xludf.dummyfunction("ifs(filter( Personnesobjet!$A:$A,Personnesobjet!$C:$C=AD9)&lt;$B$24,filter( Personnesobjet!$A:$A,Personnesobjet!$C:$C=AD9), filter(Personnesobjet!$A:$A,Personnesobjet!$C:$C=AD9)&gt;=$B$24,AD17)"),160)</f>
        <v>160</v>
      </c>
      <c r="AE18" s="55" t="n">
        <f aca="false">IFERROR(__xludf.dummyfunction("ifs(filter( Personnesobjet!$A:$A,Personnesobjet!$C:$C=AE9)&lt;$B$24,filter( Personnesobjet!$A:$A,Personnesobjet!$C:$C=AE9), filter(Personnesobjet!$A:$A,Personnesobjet!$C:$C=AE9)&gt;=$B$24,AE17)"),121)</f>
        <v>121</v>
      </c>
      <c r="AF18" s="55" t="n">
        <f aca="false">IFERROR(__xludf.dummyfunction("ifs(filter( Personnesobjet!$A:$A,Personnesobjet!$C:$C=AF9)&lt;$B$24,filter( Personnesobjet!$A:$A,Personnesobjet!$C:$C=AF9), filter(Personnesobjet!$A:$A,Personnesobjet!$C:$C=AF9)&gt;=$B$24,AF17)"),144)</f>
        <v>144</v>
      </c>
      <c r="AG18" s="55" t="n">
        <f aca="false">IFERROR(__xludf.dummyfunction("ifs(filter( Personnesobjet!$A:$A,Personnesobjet!$C:$C=AG9)&lt;$B$24,filter( Personnesobjet!$A:$A,Personnesobjet!$C:$C=AG9), filter(Personnesobjet!$A:$A,Personnesobjet!$C:$C=AG9)&gt;=$B$24,AG17)"),125)</f>
        <v>125</v>
      </c>
      <c r="AH18" s="55" t="n">
        <f aca="false">IFERROR(__xludf.dummyfunction("ifs(filter( Personnesobjet!$A:$A,Personnesobjet!$C:$C=AH9)&lt;$B$24,filter( Personnesobjet!$A:$A,Personnesobjet!$C:$C=AH9), filter(Personnesobjet!$A:$A,Personnesobjet!$C:$C=AH9)&gt;=$B$24,AH17)"),156)</f>
        <v>156</v>
      </c>
      <c r="AI18" s="55" t="n">
        <f aca="false">IFERROR(__xludf.dummyfunction("ifs(filter( Personnesobjet!$A:$A,Personnesobjet!$C:$C=AI9)&lt;$B$24,filter( Personnesobjet!$A:$A,Personnesobjet!$C:$C=AI9), filter(Personnesobjet!$A:$A,Personnesobjet!$C:$C=AI9)&gt;=$B$24,AI17)"),129)</f>
        <v>129</v>
      </c>
      <c r="AJ18" s="55" t="n">
        <f aca="false">IFERROR(__xludf.dummyfunction("ifs(filter( Personnesobjet!$A:$A,Personnesobjet!$C:$C=AJ9)&lt;$B$24,filter( Personnesobjet!$A:$A,Personnesobjet!$C:$C=AJ9), filter(Personnesobjet!$A:$A,Personnesobjet!$C:$C=AJ9)&gt;=$B$24,AJ17)"),138)</f>
        <v>138</v>
      </c>
      <c r="AK18" s="55" t="n">
        <f aca="false">IFERROR(__xludf.dummyfunction("ifs(filter( Personnesobjet!$A:$A,Personnesobjet!$C:$C=AK9)&lt;$B$24,filter( Personnesobjet!$A:$A,Personnesobjet!$C:$C=AK9), filter(Personnesobjet!$A:$A,Personnesobjet!$C:$C=AK9)&gt;=$B$24,AK17)"),142)</f>
        <v>142</v>
      </c>
      <c r="AL18" s="55" t="n">
        <f aca="false">IFERROR(__xludf.dummyfunction("ifs(filter( Personnesobjet!$A:$A,Personnesobjet!$C:$C=AL9)&lt;$B$24,filter( Personnesobjet!$A:$A,Personnesobjet!$C:$C=AL9), filter(Personnesobjet!$A:$A,Personnesobjet!$C:$C=AL9)&gt;=$B$24,AL17)"),147)</f>
        <v>147</v>
      </c>
      <c r="AM18" s="55" t="n">
        <f aca="false">IFERROR(__xludf.dummyfunction("ifs(filter( Personnesobjet!$A:$A,Personnesobjet!$C:$C=AM9)&lt;$B$24,filter( Personnesobjet!$A:$A,Personnesobjet!$C:$C=AM9), filter(Personnesobjet!$A:$A,Personnesobjet!$C:$C=AM9)&gt;=$B$24,AM17)"),150)</f>
        <v>150</v>
      </c>
      <c r="AN18" s="55" t="n">
        <f aca="false">IFERROR(__xludf.dummyfunction("ifs(filter( Personnesobjet!$A:$A,Personnesobjet!$C:$C=AN9)&lt;$B$24,filter( Personnesobjet!$A:$A,Personnesobjet!$C:$C=AN9), filter(Personnesobjet!$A:$A,Personnesobjet!$C:$C=AN9)&gt;=$B$24,AN17)"),159)</f>
        <v>159</v>
      </c>
      <c r="AO18" s="55" t="n">
        <f aca="false">IFERROR(__xludf.dummyfunction("ifs(filter( Personnesobjet!$A:$A,Personnesobjet!$C:$C=AO9)&lt;$B$24,filter( Personnesobjet!$A:$A,Personnesobjet!$C:$C=AO9), filter(Personnesobjet!$A:$A,Personnesobjet!$C:$C=AO9)&gt;=$B$24,AO17)"),164)</f>
        <v>164</v>
      </c>
      <c r="AP18" s="55" t="n">
        <f aca="false">IFERROR(__xludf.dummyfunction("ifs(filter( Personnesobjet!$A:$A,Personnesobjet!$C:$C=AP9)&lt;$B$24,filter( Personnesobjet!$A:$A,Personnesobjet!$C:$C=AP9), filter(Personnesobjet!$A:$A,Personnesobjet!$C:$C=AP9)&gt;=$B$24,AP17)"),167)</f>
        <v>167</v>
      </c>
      <c r="AQ18" s="55" t="n">
        <f aca="false">IFERROR(__xludf.dummyfunction("ifs(filter( Personnesobjet!$A:$A,Personnesobjet!$C:$C=AQ9)&lt;$B$24,filter( Personnesobjet!$A:$A,Personnesobjet!$C:$C=AQ9), filter(Personnesobjet!$A:$A,Personnesobjet!$C:$C=AQ9)&gt;=$B$24,AQ17)"),186)</f>
        <v>186</v>
      </c>
      <c r="AR18" s="55" t="n">
        <f aca="false">IFERROR(__xludf.dummyfunction("ifs(filter( Personnesobjet!$A:$A,Personnesobjet!$C:$C=AR9)&lt;$B$24,filter( Personnesobjet!$A:$A,Personnesobjet!$C:$C=AR9), filter(Personnesobjet!$A:$A,Personnesobjet!$C:$C=AR9)&gt;=$B$24,AR17)"),181)</f>
        <v>181</v>
      </c>
      <c r="AS18" s="55" t="n">
        <f aca="false">IFERROR(__xludf.dummyfunction("ifs(filter( Personnesobjet!$A:$A,Personnesobjet!$C:$C=AS9)&lt;$B$24,filter( Personnesobjet!$A:$A,Personnesobjet!$C:$C=AS9), filter(Personnesobjet!$A:$A,Personnesobjet!$C:$C=AS9)&gt;=$B$24,AS17)"),197)</f>
        <v>197</v>
      </c>
      <c r="AT18" s="55" t="n">
        <f aca="false">IFERROR(__xludf.dummyfunction("ifs(filter( Personnesobjet!$A:$A,Personnesobjet!$C:$C=AT9)&lt;$B$24,filter( Personnesobjet!$A:$A,Personnesobjet!$C:$C=AT9), filter(Personnesobjet!$A:$A,Personnesobjet!$C:$C=AT9)&gt;=$B$24,AT17)"),191)</f>
        <v>191</v>
      </c>
      <c r="AU18" s="55" t="n">
        <f aca="false">IFERROR(__xludf.dummyfunction("ifs(filter( Personnesobjet!$A:$A,Personnesobjet!$C:$C=AU9)&lt;$B$24,filter( Personnesobjet!$A:$A,Personnesobjet!$C:$C=AU9), filter(Personnesobjet!$A:$A,Personnesobjet!$C:$C=AU9)&gt;=$B$24,AU17)"),199)</f>
        <v>199</v>
      </c>
      <c r="AV18" s="55" t="n">
        <f aca="false">IFERROR(__xludf.dummyfunction("ifs(filter( Personnesobjet!$A:$A,Personnesobjet!$C:$C=AV9)&lt;$B$24,filter( Personnesobjet!$A:$A,Personnesobjet!$C:$C=AV9), filter(Personnesobjet!$A:$A,Personnesobjet!$C:$C=AV9)&gt;=$B$24,AV17)"),205)</f>
        <v>205</v>
      </c>
      <c r="AW18" s="55" t="n">
        <f aca="false">IFERROR(__xludf.dummyfunction("ifs(filter( Personnesobjet!$A:$A,Personnesobjet!$C:$C=AW9)&lt;$B$24,filter( Personnesobjet!$A:$A,Personnesobjet!$C:$C=AW9), filter(Personnesobjet!$A:$A,Personnesobjet!$C:$C=AW9)&gt;=$B$24,AW17)"),250)</f>
        <v>250</v>
      </c>
      <c r="AX18" s="55" t="n">
        <f aca="false">IFERROR(__xludf.dummyfunction("ifs(filter( Personnesobjet!$A:$A,Personnesobjet!$C:$C=AX9)&lt;$B$24,filter( Personnesobjet!$A:$A,Personnesobjet!$C:$C=AX9), filter(Personnesobjet!$A:$A,Personnesobjet!$C:$C=AX9)&gt;=$B$24,AX17)"),218)</f>
        <v>218</v>
      </c>
      <c r="AY18" s="55" t="n">
        <f aca="false">IFERROR(__xludf.dummyfunction("ifs(filter( Personnesobjet!$A:$A,Personnesobjet!$C:$C=AY9)&lt;$B$24,filter( Personnesobjet!$A:$A,Personnesobjet!$C:$C=AY9), filter(Personnesobjet!$A:$A,Personnesobjet!$C:$C=AY9)&gt;=$B$24,AY17)"),219)</f>
        <v>219</v>
      </c>
      <c r="AZ18" s="55" t="n">
        <f aca="false">IFERROR(__xludf.dummyfunction("ifs(filter( Personnesobjet!$A:$A,Personnesobjet!$C:$C=AZ9)&lt;$B$24,filter( Personnesobjet!$A:$A,Personnesobjet!$C:$C=AZ9), filter(Personnesobjet!$A:$A,Personnesobjet!$C:$C=AZ9)&gt;=$B$24,AZ17)"),214)</f>
        <v>214</v>
      </c>
      <c r="BA18" s="55" t="n">
        <f aca="false">IFERROR(__xludf.dummyfunction("ifs(filter( Personnesobjet!$A:$A,Personnesobjet!$C:$C=BA9)&lt;$B$24,filter( Personnesobjet!$A:$A,Personnesobjet!$C:$C=BA9), filter(Personnesobjet!$A:$A,Personnesobjet!$C:$C=BA9)&gt;=$B$24,BA17)"),229)</f>
        <v>229</v>
      </c>
      <c r="BB18" s="55" t="n">
        <f aca="false">IFERROR(__xludf.dummyfunction("ifs(filter( Personnesobjet!$A:$A,Personnesobjet!$C:$C=BB9)&lt;$B$24,filter( Personnesobjet!$A:$A,Personnesobjet!$C:$C=BB9), filter(Personnesobjet!$A:$A,Personnesobjet!$C:$C=BB9)&gt;=$B$24,BB17)"),236)</f>
        <v>236</v>
      </c>
      <c r="BC18" s="55" t="n">
        <f aca="false">IFERROR(__xludf.dummyfunction("ifs(filter( Personnesobjet!$A:$A,Personnesobjet!$C:$C=BC9)&lt;$B$24,filter( Personnesobjet!$A:$A,Personnesobjet!$C:$C=BC9), filter(Personnesobjet!$A:$A,Personnesobjet!$C:$C=BC9)&gt;=$B$24,BC17)"),234)</f>
        <v>234</v>
      </c>
      <c r="BD18" s="55" t="n">
        <f aca="false">IFERROR(__xludf.dummyfunction("ifs(filter( Personnesobjet!$A:$A,Personnesobjet!$C:$C=BD9)&lt;$B$24,filter( Personnesobjet!$A:$A,Personnesobjet!$C:$C=BD9), filter(Personnesobjet!$A:$A,Personnesobjet!$C:$C=BD9)&gt;=$B$24,BD17)"),269)</f>
        <v>269</v>
      </c>
      <c r="BE18" s="55" t="n">
        <f aca="false">IFERROR(__xludf.dummyfunction("ifs(filter( Personnesobjet!$A:$A,Personnesobjet!$C:$C=BE9)&lt;$B$24,filter( Personnesobjet!$A:$A,Personnesobjet!$C:$C=BE9), filter(Personnesobjet!$A:$A,Personnesobjet!$C:$C=BE9)&gt;=$B$24,BE17)"),268)</f>
        <v>268</v>
      </c>
      <c r="BF18" s="55" t="n">
        <f aca="false">IFERROR(__xludf.dummyfunction("ifs(filter( Personnesobjet!$A:$A,Personnesobjet!$C:$C=BF9)&lt;$B$24,filter( Personnesobjet!$A:$A,Personnesobjet!$C:$C=BF9), filter(Personnesobjet!$A:$A,Personnesobjet!$C:$C=BF9)&gt;=$B$24,BF17)"),242)</f>
        <v>242</v>
      </c>
      <c r="BG18" s="55" t="n">
        <f aca="false">IFERROR(__xludf.dummyfunction("ifs(filter( Personnesobjet!$A:$A,Personnesobjet!$C:$C=BG9)&lt;$B$24,filter( Personnesobjet!$A:$A,Personnesobjet!$C:$C=BG9), filter(Personnesobjet!$A:$A,Personnesobjet!$C:$C=BG9)&gt;=$B$24,BG17)"),253)</f>
        <v>253</v>
      </c>
      <c r="BH18" s="55" t="n">
        <f aca="false">IFERROR(__xludf.dummyfunction("ifs(filter( Personnesobjet!$A:$A,Personnesobjet!$C:$C=BH9)&lt;$B$24,filter( Personnesobjet!$A:$A,Personnesobjet!$C:$C=BH9), filter(Personnesobjet!$A:$A,Personnesobjet!$C:$C=BH9)&gt;=$B$24,BH17)"),258)</f>
        <v>258</v>
      </c>
      <c r="BI18" s="55" t="n">
        <f aca="false">IFERROR(__xludf.dummyfunction("ifs(filter( Personnesobjet!$A:$A,Personnesobjet!$C:$C=BI9)&lt;$B$24,filter( Personnesobjet!$A:$A,Personnesobjet!$C:$C=BI9), filter(Personnesobjet!$A:$A,Personnesobjet!$C:$C=BI9)&gt;=$B$24,BI17)"),264)</f>
        <v>264</v>
      </c>
      <c r="BJ18" s="55" t="str">
        <f aca="false">IFERROR(__xludf.dummyfunction("ifs(filter( Personnesobjet!$A:$A,Personnesobjet!$C:$C=BJ9)&lt;$B$24,filter( Personnesobjet!$A:$A,Personnesobjet!$C:$C=BJ9), filter(Personnesobjet!$A:$A,Personnesobjet!$C:$C=BJ9)&gt;=$B$24,BJ17)"),"")</f>
        <v/>
      </c>
      <c r="BK18" s="55" t="str">
        <f aca="false">IFERROR(__xludf.dummyfunction("ifs(filter( Personnesobjet!$A:$A,Personnesobjet!$C:$C=BK9)&lt;$B$24,filter( Personnesobjet!$A:$A,Personnesobjet!$C:$C=BK9), filter(Personnesobjet!$A:$A,Personnesobjet!$C:$C=BK9)&gt;=$B$24,BK17)"),"")</f>
        <v/>
      </c>
      <c r="BL18" s="55" t="str">
        <f aca="false">IFERROR(__xludf.dummyfunction("ifs(filter( Personnesobjet!$A:$A,Personnesobjet!$C:$C=BL9)&lt;$B$24,filter( Personnesobjet!$A:$A,Personnesobjet!$C:$C=BL9), filter(Personnesobjet!$A:$A,Personnesobjet!$C:$C=BL9)&gt;=$B$24,BL17)"),"")</f>
        <v/>
      </c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60"/>
    </row>
    <row r="19" customFormat="false" ht="15.75" hidden="false" customHeight="false" outlineLevel="0" collapsed="false">
      <c r="A19" s="58"/>
      <c r="B19" s="55" t="n">
        <f aca="false">IFERROR(__xludf.dummyfunction("ifs(filter( Personnesobjet!$A:$A,Personnesobjet!$C:$C=B10)&lt;$B$24,filter( Personnesobjet!$A:$A,Personnesobjet!$C:$C=B10), filter(Personnesobjet!$A:$A,Personnesobjet!$C:$C=B10)&gt;=$B$24,B18)"),4)</f>
        <v>4</v>
      </c>
      <c r="C19" s="55" t="n">
        <f aca="false">IFERROR(__xludf.dummyfunction("ifs(filter( Personnesobjet!$A:$A,Personnesobjet!$C:$C=C10)&lt;$B$24,filter( Personnesobjet!$A:$A,Personnesobjet!$C:$C=C10), filter(Personnesobjet!$A:$A,Personnesobjet!$C:$C=C10)&gt;=$B$24,C18)"),8)</f>
        <v>8</v>
      </c>
      <c r="D19" s="55" t="n">
        <f aca="false">IFERROR(__xludf.dummyfunction("ifs(filter( Personnesobjet!$A:$A,Personnesobjet!$C:$C=D10)&lt;$B$24,filter( Personnesobjet!$A:$A,Personnesobjet!$C:$C=D10), filter(Personnesobjet!$A:$A,Personnesobjet!$C:$C=D10)&gt;=$B$24,D18)"),91)</f>
        <v>91</v>
      </c>
      <c r="E19" s="55" t="n">
        <f aca="false">IFERROR(__xludf.dummyfunction("ifs(filter( Personnesobjet!$A:$A,Personnesobjet!$C:$C=E10)&lt;$B$24,filter( Personnesobjet!$A:$A,Personnesobjet!$C:$C=E10), filter(Personnesobjet!$A:$A,Personnesobjet!$C:$C=E10)&gt;=$B$24,E18)"),14)</f>
        <v>14</v>
      </c>
      <c r="F19" s="55" t="n">
        <f aca="false">IFERROR(__xludf.dummyfunction("ifs(filter( Personnesobjet!$A:$A,Personnesobjet!$C:$C=F10)&lt;$B$24,filter( Personnesobjet!$A:$A,Personnesobjet!$C:$C=F10), filter(Personnesobjet!$A:$A,Personnesobjet!$C:$C=F10)&gt;=$B$24,F18)"),20)</f>
        <v>20</v>
      </c>
      <c r="G19" s="55" t="n">
        <f aca="false">IFERROR(__xludf.dummyfunction("ifs(filter( Personnesobjet!$A:$A,Personnesobjet!$C:$C=G10)&lt;$B$24,filter( Personnesobjet!$A:$A,Personnesobjet!$C:$C=G10), filter(Personnesobjet!$A:$A,Personnesobjet!$C:$C=G10)&gt;=$B$24,G18)"),23)</f>
        <v>23</v>
      </c>
      <c r="H19" s="55" t="n">
        <f aca="false">IFERROR(__xludf.dummyfunction("ifs(filter( Personnesobjet!$A:$A,Personnesobjet!$C:$C=H10)&lt;$B$24,filter( Personnesobjet!$A:$A,Personnesobjet!$C:$C=H10), filter(Personnesobjet!$A:$A,Personnesobjet!$C:$C=H10)&gt;=$B$24,H18)"),56)</f>
        <v>56</v>
      </c>
      <c r="I19" s="55" t="n">
        <f aca="false">IFERROR(__xludf.dummyfunction("ifs(filter( Personnesobjet!$A:$A,Personnesobjet!$C:$C=I10)&lt;$B$24,filter( Personnesobjet!$A:$A,Personnesobjet!$C:$C=I10), filter(Personnesobjet!$A:$A,Personnesobjet!$C:$C=I10)&gt;=$B$24,I18)"),29)</f>
        <v>29</v>
      </c>
      <c r="J19" s="55" t="n">
        <f aca="false">IFERROR(__xludf.dummyfunction("ifs(filter( Personnesobjet!$A:$A,Personnesobjet!$C:$C=J10)&lt;$B$24,filter( Personnesobjet!$A:$A,Personnesobjet!$C:$C=J10), filter(Personnesobjet!$A:$A,Personnesobjet!$C:$C=J10)&gt;=$B$24,J18)"),34)</f>
        <v>34</v>
      </c>
      <c r="K19" s="55" t="n">
        <f aca="false">IFERROR(__xludf.dummyfunction("ifs(filter( Personnesobjet!$A:$A,Personnesobjet!$C:$C=K10)&lt;$B$24,filter( Personnesobjet!$A:$A,Personnesobjet!$C:$C=K10), filter(Personnesobjet!$A:$A,Personnesobjet!$C:$C=K10)&gt;=$B$24,K18)"),38)</f>
        <v>38</v>
      </c>
      <c r="L19" s="55" t="n">
        <f aca="false">IFERROR(__xludf.dummyfunction("ifs(filter( Personnesobjet!$A:$A,Personnesobjet!$C:$C=L10)&lt;$B$24,filter( Personnesobjet!$A:$A,Personnesobjet!$C:$C=L10), filter(Personnesobjet!$A:$A,Personnesobjet!$C:$C=L10)&gt;=$B$24,L18)"),44)</f>
        <v>44</v>
      </c>
      <c r="M19" s="55" t="n">
        <f aca="false">IFERROR(__xludf.dummyfunction("ifs(filter( Personnesobjet!$A:$A,Personnesobjet!$C:$C=M10)&lt;$B$24,filter( Personnesobjet!$A:$A,Personnesobjet!$C:$C=M10), filter(Personnesobjet!$A:$A,Personnesobjet!$C:$C=M10)&gt;=$B$24,M18)"),52)</f>
        <v>52</v>
      </c>
      <c r="N19" s="55" t="n">
        <f aca="false">IFERROR(__xludf.dummyfunction("ifs(filter( Personnesobjet!$A:$A,Personnesobjet!$C:$C=N10)&lt;$B$24,filter( Personnesobjet!$A:$A,Personnesobjet!$C:$C=N10), filter(Personnesobjet!$A:$A,Personnesobjet!$C:$C=N10)&gt;=$B$24,N18)"),61)</f>
        <v>61</v>
      </c>
      <c r="O19" s="55" t="n">
        <f aca="false">IFERROR(__xludf.dummyfunction("ifs(filter( Personnesobjet!$A:$A,Personnesobjet!$C:$C=O10)&lt;$B$24,filter( Personnesobjet!$A:$A,Personnesobjet!$C:$C=O10), filter(Personnesobjet!$A:$A,Personnesobjet!$C:$C=O10)&gt;=$B$24,O18)"),271)</f>
        <v>271</v>
      </c>
      <c r="P19" s="55" t="n">
        <f aca="false">IFERROR(__xludf.dummyfunction("ifs(filter( Personnesobjet!$A:$A,Personnesobjet!$C:$C=P10)&lt;$B$24,filter( Personnesobjet!$A:$A,Personnesobjet!$C:$C=P10), filter(Personnesobjet!$A:$A,Personnesobjet!$C:$C=P10)&gt;=$B$24,P18)"),106)</f>
        <v>106</v>
      </c>
      <c r="Q19" s="55" t="n">
        <f aca="false">IFERROR(__xludf.dummyfunction("ifs(filter( Personnesobjet!$A:$A,Personnesobjet!$C:$C=Q10)&lt;$B$24,filter( Personnesobjet!$A:$A,Personnesobjet!$C:$C=Q10), filter(Personnesobjet!$A:$A,Personnesobjet!$C:$C=Q10)&gt;=$B$24,Q18)"),101)</f>
        <v>101</v>
      </c>
      <c r="R19" s="55" t="n">
        <f aca="false">IFERROR(__xludf.dummyfunction("ifs(filter( Personnesobjet!$A:$A,Personnesobjet!$C:$C=R10)&lt;$B$24,filter( Personnesobjet!$A:$A,Personnesobjet!$C:$C=R10), filter(Personnesobjet!$A:$A,Personnesobjet!$C:$C=R10)&gt;=$B$24,R18)"),235)</f>
        <v>235</v>
      </c>
      <c r="S19" s="55" t="n">
        <f aca="false">IFERROR(__xludf.dummyfunction("ifs(filter( Personnesobjet!$A:$A,Personnesobjet!$C:$C=S10)&lt;$B$24,filter( Personnesobjet!$A:$A,Personnesobjet!$C:$C=S10), filter(Personnesobjet!$A:$A,Personnesobjet!$C:$C=S10)&gt;=$B$24,S18)"),73)</f>
        <v>73</v>
      </c>
      <c r="T19" s="55" t="n">
        <f aca="false">IFERROR(__xludf.dummyfunction("ifs(filter( Personnesobjet!$A:$A,Personnesobjet!$C:$C=T10)&lt;$B$24,filter( Personnesobjet!$A:$A,Personnesobjet!$C:$C=T10), filter(Personnesobjet!$A:$A,Personnesobjet!$C:$C=T10)&gt;=$B$24,T18)"),85)</f>
        <v>85</v>
      </c>
      <c r="U19" s="55" t="n">
        <f aca="false">IFERROR(__xludf.dummyfunction("ifs(filter( Personnesobjet!$A:$A,Personnesobjet!$C:$C=U10)&lt;$B$24,filter( Personnesobjet!$A:$A,Personnesobjet!$C:$C=U10), filter(Personnesobjet!$A:$A,Personnesobjet!$C:$C=U10)&gt;=$B$24,U18)"),80)</f>
        <v>80</v>
      </c>
      <c r="V19" s="55" t="n">
        <f aca="false">IFERROR(__xludf.dummyfunction("ifs(filter( Personnesobjet!$A:$A,Personnesobjet!$C:$C=V10)&lt;$B$24,filter( Personnesobjet!$A:$A,Personnesobjet!$C:$C=V10), filter(Personnesobjet!$A:$A,Personnesobjet!$C:$C=V10)&gt;=$B$24,V18)"),137)</f>
        <v>137</v>
      </c>
      <c r="W19" s="55" t="n">
        <f aca="false">IFERROR(__xludf.dummyfunction("ifs(filter( Personnesobjet!$A:$A,Personnesobjet!$C:$C=W10)&lt;$B$24,filter( Personnesobjet!$A:$A,Personnesobjet!$C:$C=W10), filter(Personnesobjet!$A:$A,Personnesobjet!$C:$C=W10)&gt;=$B$24,W18)"),84)</f>
        <v>84</v>
      </c>
      <c r="X19" s="55" t="n">
        <f aca="false">IFERROR(__xludf.dummyfunction("ifs(filter( Personnesobjet!$A:$A,Personnesobjet!$C:$C=X10)&lt;$B$24,filter( Personnesobjet!$A:$A,Personnesobjet!$C:$C=X10), filter(Personnesobjet!$A:$A,Personnesobjet!$C:$C=X10)&gt;=$B$24,X18)"),95)</f>
        <v>95</v>
      </c>
      <c r="Y19" s="55" t="n">
        <f aca="false">IFERROR(__xludf.dummyfunction("ifs(filter( Personnesobjet!$A:$A,Personnesobjet!$C:$C=Y10)&lt;$B$24,filter( Personnesobjet!$A:$A,Personnesobjet!$C:$C=Y10), filter(Personnesobjet!$A:$A,Personnesobjet!$C:$C=Y10)&gt;=$B$24,Y18)"),217)</f>
        <v>217</v>
      </c>
      <c r="Z19" s="55" t="n">
        <f aca="false">IFERROR(__xludf.dummyfunction("ifs(filter( Personnesobjet!$A:$A,Personnesobjet!$C:$C=Z10)&lt;$B$24,filter( Personnesobjet!$A:$A,Personnesobjet!$C:$C=Z10), filter(Personnesobjet!$A:$A,Personnesobjet!$C:$C=Z10)&gt;=$B$24,Z18)"),149)</f>
        <v>149</v>
      </c>
      <c r="AA19" s="55" t="n">
        <f aca="false">IFERROR(__xludf.dummyfunction("ifs(filter( Personnesobjet!$A:$A,Personnesobjet!$C:$C=AA10)&lt;$B$24,filter( Personnesobjet!$A:$A,Personnesobjet!$C:$C=AA10), filter(Personnesobjet!$A:$A,Personnesobjet!$C:$C=AA10)&gt;=$B$24,AA18)"),148)</f>
        <v>148</v>
      </c>
      <c r="AB19" s="55" t="n">
        <f aca="false">IFERROR(__xludf.dummyfunction("ifs(filter( Personnesobjet!$A:$A,Personnesobjet!$C:$C=AB10)&lt;$B$24,filter( Personnesobjet!$A:$A,Personnesobjet!$C:$C=AB10), filter(Personnesobjet!$A:$A,Personnesobjet!$C:$C=AB10)&gt;=$B$24,AB18)"),112)</f>
        <v>112</v>
      </c>
      <c r="AC19" s="55" t="n">
        <f aca="false">IFERROR(__xludf.dummyfunction("ifs(filter( Personnesobjet!$A:$A,Personnesobjet!$C:$C=AC10)&lt;$B$24,filter( Personnesobjet!$A:$A,Personnesobjet!$C:$C=AC10), filter(Personnesobjet!$A:$A,Personnesobjet!$C:$C=AC10)&gt;=$B$24,AC18)"),176)</f>
        <v>176</v>
      </c>
      <c r="AD19" s="55" t="n">
        <f aca="false">IFERROR(__xludf.dummyfunction("ifs(filter( Personnesobjet!$A:$A,Personnesobjet!$C:$C=AD10)&lt;$B$24,filter( Personnesobjet!$A:$A,Personnesobjet!$C:$C=AD10), filter(Personnesobjet!$A:$A,Personnesobjet!$C:$C=AD10)&gt;=$B$24,AD18)"),283)</f>
        <v>283</v>
      </c>
      <c r="AE19" s="55" t="n">
        <f aca="false">IFERROR(__xludf.dummyfunction("ifs(filter( Personnesobjet!$A:$A,Personnesobjet!$C:$C=AE10)&lt;$B$24,filter( Personnesobjet!$A:$A,Personnesobjet!$C:$C=AE10), filter(Personnesobjet!$A:$A,Personnesobjet!$C:$C=AE10)&gt;=$B$24,AE18)"),278)</f>
        <v>278</v>
      </c>
      <c r="AF19" s="55" t="n">
        <f aca="false">IFERROR(__xludf.dummyfunction("ifs(filter( Personnesobjet!$A:$A,Personnesobjet!$C:$C=AF10)&lt;$B$24,filter( Personnesobjet!$A:$A,Personnesobjet!$C:$C=AF10), filter(Personnesobjet!$A:$A,Personnesobjet!$C:$C=AF10)&gt;=$B$24,AF18)"),261)</f>
        <v>261</v>
      </c>
      <c r="AG19" s="55" t="n">
        <f aca="false">IFERROR(__xludf.dummyfunction("ifs(filter( Personnesobjet!$A:$A,Personnesobjet!$C:$C=AG10)&lt;$B$24,filter( Personnesobjet!$A:$A,Personnesobjet!$C:$C=AG10), filter(Personnesobjet!$A:$A,Personnesobjet!$C:$C=AG10)&gt;=$B$24,AG18)"),192)</f>
        <v>192</v>
      </c>
      <c r="AH19" s="55" t="n">
        <f aca="false">IFERROR(__xludf.dummyfunction("ifs(filter( Personnesobjet!$A:$A,Personnesobjet!$C:$C=AH10)&lt;$B$24,filter( Personnesobjet!$A:$A,Personnesobjet!$C:$C=AH10), filter(Personnesobjet!$A:$A,Personnesobjet!$C:$C=AH10)&gt;=$B$24,AH18)"),171)</f>
        <v>171</v>
      </c>
      <c r="AI19" s="55" t="n">
        <f aca="false">IFERROR(__xludf.dummyfunction("ifs(filter( Personnesobjet!$A:$A,Personnesobjet!$C:$C=AI10)&lt;$B$24,filter( Personnesobjet!$A:$A,Personnesobjet!$C:$C=AI10), filter(Personnesobjet!$A:$A,Personnesobjet!$C:$C=AI10)&gt;=$B$24,AI18)"),130)</f>
        <v>130</v>
      </c>
      <c r="AJ19" s="55" t="n">
        <f aca="false">IFERROR(__xludf.dummyfunction("ifs(filter( Personnesobjet!$A:$A,Personnesobjet!$C:$C=AJ10)&lt;$B$24,filter( Personnesobjet!$A:$A,Personnesobjet!$C:$C=AJ10), filter(Personnesobjet!$A:$A,Personnesobjet!$C:$C=AJ10)&gt;=$B$24,AJ18)"),139)</f>
        <v>139</v>
      </c>
      <c r="AK19" s="55" t="n">
        <f aca="false">IFERROR(__xludf.dummyfunction("ifs(filter( Personnesobjet!$A:$A,Personnesobjet!$C:$C=AK10)&lt;$B$24,filter( Personnesobjet!$A:$A,Personnesobjet!$C:$C=AK10), filter(Personnesobjet!$A:$A,Personnesobjet!$C:$C=AK10)&gt;=$B$24,AK18)"),143)</f>
        <v>143</v>
      </c>
      <c r="AL19" s="55" t="n">
        <f aca="false">IFERROR(__xludf.dummyfunction("ifs(filter( Personnesobjet!$A:$A,Personnesobjet!$C:$C=AL10)&lt;$B$24,filter( Personnesobjet!$A:$A,Personnesobjet!$C:$C=AL10), filter(Personnesobjet!$A:$A,Personnesobjet!$C:$C=AL10)&gt;=$B$24,AL18)"),161)</f>
        <v>161</v>
      </c>
      <c r="AM19" s="55" t="n">
        <f aca="false">IFERROR(__xludf.dummyfunction("ifs(filter( Personnesobjet!$A:$A,Personnesobjet!$C:$C=AM10)&lt;$B$24,filter( Personnesobjet!$A:$A,Personnesobjet!$C:$C=AM10), filter(Personnesobjet!$A:$A,Personnesobjet!$C:$C=AM10)&gt;=$B$24,AM18)"),151)</f>
        <v>151</v>
      </c>
      <c r="AN19" s="55" t="n">
        <f aca="false">IFERROR(__xludf.dummyfunction("ifs(filter( Personnesobjet!$A:$A,Personnesobjet!$C:$C=AN10)&lt;$B$24,filter( Personnesobjet!$A:$A,Personnesobjet!$C:$C=AN10), filter(Personnesobjet!$A:$A,Personnesobjet!$C:$C=AN10)&gt;=$B$24,AN18)"),288)</f>
        <v>288</v>
      </c>
      <c r="AO19" s="55" t="n">
        <f aca="false">IFERROR(__xludf.dummyfunction("ifs(filter( Personnesobjet!$A:$A,Personnesobjet!$C:$C=AO10)&lt;$B$24,filter( Personnesobjet!$A:$A,Personnesobjet!$C:$C=AO10), filter(Personnesobjet!$A:$A,Personnesobjet!$C:$C=AO10)&gt;=$B$24,AO18)"),202)</f>
        <v>202</v>
      </c>
      <c r="AP19" s="55" t="n">
        <f aca="false">IFERROR(__xludf.dummyfunction("ifs(filter( Personnesobjet!$A:$A,Personnesobjet!$C:$C=AP10)&lt;$B$24,filter( Personnesobjet!$A:$A,Personnesobjet!$C:$C=AP10), filter(Personnesobjet!$A:$A,Personnesobjet!$C:$C=AP10)&gt;=$B$24,AP18)"),168)</f>
        <v>168</v>
      </c>
      <c r="AQ19" s="55" t="n">
        <f aca="false">IFERROR(__xludf.dummyfunction("ifs(filter( Personnesobjet!$A:$A,Personnesobjet!$C:$C=AQ10)&lt;$B$24,filter( Personnesobjet!$A:$A,Personnesobjet!$C:$C=AQ10), filter(Personnesobjet!$A:$A,Personnesobjet!$C:$C=AQ10)&gt;=$B$24,AQ18)"),186)</f>
        <v>186</v>
      </c>
      <c r="AR19" s="55" t="n">
        <f aca="false">IFERROR(__xludf.dummyfunction("ifs(filter( Personnesobjet!$A:$A,Personnesobjet!$C:$C=AR10)&lt;$B$24,filter( Personnesobjet!$A:$A,Personnesobjet!$C:$C=AR10), filter(Personnesobjet!$A:$A,Personnesobjet!$C:$C=AR10)&gt;=$B$24,AR18)"),182)</f>
        <v>182</v>
      </c>
      <c r="AS19" s="55" t="n">
        <f aca="false">IFERROR(__xludf.dummyfunction("ifs(filter( Personnesobjet!$A:$A,Personnesobjet!$C:$C=AS10)&lt;$B$24,filter( Personnesobjet!$A:$A,Personnesobjet!$C:$C=AS10), filter(Personnesobjet!$A:$A,Personnesobjet!$C:$C=AS10)&gt;=$B$24,AS18)"),200)</f>
        <v>200</v>
      </c>
      <c r="AT19" s="55" t="n">
        <f aca="false">IFERROR(__xludf.dummyfunction("ifs(filter( Personnesobjet!$A:$A,Personnesobjet!$C:$C=AT10)&lt;$B$24,filter( Personnesobjet!$A:$A,Personnesobjet!$C:$C=AT10), filter(Personnesobjet!$A:$A,Personnesobjet!$C:$C=AT10)&gt;=$B$24,AT18)"),201)</f>
        <v>201</v>
      </c>
      <c r="AU19" s="55" t="n">
        <f aca="false">IFERROR(__xludf.dummyfunction("ifs(filter( Personnesobjet!$A:$A,Personnesobjet!$C:$C=AU10)&lt;$B$24,filter( Personnesobjet!$A:$A,Personnesobjet!$C:$C=AU10), filter(Personnesobjet!$A:$A,Personnesobjet!$C:$C=AU10)&gt;=$B$24,AU18)"),199)</f>
        <v>199</v>
      </c>
      <c r="AV19" s="55" t="n">
        <f aca="false">IFERROR(__xludf.dummyfunction("ifs(filter( Personnesobjet!$A:$A,Personnesobjet!$C:$C=AV10)&lt;$B$24,filter( Personnesobjet!$A:$A,Personnesobjet!$C:$C=AV10), filter(Personnesobjet!$A:$A,Personnesobjet!$C:$C=AV10)&gt;=$B$24,AV18)"),223)</f>
        <v>223</v>
      </c>
      <c r="AW19" s="55" t="n">
        <f aca="false">IFERROR(__xludf.dummyfunction("ifs(filter( Personnesobjet!$A:$A,Personnesobjet!$C:$C=AW10)&lt;$B$24,filter( Personnesobjet!$A:$A,Personnesobjet!$C:$C=AW10), filter(Personnesobjet!$A:$A,Personnesobjet!$C:$C=AW10)&gt;=$B$24,AW18)"),274)</f>
        <v>274</v>
      </c>
      <c r="AX19" s="55" t="n">
        <f aca="false">IFERROR(__xludf.dummyfunction("ifs(filter( Personnesobjet!$A:$A,Personnesobjet!$C:$C=AX10)&lt;$B$24,filter( Personnesobjet!$A:$A,Personnesobjet!$C:$C=AX10), filter(Personnesobjet!$A:$A,Personnesobjet!$C:$C=AX10)&gt;=$B$24,AX18)"),220)</f>
        <v>220</v>
      </c>
      <c r="AY19" s="55" t="n">
        <f aca="false">IFERROR(__xludf.dummyfunction("ifs(filter( Personnesobjet!$A:$A,Personnesobjet!$C:$C=AY10)&lt;$B$24,filter( Personnesobjet!$A:$A,Personnesobjet!$C:$C=AY10), filter(Personnesobjet!$A:$A,Personnesobjet!$C:$C=AY10)&gt;=$B$24,AY18)"),225)</f>
        <v>225</v>
      </c>
      <c r="AZ19" s="55" t="n">
        <f aca="false">IFERROR(__xludf.dummyfunction("ifs(filter( Personnesobjet!$A:$A,Personnesobjet!$C:$C=AZ10)&lt;$B$24,filter( Personnesobjet!$A:$A,Personnesobjet!$C:$C=AZ10), filter(Personnesobjet!$A:$A,Personnesobjet!$C:$C=AZ10)&gt;=$B$24,AZ18)"),214)</f>
        <v>214</v>
      </c>
      <c r="BA19" s="55" t="n">
        <f aca="false">IFERROR(__xludf.dummyfunction("ifs(filter( Personnesobjet!$A:$A,Personnesobjet!$C:$C=BA10)&lt;$B$24,filter( Personnesobjet!$A:$A,Personnesobjet!$C:$C=BA10), filter(Personnesobjet!$A:$A,Personnesobjet!$C:$C=BA10)&gt;=$B$24,BA18)"),230)</f>
        <v>230</v>
      </c>
      <c r="BB19" s="55" t="n">
        <f aca="false">IFERROR(__xludf.dummyfunction("ifs(filter( Personnesobjet!$A:$A,Personnesobjet!$C:$C=BB10)&lt;$B$24,filter( Personnesobjet!$A:$A,Personnesobjet!$C:$C=BB10), filter(Personnesobjet!$A:$A,Personnesobjet!$C:$C=BB10)&gt;=$B$24,BB18)"),236)</f>
        <v>236</v>
      </c>
      <c r="BC19" s="55" t="n">
        <f aca="false">IFERROR(__xludf.dummyfunction("ifs(filter( Personnesobjet!$A:$A,Personnesobjet!$C:$C=BC10)&lt;$B$24,filter( Personnesobjet!$A:$A,Personnesobjet!$C:$C=BC10), filter(Personnesobjet!$A:$A,Personnesobjet!$C:$C=BC10)&gt;=$B$24,BC18)"),285)</f>
        <v>285</v>
      </c>
      <c r="BD19" s="55" t="n">
        <f aca="false">IFERROR(__xludf.dummyfunction("ifs(filter( Personnesobjet!$A:$A,Personnesobjet!$C:$C=BD10)&lt;$B$24,filter( Personnesobjet!$A:$A,Personnesobjet!$C:$C=BD10), filter(Personnesobjet!$A:$A,Personnesobjet!$C:$C=BD10)&gt;=$B$24,BD18)"),269)</f>
        <v>269</v>
      </c>
      <c r="BE19" s="55" t="n">
        <f aca="false">IFERROR(__xludf.dummyfunction("ifs(filter( Personnesobjet!$A:$A,Personnesobjet!$C:$C=BE10)&lt;$B$24,filter( Personnesobjet!$A:$A,Personnesobjet!$C:$C=BE10), filter(Personnesobjet!$A:$A,Personnesobjet!$C:$C=BE10)&gt;=$B$24,BE18)"),275)</f>
        <v>275</v>
      </c>
      <c r="BF19" s="55" t="n">
        <f aca="false">IFERROR(__xludf.dummyfunction("ifs(filter( Personnesobjet!$A:$A,Personnesobjet!$C:$C=BF10)&lt;$B$24,filter( Personnesobjet!$A:$A,Personnesobjet!$C:$C=BF10), filter(Personnesobjet!$A:$A,Personnesobjet!$C:$C=BF10)&gt;=$B$24,BF18)"),243)</f>
        <v>243</v>
      </c>
      <c r="BG19" s="55" t="n">
        <f aca="false">IFERROR(__xludf.dummyfunction("ifs(filter( Personnesobjet!$A:$A,Personnesobjet!$C:$C=BG10)&lt;$B$24,filter( Personnesobjet!$A:$A,Personnesobjet!$C:$C=BG10), filter(Personnesobjet!$A:$A,Personnesobjet!$C:$C=BG10)&gt;=$B$24,BG18)"),254)</f>
        <v>254</v>
      </c>
      <c r="BH19" s="55" t="n">
        <f aca="false">IFERROR(__xludf.dummyfunction("ifs(filter( Personnesobjet!$A:$A,Personnesobjet!$C:$C=BH10)&lt;$B$24,filter( Personnesobjet!$A:$A,Personnesobjet!$C:$C=BH10), filter(Personnesobjet!$A:$A,Personnesobjet!$C:$C=BH10)&gt;=$B$24,BH18)"),259)</f>
        <v>259</v>
      </c>
      <c r="BI19" s="55" t="n">
        <f aca="false">IFERROR(__xludf.dummyfunction("ifs(filter( Personnesobjet!$A:$A,Personnesobjet!$C:$C=BI10)&lt;$B$24,filter( Personnesobjet!$A:$A,Personnesobjet!$C:$C=BI10), filter(Personnesobjet!$A:$A,Personnesobjet!$C:$C=BI10)&gt;=$B$24,BI18)"),265)</f>
        <v>265</v>
      </c>
      <c r="BJ19" s="55" t="str">
        <f aca="false">IFERROR(__xludf.dummyfunction("ifs(filter( Personnesobjet!$A:$A,Personnesobjet!$C:$C=BJ10)&lt;$B$24,filter( Personnesobjet!$A:$A,Personnesobjet!$C:$C=BJ10), filter(Personnesobjet!$A:$A,Personnesobjet!$C:$C=BJ10)&gt;=$B$24,BJ18)"),"")</f>
        <v/>
      </c>
      <c r="BK19" s="55" t="str">
        <f aca="false">IFERROR(__xludf.dummyfunction("ifs(filter( Personnesobjet!$A:$A,Personnesobjet!$C:$C=BK10)&lt;$B$24,filter( Personnesobjet!$A:$A,Personnesobjet!$C:$C=BK10), filter(Personnesobjet!$A:$A,Personnesobjet!$C:$C=BK10)&gt;=$B$24,BK18)"),"")</f>
        <v/>
      </c>
      <c r="BL19" s="55" t="str">
        <f aca="false">IFERROR(__xludf.dummyfunction("ifs(filter( Personnesobjet!$A:$A,Personnesobjet!$C:$C=BL10)&lt;$B$24,filter( Personnesobjet!$A:$A,Personnesobjet!$C:$C=BL10), filter(Personnesobjet!$A:$A,Personnesobjet!$C:$C=BL10)&gt;=$B$24,BL18)"),"")</f>
        <v/>
      </c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60"/>
    </row>
    <row r="20" customFormat="false" ht="15.75" hidden="false" customHeight="false" outlineLevel="0" collapsed="false">
      <c r="A20" s="58"/>
      <c r="B20" s="55" t="n">
        <f aca="false">IFERROR(__xludf.dummyfunction("ifs(filter( Personnesobjet!$A:$A,Personnesobjet!$C:$C=B11)&lt;$B$24,filter( Personnesobjet!$A:$A,Personnesobjet!$C:$C=B11), filter(Personnesobjet!$A:$A,Personnesobjet!$C:$C=B11)&gt;=$B$24,B19)"),6)</f>
        <v>6</v>
      </c>
      <c r="C20" s="55" t="n">
        <f aca="false">IFERROR(__xludf.dummyfunction("ifs(filter( Personnesobjet!$A:$A,Personnesobjet!$C:$C=C11)&lt;$B$24,filter( Personnesobjet!$A:$A,Personnesobjet!$C:$C=C11), filter(Personnesobjet!$A:$A,Personnesobjet!$C:$C=C11)&gt;=$B$24,C19)"),8)</f>
        <v>8</v>
      </c>
      <c r="D20" s="55" t="n">
        <f aca="false">IFERROR(__xludf.dummyfunction("ifs(filter( Personnesobjet!$A:$A,Personnesobjet!$C:$C=D11)&lt;$B$24,filter( Personnesobjet!$A:$A,Personnesobjet!$C:$C=D11), filter(Personnesobjet!$A:$A,Personnesobjet!$C:$C=D11)&gt;=$B$24,D19)"),248)</f>
        <v>248</v>
      </c>
      <c r="E20" s="55" t="n">
        <f aca="false">IFERROR(__xludf.dummyfunction("ifs(filter( Personnesobjet!$A:$A,Personnesobjet!$C:$C=E11)&lt;$B$24,filter( Personnesobjet!$A:$A,Personnesobjet!$C:$C=E11), filter(Personnesobjet!$A:$A,Personnesobjet!$C:$C=E11)&gt;=$B$24,E19)"),48)</f>
        <v>48</v>
      </c>
      <c r="F20" s="55" t="n">
        <f aca="false">IFERROR(__xludf.dummyfunction("ifs(filter( Personnesobjet!$A:$A,Personnesobjet!$C:$C=F11)&lt;$B$24,filter( Personnesobjet!$A:$A,Personnesobjet!$C:$C=F11), filter(Personnesobjet!$A:$A,Personnesobjet!$C:$C=F11)&gt;=$B$24,F19)"),20)</f>
        <v>20</v>
      </c>
      <c r="G20" s="55" t="n">
        <f aca="false">IFERROR(__xludf.dummyfunction("ifs(filter( Personnesobjet!$A:$A,Personnesobjet!$C:$C=G11)&lt;$B$24,filter( Personnesobjet!$A:$A,Personnesobjet!$C:$C=G11), filter(Personnesobjet!$A:$A,Personnesobjet!$C:$C=G11)&gt;=$B$24,G19)"),23)</f>
        <v>23</v>
      </c>
      <c r="H20" s="55" t="n">
        <f aca="false">IFERROR(__xludf.dummyfunction("ifs(filter( Personnesobjet!$A:$A,Personnesobjet!$C:$C=H11)&lt;$B$24,filter( Personnesobjet!$A:$A,Personnesobjet!$C:$C=H11), filter(Personnesobjet!$A:$A,Personnesobjet!$C:$C=H11)&gt;=$B$24,H19)"),67)</f>
        <v>67</v>
      </c>
      <c r="I20" s="55" t="n">
        <f aca="false">IFERROR(__xludf.dummyfunction("ifs(filter( Personnesobjet!$A:$A,Personnesobjet!$C:$C=I11)&lt;$B$24,filter( Personnesobjet!$A:$A,Personnesobjet!$C:$C=I11), filter(Personnesobjet!$A:$A,Personnesobjet!$C:$C=I11)&gt;=$B$24,I19)"),30)</f>
        <v>30</v>
      </c>
      <c r="J20" s="55" t="n">
        <f aca="false">IFERROR(__xludf.dummyfunction("ifs(filter( Personnesobjet!$A:$A,Personnesobjet!$C:$C=J11)&lt;$B$24,filter( Personnesobjet!$A:$A,Personnesobjet!$C:$C=J11), filter(Personnesobjet!$A:$A,Personnesobjet!$C:$C=J11)&gt;=$B$24,J19)"),46)</f>
        <v>46</v>
      </c>
      <c r="K20" s="55" t="n">
        <f aca="false">IFERROR(__xludf.dummyfunction("ifs(filter( Personnesobjet!$A:$A,Personnesobjet!$C:$C=K11)&lt;$B$24,filter( Personnesobjet!$A:$A,Personnesobjet!$C:$C=K11), filter(Personnesobjet!$A:$A,Personnesobjet!$C:$C=K11)&gt;=$B$24,K19)"),39)</f>
        <v>39</v>
      </c>
      <c r="L20" s="55" t="n">
        <f aca="false">IFERROR(__xludf.dummyfunction("ifs(filter( Personnesobjet!$A:$A,Personnesobjet!$C:$C=L11)&lt;$B$24,filter( Personnesobjet!$A:$A,Personnesobjet!$C:$C=L11), filter(Personnesobjet!$A:$A,Personnesobjet!$C:$C=L11)&gt;=$B$24,L19)"),277)</f>
        <v>277</v>
      </c>
      <c r="M20" s="55" t="n">
        <f aca="false">IFERROR(__xludf.dummyfunction("ifs(filter( Personnesobjet!$A:$A,Personnesobjet!$C:$C=M11)&lt;$B$24,filter( Personnesobjet!$A:$A,Personnesobjet!$C:$C=M11), filter(Personnesobjet!$A:$A,Personnesobjet!$C:$C=M11)&gt;=$B$24,M19)"),53)</f>
        <v>53</v>
      </c>
      <c r="N20" s="55" t="n">
        <f aca="false">IFERROR(__xludf.dummyfunction("ifs(filter( Personnesobjet!$A:$A,Personnesobjet!$C:$C=N11)&lt;$B$24,filter( Personnesobjet!$A:$A,Personnesobjet!$C:$C=N11), filter(Personnesobjet!$A:$A,Personnesobjet!$C:$C=N11)&gt;=$B$24,N19)"),92)</f>
        <v>92</v>
      </c>
      <c r="O20" s="55" t="n">
        <f aca="false">IFERROR(__xludf.dummyfunction("ifs(filter( Personnesobjet!$A:$A,Personnesobjet!$C:$C=O11)&lt;$B$24,filter( Personnesobjet!$A:$A,Personnesobjet!$C:$C=O11), filter(Personnesobjet!$A:$A,Personnesobjet!$C:$C=O11)&gt;=$B$24,O19)"),272)</f>
        <v>272</v>
      </c>
      <c r="P20" s="55" t="n">
        <f aca="false">IFERROR(__xludf.dummyfunction("ifs(filter( Personnesobjet!$A:$A,Personnesobjet!$C:$C=P11)&lt;$B$24,filter( Personnesobjet!$A:$A,Personnesobjet!$C:$C=P11), filter(Personnesobjet!$A:$A,Personnesobjet!$C:$C=P11)&gt;=$B$24,P19)"),108)</f>
        <v>108</v>
      </c>
      <c r="Q20" s="55" t="n">
        <f aca="false">IFERROR(__xludf.dummyfunction("ifs(filter( Personnesobjet!$A:$A,Personnesobjet!$C:$C=Q11)&lt;$B$24,filter( Personnesobjet!$A:$A,Personnesobjet!$C:$C=Q11), filter(Personnesobjet!$A:$A,Personnesobjet!$C:$C=Q11)&gt;=$B$24,Q19)"),251)</f>
        <v>251</v>
      </c>
      <c r="R20" s="55" t="n">
        <f aca="false">IFERROR(__xludf.dummyfunction("ifs(filter( Personnesobjet!$A:$A,Personnesobjet!$C:$C=R11)&lt;$B$24,filter( Personnesobjet!$A:$A,Personnesobjet!$C:$C=R11), filter(Personnesobjet!$A:$A,Personnesobjet!$C:$C=R11)&gt;=$B$24,R19)"),235)</f>
        <v>235</v>
      </c>
      <c r="S20" s="55" t="n">
        <f aca="false">IFERROR(__xludf.dummyfunction("ifs(filter( Personnesobjet!$A:$A,Personnesobjet!$C:$C=S11)&lt;$B$24,filter( Personnesobjet!$A:$A,Personnesobjet!$C:$C=S11), filter(Personnesobjet!$A:$A,Personnesobjet!$C:$C=S11)&gt;=$B$24,S19)"),74)</f>
        <v>74</v>
      </c>
      <c r="T20" s="55" t="n">
        <f aca="false">IFERROR(__xludf.dummyfunction("ifs(filter( Personnesobjet!$A:$A,Personnesobjet!$C:$C=T11)&lt;$B$24,filter( Personnesobjet!$A:$A,Personnesobjet!$C:$C=T11), filter(Personnesobjet!$A:$A,Personnesobjet!$C:$C=T11)&gt;=$B$24,T19)"),88)</f>
        <v>88</v>
      </c>
      <c r="U20" s="55" t="n">
        <f aca="false">IFERROR(__xludf.dummyfunction("ifs(filter( Personnesobjet!$A:$A,Personnesobjet!$C:$C=U11)&lt;$B$24,filter( Personnesobjet!$A:$A,Personnesobjet!$C:$C=U11), filter(Personnesobjet!$A:$A,Personnesobjet!$C:$C=U11)&gt;=$B$24,U19)"),80)</f>
        <v>80</v>
      </c>
      <c r="V20" s="55" t="n">
        <f aca="false">IFERROR(__xludf.dummyfunction("ifs(filter( Personnesobjet!$A:$A,Personnesobjet!$C:$C=V11)&lt;$B$24,filter( Personnesobjet!$A:$A,Personnesobjet!$C:$C=V11), filter(Personnesobjet!$A:$A,Personnesobjet!$C:$C=V11)&gt;=$B$24,V19)"),137)</f>
        <v>137</v>
      </c>
      <c r="W20" s="55" t="n">
        <f aca="false">IFERROR(__xludf.dummyfunction("ifs(filter( Personnesobjet!$A:$A,Personnesobjet!$C:$C=W11)&lt;$B$24,filter( Personnesobjet!$A:$A,Personnesobjet!$C:$C=W11), filter(Personnesobjet!$A:$A,Personnesobjet!$C:$C=W11)&gt;=$B$24,W19)"),117)</f>
        <v>117</v>
      </c>
      <c r="X20" s="55" t="n">
        <f aca="false">IFERROR(__xludf.dummyfunction("ifs(filter( Personnesobjet!$A:$A,Personnesobjet!$C:$C=X11)&lt;$B$24,filter( Personnesobjet!$A:$A,Personnesobjet!$C:$C=X11), filter(Personnesobjet!$A:$A,Personnesobjet!$C:$C=X11)&gt;=$B$24,X19)"),95)</f>
        <v>95</v>
      </c>
      <c r="Y20" s="55" t="n">
        <f aca="false">IFERROR(__xludf.dummyfunction("ifs(filter( Personnesobjet!$A:$A,Personnesobjet!$C:$C=Y11)&lt;$B$24,filter( Personnesobjet!$A:$A,Personnesobjet!$C:$C=Y11), filter(Personnesobjet!$A:$A,Personnesobjet!$C:$C=Y11)&gt;=$B$24,Y19)"),221)</f>
        <v>221</v>
      </c>
      <c r="Z20" s="55" t="n">
        <f aca="false">IFERROR(__xludf.dummyfunction("ifs(filter( Personnesobjet!$A:$A,Personnesobjet!$C:$C=Z11)&lt;$B$24,filter( Personnesobjet!$A:$A,Personnesobjet!$C:$C=Z11), filter(Personnesobjet!$A:$A,Personnesobjet!$C:$C=Z11)&gt;=$B$24,Z19)"),149)</f>
        <v>149</v>
      </c>
      <c r="AA20" s="55" t="n">
        <f aca="false">IFERROR(__xludf.dummyfunction("ifs(filter( Personnesobjet!$A:$A,Personnesobjet!$C:$C=AA11)&lt;$B$24,filter( Personnesobjet!$A:$A,Personnesobjet!$C:$C=AA11), filter(Personnesobjet!$A:$A,Personnesobjet!$C:$C=AA11)&gt;=$B$24,AA19)"),148)</f>
        <v>148</v>
      </c>
      <c r="AB20" s="55" t="str">
        <f aca="false">IFERROR(__xludf.dummyfunction("ifs(filter( Personnesobjet!$A:$A,Personnesobjet!$C:$C=AB11)&lt;$B$24,filter( Personnesobjet!$A:$A,Personnesobjet!$C:$C=AB11), filter(Personnesobjet!$A:$A,Personnesobjet!$C:$C=AB11)&gt;=$B$24,AB19)"),"#N/A")</f>
        <v>#N/A</v>
      </c>
      <c r="AC20" s="55" t="n">
        <f aca="false">IFERROR(__xludf.dummyfunction("ifs(filter( Personnesobjet!$A:$A,Personnesobjet!$C:$C=AC11)&lt;$B$24,filter( Personnesobjet!$A:$A,Personnesobjet!$C:$C=AC11), filter(Personnesobjet!$A:$A,Personnesobjet!$C:$C=AC11)&gt;=$B$24,AC19)"),270)</f>
        <v>270</v>
      </c>
      <c r="AD20" s="55" t="n">
        <f aca="false">IFERROR(__xludf.dummyfunction("ifs(filter( Personnesobjet!$A:$A,Personnesobjet!$C:$C=AD11)&lt;$B$24,filter( Personnesobjet!$A:$A,Personnesobjet!$C:$C=AD11), filter(Personnesobjet!$A:$A,Personnesobjet!$C:$C=AD11)&gt;=$B$24,AD19)"),283)</f>
        <v>283</v>
      </c>
      <c r="AE20" s="55" t="n">
        <f aca="false">IFERROR(__xludf.dummyfunction("ifs(filter( Personnesobjet!$A:$A,Personnesobjet!$C:$C=AE11)&lt;$B$24,filter( Personnesobjet!$A:$A,Personnesobjet!$C:$C=AE11), filter(Personnesobjet!$A:$A,Personnesobjet!$C:$C=AE11)&gt;=$B$24,AE19)"),279)</f>
        <v>279</v>
      </c>
      <c r="AF20" s="55" t="n">
        <f aca="false">IFERROR(__xludf.dummyfunction("ifs(filter( Personnesobjet!$A:$A,Personnesobjet!$C:$C=AF11)&lt;$B$24,filter( Personnesobjet!$A:$A,Personnesobjet!$C:$C=AF11), filter(Personnesobjet!$A:$A,Personnesobjet!$C:$C=AF11)&gt;=$B$24,AF19)"),261)</f>
        <v>261</v>
      </c>
      <c r="AG20" s="55" t="n">
        <f aca="false">IFERROR(__xludf.dummyfunction("ifs(filter( Personnesobjet!$A:$A,Personnesobjet!$C:$C=AG11)&lt;$B$24,filter( Personnesobjet!$A:$A,Personnesobjet!$C:$C=AG11), filter(Personnesobjet!$A:$A,Personnesobjet!$C:$C=AG11)&gt;=$B$24,AG19)"),193)</f>
        <v>193</v>
      </c>
      <c r="AH20" s="55" t="n">
        <f aca="false">IFERROR(__xludf.dummyfunction("ifs(filter( Personnesobjet!$A:$A,Personnesobjet!$C:$C=AH11)&lt;$B$24,filter( Personnesobjet!$A:$A,Personnesobjet!$C:$C=AH11), filter(Personnesobjet!$A:$A,Personnesobjet!$C:$C=AH11)&gt;=$B$24,AH19)"),255)</f>
        <v>255</v>
      </c>
      <c r="AI20" s="55" t="n">
        <f aca="false">IFERROR(__xludf.dummyfunction("ifs(filter( Personnesobjet!$A:$A,Personnesobjet!$C:$C=AI11)&lt;$B$24,filter( Personnesobjet!$A:$A,Personnesobjet!$C:$C=AI11), filter(Personnesobjet!$A:$A,Personnesobjet!$C:$C=AI11)&gt;=$B$24,AI19)"),131)</f>
        <v>131</v>
      </c>
      <c r="AJ20" s="55" t="n">
        <f aca="false">IFERROR(__xludf.dummyfunction("ifs(filter( Personnesobjet!$A:$A,Personnesobjet!$C:$C=AJ11)&lt;$B$24,filter( Personnesobjet!$A:$A,Personnesobjet!$C:$C=AJ11), filter(Personnesobjet!$A:$A,Personnesobjet!$C:$C=AJ11)&gt;=$B$24,AJ19)"),169)</f>
        <v>169</v>
      </c>
      <c r="AK20" s="55" t="n">
        <f aca="false">IFERROR(__xludf.dummyfunction("ifs(filter( Personnesobjet!$A:$A,Personnesobjet!$C:$C=AK11)&lt;$B$24,filter( Personnesobjet!$A:$A,Personnesobjet!$C:$C=AK11), filter(Personnesobjet!$A:$A,Personnesobjet!$C:$C=AK11)&gt;=$B$24,AK19)"),143)</f>
        <v>143</v>
      </c>
      <c r="AL20" s="55" t="n">
        <f aca="false">IFERROR(__xludf.dummyfunction("ifs(filter( Personnesobjet!$A:$A,Personnesobjet!$C:$C=AL11)&lt;$B$24,filter( Personnesobjet!$A:$A,Personnesobjet!$C:$C=AL11), filter(Personnesobjet!$A:$A,Personnesobjet!$C:$C=AL11)&gt;=$B$24,AL19)"),260)</f>
        <v>260</v>
      </c>
      <c r="AM20" s="55" t="n">
        <f aca="false">IFERROR(__xludf.dummyfunction("ifs(filter( Personnesobjet!$A:$A,Personnesobjet!$C:$C=AM11)&lt;$B$24,filter( Personnesobjet!$A:$A,Personnesobjet!$C:$C=AM11), filter(Personnesobjet!$A:$A,Personnesobjet!$C:$C=AM11)&gt;=$B$24,AM19)"),178)</f>
        <v>178</v>
      </c>
      <c r="AN20" s="55" t="n">
        <f aca="false">IFERROR(__xludf.dummyfunction("ifs(filter( Personnesobjet!$A:$A,Personnesobjet!$C:$C=AN11)&lt;$B$24,filter( Personnesobjet!$A:$A,Personnesobjet!$C:$C=AN11), filter(Personnesobjet!$A:$A,Personnesobjet!$C:$C=AN11)&gt;=$B$24,AN19)"),288)</f>
        <v>288</v>
      </c>
      <c r="AO20" s="55" t="n">
        <f aca="false">IFERROR(__xludf.dummyfunction("ifs(filter( Personnesobjet!$A:$A,Personnesobjet!$C:$C=AO11)&lt;$B$24,filter( Personnesobjet!$A:$A,Personnesobjet!$C:$C=AO11), filter(Personnesobjet!$A:$A,Personnesobjet!$C:$C=AO11)&gt;=$B$24,AO19)"),282)</f>
        <v>282</v>
      </c>
      <c r="AP20" s="55" t="n">
        <f aca="false">IFERROR(__xludf.dummyfunction("ifs(filter( Personnesobjet!$A:$A,Personnesobjet!$C:$C=AP11)&lt;$B$24,filter( Personnesobjet!$A:$A,Personnesobjet!$C:$C=AP11), filter(Personnesobjet!$A:$A,Personnesobjet!$C:$C=AP11)&gt;=$B$24,AP19)"),172)</f>
        <v>172</v>
      </c>
      <c r="AQ20" s="55" t="n">
        <f aca="false">IFERROR(__xludf.dummyfunction("ifs(filter( Personnesobjet!$A:$A,Personnesobjet!$C:$C=AQ11)&lt;$B$24,filter( Personnesobjet!$A:$A,Personnesobjet!$C:$C=AQ11), filter(Personnesobjet!$A:$A,Personnesobjet!$C:$C=AQ11)&gt;=$B$24,AQ19)"),186)</f>
        <v>186</v>
      </c>
      <c r="AR20" s="55" t="n">
        <f aca="false">IFERROR(__xludf.dummyfunction("ifs(filter( Personnesobjet!$A:$A,Personnesobjet!$C:$C=AR11)&lt;$B$24,filter( Personnesobjet!$A:$A,Personnesobjet!$C:$C=AR11), filter(Personnesobjet!$A:$A,Personnesobjet!$C:$C=AR11)&gt;=$B$24,AR19)"),183)</f>
        <v>183</v>
      </c>
      <c r="AS20" s="55" t="n">
        <f aca="false">IFERROR(__xludf.dummyfunction("ifs(filter( Personnesobjet!$A:$A,Personnesobjet!$C:$C=AS11)&lt;$B$24,filter( Personnesobjet!$A:$A,Personnesobjet!$C:$C=AS11), filter(Personnesobjet!$A:$A,Personnesobjet!$C:$C=AS11)&gt;=$B$24,AS19)"),200)</f>
        <v>200</v>
      </c>
      <c r="AT20" s="55" t="n">
        <f aca="false">IFERROR(__xludf.dummyfunction("ifs(filter( Personnesobjet!$A:$A,Personnesobjet!$C:$C=AT11)&lt;$B$24,filter( Personnesobjet!$A:$A,Personnesobjet!$C:$C=AT11), filter(Personnesobjet!$A:$A,Personnesobjet!$C:$C=AT11)&gt;=$B$24,AT19)"),222)</f>
        <v>222</v>
      </c>
      <c r="AU20" s="55" t="n">
        <f aca="false">IFERROR(__xludf.dummyfunction("ifs(filter( Personnesobjet!$A:$A,Personnesobjet!$C:$C=AU11)&lt;$B$24,filter( Personnesobjet!$A:$A,Personnesobjet!$C:$C=AU11), filter(Personnesobjet!$A:$A,Personnesobjet!$C:$C=AU11)&gt;=$B$24,AU19)"),199)</f>
        <v>199</v>
      </c>
      <c r="AV20" s="55" t="n">
        <f aca="false">IFERROR(__xludf.dummyfunction("ifs(filter( Personnesobjet!$A:$A,Personnesobjet!$C:$C=AV11)&lt;$B$24,filter( Personnesobjet!$A:$A,Personnesobjet!$C:$C=AV11), filter(Personnesobjet!$A:$A,Personnesobjet!$C:$C=AV11)&gt;=$B$24,AV19)"),223)</f>
        <v>223</v>
      </c>
      <c r="AW20" s="55" t="n">
        <f aca="false">IFERROR(__xludf.dummyfunction("ifs(filter( Personnesobjet!$A:$A,Personnesobjet!$C:$C=AW11)&lt;$B$24,filter( Personnesobjet!$A:$A,Personnesobjet!$C:$C=AW11), filter(Personnesobjet!$A:$A,Personnesobjet!$C:$C=AW11)&gt;=$B$24,AW19)"),286)</f>
        <v>286</v>
      </c>
      <c r="AX20" s="55" t="n">
        <f aca="false">IFERROR(__xludf.dummyfunction("ifs(filter( Personnesobjet!$A:$A,Personnesobjet!$C:$C=AX11)&lt;$B$24,filter( Personnesobjet!$A:$A,Personnesobjet!$C:$C=AX11), filter(Personnesobjet!$A:$A,Personnesobjet!$C:$C=AX11)&gt;=$B$24,AX19)"),287)</f>
        <v>287</v>
      </c>
      <c r="AY20" s="55" t="n">
        <f aca="false">IFERROR(__xludf.dummyfunction("ifs(filter( Personnesobjet!$A:$A,Personnesobjet!$C:$C=AY11)&lt;$B$24,filter( Personnesobjet!$A:$A,Personnesobjet!$C:$C=AY11), filter(Personnesobjet!$A:$A,Personnesobjet!$C:$C=AY11)&gt;=$B$24,AY19)"),225)</f>
        <v>225</v>
      </c>
      <c r="AZ20" s="55" t="n">
        <f aca="false">IFERROR(__xludf.dummyfunction("ifs(filter( Personnesobjet!$A:$A,Personnesobjet!$C:$C=AZ11)&lt;$B$24,filter( Personnesobjet!$A:$A,Personnesobjet!$C:$C=AZ11), filter(Personnesobjet!$A:$A,Personnesobjet!$C:$C=AZ11)&gt;=$B$24,AZ19)"),214)</f>
        <v>214</v>
      </c>
      <c r="BA20" s="55" t="n">
        <f aca="false">IFERROR(__xludf.dummyfunction("ifs(filter( Personnesobjet!$A:$A,Personnesobjet!$C:$C=BA11)&lt;$B$24,filter( Personnesobjet!$A:$A,Personnesobjet!$C:$C=BA11), filter(Personnesobjet!$A:$A,Personnesobjet!$C:$C=BA11)&gt;=$B$24,BA19)"),231)</f>
        <v>231</v>
      </c>
      <c r="BB20" s="55" t="n">
        <f aca="false">IFERROR(__xludf.dummyfunction("ifs(filter( Personnesobjet!$A:$A,Personnesobjet!$C:$C=BB11)&lt;$B$24,filter( Personnesobjet!$A:$A,Personnesobjet!$C:$C=BB11), filter(Personnesobjet!$A:$A,Personnesobjet!$C:$C=BB11)&gt;=$B$24,BB19)"),236)</f>
        <v>236</v>
      </c>
      <c r="BC20" s="55" t="n">
        <f aca="false">IFERROR(__xludf.dummyfunction("ifs(filter( Personnesobjet!$A:$A,Personnesobjet!$C:$C=BC11)&lt;$B$24,filter( Personnesobjet!$A:$A,Personnesobjet!$C:$C=BC11), filter(Personnesobjet!$A:$A,Personnesobjet!$C:$C=BC11)&gt;=$B$24,BC19)"),280)</f>
        <v>280</v>
      </c>
      <c r="BD20" s="55" t="n">
        <f aca="false">IFERROR(__xludf.dummyfunction("ifs(filter( Personnesobjet!$A:$A,Personnesobjet!$C:$C=BD11)&lt;$B$24,filter( Personnesobjet!$A:$A,Personnesobjet!$C:$C=BD11), filter(Personnesobjet!$A:$A,Personnesobjet!$C:$C=BD11)&gt;=$B$24,BD19)"),269)</f>
        <v>269</v>
      </c>
      <c r="BE20" s="55" t="n">
        <f aca="false">IFERROR(__xludf.dummyfunction("ifs(filter( Personnesobjet!$A:$A,Personnesobjet!$C:$C=BE11)&lt;$B$24,filter( Personnesobjet!$A:$A,Personnesobjet!$C:$C=BE11), filter(Personnesobjet!$A:$A,Personnesobjet!$C:$C=BE11)&gt;=$B$24,BE19)"),275)</f>
        <v>275</v>
      </c>
      <c r="BF20" s="55" t="n">
        <f aca="false">IFERROR(__xludf.dummyfunction("ifs(filter( Personnesobjet!$A:$A,Personnesobjet!$C:$C=BF11)&lt;$B$24,filter( Personnesobjet!$A:$A,Personnesobjet!$C:$C=BF11), filter(Personnesobjet!$A:$A,Personnesobjet!$C:$C=BF11)&gt;=$B$24,BF19)"),245)</f>
        <v>245</v>
      </c>
      <c r="BG20" s="55" t="n">
        <f aca="false">IFERROR(__xludf.dummyfunction("ifs(filter( Personnesobjet!$A:$A,Personnesobjet!$C:$C=BG11)&lt;$B$24,filter( Personnesobjet!$A:$A,Personnesobjet!$C:$C=BG11), filter(Personnesobjet!$A:$A,Personnesobjet!$C:$C=BG11)&gt;=$B$24,BG19)"),284)</f>
        <v>284</v>
      </c>
      <c r="BH20" s="55" t="n">
        <f aca="false">IFERROR(__xludf.dummyfunction("ifs(filter( Personnesobjet!$A:$A,Personnesobjet!$C:$C=BH11)&lt;$B$24,filter( Personnesobjet!$A:$A,Personnesobjet!$C:$C=BH11), filter(Personnesobjet!$A:$A,Personnesobjet!$C:$C=BH11)&gt;=$B$24,BH19)"),259)</f>
        <v>259</v>
      </c>
      <c r="BI20" s="55" t="n">
        <f aca="false">IFERROR(__xludf.dummyfunction("ifs(filter( Personnesobjet!$A:$A,Personnesobjet!$C:$C=BI11)&lt;$B$24,filter( Personnesobjet!$A:$A,Personnesobjet!$C:$C=BI11), filter(Personnesobjet!$A:$A,Personnesobjet!$C:$C=BI11)&gt;=$B$24,BI19)"),266)</f>
        <v>266</v>
      </c>
      <c r="BJ20" s="55" t="str">
        <f aca="false">IFERROR(__xludf.dummyfunction("ifs(filter( Personnesobjet!$A:$A,Personnesobjet!$C:$C=BJ11)&lt;$B$24,filter( Personnesobjet!$A:$A,Personnesobjet!$C:$C=BJ11), filter(Personnesobjet!$A:$A,Personnesobjet!$C:$C=BJ11)&gt;=$B$24,BJ19)"),"")</f>
        <v/>
      </c>
      <c r="BK20" s="55" t="str">
        <f aca="false">IFERROR(__xludf.dummyfunction("ifs(filter( Personnesobjet!$A:$A,Personnesobjet!$C:$C=BK11)&lt;$B$24,filter( Personnesobjet!$A:$A,Personnesobjet!$C:$C=BK11), filter(Personnesobjet!$A:$A,Personnesobjet!$C:$C=BK11)&gt;=$B$24,BK19)"),"")</f>
        <v/>
      </c>
      <c r="BL20" s="55" t="str">
        <f aca="false">IFERROR(__xludf.dummyfunction("ifs(filter( Personnesobjet!$A:$A,Personnesobjet!$C:$C=BL11)&lt;$B$24,filter( Personnesobjet!$A:$A,Personnesobjet!$C:$C=BL11), filter(Personnesobjet!$A:$A,Personnesobjet!$C:$C=BL11)&gt;=$B$24,BL19)"),"")</f>
        <v/>
      </c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60"/>
    </row>
    <row r="21" customFormat="false" ht="15.75" hidden="false" customHeight="false" outlineLevel="0" collapsed="false">
      <c r="A21" s="61"/>
      <c r="B21" s="55" t="n">
        <f aca="false">IFERROR(__xludf.dummyfunction("ifs(filter( Personnesobjet!$A:$A,Personnesobjet!$C:$C=B12)&lt;$B$24,filter( Personnesobjet!$A:$A,Personnesobjet!$C:$C=B12), filter(Personnesobjet!$A:$A,Personnesobjet!$C:$C=B12)&gt;=$B$24,B20)"),11)</f>
        <v>11</v>
      </c>
      <c r="C21" s="55" t="n">
        <f aca="false">IFERROR(__xludf.dummyfunction("ifs(filter( Personnesobjet!$A:$A,Personnesobjet!$C:$C=C12)&lt;$B$24,filter( Personnesobjet!$A:$A,Personnesobjet!$C:$C=C12), filter(Personnesobjet!$A:$A,Personnesobjet!$C:$C=C12)&gt;=$B$24,C20)"),8)</f>
        <v>8</v>
      </c>
      <c r="D21" s="55" t="n">
        <f aca="false">IFERROR(__xludf.dummyfunction("ifs(filter( Personnesobjet!$A:$A,Personnesobjet!$C:$C=D12)&lt;$B$24,filter( Personnesobjet!$A:$A,Personnesobjet!$C:$C=D12), filter(Personnesobjet!$A:$A,Personnesobjet!$C:$C=D12)&gt;=$B$24,D20)"),248)</f>
        <v>248</v>
      </c>
      <c r="E21" s="55" t="n">
        <f aca="false">IFERROR(__xludf.dummyfunction("ifs(filter( Personnesobjet!$A:$A,Personnesobjet!$C:$C=E12)&lt;$B$24,filter( Personnesobjet!$A:$A,Personnesobjet!$C:$C=E12), filter(Personnesobjet!$A:$A,Personnesobjet!$C:$C=E12)&gt;=$B$24,E20)"),62)</f>
        <v>62</v>
      </c>
      <c r="F21" s="55" t="n">
        <f aca="false">IFERROR(__xludf.dummyfunction("ifs(filter( Personnesobjet!$A:$A,Personnesobjet!$C:$C=F12)&lt;$B$24,filter( Personnesobjet!$A:$A,Personnesobjet!$C:$C=F12), filter(Personnesobjet!$A:$A,Personnesobjet!$C:$C=F12)&gt;=$B$24,F20)"),20)</f>
        <v>20</v>
      </c>
      <c r="G21" s="55" t="n">
        <f aca="false">IFERROR(__xludf.dummyfunction("ifs(filter( Personnesobjet!$A:$A,Personnesobjet!$C:$C=G12)&lt;$B$24,filter( Personnesobjet!$A:$A,Personnesobjet!$C:$C=G12), filter(Personnesobjet!$A:$A,Personnesobjet!$C:$C=G12)&gt;=$B$24,G20)"),23)</f>
        <v>23</v>
      </c>
      <c r="H21" s="55" t="n">
        <f aca="false">IFERROR(__xludf.dummyfunction("ifs(filter( Personnesobjet!$A:$A,Personnesobjet!$C:$C=H12)&lt;$B$24,filter( Personnesobjet!$A:$A,Personnesobjet!$C:$C=H12), filter(Personnesobjet!$A:$A,Personnesobjet!$C:$C=H12)&gt;=$B$24,H20)"),104)</f>
        <v>104</v>
      </c>
      <c r="I21" s="55" t="n">
        <f aca="false">IFERROR(__xludf.dummyfunction("ifs(filter( Personnesobjet!$A:$A,Personnesobjet!$C:$C=I12)&lt;$B$24,filter( Personnesobjet!$A:$A,Personnesobjet!$C:$C=I12), filter(Personnesobjet!$A:$A,Personnesobjet!$C:$C=I12)&gt;=$B$24,I20)"),66)</f>
        <v>66</v>
      </c>
      <c r="J21" s="55" t="n">
        <f aca="false">IFERROR(__xludf.dummyfunction("ifs(filter( Personnesobjet!$A:$A,Personnesobjet!$C:$C=J12)&lt;$B$24,filter( Personnesobjet!$A:$A,Personnesobjet!$C:$C=J12), filter(Personnesobjet!$A:$A,Personnesobjet!$C:$C=J12)&gt;=$B$24,J20)"),46)</f>
        <v>46</v>
      </c>
      <c r="K21" s="55" t="n">
        <f aca="false">IFERROR(__xludf.dummyfunction("ifs(filter( Personnesobjet!$A:$A,Personnesobjet!$C:$C=K12)&lt;$B$24,filter( Personnesobjet!$A:$A,Personnesobjet!$C:$C=K12), filter(Personnesobjet!$A:$A,Personnesobjet!$C:$C=K12)&gt;=$B$24,K20)"),39)</f>
        <v>39</v>
      </c>
      <c r="L21" s="55" t="n">
        <f aca="false">IFERROR(__xludf.dummyfunction("ifs(filter( Personnesobjet!$A:$A,Personnesobjet!$C:$C=L12)&lt;$B$24,filter( Personnesobjet!$A:$A,Personnesobjet!$C:$C=L12), filter(Personnesobjet!$A:$A,Personnesobjet!$C:$C=L12)&gt;=$B$24,L20)"),277)</f>
        <v>277</v>
      </c>
      <c r="M21" s="55" t="n">
        <f aca="false">IFERROR(__xludf.dummyfunction("ifs(filter( Personnesobjet!$A:$A,Personnesobjet!$C:$C=M12)&lt;$B$24,filter( Personnesobjet!$A:$A,Personnesobjet!$C:$C=M12), filter(Personnesobjet!$A:$A,Personnesobjet!$C:$C=M12)&gt;=$B$24,M20)"),53)</f>
        <v>53</v>
      </c>
      <c r="N21" s="55" t="n">
        <f aca="false">IFERROR(__xludf.dummyfunction("ifs(filter( Personnesobjet!$A:$A,Personnesobjet!$C:$C=N12)&lt;$B$24,filter( Personnesobjet!$A:$A,Personnesobjet!$C:$C=N12), filter(Personnesobjet!$A:$A,Personnesobjet!$C:$C=N12)&gt;=$B$24,N20)"),99)</f>
        <v>99</v>
      </c>
      <c r="O21" s="55" t="n">
        <f aca="false">IFERROR(__xludf.dummyfunction("ifs(filter( Personnesobjet!$A:$A,Personnesobjet!$C:$C=O12)&lt;$B$24,filter( Personnesobjet!$A:$A,Personnesobjet!$C:$C=O12), filter(Personnesobjet!$A:$A,Personnesobjet!$C:$C=O12)&gt;=$B$24,O20)"),273)</f>
        <v>273</v>
      </c>
      <c r="P21" s="55" t="n">
        <f aca="false">IFERROR(__xludf.dummyfunction("ifs(filter( Personnesobjet!$A:$A,Personnesobjet!$C:$C=P12)&lt;$B$24,filter( Personnesobjet!$A:$A,Personnesobjet!$C:$C=P12), filter(Personnesobjet!$A:$A,Personnesobjet!$C:$C=P12)&gt;=$B$24,P20)"),187)</f>
        <v>187</v>
      </c>
      <c r="Q21" s="55" t="n">
        <f aca="false">IFERROR(__xludf.dummyfunction("ifs(filter( Personnesobjet!$A:$A,Personnesobjet!$C:$C=Q12)&lt;$B$24,filter( Personnesobjet!$A:$A,Personnesobjet!$C:$C=Q12), filter(Personnesobjet!$A:$A,Personnesobjet!$C:$C=Q12)&gt;=$B$24,Q20)"),251)</f>
        <v>251</v>
      </c>
      <c r="R21" s="55" t="n">
        <f aca="false">IFERROR(__xludf.dummyfunction("ifs(filter( Personnesobjet!$A:$A,Personnesobjet!$C:$C=R12)&lt;$B$24,filter( Personnesobjet!$A:$A,Personnesobjet!$C:$C=R12), filter(Personnesobjet!$A:$A,Personnesobjet!$C:$C=R12)&gt;=$B$24,R20)"),235)</f>
        <v>235</v>
      </c>
      <c r="S21" s="55" t="n">
        <f aca="false">IFERROR(__xludf.dummyfunction("ifs(filter( Personnesobjet!$A:$A,Personnesobjet!$C:$C=S12)&lt;$B$24,filter( Personnesobjet!$A:$A,Personnesobjet!$C:$C=S12), filter(Personnesobjet!$A:$A,Personnesobjet!$C:$C=S12)&gt;=$B$24,S20)"),75)</f>
        <v>75</v>
      </c>
      <c r="T21" s="55" t="n">
        <f aca="false">IFERROR(__xludf.dummyfunction("ifs(filter( Personnesobjet!$A:$A,Personnesobjet!$C:$C=T12)&lt;$B$24,filter( Personnesobjet!$A:$A,Personnesobjet!$C:$C=T12), filter(Personnesobjet!$A:$A,Personnesobjet!$C:$C=T12)&gt;=$B$24,T20)"),90)</f>
        <v>90</v>
      </c>
      <c r="U21" s="55" t="n">
        <f aca="false">IFERROR(__xludf.dummyfunction("ifs(filter( Personnesobjet!$A:$A,Personnesobjet!$C:$C=U12)&lt;$B$24,filter( Personnesobjet!$A:$A,Personnesobjet!$C:$C=U12), filter(Personnesobjet!$A:$A,Personnesobjet!$C:$C=U12)&gt;=$B$24,U20)"),80)</f>
        <v>80</v>
      </c>
      <c r="V21" s="55" t="n">
        <f aca="false">IFERROR(__xludf.dummyfunction("ifs(filter( Personnesobjet!$A:$A,Personnesobjet!$C:$C=V12)&lt;$B$24,filter( Personnesobjet!$A:$A,Personnesobjet!$C:$C=V12), filter(Personnesobjet!$A:$A,Personnesobjet!$C:$C=V12)&gt;=$B$24,V20)"),137)</f>
        <v>137</v>
      </c>
      <c r="W21" s="55" t="n">
        <f aca="false">IFERROR(__xludf.dummyfunction("ifs(filter( Personnesobjet!$A:$A,Personnesobjet!$C:$C=W12)&lt;$B$24,filter( Personnesobjet!$A:$A,Personnesobjet!$C:$C=W12), filter(Personnesobjet!$A:$A,Personnesobjet!$C:$C=W12)&gt;=$B$24,W20)"),126)</f>
        <v>126</v>
      </c>
      <c r="X21" s="55" t="n">
        <f aca="false">IFERROR(__xludf.dummyfunction("ifs(filter( Personnesobjet!$A:$A,Personnesobjet!$C:$C=X12)&lt;$B$24,filter( Personnesobjet!$A:$A,Personnesobjet!$C:$C=X12), filter(Personnesobjet!$A:$A,Personnesobjet!$C:$C=X12)&gt;=$B$24,X20)"),95)</f>
        <v>95</v>
      </c>
      <c r="Y21" s="55" t="n">
        <f aca="false">IFERROR(__xludf.dummyfunction("ifs(filter( Personnesobjet!$A:$A,Personnesobjet!$C:$C=Y12)&lt;$B$24,filter( Personnesobjet!$A:$A,Personnesobjet!$C:$C=Y12), filter(Personnesobjet!$A:$A,Personnesobjet!$C:$C=Y12)&gt;=$B$24,Y20)"),276)</f>
        <v>276</v>
      </c>
      <c r="Z21" s="55" t="n">
        <f aca="false">IFERROR(__xludf.dummyfunction("ifs(filter( Personnesobjet!$A:$A,Personnesobjet!$C:$C=Z12)&lt;$B$24,filter( Personnesobjet!$A:$A,Personnesobjet!$C:$C=Z12), filter(Personnesobjet!$A:$A,Personnesobjet!$C:$C=Z12)&gt;=$B$24,Z20)"),149)</f>
        <v>149</v>
      </c>
      <c r="AA21" s="55" t="n">
        <f aca="false">IFERROR(__xludf.dummyfunction("ifs(filter( Personnesobjet!$A:$A,Personnesobjet!$C:$C=AA12)&lt;$B$24,filter( Personnesobjet!$A:$A,Personnesobjet!$C:$C=AA12), filter(Personnesobjet!$A:$A,Personnesobjet!$C:$C=AA12)&gt;=$B$24,AA20)"),148)</f>
        <v>148</v>
      </c>
      <c r="AB21" s="55" t="n">
        <f aca="false">IFERROR(__xludf.dummyfunction("ifs(filter( Personnesobjet!$A:$A,Personnesobjet!$C:$C=AB12)&lt;$B$24,filter( Personnesobjet!$A:$A,Personnesobjet!$C:$C=AB12), filter(Personnesobjet!$A:$A,Personnesobjet!$C:$C=AB12)&gt;=$B$24,AB20)"),173)</f>
        <v>173</v>
      </c>
      <c r="AC21" s="55" t="n">
        <f aca="false">IFERROR(__xludf.dummyfunction("ifs(filter( Personnesobjet!$A:$A,Personnesobjet!$C:$C=AC12)&lt;$B$24,filter( Personnesobjet!$A:$A,Personnesobjet!$C:$C=AC12), filter(Personnesobjet!$A:$A,Personnesobjet!$C:$C=AC12)&gt;=$B$24,AC20)"),281)</f>
        <v>281</v>
      </c>
      <c r="AD21" s="55" t="n">
        <f aca="false">IFERROR(__xludf.dummyfunction("ifs(filter( Personnesobjet!$A:$A,Personnesobjet!$C:$C=AD12)&lt;$B$24,filter( Personnesobjet!$A:$A,Personnesobjet!$C:$C=AD12), filter(Personnesobjet!$A:$A,Personnesobjet!$C:$C=AD12)&gt;=$B$24,AD20)"),283)</f>
        <v>283</v>
      </c>
      <c r="AE21" s="55" t="n">
        <f aca="false">IFERROR(__xludf.dummyfunction("ifs(filter( Personnesobjet!$A:$A,Personnesobjet!$C:$C=AE12)&lt;$B$24,filter( Personnesobjet!$A:$A,Personnesobjet!$C:$C=AE12), filter(Personnesobjet!$A:$A,Personnesobjet!$C:$C=AE12)&gt;=$B$24,AE20)"),279)</f>
        <v>279</v>
      </c>
      <c r="AF21" s="55" t="n">
        <f aca="false">IFERROR(__xludf.dummyfunction("ifs(filter( Personnesobjet!$A:$A,Personnesobjet!$C:$C=AF12)&lt;$B$24,filter( Personnesobjet!$A:$A,Personnesobjet!$C:$C=AF12), filter(Personnesobjet!$A:$A,Personnesobjet!$C:$C=AF12)&gt;=$B$24,AF20)"),261)</f>
        <v>261</v>
      </c>
      <c r="AG21" s="55" t="n">
        <f aca="false">IFERROR(__xludf.dummyfunction("ifs(filter( Personnesobjet!$A:$A,Personnesobjet!$C:$C=AG12)&lt;$B$24,filter( Personnesobjet!$A:$A,Personnesobjet!$C:$C=AG12), filter(Personnesobjet!$A:$A,Personnesobjet!$C:$C=AG12)&gt;=$B$24,AG20)"),188)</f>
        <v>188</v>
      </c>
      <c r="AH21" s="55" t="n">
        <f aca="false">IFERROR(__xludf.dummyfunction("ifs(filter( Personnesobjet!$A:$A,Personnesobjet!$C:$C=AH12)&lt;$B$24,filter( Personnesobjet!$A:$A,Personnesobjet!$C:$C=AH12), filter(Personnesobjet!$A:$A,Personnesobjet!$C:$C=AH12)&gt;=$B$24,AH20)"),255)</f>
        <v>255</v>
      </c>
      <c r="AI21" s="55" t="n">
        <f aca="false">IFERROR(__xludf.dummyfunction("ifs(filter( Personnesobjet!$A:$A,Personnesobjet!$C:$C=AI12)&lt;$B$24,filter( Personnesobjet!$A:$A,Personnesobjet!$C:$C=AI12), filter(Personnesobjet!$A:$A,Personnesobjet!$C:$C=AI12)&gt;=$B$24,AI20)"),131)</f>
        <v>131</v>
      </c>
      <c r="AJ21" s="55" t="n">
        <f aca="false">IFERROR(__xludf.dummyfunction("ifs(filter( Personnesobjet!$A:$A,Personnesobjet!$C:$C=AJ12)&lt;$B$24,filter( Personnesobjet!$A:$A,Personnesobjet!$C:$C=AJ12), filter(Personnesobjet!$A:$A,Personnesobjet!$C:$C=AJ12)&gt;=$B$24,AJ20)"),289)</f>
        <v>289</v>
      </c>
      <c r="AK21" s="55" t="n">
        <f aca="false">IFERROR(__xludf.dummyfunction("ifs(filter( Personnesobjet!$A:$A,Personnesobjet!$C:$C=AK12)&lt;$B$24,filter( Personnesobjet!$A:$A,Personnesobjet!$C:$C=AK12), filter(Personnesobjet!$A:$A,Personnesobjet!$C:$C=AK12)&gt;=$B$24,AK20)"),143)</f>
        <v>143</v>
      </c>
      <c r="AL21" s="55" t="n">
        <f aca="false">IFERROR(__xludf.dummyfunction("ifs(filter( Personnesobjet!$A:$A,Personnesobjet!$C:$C=AL12)&lt;$B$24,filter( Personnesobjet!$A:$A,Personnesobjet!$C:$C=AL12), filter(Personnesobjet!$A:$A,Personnesobjet!$C:$C=AL12)&gt;=$B$24,AL20)"),260)</f>
        <v>260</v>
      </c>
      <c r="AM21" s="55" t="n">
        <f aca="false">IFERROR(__xludf.dummyfunction("ifs(filter( Personnesobjet!$A:$A,Personnesobjet!$C:$C=AM12)&lt;$B$24,filter( Personnesobjet!$A:$A,Personnesobjet!$C:$C=AM12), filter(Personnesobjet!$A:$A,Personnesobjet!$C:$C=AM12)&gt;=$B$24,AM20)"),178)</f>
        <v>178</v>
      </c>
      <c r="AN21" s="55" t="n">
        <f aca="false">IFERROR(__xludf.dummyfunction("ifs(filter( Personnesobjet!$A:$A,Personnesobjet!$C:$C=AN12)&lt;$B$24,filter( Personnesobjet!$A:$A,Personnesobjet!$C:$C=AN12), filter(Personnesobjet!$A:$A,Personnesobjet!$C:$C=AN12)&gt;=$B$24,AN20)"),288)</f>
        <v>288</v>
      </c>
      <c r="AO21" s="55" t="n">
        <f aca="false">IFERROR(__xludf.dummyfunction("ifs(filter( Personnesobjet!$A:$A,Personnesobjet!$C:$C=AO12)&lt;$B$24,filter( Personnesobjet!$A:$A,Personnesobjet!$C:$C=AO12), filter(Personnesobjet!$A:$A,Personnesobjet!$C:$C=AO12)&gt;=$B$24,AO20)"),282)</f>
        <v>282</v>
      </c>
      <c r="AP21" s="55" t="n">
        <f aca="false">IFERROR(__xludf.dummyfunction("ifs(filter( Personnesobjet!$A:$A,Personnesobjet!$C:$C=AP12)&lt;$B$24,filter( Personnesobjet!$A:$A,Personnesobjet!$C:$C=AP12), filter(Personnesobjet!$A:$A,Personnesobjet!$C:$C=AP12)&gt;=$B$24,AP20)"),174)</f>
        <v>174</v>
      </c>
      <c r="AQ21" s="55" t="n">
        <f aca="false">IFERROR(__xludf.dummyfunction("ifs(filter( Personnesobjet!$A:$A,Personnesobjet!$C:$C=AQ12)&lt;$B$24,filter( Personnesobjet!$A:$A,Personnesobjet!$C:$C=AQ12), filter(Personnesobjet!$A:$A,Personnesobjet!$C:$C=AQ12)&gt;=$B$24,AQ20)"),186)</f>
        <v>186</v>
      </c>
      <c r="AR21" s="55" t="n">
        <f aca="false">IFERROR(__xludf.dummyfunction("ifs(filter( Personnesobjet!$A:$A,Personnesobjet!$C:$C=AR12)&lt;$B$24,filter( Personnesobjet!$A:$A,Personnesobjet!$C:$C=AR12), filter(Personnesobjet!$A:$A,Personnesobjet!$C:$C=AR12)&gt;=$B$24,AR20)"),183)</f>
        <v>183</v>
      </c>
      <c r="AS21" s="55" t="n">
        <f aca="false">IFERROR(__xludf.dummyfunction("ifs(filter( Personnesobjet!$A:$A,Personnesobjet!$C:$C=AS12)&lt;$B$24,filter( Personnesobjet!$A:$A,Personnesobjet!$C:$C=AS12), filter(Personnesobjet!$A:$A,Personnesobjet!$C:$C=AS12)&gt;=$B$24,AS20)"),200)</f>
        <v>200</v>
      </c>
      <c r="AT21" s="55" t="n">
        <f aca="false">IFERROR(__xludf.dummyfunction("ifs(filter( Personnesobjet!$A:$A,Personnesobjet!$C:$C=AT12)&lt;$B$24,filter( Personnesobjet!$A:$A,Personnesobjet!$C:$C=AT12), filter(Personnesobjet!$A:$A,Personnesobjet!$C:$C=AT12)&gt;=$B$24,AT20)"),267)</f>
        <v>267</v>
      </c>
      <c r="AU21" s="55" t="n">
        <f aca="false">IFERROR(__xludf.dummyfunction("ifs(filter( Personnesobjet!$A:$A,Personnesobjet!$C:$C=AU12)&lt;$B$24,filter( Personnesobjet!$A:$A,Personnesobjet!$C:$C=AU12), filter(Personnesobjet!$A:$A,Personnesobjet!$C:$C=AU12)&gt;=$B$24,AU20)"),199)</f>
        <v>199</v>
      </c>
      <c r="AV21" s="55" t="n">
        <f aca="false">IFERROR(__xludf.dummyfunction("ifs(filter( Personnesobjet!$A:$A,Personnesobjet!$C:$C=AV12)&lt;$B$24,filter( Personnesobjet!$A:$A,Personnesobjet!$C:$C=AV12), filter(Personnesobjet!$A:$A,Personnesobjet!$C:$C=AV12)&gt;=$B$24,AV20)"),223)</f>
        <v>223</v>
      </c>
      <c r="AW21" s="55" t="n">
        <f aca="false">IFERROR(__xludf.dummyfunction("ifs(filter( Personnesobjet!$A:$A,Personnesobjet!$C:$C=AW12)&lt;$B$24,filter( Personnesobjet!$A:$A,Personnesobjet!$C:$C=AW12), filter(Personnesobjet!$A:$A,Personnesobjet!$C:$C=AW12)&gt;=$B$24,AW20)"),286)</f>
        <v>286</v>
      </c>
      <c r="AX21" s="55" t="n">
        <f aca="false">IFERROR(__xludf.dummyfunction("ifs(filter( Personnesobjet!$A:$A,Personnesobjet!$C:$C=AX12)&lt;$B$24,filter( Personnesobjet!$A:$A,Personnesobjet!$C:$C=AX12), filter(Personnesobjet!$A:$A,Personnesobjet!$C:$C=AX12)&gt;=$B$24,AX20)"),287)</f>
        <v>287</v>
      </c>
      <c r="AY21" s="55" t="n">
        <f aca="false">IFERROR(__xludf.dummyfunction("ifs(filter( Personnesobjet!$A:$A,Personnesobjet!$C:$C=AY12)&lt;$B$24,filter( Personnesobjet!$A:$A,Personnesobjet!$C:$C=AY12), filter(Personnesobjet!$A:$A,Personnesobjet!$C:$C=AY12)&gt;=$B$24,AY20)"),225)</f>
        <v>225</v>
      </c>
      <c r="AZ21" s="55" t="n">
        <f aca="false">IFERROR(__xludf.dummyfunction("ifs(filter( Personnesobjet!$A:$A,Personnesobjet!$C:$C=AZ12)&lt;$B$24,filter( Personnesobjet!$A:$A,Personnesobjet!$C:$C=AZ12), filter(Personnesobjet!$A:$A,Personnesobjet!$C:$C=AZ12)&gt;=$B$24,AZ20)"),214)</f>
        <v>214</v>
      </c>
      <c r="BA21" s="55" t="n">
        <f aca="false">IFERROR(__xludf.dummyfunction("ifs(filter( Personnesobjet!$A:$A,Personnesobjet!$C:$C=BA12)&lt;$B$24,filter( Personnesobjet!$A:$A,Personnesobjet!$C:$C=BA12), filter(Personnesobjet!$A:$A,Personnesobjet!$C:$C=BA12)&gt;=$B$24,BA20)"),238)</f>
        <v>238</v>
      </c>
      <c r="BB21" s="55" t="n">
        <f aca="false">IFERROR(__xludf.dummyfunction("ifs(filter( Personnesobjet!$A:$A,Personnesobjet!$C:$C=BB12)&lt;$B$24,filter( Personnesobjet!$A:$A,Personnesobjet!$C:$C=BB12), filter(Personnesobjet!$A:$A,Personnesobjet!$C:$C=BB12)&gt;=$B$24,BB20)"),236)</f>
        <v>236</v>
      </c>
      <c r="BC21" s="55" t="n">
        <f aca="false">IFERROR(__xludf.dummyfunction("ifs(filter( Personnesobjet!$A:$A,Personnesobjet!$C:$C=BC12)&lt;$B$24,filter( Personnesobjet!$A:$A,Personnesobjet!$C:$C=BC12), filter(Personnesobjet!$A:$A,Personnesobjet!$C:$C=BC12)&gt;=$B$24,BC20)"),280)</f>
        <v>280</v>
      </c>
      <c r="BD21" s="55" t="n">
        <f aca="false">IFERROR(__xludf.dummyfunction("ifs(filter( Personnesobjet!$A:$A,Personnesobjet!$C:$C=BD12)&lt;$B$24,filter( Personnesobjet!$A:$A,Personnesobjet!$C:$C=BD12), filter(Personnesobjet!$A:$A,Personnesobjet!$C:$C=BD12)&gt;=$B$24,BD20)"),269)</f>
        <v>269</v>
      </c>
      <c r="BE21" s="55" t="n">
        <f aca="false">IFERROR(__xludf.dummyfunction("ifs(filter( Personnesobjet!$A:$A,Personnesobjet!$C:$C=BE12)&lt;$B$24,filter( Personnesobjet!$A:$A,Personnesobjet!$C:$C=BE12), filter(Personnesobjet!$A:$A,Personnesobjet!$C:$C=BE12)&gt;=$B$24,BE20)"),275)</f>
        <v>275</v>
      </c>
      <c r="BF21" s="55" t="n">
        <f aca="false">IFERROR(__xludf.dummyfunction("ifs(filter( Personnesobjet!$A:$A,Personnesobjet!$C:$C=BF12)&lt;$B$24,filter( Personnesobjet!$A:$A,Personnesobjet!$C:$C=BF12), filter(Personnesobjet!$A:$A,Personnesobjet!$C:$C=BF12)&gt;=$B$24,BF20)"),246)</f>
        <v>246</v>
      </c>
      <c r="BG21" s="55" t="n">
        <f aca="false">IFERROR(__xludf.dummyfunction("ifs(filter( Personnesobjet!$A:$A,Personnesobjet!$C:$C=BG12)&lt;$B$24,filter( Personnesobjet!$A:$A,Personnesobjet!$C:$C=BG12), filter(Personnesobjet!$A:$A,Personnesobjet!$C:$C=BG12)&gt;=$B$24,BG20)"),284)</f>
        <v>284</v>
      </c>
      <c r="BH21" s="55" t="n">
        <f aca="false">IFERROR(__xludf.dummyfunction("ifs(filter( Personnesobjet!$A:$A,Personnesobjet!$C:$C=BH12)&lt;$B$24,filter( Personnesobjet!$A:$A,Personnesobjet!$C:$C=BH12), filter(Personnesobjet!$A:$A,Personnesobjet!$C:$C=BH12)&gt;=$B$24,BH20)"),259)</f>
        <v>259</v>
      </c>
      <c r="BI21" s="55" t="n">
        <f aca="false">IFERROR(__xludf.dummyfunction("ifs(filter( Personnesobjet!$A:$A,Personnesobjet!$C:$C=BI12)&lt;$B$24,filter( Personnesobjet!$A:$A,Personnesobjet!$C:$C=BI12), filter(Personnesobjet!$A:$A,Personnesobjet!$C:$C=BI12)&gt;=$B$24,BI20)"),266)</f>
        <v>266</v>
      </c>
      <c r="BJ21" s="55" t="str">
        <f aca="false">IFERROR(__xludf.dummyfunction("ifs(filter( Personnesobjet!$A:$A,Personnesobjet!$C:$C=BJ12)&lt;$B$24,filter( Personnesobjet!$A:$A,Personnesobjet!$C:$C=BJ12), filter(Personnesobjet!$A:$A,Personnesobjet!$C:$C=BJ12)&gt;=$B$24,BJ20)"),"")</f>
        <v/>
      </c>
      <c r="BK21" s="55" t="str">
        <f aca="false">IFERROR(__xludf.dummyfunction("ifs(filter( Personnesobjet!$A:$A,Personnesobjet!$C:$C=BK12)&lt;$B$24,filter( Personnesobjet!$A:$A,Personnesobjet!$C:$C=BK12), filter(Personnesobjet!$A:$A,Personnesobjet!$C:$C=BK12)&gt;=$B$24,BK20)"),"")</f>
        <v/>
      </c>
      <c r="BL21" s="55" t="str">
        <f aca="false">IFERROR(__xludf.dummyfunction("ifs(filter( Personnesobjet!$A:$A,Personnesobjet!$C:$C=BL12)&lt;$B$24,filter( Personnesobjet!$A:$A,Personnesobjet!$C:$C=BL12), filter(Personnesobjet!$A:$A,Personnesobjet!$C:$C=BL12)&gt;=$B$24,BL20)"),"")</f>
        <v/>
      </c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3"/>
    </row>
    <row r="22" customFormat="false" ht="15.75" hidden="false" customHeight="false" outlineLevel="0" collapsed="false">
      <c r="A22" s="44" t="s">
        <v>1152</v>
      </c>
      <c r="B22" s="53" t="n">
        <v>1</v>
      </c>
      <c r="C22" s="45" t="n">
        <f aca="false">B22+5</f>
        <v>6</v>
      </c>
      <c r="D22" s="45" t="n">
        <f aca="false">C22+5</f>
        <v>11</v>
      </c>
      <c r="E22" s="45" t="n">
        <f aca="false">D22+5</f>
        <v>16</v>
      </c>
      <c r="F22" s="45" t="n">
        <f aca="false">E22+5</f>
        <v>21</v>
      </c>
      <c r="G22" s="45" t="n">
        <f aca="false">F22+5</f>
        <v>26</v>
      </c>
      <c r="H22" s="45" t="n">
        <f aca="false">G22+5</f>
        <v>31</v>
      </c>
      <c r="I22" s="45" t="n">
        <f aca="false">H22+5</f>
        <v>36</v>
      </c>
      <c r="J22" s="45" t="n">
        <f aca="false">I22+5</f>
        <v>41</v>
      </c>
      <c r="K22" s="45" t="n">
        <f aca="false">J22+5</f>
        <v>46</v>
      </c>
      <c r="L22" s="45" t="n">
        <f aca="false">K22+5</f>
        <v>51</v>
      </c>
      <c r="M22" s="45" t="n">
        <f aca="false">L22+5</f>
        <v>56</v>
      </c>
      <c r="N22" s="45" t="n">
        <f aca="false">M22+5</f>
        <v>61</v>
      </c>
      <c r="O22" s="45" t="n">
        <f aca="false">N22+5</f>
        <v>66</v>
      </c>
      <c r="P22" s="45" t="n">
        <f aca="false">O22+5</f>
        <v>71</v>
      </c>
      <c r="Q22" s="45" t="n">
        <f aca="false">P22+5</f>
        <v>76</v>
      </c>
      <c r="R22" s="45" t="n">
        <f aca="false">Q22+5</f>
        <v>81</v>
      </c>
      <c r="S22" s="45" t="n">
        <f aca="false">R22+5</f>
        <v>86</v>
      </c>
      <c r="T22" s="45" t="n">
        <f aca="false">S22+5</f>
        <v>91</v>
      </c>
      <c r="U22" s="45" t="n">
        <f aca="false">T22+5</f>
        <v>96</v>
      </c>
      <c r="V22" s="45" t="n">
        <f aca="false">U22+5</f>
        <v>101</v>
      </c>
      <c r="W22" s="45" t="n">
        <f aca="false">V22+5</f>
        <v>106</v>
      </c>
      <c r="X22" s="45" t="n">
        <f aca="false">W22+5</f>
        <v>111</v>
      </c>
      <c r="Y22" s="45" t="n">
        <f aca="false">X22+5</f>
        <v>116</v>
      </c>
      <c r="Z22" s="45" t="n">
        <f aca="false">Y22+5</f>
        <v>121</v>
      </c>
      <c r="AA22" s="45" t="n">
        <f aca="false">Z22+5</f>
        <v>126</v>
      </c>
      <c r="AB22" s="45" t="n">
        <f aca="false">AA22+5</f>
        <v>131</v>
      </c>
      <c r="AC22" s="45" t="n">
        <f aca="false">AB22+5</f>
        <v>136</v>
      </c>
      <c r="AD22" s="45" t="n">
        <f aca="false">AC22+5</f>
        <v>141</v>
      </c>
      <c r="AE22" s="45" t="n">
        <f aca="false">AD22+5</f>
        <v>146</v>
      </c>
      <c r="AF22" s="45" t="n">
        <f aca="false">AE22+5</f>
        <v>151</v>
      </c>
      <c r="AG22" s="45" t="n">
        <f aca="false">AF22+5</f>
        <v>156</v>
      </c>
      <c r="AH22" s="45" t="n">
        <f aca="false">AG22+5</f>
        <v>161</v>
      </c>
      <c r="AI22" s="45" t="n">
        <f aca="false">AH22+5</f>
        <v>166</v>
      </c>
      <c r="AJ22" s="45" t="n">
        <f aca="false">AI22+5</f>
        <v>171</v>
      </c>
      <c r="AK22" s="45" t="n">
        <f aca="false">AJ22+5</f>
        <v>176</v>
      </c>
      <c r="AL22" s="45" t="n">
        <f aca="false">AK22+5</f>
        <v>181</v>
      </c>
      <c r="AM22" s="45" t="n">
        <f aca="false">AL22+5</f>
        <v>186</v>
      </c>
      <c r="AN22" s="45" t="n">
        <f aca="false">AM22+5</f>
        <v>191</v>
      </c>
      <c r="AO22" s="45" t="n">
        <f aca="false">AN22+5</f>
        <v>196</v>
      </c>
      <c r="AP22" s="45" t="n">
        <f aca="false">AO22+5</f>
        <v>201</v>
      </c>
      <c r="AQ22" s="45" t="n">
        <f aca="false">AP22+5</f>
        <v>206</v>
      </c>
      <c r="AR22" s="45" t="n">
        <f aca="false">AQ22+5</f>
        <v>211</v>
      </c>
      <c r="AS22" s="45" t="n">
        <f aca="false">AR22+5</f>
        <v>216</v>
      </c>
      <c r="AT22" s="45" t="n">
        <f aca="false">AS22+5</f>
        <v>221</v>
      </c>
      <c r="AU22" s="45" t="n">
        <f aca="false">AT22+5</f>
        <v>226</v>
      </c>
      <c r="AV22" s="45" t="n">
        <f aca="false">AU22+5</f>
        <v>231</v>
      </c>
      <c r="AW22" s="45" t="n">
        <f aca="false">AV22+5</f>
        <v>236</v>
      </c>
      <c r="AX22" s="45" t="n">
        <f aca="false">AW22+5</f>
        <v>241</v>
      </c>
      <c r="AY22" s="45" t="n">
        <f aca="false">AX22+5</f>
        <v>246</v>
      </c>
      <c r="AZ22" s="45" t="n">
        <f aca="false">AY22+5</f>
        <v>251</v>
      </c>
      <c r="BA22" s="45" t="n">
        <f aca="false">AZ22+5</f>
        <v>256</v>
      </c>
      <c r="BB22" s="45" t="n">
        <f aca="false">BA22+5</f>
        <v>261</v>
      </c>
      <c r="BC22" s="45" t="n">
        <f aca="false">BB22+5</f>
        <v>266</v>
      </c>
      <c r="BD22" s="45" t="n">
        <f aca="false">BC22+5</f>
        <v>271</v>
      </c>
      <c r="BE22" s="45" t="n">
        <f aca="false">BD22+5</f>
        <v>276</v>
      </c>
      <c r="BF22" s="45" t="n">
        <f aca="false">BE22+5</f>
        <v>281</v>
      </c>
      <c r="BG22" s="45" t="n">
        <f aca="false">BF22+5</f>
        <v>286</v>
      </c>
      <c r="BH22" s="45" t="n">
        <f aca="false">BG22+5</f>
        <v>291</v>
      </c>
      <c r="BI22" s="45" t="n">
        <f aca="false">BH22+5</f>
        <v>296</v>
      </c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6"/>
    </row>
    <row r="24" customFormat="false" ht="15.75" hidden="false" customHeight="false" outlineLevel="0" collapsed="false">
      <c r="B24" s="0" t="n">
        <f aca="false">IFERROR(__xludf.dummyfunction("max(Filter(Personnesobjet!A:A,NOT(Personnesobjet!C:C ="""")))"),290)</f>
        <v>290</v>
      </c>
    </row>
    <row r="26" customFormat="false" ht="15.75" hidden="false" customHeight="false" outlineLevel="0" collapsed="false">
      <c r="B26" s="64"/>
    </row>
    <row r="27" customFormat="false" ht="15.75" hidden="false" customHeight="false" outlineLevel="0" collapsed="false">
      <c r="B27" s="64"/>
    </row>
  </sheetData>
  <conditionalFormatting sqref="A16:BZ21">
    <cfRule type="expression" priority="2" aboveAverage="0" equalAverage="0" bottom="0" percent="0" rank="0" text="" dxfId="0">
      <formula>LEN(TRIM(A16))&gt;0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2" min="1" style="0" width="8.29"/>
    <col collapsed="false" customWidth="true" hidden="false" outlineLevel="0" max="3" min="3" style="0" width="29.14"/>
    <col collapsed="false" customWidth="true" hidden="false" outlineLevel="0" max="4" min="4" style="0" width="82.29"/>
    <col collapsed="false" customWidth="true" hidden="false" outlineLevel="0" max="8" min="5" style="0" width="29.14"/>
    <col collapsed="false" customWidth="true" hidden="false" outlineLevel="0" max="9" min="9" style="0" width="146.14"/>
    <col collapsed="false" customWidth="true" hidden="false" outlineLevel="0" max="154" min="10" style="0" width="29.14"/>
    <col collapsed="false" customWidth="true" hidden="false" outlineLevel="0" max="1025" min="155" style="0" width="14.43"/>
  </cols>
  <sheetData>
    <row r="1" customFormat="false" ht="15.75" hidden="false" customHeight="false" outlineLevel="0" collapsed="false">
      <c r="A1" s="65" t="s">
        <v>1153</v>
      </c>
      <c r="B1" s="53" t="s">
        <v>1152</v>
      </c>
      <c r="C1" s="53" t="str">
        <f aca="false">IFERROR(__xludf.dummyfunction("filter( 'Réponses au formulaire 1'!B:B,'Réponses au formulaire 1'!B:B&gt;0)"),"Prénom NOM ")</f>
        <v>Prénom NOM </v>
      </c>
      <c r="D1" s="66" t="str">
        <f aca="false">IFERROR(__xludf.dummyfunction("filter('Réponses au formulaire 1'!T:T,'Réponses au formulaire 1'!B:B=C1)"),"Quel objet donneras-tu à ton fillot pour la soirée de parrainage ?")</f>
        <v>Quel objet donneras-tu à ton fillot pour la soirée de parrainage ?</v>
      </c>
      <c r="E1" s="67" t="s">
        <v>1154</v>
      </c>
      <c r="F1" s="68"/>
      <c r="G1" s="15"/>
      <c r="H1" s="65" t="s">
        <v>1155</v>
      </c>
      <c r="I1" s="46" t="s">
        <v>1156</v>
      </c>
      <c r="J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</row>
    <row r="2" customFormat="false" ht="15.75" hidden="false" customHeight="false" outlineLevel="0" collapsed="false">
      <c r="A2" s="69" t="n">
        <v>1</v>
      </c>
      <c r="B2" s="70" t="n">
        <f aca="false">IFERROR(__xludf.dummyfunction("filter(Famillesid!$22:$22,(Famillesid!$16:$16=A2)+(Famillesid!$17:$17=A2)+(Famillesid!$18:$18=A2)+(Famillesid!$19:$19=A2)+(Famillesid!$20:$20=A2)+(Famillesid!$21:$21=A2))"),1)</f>
        <v>1</v>
      </c>
      <c r="C2" s="70" t="str">
        <f aca="false">IFERROR(__xludf.dummyfunction("""COMPUTED_VALUE"""),"Michel Qu")</f>
        <v>Michel Qu</v>
      </c>
      <c r="D2" s="71" t="str">
        <f aca="false">IFERROR(__xludf.dummyfunction("filter('Réponses au formulaire 1'!T:T,'Réponses au formulaire 1'!B:B=C2)"),"Du cidre")</f>
        <v>Du cidre</v>
      </c>
      <c r="E2" s="72"/>
      <c r="F2" s="68"/>
      <c r="G2" s="15"/>
      <c r="H2" s="69" t="str">
        <f aca="false">IFERROR(__xludf.dummyfunction("filter(C:D,E:E="""")"),"Michel Qu")</f>
        <v>Michel Qu</v>
      </c>
      <c r="I2" s="48" t="str">
        <f aca="false">IFERROR(__xludf.dummyfunction("""COMPUTED_VALUE"""),"Du cidre")</f>
        <v>Du cidre</v>
      </c>
      <c r="J2" s="15"/>
      <c r="K2" s="73" t="str">
        <f aca="false">Famillesid!B2</f>
        <v>DPSU</v>
      </c>
      <c r="L2" s="74" t="str">
        <f aca="false">Famillesid!C2</f>
        <v>Le Bordel</v>
      </c>
      <c r="M2" s="74" t="str">
        <f aca="false">Famillesid!D2</f>
        <v>La Glotte</v>
      </c>
      <c r="N2" s="74" t="str">
        <f aca="false">Famillesid!E2</f>
        <v>Consulm3ow</v>
      </c>
      <c r="O2" s="74" t="str">
        <f aca="false">Famillesid!F2</f>
        <v>Le Zoo </v>
      </c>
      <c r="P2" s="74" t="str">
        <f aca="false">Famillesid!G2</f>
        <v>Beurre salé &amp; chocolatine</v>
      </c>
      <c r="Q2" s="74" t="str">
        <f aca="false">Famillesid!H2</f>
        <v>Les domineurs</v>
      </c>
      <c r="R2" s="74" t="str">
        <f aca="false">Famillesid!I2</f>
        <v>La Comté</v>
      </c>
      <c r="S2" s="74" t="str">
        <f aca="false">Famillesid!J2</f>
        <v>La chevroll's </v>
      </c>
      <c r="T2" s="74" t="str">
        <f aca="false">Famillesid!K2</f>
        <v>La Tracharnasse</v>
      </c>
      <c r="U2" s="74" t="str">
        <f aca="false">Famillesid!L2</f>
        <v>Waltherock</v>
      </c>
      <c r="V2" s="74" t="str">
        <f aca="false">Famillesid!M2</f>
        <v>L'Influence</v>
      </c>
      <c r="W2" s="74" t="str">
        <f aca="false">Famillesid!N2</f>
        <v>COMA</v>
      </c>
      <c r="X2" s="74" t="str">
        <f aca="false">Famillesid!O2</f>
        <v>Mafia</v>
      </c>
      <c r="Y2" s="74" t="str">
        <f aca="false">Famillesid!P2</f>
        <v>Summerfaigle</v>
      </c>
      <c r="Z2" s="74" t="str">
        <f aca="false">Famillesid!Q2</f>
        <v>Nuage</v>
      </c>
      <c r="AA2" s="74" t="str">
        <f aca="false">Famillesid!R2</f>
        <v>PB</v>
      </c>
      <c r="AB2" s="74" t="str">
        <f aca="false">Famillesid!S2</f>
        <v>Trident X ChaPau</v>
      </c>
      <c r="AC2" s="74" t="str">
        <f aca="false">Famillesid!T2</f>
        <v>Galerie ++</v>
      </c>
      <c r="AD2" s="74" t="str">
        <f aca="false">Famillesid!U2</f>
        <v>Le Corridor</v>
      </c>
      <c r="AE2" s="74" t="str">
        <f aca="false">Famillesid!V2</f>
        <v>Dark Ludi et ses copines </v>
      </c>
      <c r="AF2" s="74" t="str">
        <f aca="false">Famillesid!W2</f>
        <v>Dusex</v>
      </c>
      <c r="AG2" s="74" t="str">
        <f aca="false">Famillesid!X2</f>
        <v>La Roulotte</v>
      </c>
      <c r="AH2" s="74" t="str">
        <f aca="false">Famillesid!Y2</f>
        <v>La dezingue</v>
      </c>
      <c r="AI2" s="74" t="str">
        <f aca="false">Famillesid!Z2</f>
        <v>Aquamif</v>
      </c>
      <c r="AJ2" s="74" t="str">
        <f aca="false">Famillesid!AA2</f>
        <v>Les Mages</v>
      </c>
      <c r="AK2" s="74" t="str">
        <f aca="false">Famillesid!AB2</f>
        <v>Auberge-Monastère</v>
      </c>
      <c r="AL2" s="74" t="str">
        <f aca="false">Famillesid!AC2</f>
        <v>Pimp my Ride</v>
      </c>
      <c r="AM2" s="74" t="str">
        <f aca="false">Famillesid!AD2</f>
        <v>La 4 étoiles</v>
      </c>
      <c r="AN2" s="74" t="str">
        <f aca="false">Famillesid!AE2</f>
        <v>Le Donjon</v>
      </c>
      <c r="AO2" s="74" t="str">
        <f aca="false">Famillesid!AF2</f>
        <v>Malandros Team</v>
      </c>
      <c r="AP2" s="74" t="str">
        <f aca="false">Famillesid!AG2</f>
        <v>Barton</v>
      </c>
      <c r="AQ2" s="74" t="str">
        <f aca="false">Famillesid!AH2</f>
        <v>La Crypte</v>
      </c>
      <c r="AR2" s="74" t="str">
        <f aca="false">Famillesid!AI2</f>
        <v>Jodyssée</v>
      </c>
      <c r="AS2" s="74" t="str">
        <f aca="false">Famillesid!AJ2</f>
        <v>Les trutitas</v>
      </c>
      <c r="AT2" s="74" t="str">
        <f aca="false">Famillesid!AK2</f>
        <v>Les grosses cochonnes</v>
      </c>
      <c r="AU2" s="74" t="str">
        <f aca="false">Famillesid!AL2</f>
        <v>Sans-abri </v>
      </c>
      <c r="AV2" s="74" t="str">
        <f aca="false">Famillesid!AM2</f>
        <v>Le Panthéon</v>
      </c>
      <c r="AW2" s="74" t="str">
        <f aca="false">Famillesid!AN2</f>
        <v>la team corlay</v>
      </c>
      <c r="AX2" s="74" t="str">
        <f aca="false">Famillesid!AO2</f>
        <v>Les fortiches</v>
      </c>
      <c r="AY2" s="74" t="str">
        <f aca="false">Famillesid!AP2</f>
        <v>LePatio</v>
      </c>
      <c r="AZ2" s="74" t="str">
        <f aca="false">Famillesid!AQ2</f>
        <v>Les coulisses</v>
      </c>
      <c r="BA2" s="74" t="str">
        <f aca="false">Famillesid!AR2</f>
        <v>RACLETENTOUTAN</v>
      </c>
      <c r="BB2" s="74" t="str">
        <f aca="false">Famillesid!AS2</f>
        <v>La boisson</v>
      </c>
      <c r="BC2" s="74" t="str">
        <f aca="false">Famillesid!AT2</f>
        <v>Le squat</v>
      </c>
      <c r="BD2" s="74" t="str">
        <f aca="false">Famillesid!AU2</f>
        <v>Les topeurs</v>
      </c>
      <c r="BE2" s="74" t="str">
        <f aca="false">Famillesid!AV2</f>
        <v>azerty44</v>
      </c>
      <c r="BF2" s="74" t="str">
        <f aca="false">Famillesid!AW2</f>
        <v>Parainplégiques</v>
      </c>
      <c r="BG2" s="74" t="str">
        <f aca="false">Famillesid!AX2</f>
        <v>Le Kraal</v>
      </c>
      <c r="BH2" s="74" t="str">
        <f aca="false">Famillesid!AY2</f>
        <v>Discorde</v>
      </c>
      <c r="BI2" s="74" t="str">
        <f aca="false">Famillesid!AZ2</f>
        <v>BBC</v>
      </c>
      <c r="BJ2" s="74" t="str">
        <f aca="false">Famillesid!BA2</f>
        <v>EI3 mous cancer</v>
      </c>
      <c r="BK2" s="74" t="str">
        <f aca="false">Famillesid!BB2</f>
        <v>Badge</v>
      </c>
      <c r="BL2" s="74" t="str">
        <f aca="false">Famillesid!BC2</f>
        <v>l'Alliance</v>
      </c>
      <c r="BM2" s="74" t="str">
        <f aca="false">Famillesid!BD2</f>
        <v>Grande Famille</v>
      </c>
      <c r="BN2" s="74" t="str">
        <f aca="false">Famillesid!BE2</f>
        <v>La vigie</v>
      </c>
      <c r="BO2" s="74" t="str">
        <f aca="false">Famillesid!BF2</f>
        <v>Los Insoportables </v>
      </c>
      <c r="BP2" s="74" t="str">
        <f aca="false">Famillesid!BG2</f>
        <v>Les 6 salopards</v>
      </c>
      <c r="BQ2" s="74" t="str">
        <f aca="false">Famillesid!BH2</f>
        <v>Les cyclistes</v>
      </c>
      <c r="BR2" s="74" t="str">
        <f aca="false">Famillesid!BI2</f>
        <v>Juaman’GI Reloaded</v>
      </c>
      <c r="BS2" s="75" t="n">
        <f aca="false">Famillesid!BJ2</f>
        <v>0</v>
      </c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</row>
    <row r="3" customFormat="false" ht="15.75" hidden="false" customHeight="false" outlineLevel="0" collapsed="false">
      <c r="A3" s="76" t="n">
        <f aca="false">A2+1</f>
        <v>2</v>
      </c>
      <c r="B3" s="70" t="n">
        <f aca="false">IFERROR(__xludf.dummyfunction("filter(Famillesid!$22:$22,(Famillesid!$16:$16=A3)+(Famillesid!$17:$17=A3)+(Famillesid!$18:$18=A3)+(Famillesid!$19:$19=A3)+(Famillesid!$20:$20=A3)+(Famillesid!$21:$21=A3))"),1)</f>
        <v>1</v>
      </c>
      <c r="C3" s="77" t="str">
        <f aca="false">IFERROR(__xludf.dummyfunction("""COMPUTED_VALUE"""),"Marie BOUTROUX")</f>
        <v>Marie BOUTROUX</v>
      </c>
      <c r="D3" s="78" t="str">
        <f aca="false">IFERROR(__xludf.dummyfunction("filter('Réponses au formulaire 1'!T:T,'Réponses au formulaire 1'!B:B=C3)"),"Aucune idée")</f>
        <v>Aucune idée</v>
      </c>
      <c r="E3" s="72" t="s">
        <v>1144</v>
      </c>
      <c r="F3" s="68" t="s">
        <v>1157</v>
      </c>
      <c r="G3" s="15"/>
      <c r="H3" s="76" t="str">
        <f aca="false">IFERROR(__xludf.dummyfunction("""COMPUTED_VALUE"""),"Jean ROMAN")</f>
        <v>Jean ROMAN</v>
      </c>
      <c r="I3" s="50" t="str">
        <f aca="false">IFERROR(__xludf.dummyfunction("""COMPUTED_VALUE"""),"Un cubi de sangria (vide, évidement, pas d'alcool dans Centrale)")</f>
        <v>Un cubi de sangria (vide, évidement, pas d'alcool dans Centrale)</v>
      </c>
      <c r="J3" s="15"/>
      <c r="K3" s="79" t="n">
        <f aca="false">FamillePersonnes!B8</f>
        <v>6</v>
      </c>
      <c r="L3" s="51" t="n">
        <f aca="false">FamillePersonnes!C8</f>
        <v>3</v>
      </c>
      <c r="M3" s="51" t="n">
        <f aca="false">FamillePersonnes!D8</f>
        <v>5</v>
      </c>
      <c r="N3" s="51" t="n">
        <f aca="false">FamillePersonnes!E8</f>
        <v>6</v>
      </c>
      <c r="O3" s="51" t="n">
        <f aca="false">FamillePersonnes!F8</f>
        <v>4</v>
      </c>
      <c r="P3" s="51" t="n">
        <f aca="false">FamillePersonnes!G8</f>
        <v>4</v>
      </c>
      <c r="Q3" s="51" t="n">
        <f aca="false">FamillePersonnes!H8</f>
        <v>6</v>
      </c>
      <c r="R3" s="51" t="n">
        <f aca="false">FamillePersonnes!I8</f>
        <v>6</v>
      </c>
      <c r="S3" s="51" t="n">
        <f aca="false">FamillePersonnes!J8</f>
        <v>5</v>
      </c>
      <c r="T3" s="51" t="n">
        <f aca="false">FamillePersonnes!K8</f>
        <v>5</v>
      </c>
      <c r="U3" s="51" t="n">
        <f aca="false">FamillePersonnes!L8</f>
        <v>5</v>
      </c>
      <c r="V3" s="51" t="n">
        <f aca="false">FamillePersonnes!M8</f>
        <v>5</v>
      </c>
      <c r="W3" s="51" t="n">
        <f aca="false">FamillePersonnes!N8</f>
        <v>6</v>
      </c>
      <c r="X3" s="51" t="n">
        <f aca="false">FamillePersonnes!O8</f>
        <v>6</v>
      </c>
      <c r="Y3" s="51" t="n">
        <f aca="false">FamillePersonnes!P8</f>
        <v>6</v>
      </c>
      <c r="Z3" s="51" t="n">
        <f aca="false">FamillePersonnes!Q8</f>
        <v>5</v>
      </c>
      <c r="AA3" s="51" t="n">
        <f aca="false">FamillePersonnes!R8</f>
        <v>4</v>
      </c>
      <c r="AB3" s="51" t="n">
        <f aca="false">FamillePersonnes!S8</f>
        <v>6</v>
      </c>
      <c r="AC3" s="51" t="n">
        <f aca="false">FamillePersonnes!T8</f>
        <v>6</v>
      </c>
      <c r="AD3" s="51" t="n">
        <f aca="false">FamillePersonnes!U8</f>
        <v>4</v>
      </c>
      <c r="AE3" s="51" t="n">
        <f aca="false">FamillePersonnes!V8</f>
        <v>4</v>
      </c>
      <c r="AF3" s="51" t="n">
        <f aca="false">FamillePersonnes!W8</f>
        <v>6</v>
      </c>
      <c r="AG3" s="51" t="n">
        <f aca="false">FamillePersonnes!X8</f>
        <v>4</v>
      </c>
      <c r="AH3" s="51" t="n">
        <f aca="false">FamillePersonnes!Y8</f>
        <v>6</v>
      </c>
      <c r="AI3" s="51" t="n">
        <f aca="false">FamillePersonnes!Z8</f>
        <v>4</v>
      </c>
      <c r="AJ3" s="51" t="n">
        <f aca="false">FamillePersonnes!AA8</f>
        <v>4</v>
      </c>
      <c r="AK3" s="51" t="n">
        <f aca="false">FamillePersonnes!AB8</f>
        <v>6</v>
      </c>
      <c r="AL3" s="51" t="n">
        <f aca="false">FamillePersonnes!AC8</f>
        <v>6</v>
      </c>
      <c r="AM3" s="51" t="n">
        <f aca="false">FamillePersonnes!AD8</f>
        <v>4</v>
      </c>
      <c r="AN3" s="51" t="n">
        <f aca="false">FamillePersonnes!AE8</f>
        <v>5</v>
      </c>
      <c r="AO3" s="51" t="n">
        <f aca="false">FamillePersonnes!AF8</f>
        <v>4</v>
      </c>
      <c r="AP3" s="51" t="n">
        <f aca="false">FamillePersonnes!AG8</f>
        <v>6</v>
      </c>
      <c r="AQ3" s="51" t="n">
        <f aca="false">FamillePersonnes!AH8</f>
        <v>5</v>
      </c>
      <c r="AR3" s="51" t="n">
        <f aca="false">FamillePersonnes!AI8</f>
        <v>5</v>
      </c>
      <c r="AS3" s="51" t="n">
        <f aca="false">FamillePersonnes!AJ8</f>
        <v>6</v>
      </c>
      <c r="AT3" s="51" t="n">
        <f aca="false">FamillePersonnes!AK8</f>
        <v>4</v>
      </c>
      <c r="AU3" s="51" t="n">
        <f aca="false">FamillePersonnes!AL8</f>
        <v>5</v>
      </c>
      <c r="AV3" s="51" t="n">
        <f aca="false">FamillePersonnes!AM8</f>
        <v>5</v>
      </c>
      <c r="AW3" s="51" t="n">
        <f aca="false">FamillePersonnes!AN8</f>
        <v>4</v>
      </c>
      <c r="AX3" s="51" t="n">
        <f aca="false">FamillePersonnes!AO8</f>
        <v>5</v>
      </c>
      <c r="AY3" s="51" t="n">
        <f aca="false">FamillePersonnes!AP8</f>
        <v>6</v>
      </c>
      <c r="AZ3" s="51" t="n">
        <f aca="false">FamillePersonnes!AQ8</f>
        <v>3</v>
      </c>
      <c r="BA3" s="51" t="n">
        <f aca="false">FamillePersonnes!AR8</f>
        <v>5</v>
      </c>
      <c r="BB3" s="51" t="n">
        <f aca="false">FamillePersonnes!AS8</f>
        <v>4</v>
      </c>
      <c r="BC3" s="51" t="n">
        <f aca="false">FamillePersonnes!AT8</f>
        <v>6</v>
      </c>
      <c r="BD3" s="51" t="n">
        <f aca="false">FamillePersonnes!AU8</f>
        <v>3</v>
      </c>
      <c r="BE3" s="51" t="n">
        <f aca="false">FamillePersonnes!AV8</f>
        <v>4</v>
      </c>
      <c r="BF3" s="51" t="n">
        <f aca="false">FamillePersonnes!AW8</f>
        <v>5</v>
      </c>
      <c r="BG3" s="51" t="n">
        <f aca="false">FamillePersonnes!AX8</f>
        <v>5</v>
      </c>
      <c r="BH3" s="51" t="n">
        <f aca="false">FamillePersonnes!AY8</f>
        <v>4</v>
      </c>
      <c r="BI3" s="51" t="n">
        <f aca="false">FamillePersonnes!AZ8</f>
        <v>3</v>
      </c>
      <c r="BJ3" s="51" t="n">
        <f aca="false">FamillePersonnes!BA8</f>
        <v>6</v>
      </c>
      <c r="BK3" s="51" t="n">
        <f aca="false">FamillePersonnes!BB8</f>
        <v>3</v>
      </c>
      <c r="BL3" s="51" t="n">
        <f aca="false">FamillePersonnes!BC8</f>
        <v>5</v>
      </c>
      <c r="BM3" s="51" t="n">
        <f aca="false">FamillePersonnes!BD8</f>
        <v>3</v>
      </c>
      <c r="BN3" s="51" t="n">
        <f aca="false">FamillePersonnes!BE8</f>
        <v>4</v>
      </c>
      <c r="BO3" s="51" t="n">
        <f aca="false">FamillePersonnes!BF8</f>
        <v>6</v>
      </c>
      <c r="BP3" s="51" t="n">
        <f aca="false">FamillePersonnes!BG8</f>
        <v>6</v>
      </c>
      <c r="BQ3" s="51" t="n">
        <f aca="false">FamillePersonnes!BH8</f>
        <v>4</v>
      </c>
      <c r="BR3" s="51" t="n">
        <f aca="false">FamillePersonnes!BI8</f>
        <v>5</v>
      </c>
      <c r="BS3" s="52" t="n">
        <f aca="false">FamillePersonnes!BJ8</f>
        <v>5</v>
      </c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</row>
    <row r="4" customFormat="false" ht="15.75" hidden="false" customHeight="false" outlineLevel="0" collapsed="false">
      <c r="A4" s="76" t="n">
        <f aca="false">A3+1</f>
        <v>3</v>
      </c>
      <c r="B4" s="70" t="n">
        <f aca="false">IFERROR(__xludf.dummyfunction("filter(Famillesid!$22:$22,(Famillesid!$16:$16=A4)+(Famillesid!$17:$17=A4)+(Famillesid!$18:$18=A4)+(Famillesid!$19:$19=A4)+(Famillesid!$20:$20=A4)+(Famillesid!$21:$21=A4))"),1)</f>
        <v>1</v>
      </c>
      <c r="C4" s="77" t="str">
        <f aca="false">IFERROR(__xludf.dummyfunction("""COMPUTED_VALUE"""),"Kheira POUVREAU")</f>
        <v>Kheira POUVREAU</v>
      </c>
      <c r="D4" s="78" t="str">
        <f aca="false">IFERROR(__xludf.dummyfunction("filter('Réponses au formulaire 1'!T:T,'Réponses au formulaire 1'!B:B=C4)"),".")</f>
        <v>.</v>
      </c>
      <c r="E4" s="72" t="s">
        <v>1144</v>
      </c>
      <c r="F4" s="68" t="s">
        <v>1157</v>
      </c>
      <c r="G4" s="15"/>
      <c r="H4" s="76" t="str">
        <f aca="false">IFERROR(__xludf.dummyfunction("""COMPUTED_VALUE"""),"Alexis Birée")</f>
        <v>Alexis Birée</v>
      </c>
      <c r="I4" s="50" t="str">
        <f aca="false">IFERROR(__xludf.dummyfunction("""COMPUTED_VALUE"""),"Surprise")</f>
        <v>Surprise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</row>
    <row r="5" customFormat="false" ht="15.75" hidden="false" customHeight="false" outlineLevel="0" collapsed="false">
      <c r="A5" s="76" t="n">
        <f aca="false">A4+1</f>
        <v>4</v>
      </c>
      <c r="B5" s="70" t="n">
        <f aca="false">IFERROR(__xludf.dummyfunction("filter(Famillesid!$22:$22,(Famillesid!$16:$16=A5)+(Famillesid!$17:$17=A5)+(Famillesid!$18:$18=A5)+(Famillesid!$19:$19=A5)+(Famillesid!$20:$20=A5)+(Famillesid!$21:$21=A5))"),1)</f>
        <v>1</v>
      </c>
      <c r="C5" s="77" t="str">
        <f aca="false">IFERROR(__xludf.dummyfunction("""COMPUTED_VALUE"""),"Jean ROMAN")</f>
        <v>Jean ROMAN</v>
      </c>
      <c r="D5" s="78" t="str">
        <f aca="false">IFERROR(__xludf.dummyfunction("filter('Réponses au formulaire 1'!T:T,'Réponses au formulaire 1'!B:B=C5)"),"Un cubi de sangria (vide, évidement, pas d'alcool dans Centrale)")</f>
        <v>Un cubi de sangria (vide, évidement, pas d'alcool dans Centrale)</v>
      </c>
      <c r="E5" s="72"/>
      <c r="F5" s="68"/>
      <c r="G5" s="15"/>
      <c r="H5" s="76" t="str">
        <f aca="false">IFERROR(__xludf.dummyfunction("""COMPUTED_VALUE"""),"Jeanne SUDOUR")</f>
        <v>Jeanne SUDOUR</v>
      </c>
      <c r="I5" s="50" t="str">
        <f aca="false">IFERROR(__xludf.dummyfunction("""COMPUTED_VALUE"""),"Je ne sais pas encore")</f>
        <v>Je ne sais pas encore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</row>
    <row r="6" customFormat="false" ht="15.75" hidden="false" customHeight="false" outlineLevel="0" collapsed="false">
      <c r="A6" s="76" t="n">
        <f aca="false">A5+1</f>
        <v>5</v>
      </c>
      <c r="B6" s="70" t="n">
        <f aca="false">IFERROR(__xludf.dummyfunction("filter(Famillesid!$22:$22,(Famillesid!$16:$16=A6)+(Famillesid!$17:$17=A6)+(Famillesid!$18:$18=A6)+(Famillesid!$19:$19=A6)+(Famillesid!$20:$20=A6)+(Famillesid!$21:$21=A6))"),6)</f>
        <v>6</v>
      </c>
      <c r="C6" s="77" t="str">
        <f aca="false">IFERROR(__xludf.dummyfunction("""COMPUTED_VALUE"""),"Alexis Birée")</f>
        <v>Alexis Birée</v>
      </c>
      <c r="D6" s="78" t="str">
        <f aca="false">IFERROR(__xludf.dummyfunction("filter('Réponses au formulaire 1'!T:T,'Réponses au formulaire 1'!B:B=C6)"),"Surprise")</f>
        <v>Surprise</v>
      </c>
      <c r="E6" s="72"/>
      <c r="F6" s="68"/>
      <c r="G6" s="15"/>
      <c r="H6" s="76" t="str">
        <f aca="false">IFERROR(__xludf.dummyfunction("""COMPUTED_VALUE"""),"Laura DRAUX")</f>
        <v>Laura DRAUX</v>
      </c>
      <c r="I6" s="50" t="str">
        <f aca="false">IFERROR(__xludf.dummyfunction("""COMPUTED_VALUE"""),"Je sais pas")</f>
        <v>Je sais pas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</row>
    <row r="7" customFormat="false" ht="15.75" hidden="false" customHeight="false" outlineLevel="0" collapsed="false">
      <c r="A7" s="76" t="n">
        <f aca="false">A6+1</f>
        <v>6</v>
      </c>
      <c r="B7" s="70" t="n">
        <f aca="false">IFERROR(__xludf.dummyfunction("filter(Famillesid!$22:$22,(Famillesid!$16:$16=A7)+(Famillesid!$17:$17=A7)+(Famillesid!$18:$18=A7)+(Famillesid!$19:$19=A7)+(Famillesid!$20:$20=A7)+(Famillesid!$21:$21=A7))"),1)</f>
        <v>1</v>
      </c>
      <c r="C7" s="77" t="str">
        <f aca="false">IFERROR(__xludf.dummyfunction("""COMPUTED_VALUE"""),"Jeanne SUDOUR")</f>
        <v>Jeanne SUDOUR</v>
      </c>
      <c r="D7" s="78" t="str">
        <f aca="false">IFERROR(__xludf.dummyfunction("filter('Réponses au formulaire 1'!T:T,'Réponses au formulaire 1'!B:B=C7)"),"Je ne sais pas encore")</f>
        <v>Je ne sais pas encore</v>
      </c>
      <c r="E7" s="72"/>
      <c r="F7" s="68"/>
      <c r="G7" s="15"/>
      <c r="H7" s="76" t="str">
        <f aca="false">IFERROR(__xludf.dummyfunction("""COMPUTED_VALUE"""),"Célia CHABRANT")</f>
        <v>Célia CHABRANT</v>
      </c>
      <c r="I7" s="50" t="str">
        <f aca="false">IFERROR(__xludf.dummyfunction("""COMPUTED_VALUE"""),"On verra")</f>
        <v>On verra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</row>
    <row r="8" customFormat="false" ht="15.75" hidden="false" customHeight="false" outlineLevel="0" collapsed="false">
      <c r="A8" s="76" t="n">
        <f aca="false">A7+1</f>
        <v>7</v>
      </c>
      <c r="B8" s="70" t="n">
        <f aca="false">IFERROR(__xludf.dummyfunction("filter(Famillesid!$22:$22,(Famillesid!$16:$16=A8)+(Famillesid!$17:$17=A8)+(Famillesid!$18:$18=A8)+(Famillesid!$19:$19=A8)+(Famillesid!$20:$20=A8)+(Famillesid!$21:$21=A8))"),6)</f>
        <v>6</v>
      </c>
      <c r="C8" s="77" t="str">
        <f aca="false">IFERROR(__xludf.dummyfunction("""COMPUTED_VALUE"""),"Laura DRAUX")</f>
        <v>Laura DRAUX</v>
      </c>
      <c r="D8" s="78" t="str">
        <f aca="false">IFERROR(__xludf.dummyfunction("filter('Réponses au formulaire 1'!T:T,'Réponses au formulaire 1'!B:B=C8)"),"Je sais pas")</f>
        <v>Je sais pas</v>
      </c>
      <c r="E8" s="72"/>
      <c r="F8" s="68"/>
      <c r="G8" s="15"/>
      <c r="H8" s="76" t="str">
        <f aca="false">IFERROR(__xludf.dummyfunction("""COMPUTED_VALUE"""),"Pablo CARDONA ALVAREZ")</f>
        <v>Pablo CARDONA ALVAREZ</v>
      </c>
      <c r="I8" s="50" t="str">
        <f aca="false">IFERROR(__xludf.dummyfunction("""COMPUTED_VALUE"""),"Écharpe ( Valencia C.F. )")</f>
        <v>Écharpe ( Valencia C.F. )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</row>
    <row r="9" customFormat="false" ht="15.75" hidden="false" customHeight="false" outlineLevel="0" collapsed="false">
      <c r="A9" s="76" t="n">
        <f aca="false">A8+1</f>
        <v>8</v>
      </c>
      <c r="B9" s="70" t="n">
        <f aca="false">IFERROR(__xludf.dummyfunction("filter(Famillesid!$22:$22,(Famillesid!$16:$16=A9)+(Famillesid!$17:$17=A9)+(Famillesid!$18:$18=A9)+(Famillesid!$19:$19=A9)+(Famillesid!$20:$20=A9)+(Famillesid!$21:$21=A9))"),6)</f>
        <v>6</v>
      </c>
      <c r="C9" s="77" t="str">
        <f aca="false">IFERROR(__xludf.dummyfunction("""COMPUTED_VALUE"""),"Célia CHABRANT")</f>
        <v>Célia CHABRANT</v>
      </c>
      <c r="D9" s="78" t="str">
        <f aca="false">IFERROR(__xludf.dummyfunction("filter('Réponses au formulaire 1'!T:T,'Réponses au formulaire 1'!B:B=C9)"),"On verra")</f>
        <v>On verra</v>
      </c>
      <c r="E9" s="72"/>
      <c r="F9" s="68"/>
      <c r="G9" s="15"/>
      <c r="H9" s="76" t="str">
        <f aca="false">IFERROR(__xludf.dummyfunction("""COMPUTED_VALUE"""),"Victor VINCENT DE LESTRADE")</f>
        <v>Victor VINCENT DE LESTRADE</v>
      </c>
      <c r="I9" s="50" t="str">
        <f aca="false">IFERROR(__xludf.dummyfunction("""COMPUTED_VALUE"""),"Palme de la plus grosse PLS Nemo 2019")</f>
        <v>Palme de la plus grosse PLS Nemo 2019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</row>
    <row r="10" customFormat="false" ht="15.75" hidden="false" customHeight="false" outlineLevel="0" collapsed="false">
      <c r="A10" s="76" t="n">
        <f aca="false">A9+1</f>
        <v>9</v>
      </c>
      <c r="B10" s="70" t="n">
        <f aca="false">IFERROR(__xludf.dummyfunction("filter(Famillesid!$22:$22,(Famillesid!$16:$16=A10)+(Famillesid!$17:$17=A10)+(Famillesid!$18:$18=A10)+(Famillesid!$19:$19=A10)+(Famillesid!$20:$20=A10)+(Famillesid!$21:$21=A10))"),11)</f>
        <v>11</v>
      </c>
      <c r="C10" s="77" t="str">
        <f aca="false">IFERROR(__xludf.dummyfunction("""COMPUTED_VALUE"""),"Pablo CARDONA ALVAREZ")</f>
        <v>Pablo CARDONA ALVAREZ</v>
      </c>
      <c r="D10" s="78" t="str">
        <f aca="false">IFERROR(__xludf.dummyfunction("filter('Réponses au formulaire 1'!T:T,'Réponses au formulaire 1'!B:B=C10)"),"Écharpe ( Valencia C.F. )")</f>
        <v>Écharpe ( Valencia C.F. )</v>
      </c>
      <c r="E10" s="72"/>
      <c r="F10" s="68"/>
      <c r="G10" s="15"/>
      <c r="H10" s="76" t="str">
        <f aca="false">IFERROR(__xludf.dummyfunction("""COMPUTED_VALUE"""),"Andrew FONDJO")</f>
        <v>Andrew FONDJO</v>
      </c>
      <c r="I10" s="50" t="str">
        <f aca="false">IFERROR(__xludf.dummyfunction("""COMPUTED_VALUE"""),"Manette de play/table caspor")</f>
        <v>Manette de play/table caspor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</row>
    <row r="11" customFormat="false" ht="15.75" hidden="false" customHeight="false" outlineLevel="0" collapsed="false">
      <c r="A11" s="76" t="n">
        <f aca="false">A10+1</f>
        <v>10</v>
      </c>
      <c r="B11" s="70" t="n">
        <f aca="false">IFERROR(__xludf.dummyfunction("filter(Famillesid!$22:$22,(Famillesid!$16:$16=A11)+(Famillesid!$17:$17=A11)+(Famillesid!$18:$18=A11)+(Famillesid!$19:$19=A11)+(Famillesid!$20:$20=A11)+(Famillesid!$21:$21=A11))"),16)</f>
        <v>16</v>
      </c>
      <c r="C11" s="77" t="str">
        <f aca="false">IFERROR(__xludf.dummyfunction("""COMPUTED_VALUE"""),"Enzo MORI")</f>
        <v>Enzo MORI</v>
      </c>
      <c r="D11" s="78" t="str">
        <f aca="false">IFERROR(__xludf.dummyfunction("filter('Réponses au formulaire 1'!T:T,'Réponses au formulaire 1'!B:B=C11)"),"Une cuillère ")</f>
        <v>Une cuillère </v>
      </c>
      <c r="E11" s="72" t="s">
        <v>1144</v>
      </c>
      <c r="F11" s="68" t="s">
        <v>1158</v>
      </c>
      <c r="G11" s="15"/>
      <c r="H11" s="76" t="str">
        <f aca="false">IFERROR(__xludf.dummyfunction("""COMPUTED_VALUE"""),"Laura BOIS")</f>
        <v>Laura BOIS</v>
      </c>
      <c r="I11" s="50" t="str">
        <f aca="false">IFERROR(__xludf.dummyfunction("""COMPUTED_VALUE"""),"sifflet ")</f>
        <v>sifflet 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</row>
    <row r="12" customFormat="false" ht="15.75" hidden="false" customHeight="false" outlineLevel="0" collapsed="false">
      <c r="A12" s="76" t="n">
        <f aca="false">A11+1</f>
        <v>11</v>
      </c>
      <c r="B12" s="70" t="n">
        <f aca="false">IFERROR(__xludf.dummyfunction("filter(Famillesid!$22:$22,(Famillesid!$16:$16=A12)+(Famillesid!$17:$17=A12)+(Famillesid!$18:$18=A12)+(Famillesid!$19:$19=A12)+(Famillesid!$20:$20=A12)+(Famillesid!$21:$21=A12))"),1)</f>
        <v>1</v>
      </c>
      <c r="C12" s="77" t="str">
        <f aca="false">IFERROR(__xludf.dummyfunction("""COMPUTED_VALUE"""),"Apolline Gorry")</f>
        <v>Apolline Gorry</v>
      </c>
      <c r="D12" s="78" t="str">
        <f aca="false">IFERROR(__xludf.dummyfunction("filter('Réponses au formulaire 1'!T:T,'Réponses au formulaire 1'!B:B=C12)"),"Pompon de cheerleading ou souvenir du Népal ")</f>
        <v>Pompon de cheerleading ou souvenir du Népal </v>
      </c>
      <c r="E12" s="72" t="s">
        <v>1144</v>
      </c>
      <c r="F12" s="68" t="s">
        <v>1157</v>
      </c>
      <c r="G12" s="15"/>
      <c r="H12" s="76" t="str">
        <f aca="false">IFERROR(__xludf.dummyfunction("""COMPUTED_VALUE"""),"Guillaume SALUDEN")</f>
        <v>Guillaume SALUDEN</v>
      </c>
      <c r="I12" s="50" t="str">
        <f aca="false">IFERROR(__xludf.dummyfunction("""COMPUTED_VALUE"""),"Drapeau ")</f>
        <v>Drapeau 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</row>
    <row r="13" customFormat="false" ht="15.75" hidden="false" customHeight="false" outlineLevel="0" collapsed="false">
      <c r="A13" s="76" t="n">
        <f aca="false">A12+1</f>
        <v>12</v>
      </c>
      <c r="B13" s="70" t="n">
        <f aca="false">IFERROR(__xludf.dummyfunction("filter(Famillesid!$22:$22,(Famillesid!$16:$16=A13)+(Famillesid!$17:$17=A13)+(Famillesid!$18:$18=A13)+(Famillesid!$19:$19=A13)+(Famillesid!$20:$20=A13)+(Famillesid!$21:$21=A13))"),16)</f>
        <v>16</v>
      </c>
      <c r="C13" s="77" t="str">
        <f aca="false">IFERROR(__xludf.dummyfunction("""COMPUTED_VALUE"""),"Victor VINCENT DE LESTRADE")</f>
        <v>Victor VINCENT DE LESTRADE</v>
      </c>
      <c r="D13" s="78" t="str">
        <f aca="false">IFERROR(__xludf.dummyfunction("filter('Réponses au formulaire 1'!T:T,'Réponses au formulaire 1'!B:B=C13)"),"Palme de la plus grosse PLS Nemo 2019")</f>
        <v>Palme de la plus grosse PLS Nemo 2019</v>
      </c>
      <c r="E13" s="72"/>
      <c r="F13" s="68"/>
      <c r="G13" s="15"/>
      <c r="H13" s="76" t="str">
        <f aca="false">IFERROR(__xludf.dummyfunction("""COMPUTED_VALUE"""),"Dimitri DEGONHIER")</f>
        <v>Dimitri DEGONHIER</v>
      </c>
      <c r="I13" s="50" t="str">
        <f aca="false">IFERROR(__xludf.dummyfunction("""COMPUTED_VALUE"""),"Un meme imprimé (nantral gag  rpz)")</f>
        <v>Un meme imprimé (nantral gag  rpz)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</row>
    <row r="14" customFormat="false" ht="15.75" hidden="false" customHeight="false" outlineLevel="0" collapsed="false">
      <c r="A14" s="76" t="n">
        <f aca="false">A13+1</f>
        <v>13</v>
      </c>
      <c r="B14" s="70" t="n">
        <f aca="false">IFERROR(__xludf.dummyfunction("filter(Famillesid!$22:$22,(Famillesid!$16:$16=A14)+(Famillesid!$17:$17=A14)+(Famillesid!$18:$18=A14)+(Famillesid!$19:$19=A14)+(Famillesid!$20:$20=A14)+(Famillesid!$21:$21=A14))"),16)</f>
        <v>16</v>
      </c>
      <c r="C14" s="77" t="str">
        <f aca="false">IFERROR(__xludf.dummyfunction("""COMPUTED_VALUE"""),"Mathis BARTHERE")</f>
        <v>Mathis BARTHERE</v>
      </c>
      <c r="D14" s="78" t="str">
        <f aca="false">IFERROR(__xludf.dummyfunction("filter('Réponses au formulaire 1'!T:T,'Réponses au formulaire 1'!B:B=C14)"),"Planche caspor")</f>
        <v>Planche caspor</v>
      </c>
      <c r="E14" s="72" t="s">
        <v>1144</v>
      </c>
      <c r="F14" s="68" t="s">
        <v>1159</v>
      </c>
      <c r="G14" s="15"/>
      <c r="H14" s="76" t="str">
        <f aca="false">IFERROR(__xludf.dummyfunction("""COMPUTED_VALUE"""),"Louis Duhem")</f>
        <v>Louis Duhem</v>
      </c>
      <c r="I14" s="50" t="str">
        <f aca="false">IFERROR(__xludf.dummyfunction("""COMPUTED_VALUE"""),"Du houmous")</f>
        <v>Du houmous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</row>
    <row r="15" customFormat="false" ht="15.75" hidden="false" customHeight="false" outlineLevel="0" collapsed="false">
      <c r="A15" s="76" t="n">
        <f aca="false">A14+1</f>
        <v>14</v>
      </c>
      <c r="B15" s="70" t="n">
        <f aca="false">IFERROR(__xludf.dummyfunction("filter(Famillesid!$22:$22,(Famillesid!$16:$16=A15)+(Famillesid!$17:$17=A15)+(Famillesid!$18:$18=A15)+(Famillesid!$19:$19=A15)+(Famillesid!$20:$20=A15)+(Famillesid!$21:$21=A15))"),16)</f>
        <v>16</v>
      </c>
      <c r="C15" s="77" t="str">
        <f aca="false">IFERROR(__xludf.dummyfunction("""COMPUTED_VALUE"""),"Andrew FONDJO")</f>
        <v>Andrew FONDJO</v>
      </c>
      <c r="D15" s="78" t="str">
        <f aca="false">IFERROR(__xludf.dummyfunction("filter('Réponses au formulaire 1'!T:T,'Réponses au formulaire 1'!B:B=C15)"),"Manette de play/table caspor")</f>
        <v>Manette de play/table caspor</v>
      </c>
      <c r="E15" s="72"/>
      <c r="F15" s="68"/>
      <c r="G15" s="15"/>
      <c r="H15" s="76" t="str">
        <f aca="false">IFERROR(__xludf.dummyfunction("""COMPUTED_VALUE"""),"Gonzalez JoseRi 😇")</f>
        <v>Gonzalez JoseRi 😇</v>
      </c>
      <c r="I15" s="50" t="str">
        <f aca="false">IFERROR(__xludf.dummyfunction("""COMPUTED_VALUE"""),"Mouton")</f>
        <v>Mouton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</row>
    <row r="16" customFormat="false" ht="15.75" hidden="false" customHeight="false" outlineLevel="0" collapsed="false">
      <c r="A16" s="76" t="n">
        <f aca="false">A15+1</f>
        <v>15</v>
      </c>
      <c r="B16" s="70" t="n">
        <f aca="false">IFERROR(__xludf.dummyfunction("filter(Famillesid!$22:$22,(Famillesid!$16:$16=A16)+(Famillesid!$17:$17=A16)+(Famillesid!$18:$18=A16)+(Famillesid!$19:$19=A16)+(Famillesid!$20:$20=A16)+(Famillesid!$21:$21=A16))"),21)</f>
        <v>21</v>
      </c>
      <c r="C16" s="77" t="str">
        <f aca="false">IFERROR(__xludf.dummyfunction("""COMPUTED_VALUE"""),"Laura BOIS")</f>
        <v>Laura BOIS</v>
      </c>
      <c r="D16" s="78" t="str">
        <f aca="false">IFERROR(__xludf.dummyfunction("filter('Réponses au formulaire 1'!T:T,'Réponses au formulaire 1'!B:B=C16)"),"sifflet ")</f>
        <v>sifflet </v>
      </c>
      <c r="E16" s="72"/>
      <c r="F16" s="68"/>
      <c r="G16" s="15"/>
      <c r="H16" s="76" t="str">
        <f aca="false">IFERROR(__xludf.dummyfunction("""COMPUTED_VALUE"""),"Jeremy Garcia")</f>
        <v>Jeremy Garcia</v>
      </c>
      <c r="I16" s="50" t="str">
        <f aca="false">IFERROR(__xludf.dummyfunction("""COMPUTED_VALUE"""),"Puzzle")</f>
        <v>Puzzle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</row>
    <row r="17" customFormat="false" ht="15.75" hidden="false" customHeight="false" outlineLevel="0" collapsed="false">
      <c r="A17" s="76" t="n">
        <f aca="false">A16+1</f>
        <v>16</v>
      </c>
      <c r="B17" s="70" t="n">
        <f aca="false">IFERROR(__xludf.dummyfunction("filter(Famillesid!$22:$22,(Famillesid!$16:$16=A17)+(Famillesid!$17:$17=A17)+(Famillesid!$18:$18=A17)+(Famillesid!$19:$19=A17)+(Famillesid!$20:$20=A17)+(Famillesid!$21:$21=A17))"),26)</f>
        <v>26</v>
      </c>
      <c r="C17" s="77" t="str">
        <f aca="false">IFERROR(__xludf.dummyfunction("""COMPUTED_VALUE"""),"Guillaume SALUDEN")</f>
        <v>Guillaume SALUDEN</v>
      </c>
      <c r="D17" s="78" t="str">
        <f aca="false">IFERROR(__xludf.dummyfunction("filter('Réponses au formulaire 1'!T:T,'Réponses au formulaire 1'!B:B=C17)"),"Drapeau ")</f>
        <v>Drapeau </v>
      </c>
      <c r="E17" s="72"/>
      <c r="F17" s="68"/>
      <c r="G17" s="15"/>
      <c r="H17" s="76" t="str">
        <f aca="false">IFERROR(__xludf.dummyfunction("""COMPUTED_VALUE"""),"Maxence FORT")</f>
        <v>Maxence FORT</v>
      </c>
      <c r="I17" s="50" t="str">
        <f aca="false">IFERROR(__xludf.dummyfunction("""COMPUTED_VALUE"""),"Puzzle hyper stylé")</f>
        <v>Puzzle hyper stylé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</row>
    <row r="18" customFormat="false" ht="15.75" hidden="false" customHeight="false" outlineLevel="0" collapsed="false">
      <c r="A18" s="76" t="n">
        <f aca="false">A17+1</f>
        <v>17</v>
      </c>
      <c r="B18" s="70" t="n">
        <f aca="false">IFERROR(__xludf.dummyfunction("filter(Famillesid!$22:$22,(Famillesid!$16:$16=A18)+(Famillesid!$17:$17=A18)+(Famillesid!$18:$18=A18)+(Famillesid!$19:$19=A18)+(Famillesid!$20:$20=A18)+(Famillesid!$21:$21=A18))"),21)</f>
        <v>21</v>
      </c>
      <c r="C18" s="77" t="str">
        <f aca="false">IFERROR(__xludf.dummyfunction("""COMPUTED_VALUE"""),"Dimitri DEGONHIER")</f>
        <v>Dimitri DEGONHIER</v>
      </c>
      <c r="D18" s="78" t="str">
        <f aca="false">IFERROR(__xludf.dummyfunction("filter('Réponses au formulaire 1'!T:T,'Réponses au formulaire 1'!B:B=C18)"),"Un meme imprimé (nantral gag  rpz)")</f>
        <v>Un meme imprimé (nantral gag  rpz)</v>
      </c>
      <c r="E18" s="72"/>
      <c r="F18" s="68"/>
      <c r="G18" s="15"/>
      <c r="H18" s="76" t="str">
        <f aca="false">IFERROR(__xludf.dummyfunction("""COMPUTED_VALUE"""),"Adrien COCHARD")</f>
        <v>Adrien COCHARD</v>
      </c>
      <c r="I18" s="50" t="str">
        <f aca="false">IFERROR(__xludf.dummyfunction("""COMPUTED_VALUE"""),"D120")</f>
        <v>D120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</row>
    <row r="19" customFormat="false" ht="15.75" hidden="false" customHeight="false" outlineLevel="0" collapsed="false">
      <c r="A19" s="76" t="n">
        <f aca="false">A18+1</f>
        <v>18</v>
      </c>
      <c r="B19" s="70" t="n">
        <f aca="false">IFERROR(__xludf.dummyfunction("filter(Famillesid!$22:$22,(Famillesid!$16:$16=A19)+(Famillesid!$17:$17=A19)+(Famillesid!$18:$18=A19)+(Famillesid!$19:$19=A19)+(Famillesid!$20:$20=A19)+(Famillesid!$21:$21=A19))"),21)</f>
        <v>21</v>
      </c>
      <c r="C19" s="77" t="str">
        <f aca="false">IFERROR(__xludf.dummyfunction("""COMPUTED_VALUE"""),"André D'ELBREIL")</f>
        <v>André D'ELBREIL</v>
      </c>
      <c r="D19" s="78" t="str">
        <f aca="false">IFERROR(__xludf.dummyfunction("filter('Réponses au formulaire 1'!T:T,'Réponses au formulaire 1'!B:B=C19)"),"Un bout de verre (la fontaine tmtc)")</f>
        <v>Un bout de verre (la fontaine tmtc)</v>
      </c>
      <c r="E19" s="72" t="s">
        <v>1144</v>
      </c>
      <c r="F19" s="68" t="s">
        <v>1157</v>
      </c>
      <c r="G19" s="15"/>
      <c r="H19" s="76" t="str">
        <f aca="false">IFERROR(__xludf.dummyfunction("""COMPUTED_VALUE"""),"Tom Aubelle")</f>
        <v>Tom Aubelle</v>
      </c>
      <c r="I19" s="50" t="str">
        <f aca="false">IFERROR(__xludf.dummyfunction("""COMPUTED_VALUE"""),"Pas encore trouvé ")</f>
        <v>Pas encore trouvé 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</row>
    <row r="20" customFormat="false" ht="15.75" hidden="false" customHeight="false" outlineLevel="0" collapsed="false">
      <c r="A20" s="76" t="n">
        <f aca="false">A19+1</f>
        <v>19</v>
      </c>
      <c r="B20" s="70" t="n">
        <f aca="false">IFERROR(__xludf.dummyfunction("filter(Famillesid!$22:$22,(Famillesid!$16:$16=A20)+(Famillesid!$17:$17=A20)+(Famillesid!$18:$18=A20)+(Famillesid!$19:$19=A20)+(Famillesid!$20:$20=A20)+(Famillesid!$21:$21=A20))"),31)</f>
        <v>31</v>
      </c>
      <c r="C20" s="77" t="str">
        <f aca="false">IFERROR(__xludf.dummyfunction("""COMPUTED_VALUE"""),"Louis Duhem")</f>
        <v>Louis Duhem</v>
      </c>
      <c r="D20" s="78" t="str">
        <f aca="false">IFERROR(__xludf.dummyfunction("filter('Réponses au formulaire 1'!T:T,'Réponses au formulaire 1'!B:B=C20)"),"Du houmous")</f>
        <v>Du houmous</v>
      </c>
      <c r="E20" s="72"/>
      <c r="F20" s="68"/>
      <c r="G20" s="15"/>
      <c r="H20" s="76" t="str">
        <f aca="false">IFERROR(__xludf.dummyfunction("""COMPUTED_VALUE"""),"Joanna MARTIN")</f>
        <v>Joanna MARTIN</v>
      </c>
      <c r="I20" s="50" t="str">
        <f aca="false">IFERROR(__xludf.dummyfunction("""COMPUTED_VALUE"""),"Un éléphant")</f>
        <v>Un éléphant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</row>
    <row r="21" customFormat="false" ht="15.75" hidden="false" customHeight="false" outlineLevel="0" collapsed="false">
      <c r="A21" s="76" t="n">
        <f aca="false">A20+1</f>
        <v>20</v>
      </c>
      <c r="B21" s="70" t="n">
        <f aca="false">IFERROR(__xludf.dummyfunction("filter(Famillesid!$22:$22,(Famillesid!$16:$16=A21)+(Famillesid!$17:$17=A21)+(Famillesid!$18:$18=A21)+(Famillesid!$19:$19=A21)+(Famillesid!$20:$20=A21)+(Famillesid!$21:$21=A21))"),21)</f>
        <v>21</v>
      </c>
      <c r="C21" s="77" t="str">
        <f aca="false">IFERROR(__xludf.dummyfunction("""COMPUTED_VALUE"""),"Maximin TOURAILLE")</f>
        <v>Maximin TOURAILLE</v>
      </c>
      <c r="D21" s="78" t="str">
        <f aca="false">IFERROR(__xludf.dummyfunction("filter('Réponses au formulaire 1'!T:T,'Réponses au formulaire 1'!B:B=C21)"),"costume de nain + lunettes ")</f>
        <v>costume de nain + lunettes </v>
      </c>
      <c r="E21" s="72" t="s">
        <v>1144</v>
      </c>
      <c r="F21" s="68" t="s">
        <v>1158</v>
      </c>
      <c r="G21" s="15"/>
      <c r="H21" s="76" t="str">
        <f aca="false">IFERROR(__xludf.dummyfunction("""COMPUTED_VALUE"""),"Pauline Viault")</f>
        <v>Pauline Viault</v>
      </c>
      <c r="I21" s="50" t="str">
        <f aca="false">IFERROR(__xludf.dummyfunction("""COMPUTED_VALUE"""),"Un tutu rose ")</f>
        <v>Un tutu rose 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</row>
    <row r="22" customFormat="false" ht="15.75" hidden="false" customHeight="false" outlineLevel="0" collapsed="false">
      <c r="A22" s="76" t="n">
        <f aca="false">A21+1</f>
        <v>21</v>
      </c>
      <c r="B22" s="70" t="n">
        <f aca="false">IFERROR(__xludf.dummyfunction("filter(Famillesid!$22:$22,(Famillesid!$16:$16=A22)+(Famillesid!$17:$17=A22)+(Famillesid!$18:$18=A22)+(Famillesid!$19:$19=A22)+(Famillesid!$20:$20=A22)+(Famillesid!$21:$21=A22))"),26)</f>
        <v>26</v>
      </c>
      <c r="C22" s="77" t="str">
        <f aca="false">IFERROR(__xludf.dummyfunction("""COMPUTED_VALUE"""),"Gonzalez JoseRi 😇")</f>
        <v>Gonzalez JoseRi 😇</v>
      </c>
      <c r="D22" s="78" t="str">
        <f aca="false">IFERROR(__xludf.dummyfunction("filter('Réponses au formulaire 1'!T:T,'Réponses au formulaire 1'!B:B=C22)"),"Mouton")</f>
        <v>Mouton</v>
      </c>
      <c r="E22" s="72"/>
      <c r="F22" s="68"/>
      <c r="G22" s="15"/>
      <c r="H22" s="76" t="str">
        <f aca="false">IFERROR(__xludf.dummyfunction("""COMPUTED_VALUE"""),"Alexandre VURLOD")</f>
        <v>Alexandre VURLOD</v>
      </c>
      <c r="I22" s="50" t="str">
        <f aca="false">IFERROR(__xludf.dummyfunction("""COMPUTED_VALUE"""),"Ce choix n'est encore défini")</f>
        <v>Ce choix n'est encore défini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</row>
    <row r="23" customFormat="false" ht="15.75" hidden="false" customHeight="false" outlineLevel="0" collapsed="false">
      <c r="A23" s="76" t="n">
        <f aca="false">A22+1</f>
        <v>22</v>
      </c>
      <c r="B23" s="70" t="n">
        <f aca="false">IFERROR(__xludf.dummyfunction("filter(Famillesid!$22:$22,(Famillesid!$16:$16=A23)+(Famillesid!$17:$17=A23)+(Famillesid!$18:$18=A23)+(Famillesid!$19:$19=A23)+(Famillesid!$20:$20=A23)+(Famillesid!$21:$21=A23))"),26)</f>
        <v>26</v>
      </c>
      <c r="C23" s="77" t="str">
        <f aca="false">IFERROR(__xludf.dummyfunction("""COMPUTED_VALUE"""),"Jeremy Garcia")</f>
        <v>Jeremy Garcia</v>
      </c>
      <c r="D23" s="78" t="str">
        <f aca="false">IFERROR(__xludf.dummyfunction("filter('Réponses au formulaire 1'!T:T,'Réponses au formulaire 1'!B:B=C23)"),"Puzzle")</f>
        <v>Puzzle</v>
      </c>
      <c r="E23" s="72"/>
      <c r="F23" s="68"/>
      <c r="G23" s="15"/>
      <c r="H23" s="76" t="str">
        <f aca="false">IFERROR(__xludf.dummyfunction("""COMPUTED_VALUE"""),"Tony MARTINEAU")</f>
        <v>Tony MARTINEAU</v>
      </c>
      <c r="I23" s="50" t="str">
        <f aca="false">IFERROR(__xludf.dummyfunction("""COMPUTED_VALUE"""),"pas encore d'idée")</f>
        <v>pas encore d'idée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</row>
    <row r="24" customFormat="false" ht="15.75" hidden="false" customHeight="false" outlineLevel="0" collapsed="false">
      <c r="A24" s="76" t="n">
        <f aca="false">A23+1</f>
        <v>23</v>
      </c>
      <c r="B24" s="70" t="n">
        <f aca="false">IFERROR(__xludf.dummyfunction("filter(Famillesid!$22:$22,(Famillesid!$16:$16=A24)+(Famillesid!$17:$17=A24)+(Famillesid!$18:$18=A24)+(Famillesid!$19:$19=A24)+(Famillesid!$20:$20=A24)+(Famillesid!$21:$21=A24))"),26)</f>
        <v>26</v>
      </c>
      <c r="C24" s="77" t="str">
        <f aca="false">IFERROR(__xludf.dummyfunction("""COMPUTED_VALUE"""),"Maxence FORT")</f>
        <v>Maxence FORT</v>
      </c>
      <c r="D24" s="78" t="str">
        <f aca="false">IFERROR(__xludf.dummyfunction("filter('Réponses au formulaire 1'!T:T,'Réponses au formulaire 1'!B:B=C24)"),"Puzzle hyper stylé")</f>
        <v>Puzzle hyper stylé</v>
      </c>
      <c r="E24" s="72"/>
      <c r="F24" s="68"/>
      <c r="G24" s="15"/>
      <c r="H24" s="76" t="str">
        <f aca="false">IFERROR(__xludf.dummyfunction("""COMPUTED_VALUE"""),"Maelig GABORIEAU")</f>
        <v>Maelig GABORIEAU</v>
      </c>
      <c r="I24" s="50" t="str">
        <f aca="false">IFERROR(__xludf.dummyfunction("""COMPUTED_VALUE"""),"Une casquette ")</f>
        <v>Une casquette 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</row>
    <row r="25" customFormat="false" ht="15.75" hidden="false" customHeight="false" outlineLevel="0" collapsed="false">
      <c r="A25" s="76" t="n">
        <f aca="false">A24+1</f>
        <v>24</v>
      </c>
      <c r="B25" s="70" t="n">
        <f aca="false">IFERROR(__xludf.dummyfunction("filter(Famillesid!$22:$22,(Famillesid!$16:$16=A25)+(Famillesid!$17:$17=A25)+(Famillesid!$18:$18=A25)+(Famillesid!$19:$19=A25)+(Famillesid!$20:$20=A25)+(Famillesid!$21:$21=A25))"),36)</f>
        <v>36</v>
      </c>
      <c r="C25" s="77" t="str">
        <f aca="false">IFERROR(__xludf.dummyfunction("""COMPUTED_VALUE"""),"Adrien COCHARD")</f>
        <v>Adrien COCHARD</v>
      </c>
      <c r="D25" s="78" t="str">
        <f aca="false">IFERROR(__xludf.dummyfunction("filter('Réponses au formulaire 1'!T:T,'Réponses au formulaire 1'!B:B=C25)"),"D120")</f>
        <v>D120</v>
      </c>
      <c r="E25" s="72"/>
      <c r="F25" s="68"/>
      <c r="G25" s="15"/>
      <c r="H25" s="76" t="str">
        <f aca="false">IFERROR(__xludf.dummyfunction("""COMPUTED_VALUE"""),"Marc de Ponnat")</f>
        <v>Marc de Ponnat</v>
      </c>
      <c r="I25" s="50" t="str">
        <f aca="false">IFERROR(__xludf.dummyfunction("""COMPUTED_VALUE"""),"Une table ou un micro")</f>
        <v>Une table ou un micro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</row>
    <row r="26" customFormat="false" ht="15.75" hidden="false" customHeight="false" outlineLevel="0" collapsed="false">
      <c r="A26" s="76" t="n">
        <f aca="false">A25+1</f>
        <v>25</v>
      </c>
      <c r="B26" s="70" t="n">
        <f aca="false">IFERROR(__xludf.dummyfunction("filter(Famillesid!$22:$22,(Famillesid!$16:$16=A26)+(Famillesid!$17:$17=A26)+(Famillesid!$18:$18=A26)+(Famillesid!$19:$19=A26)+(Famillesid!$20:$20=A26)+(Famillesid!$21:$21=A26))"),41)</f>
        <v>41</v>
      </c>
      <c r="C26" s="77" t="str">
        <f aca="false">IFERROR(__xludf.dummyfunction("""COMPUTED_VALUE"""),"Tom Aubelle")</f>
        <v>Tom Aubelle</v>
      </c>
      <c r="D26" s="78" t="str">
        <f aca="false">IFERROR(__xludf.dummyfunction("filter('Réponses au formulaire 1'!T:T,'Réponses au formulaire 1'!B:B=C26)"),"Pas encore trouvé ")</f>
        <v>Pas encore trouvé </v>
      </c>
      <c r="E26" s="72"/>
      <c r="F26" s="68"/>
      <c r="G26" s="15"/>
      <c r="H26" s="76" t="str">
        <f aca="false">IFERROR(__xludf.dummyfunction("""COMPUTED_VALUE"""),"Vincent PASCAT")</f>
        <v>Vincent PASCAT</v>
      </c>
      <c r="I26" s="50" t="str">
        <f aca="false">IFERROR(__xludf.dummyfunction("""COMPUTED_VALUE"""),"Un vinyle?")</f>
        <v>Un vinyle?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</row>
    <row r="27" customFormat="false" ht="15.75" hidden="false" customHeight="false" outlineLevel="0" collapsed="false">
      <c r="A27" s="76" t="n">
        <f aca="false">A26+1</f>
        <v>26</v>
      </c>
      <c r="B27" s="70" t="n">
        <f aca="false">IFERROR(__xludf.dummyfunction("filter(Famillesid!$22:$22,(Famillesid!$16:$16=A27)+(Famillesid!$17:$17=A27)+(Famillesid!$18:$18=A27)+(Famillesid!$19:$19=A27)+(Famillesid!$20:$20=A27)+(Famillesid!$21:$21=A27))"),41)</f>
        <v>41</v>
      </c>
      <c r="C27" s="77" t="str">
        <f aca="false">IFERROR(__xludf.dummyfunction("""COMPUTED_VALUE"""),"Joanna MARTIN")</f>
        <v>Joanna MARTIN</v>
      </c>
      <c r="D27" s="78" t="str">
        <f aca="false">IFERROR(__xludf.dummyfunction("filter('Réponses au formulaire 1'!T:T,'Réponses au formulaire 1'!B:B=C27)"),"Un éléphant")</f>
        <v>Un éléphant</v>
      </c>
      <c r="E27" s="72"/>
      <c r="F27" s="68"/>
      <c r="G27" s="15"/>
      <c r="H27" s="76" t="str">
        <f aca="false">IFERROR(__xludf.dummyfunction("""COMPUTED_VALUE"""),"Matthieu Brunot")</f>
        <v>Matthieu Brunot</v>
      </c>
      <c r="I27" s="50" t="str">
        <f aca="false">IFERROR(__xludf.dummyfunction("""COMPUTED_VALUE"""),"un enfant, voire deux s'il est chauve")</f>
        <v>un enfant, voire deux s'il est chauve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</row>
    <row r="28" customFormat="false" ht="15.75" hidden="false" customHeight="false" outlineLevel="0" collapsed="false">
      <c r="A28" s="76" t="n">
        <f aca="false">A27+1</f>
        <v>27</v>
      </c>
      <c r="B28" s="70" t="n">
        <f aca="false">IFERROR(__xludf.dummyfunction("filter(Famillesid!$22:$22,(Famillesid!$16:$16=A28)+(Famillesid!$17:$17=A28)+(Famillesid!$18:$18=A28)+(Famillesid!$19:$19=A28)+(Famillesid!$20:$20=A28)+(Famillesid!$21:$21=A28))"),36)</f>
        <v>36</v>
      </c>
      <c r="C28" s="77" t="str">
        <f aca="false">IFERROR(__xludf.dummyfunction("""COMPUTED_VALUE"""),"Pauline Viault")</f>
        <v>Pauline Viault</v>
      </c>
      <c r="D28" s="78" t="str">
        <f aca="false">IFERROR(__xludf.dummyfunction("filter('Réponses au formulaire 1'!T:T,'Réponses au formulaire 1'!B:B=C28)"),"Un tutu rose ")</f>
        <v>Un tutu rose </v>
      </c>
      <c r="E28" s="72"/>
      <c r="F28" s="68"/>
      <c r="G28" s="15"/>
      <c r="H28" s="76" t="str">
        <f aca="false">IFERROR(__xludf.dummyfunction("""COMPUTED_VALUE"""),"Carmen SORIA")</f>
        <v>Carmen SORIA</v>
      </c>
      <c r="I28" s="50" t="str">
        <f aca="false">IFERROR(__xludf.dummyfunction("""COMPUTED_VALUE"""),"pâte à modeler")</f>
        <v>pâte à modeler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</row>
    <row r="29" customFormat="false" ht="15.75" hidden="false" customHeight="false" outlineLevel="0" collapsed="false">
      <c r="A29" s="76" t="n">
        <f aca="false">A28+1</f>
        <v>28</v>
      </c>
      <c r="B29" s="70" t="n">
        <f aca="false">IFERROR(__xludf.dummyfunction("filter(Famillesid!$22:$22,(Famillesid!$16:$16=A29)+(Famillesid!$17:$17=A29)+(Famillesid!$18:$18=A29)+(Famillesid!$19:$19=A29)+(Famillesid!$20:$20=A29)+(Famillesid!$21:$21=A29))"),36)</f>
        <v>36</v>
      </c>
      <c r="C29" s="77" t="str">
        <f aca="false">IFERROR(__xludf.dummyfunction("""COMPUTED_VALUE"""),"Laurine DECROS")</f>
        <v>Laurine DECROS</v>
      </c>
      <c r="D29" s="78" t="str">
        <f aca="false">IFERROR(__xludf.dummyfunction("filter('Réponses au formulaire 1'!T:T,'Réponses au formulaire 1'!B:B=C29)"),"Une partition de musique ")</f>
        <v>Une partition de musique </v>
      </c>
      <c r="E29" s="80" t="s">
        <v>1144</v>
      </c>
      <c r="F29" s="81" t="s">
        <v>1160</v>
      </c>
      <c r="G29" s="15"/>
      <c r="H29" s="76" t="str">
        <f aca="false">IFERROR(__xludf.dummyfunction("""COMPUTED_VALUE"""),"Constance Kooyman")</f>
        <v>Constance Kooyman</v>
      </c>
      <c r="I29" s="50" t="str">
        <f aca="false">IFERROR(__xludf.dummyfunction("""COMPUTED_VALUE"""),"Walter le mouton (c'est une peluche) ")</f>
        <v>Walter le mouton (c'est une peluche) 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</row>
    <row r="30" customFormat="false" ht="15.75" hidden="false" customHeight="false" outlineLevel="0" collapsed="false">
      <c r="A30" s="76" t="n">
        <f aca="false">A29+1</f>
        <v>29</v>
      </c>
      <c r="B30" s="70" t="n">
        <f aca="false">IFERROR(__xludf.dummyfunction("filter(Famillesid!$22:$22,(Famillesid!$16:$16=A30)+(Famillesid!$17:$17=A30)+(Famillesid!$18:$18=A30)+(Famillesid!$19:$19=A30)+(Famillesid!$20:$20=A30)+(Famillesid!$21:$21=A30))"),36)</f>
        <v>36</v>
      </c>
      <c r="C30" s="77" t="str">
        <f aca="false">IFERROR(__xludf.dummyfunction("""COMPUTED_VALUE"""),"Suzanne COUTELOU")</f>
        <v>Suzanne COUTELOU</v>
      </c>
      <c r="D30" s="78" t="str">
        <f aca="false">IFERROR(__xludf.dummyfunction("filter('Réponses au formulaire 1'!T:T,'Réponses au formulaire 1'!B:B=C30)"),"Une salopette rayée bleue et blanche")</f>
        <v>Une salopette rayée bleue et blanche</v>
      </c>
      <c r="E30" s="80" t="s">
        <v>1144</v>
      </c>
      <c r="F30" s="81" t="s">
        <v>1160</v>
      </c>
      <c r="G30" s="15"/>
      <c r="H30" s="76" t="str">
        <f aca="false">IFERROR(__xludf.dummyfunction("""COMPUTED_VALUE"""),"Damien GUYONVARCH")</f>
        <v>Damien GUYONVARCH</v>
      </c>
      <c r="I30" s="50" t="str">
        <f aca="false">IFERROR(__xludf.dummyfunction("""COMPUTED_VALUE"""),"Cadre avec une photo de Dwayne Johnson")</f>
        <v>Cadre avec une photo de Dwayne Johnson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</row>
    <row r="31" customFormat="false" ht="15.75" hidden="false" customHeight="false" outlineLevel="0" collapsed="false">
      <c r="A31" s="76" t="n">
        <f aca="false">A30+1</f>
        <v>30</v>
      </c>
      <c r="B31" s="70" t="n">
        <f aca="false">IFERROR(__xludf.dummyfunction("filter(Famillesid!$22:$22,(Famillesid!$16:$16=A31)+(Famillesid!$17:$17=A31)+(Famillesid!$18:$18=A31)+(Famillesid!$19:$19=A31)+(Famillesid!$20:$20=A31)+(Famillesid!$21:$21=A31))"),36)</f>
        <v>36</v>
      </c>
      <c r="C31" s="77" t="str">
        <f aca="false">IFERROR(__xludf.dummyfunction("""COMPUTED_VALUE"""),"Hugo DOUX")</f>
        <v>Hugo DOUX</v>
      </c>
      <c r="D31" s="78" t="str">
        <f aca="false">IFERROR(__xludf.dummyfunction("filter('Réponses au formulaire 1'!T:T,'Réponses au formulaire 1'!B:B=C31)"),"Un bandana")</f>
        <v>Un bandana</v>
      </c>
      <c r="E31" s="72" t="s">
        <v>1144</v>
      </c>
      <c r="F31" s="68" t="s">
        <v>1158</v>
      </c>
      <c r="G31" s="15"/>
      <c r="H31" s="76" t="str">
        <f aca="false">IFERROR(__xludf.dummyfunction("""COMPUTED_VALUE"""),"Florent COLLOCH")</f>
        <v>Florent COLLOCH</v>
      </c>
      <c r="I31" s="50" t="str">
        <f aca="false">IFERROR(__xludf.dummyfunction("""COMPUTED_VALUE"""),"Bouteille de sable")</f>
        <v>Bouteille de sable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</row>
    <row r="32" customFormat="false" ht="15.75" hidden="false" customHeight="false" outlineLevel="0" collapsed="false">
      <c r="A32" s="76" t="n">
        <f aca="false">A31+1</f>
        <v>31</v>
      </c>
      <c r="B32" s="70" t="n">
        <f aca="false">IFERROR(__xludf.dummyfunction("filter(Famillesid!$22:$22,(Famillesid!$16:$16=A32)+(Famillesid!$17:$17=A32)+(Famillesid!$18:$18=A32)+(Famillesid!$19:$19=A32)+(Famillesid!$20:$20=A32)+(Famillesid!$21:$21=A32))"),41)</f>
        <v>41</v>
      </c>
      <c r="C32" s="77" t="str">
        <f aca="false">IFERROR(__xludf.dummyfunction("""COMPUTED_VALUE"""),"Alexandre VURLOD")</f>
        <v>Alexandre VURLOD</v>
      </c>
      <c r="D32" s="78" t="str">
        <f aca="false">IFERROR(__xludf.dummyfunction("filter('Réponses au formulaire 1'!T:T,'Réponses au formulaire 1'!B:B=C32)"),"Ce choix n'est encore défini")</f>
        <v>Ce choix n'est encore défini</v>
      </c>
      <c r="E32" s="72"/>
      <c r="F32" s="68"/>
      <c r="G32" s="15"/>
      <c r="H32" s="76" t="str">
        <f aca="false">IFERROR(__xludf.dummyfunction("""COMPUTED_VALUE"""),"Adrien RIDOUARD")</f>
        <v>Adrien RIDOUARD</v>
      </c>
      <c r="I32" s="50" t="str">
        <f aca="false">IFERROR(__xludf.dummyfunction("""COMPUTED_VALUE"""),"Liasse de billets (home made) ")</f>
        <v>Liasse de billets (home made) 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</row>
    <row r="33" customFormat="false" ht="15.75" hidden="false" customHeight="false" outlineLevel="0" collapsed="false">
      <c r="A33" s="76" t="n">
        <f aca="false">A32+1</f>
        <v>32</v>
      </c>
      <c r="B33" s="70" t="n">
        <f aca="false">IFERROR(__xludf.dummyfunction("filter(Famillesid!$22:$22,(Famillesid!$16:$16=A33)+(Famillesid!$17:$17=A33)+(Famillesid!$18:$18=A33)+(Famillesid!$19:$19=A33)+(Famillesid!$20:$20=A33)+(Famillesid!$21:$21=A33))"),46)</f>
        <v>46</v>
      </c>
      <c r="C33" s="77" t="str">
        <f aca="false">IFERROR(__xludf.dummyfunction("""COMPUTED_VALUE"""),"Julie Ugolini")</f>
        <v>Julie Ugolini</v>
      </c>
      <c r="D33" s="78" t="str">
        <f aca="false">IFERROR(__xludf.dummyfunction("filter('Réponses au formulaire 1'!T:T,'Réponses au formulaire 1'!B:B=C33)"),"Sûrement une connerie ")</f>
        <v>Sûrement une connerie </v>
      </c>
      <c r="E33" s="80" t="s">
        <v>1144</v>
      </c>
      <c r="F33" s="81" t="s">
        <v>1160</v>
      </c>
      <c r="G33" s="15"/>
      <c r="H33" s="76" t="str">
        <f aca="false">IFERROR(__xludf.dummyfunction("""COMPUTED_VALUE"""),"Lucas MIRANDE")</f>
        <v>Lucas MIRANDE</v>
      </c>
      <c r="I33" s="50" t="str">
        <f aca="false">IFERROR(__xludf.dummyfunction("""COMPUTED_VALUE"""),"Un drapeau du Brésil")</f>
        <v>Un drapeau du Brésil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</row>
    <row r="34" customFormat="false" ht="15.75" hidden="false" customHeight="false" outlineLevel="0" collapsed="false">
      <c r="A34" s="76" t="n">
        <f aca="false">A33+1</f>
        <v>33</v>
      </c>
      <c r="B34" s="70" t="n">
        <f aca="false">IFERROR(__xludf.dummyfunction("filter(Famillesid!$22:$22,(Famillesid!$16:$16=A34)+(Famillesid!$17:$17=A34)+(Famillesid!$18:$18=A34)+(Famillesid!$19:$19=A34)+(Famillesid!$20:$20=A34)+(Famillesid!$21:$21=A34))"),46)</f>
        <v>46</v>
      </c>
      <c r="C34" s="77" t="str">
        <f aca="false">IFERROR(__xludf.dummyfunction("""COMPUTED_VALUE"""),"Marie POIRIER")</f>
        <v>Marie POIRIER</v>
      </c>
      <c r="D34" s="78" t="str">
        <f aca="false">IFERROR(__xludf.dummyfunction("filter('Réponses au formulaire 1'!T:T,'Réponses au formulaire 1'!B:B=C34)"),"Un skate ou un trotinnette")</f>
        <v>Un skate ou un trotinnette</v>
      </c>
      <c r="E34" s="72" t="s">
        <v>1144</v>
      </c>
      <c r="F34" s="68" t="s">
        <v>1161</v>
      </c>
      <c r="G34" s="15"/>
      <c r="H34" s="76" t="str">
        <f aca="false">IFERROR(__xludf.dummyfunction("""COMPUTED_VALUE"""),"Simon PUECH")</f>
        <v>Simon PUECH</v>
      </c>
      <c r="I34" s="50" t="str">
        <f aca="false">IFERROR(__xludf.dummyfunction("""COMPUTED_VALUE"""),"Harnais de kitesurf")</f>
        <v>Harnais de kitesurf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</row>
    <row r="35" customFormat="false" ht="15.75" hidden="false" customHeight="false" outlineLevel="0" collapsed="false">
      <c r="A35" s="76" t="n">
        <f aca="false">A34+1</f>
        <v>34</v>
      </c>
      <c r="B35" s="70" t="n">
        <f aca="false">IFERROR(__xludf.dummyfunction("filter(Famillesid!$22:$22,(Famillesid!$16:$16=A35)+(Famillesid!$17:$17=A35)+(Famillesid!$18:$18=A35)+(Famillesid!$19:$19=A35)+(Famillesid!$20:$20=A35)+(Famillesid!$21:$21=A35))"),41)</f>
        <v>41</v>
      </c>
      <c r="C35" s="77" t="str">
        <f aca="false">IFERROR(__xludf.dummyfunction("""COMPUTED_VALUE"""),"Tony MARTINEAU")</f>
        <v>Tony MARTINEAU</v>
      </c>
      <c r="D35" s="78" t="str">
        <f aca="false">IFERROR(__xludf.dummyfunction("filter('Réponses au formulaire 1'!T:T,'Réponses au formulaire 1'!B:B=C35)"),"pas encore d'idée")</f>
        <v>pas encore d'idée</v>
      </c>
      <c r="E35" s="72"/>
      <c r="F35" s="68"/>
      <c r="G35" s="15"/>
      <c r="H35" s="76" t="str">
        <f aca="false">IFERROR(__xludf.dummyfunction("""COMPUTED_VALUE"""),"Alexandre MERVILLE")</f>
        <v>Alexandre MERVILLE</v>
      </c>
      <c r="I35" s="50" t="str">
        <f aca="false">IFERROR(__xludf.dummyfunction("""COMPUTED_VALUE"""),"NON")</f>
        <v>NON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</row>
    <row r="36" customFormat="false" ht="15.75" hidden="false" customHeight="false" outlineLevel="0" collapsed="false">
      <c r="A36" s="76" t="n">
        <f aca="false">A35+1</f>
        <v>35</v>
      </c>
      <c r="B36" s="70" t="n">
        <f aca="false">IFERROR(__xludf.dummyfunction("filter(Famillesid!$22:$22,(Famillesid!$16:$16=A36)+(Famillesid!$17:$17=A36)+(Famillesid!$18:$18=A36)+(Famillesid!$19:$19=A36)+(Famillesid!$20:$20=A36)+(Famillesid!$21:$21=A36))"),11)</f>
        <v>11</v>
      </c>
      <c r="C36" s="77" t="str">
        <f aca="false">IFERROR(__xludf.dummyfunction("""COMPUTED_VALUE"""),"Maelig GABORIEAU")</f>
        <v>Maelig GABORIEAU</v>
      </c>
      <c r="D36" s="78" t="str">
        <f aca="false">IFERROR(__xludf.dummyfunction("filter('Réponses au formulaire 1'!T:T,'Réponses au formulaire 1'!B:B=C36)"),"Une casquette ")</f>
        <v>Une casquette </v>
      </c>
      <c r="E36" s="72"/>
      <c r="F36" s="68"/>
      <c r="G36" s="15"/>
      <c r="H36" s="76" t="str">
        <f aca="false">IFERROR(__xludf.dummyfunction("""COMPUTED_VALUE"""),"Grégory Perret")</f>
        <v>Grégory Perret</v>
      </c>
      <c r="I36" s="50" t="str">
        <f aca="false">IFERROR(__xludf.dummyfunction("""COMPUTED_VALUE"""),"Casquette de Schumacher ")</f>
        <v>Casquette de Schumacher 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</row>
    <row r="37" customFormat="false" ht="15.75" hidden="false" customHeight="false" outlineLevel="0" collapsed="false">
      <c r="A37" s="76" t="n">
        <f aca="false">A36+1</f>
        <v>36</v>
      </c>
      <c r="B37" s="70" t="n">
        <f aca="false">IFERROR(__xludf.dummyfunction("filter(Famillesid!$22:$22,(Famillesid!$16:$16=A37)+(Famillesid!$17:$17=A37)+(Famillesid!$18:$18=A37)+(Famillesid!$19:$19=A37)+(Famillesid!$20:$20=A37)+(Famillesid!$21:$21=A37))"),46)</f>
        <v>46</v>
      </c>
      <c r="C37" s="77" t="str">
        <f aca="false">IFERROR(__xludf.dummyfunction("""COMPUTED_VALUE"""),"Marc de Ponnat")</f>
        <v>Marc de Ponnat</v>
      </c>
      <c r="D37" s="78" t="str">
        <f aca="false">IFERROR(__xludf.dummyfunction("filter('Réponses au formulaire 1'!T:T,'Réponses au formulaire 1'!B:B=C37)"),"Une table ou un micro")</f>
        <v>Une table ou un micro</v>
      </c>
      <c r="E37" s="72"/>
      <c r="F37" s="68"/>
      <c r="G37" s="15"/>
      <c r="H37" s="76" t="str">
        <f aca="false">IFERROR(__xludf.dummyfunction("""COMPUTED_VALUE"""),"Agathe MADAULE")</f>
        <v>Agathe MADAULE</v>
      </c>
      <c r="I37" s="50" t="str">
        <f aca="false">IFERROR(__xludf.dummyfunction("""COMPUTED_VALUE"""),"Foulard feria")</f>
        <v>Foulard feria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</row>
    <row r="38" customFormat="false" ht="15.75" hidden="false" customHeight="false" outlineLevel="0" collapsed="false">
      <c r="A38" s="76" t="n">
        <f aca="false">A37+1</f>
        <v>37</v>
      </c>
      <c r="B38" s="70" t="n">
        <f aca="false">IFERROR(__xludf.dummyfunction("filter(Famillesid!$22:$22,(Famillesid!$16:$16=A38)+(Famillesid!$17:$17=A38)+(Famillesid!$18:$18=A38)+(Famillesid!$19:$19=A38)+(Famillesid!$20:$20=A38)+(Famillesid!$21:$21=A38))"),31)</f>
        <v>31</v>
      </c>
      <c r="C38" s="77" t="str">
        <f aca="false">IFERROR(__xludf.dummyfunction("""COMPUTED_VALUE"""),"Vincent PASCAT")</f>
        <v>Vincent PASCAT</v>
      </c>
      <c r="D38" s="78" t="str">
        <f aca="false">IFERROR(__xludf.dummyfunction("filter('Réponses au formulaire 1'!T:T,'Réponses au formulaire 1'!B:B=C38)"),"Un vinyle?")</f>
        <v>Un vinyle?</v>
      </c>
      <c r="E38" s="72"/>
      <c r="F38" s="68"/>
      <c r="G38" s="15"/>
      <c r="H38" s="76" t="str">
        <f aca="false">IFERROR(__xludf.dummyfunction("""COMPUTED_VALUE"""),"Mathilde Querné")</f>
        <v>Mathilde Querné</v>
      </c>
      <c r="I38" s="50" t="str">
        <f aca="false">IFERROR(__xludf.dummyfunction("""COMPUTED_VALUE"""),"Un cactus")</f>
        <v>Un cactus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</row>
    <row r="39" customFormat="false" ht="15.75" hidden="false" customHeight="false" outlineLevel="0" collapsed="false">
      <c r="A39" s="76" t="n">
        <f aca="false">A38+1</f>
        <v>38</v>
      </c>
      <c r="B39" s="70" t="n">
        <f aca="false">IFERROR(__xludf.dummyfunction("filter(Famillesid!$22:$22,(Famillesid!$16:$16=A39)+(Famillesid!$17:$17=A39)+(Famillesid!$18:$18=A39)+(Famillesid!$19:$19=A39)+(Famillesid!$20:$20=A39)+(Famillesid!$21:$21=A39))"),46)</f>
        <v>46</v>
      </c>
      <c r="C39" s="77" t="str">
        <f aca="false">IFERROR(__xludf.dummyfunction("""COMPUTED_VALUE"""),"Matthieu Brunot")</f>
        <v>Matthieu Brunot</v>
      </c>
      <c r="D39" s="78" t="str">
        <f aca="false">IFERROR(__xludf.dummyfunction("filter('Réponses au formulaire 1'!T:T,'Réponses au formulaire 1'!B:B=C39)"),"un enfant, voire deux s'il est chauve")</f>
        <v>un enfant, voire deux s'il est chauve</v>
      </c>
      <c r="E39" s="72"/>
      <c r="F39" s="68"/>
      <c r="G39" s="15"/>
      <c r="H39" s="76" t="str">
        <f aca="false">IFERROR(__xludf.dummyfunction("""COMPUTED_VALUE"""),"Cédric DUSSERRE")</f>
        <v>Cédric DUSSERRE</v>
      </c>
      <c r="I39" s="50" t="str">
        <f aca="false">IFERROR(__xludf.dummyfunction("""COMPUTED_VALUE"""),"Une crosse de hockey")</f>
        <v>Une crosse de hockey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</row>
    <row r="40" customFormat="false" ht="15.75" hidden="false" customHeight="false" outlineLevel="0" collapsed="false">
      <c r="A40" s="76" t="n">
        <f aca="false">A39+1</f>
        <v>39</v>
      </c>
      <c r="B40" s="70" t="n">
        <f aca="false">IFERROR(__xludf.dummyfunction("filter(Famillesid!$22:$22,(Famillesid!$16:$16=A40)+(Famillesid!$17:$17=A40)+(Famillesid!$18:$18=A40)+(Famillesid!$19:$19=A40)+(Famillesid!$20:$20=A40)+(Famillesid!$21:$21=A40))"),46)</f>
        <v>46</v>
      </c>
      <c r="C40" s="77" t="str">
        <f aca="false">IFERROR(__xludf.dummyfunction("""COMPUTED_VALUE"""),"Julien Bomberault")</f>
        <v>Julien Bomberault</v>
      </c>
      <c r="D40" s="78" t="str">
        <f aca="false">IFERROR(__xludf.dummyfunction("filter('Réponses au formulaire 1'!T:T,'Réponses au formulaire 1'!B:B=C40)"),"Une peluche de Scrat")</f>
        <v>Une peluche de Scrat</v>
      </c>
      <c r="E40" s="72" t="s">
        <v>1144</v>
      </c>
      <c r="F40" s="68" t="s">
        <v>1157</v>
      </c>
      <c r="G40" s="15"/>
      <c r="H40" s="76" t="str">
        <f aca="false">IFERROR(__xludf.dummyfunction("""COMPUTED_VALUE"""),"Julien Douxami")</f>
        <v>Julien Douxami</v>
      </c>
      <c r="I40" s="50" t="str">
        <f aca="false">IFERROR(__xludf.dummyfunction("""COMPUTED_VALUE"""),"des lunettes fashion")</f>
        <v>des lunettes fashion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</row>
    <row r="41" customFormat="false" ht="15.75" hidden="false" customHeight="false" outlineLevel="0" collapsed="false">
      <c r="A41" s="76" t="n">
        <f aca="false">A40+1</f>
        <v>40</v>
      </c>
      <c r="B41" s="70" t="n">
        <f aca="false">IFERROR(__xludf.dummyfunction("filter(Famillesid!$22:$22,(Famillesid!$16:$16=A41)+(Famillesid!$17:$17=A41)+(Famillesid!$18:$18=A41)+(Famillesid!$19:$19=A41)+(Famillesid!$20:$20=A41)+(Famillesid!$21:$21=A41))"),11)</f>
        <v>11</v>
      </c>
      <c r="C41" s="77" t="str">
        <f aca="false">IFERROR(__xludf.dummyfunction("""COMPUTED_VALUE"""),"Carmen SORIA")</f>
        <v>Carmen SORIA</v>
      </c>
      <c r="D41" s="78" t="str">
        <f aca="false">IFERROR(__xludf.dummyfunction("filter('Réponses au formulaire 1'!T:T,'Réponses au formulaire 1'!B:B=C41)"),"pâte à modeler")</f>
        <v>pâte à modeler</v>
      </c>
      <c r="E41" s="72"/>
      <c r="F41" s="68"/>
      <c r="G41" s="15"/>
      <c r="H41" s="76" t="str">
        <f aca="false">IFERROR(__xludf.dummyfunction("""COMPUTED_VALUE"""),"Louis DA COSTA")</f>
        <v>Louis DA COSTA</v>
      </c>
      <c r="I41" s="50" t="str">
        <f aca="false">IFERROR(__xludf.dummyfunction("""COMPUTED_VALUE"""),"Une atelle")</f>
        <v>Une atelle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</row>
    <row r="42" customFormat="false" ht="15.75" hidden="false" customHeight="false" outlineLevel="0" collapsed="false">
      <c r="A42" s="76" t="n">
        <f aca="false">A41+1</f>
        <v>41</v>
      </c>
      <c r="B42" s="70" t="n">
        <f aca="false">IFERROR(__xludf.dummyfunction("filter(Famillesid!$22:$22,(Famillesid!$16:$16=A42)+(Famillesid!$17:$17=A42)+(Famillesid!$18:$18=A42)+(Famillesid!$19:$19=A42)+(Famillesid!$20:$20=A42)+(Famillesid!$21:$21=A42))"),51)</f>
        <v>51</v>
      </c>
      <c r="C42" s="77" t="str">
        <f aca="false">IFERROR(__xludf.dummyfunction("""COMPUTED_VALUE"""),"Constance Kooyman")</f>
        <v>Constance Kooyman</v>
      </c>
      <c r="D42" s="78" t="str">
        <f aca="false">IFERROR(__xludf.dummyfunction("filter('Réponses au formulaire 1'!T:T,'Réponses au formulaire 1'!B:B=C42)"),"Walter le mouton (c'est une peluche) ")</f>
        <v>Walter le mouton (c'est une peluche) </v>
      </c>
      <c r="E42" s="72"/>
      <c r="F42" s="68"/>
      <c r="G42" s="15"/>
      <c r="H42" s="76" t="str">
        <f aca="false">IFERROR(__xludf.dummyfunction("""COMPUTED_VALUE"""),"Lilian Dedecker")</f>
        <v>Lilian Dedecker</v>
      </c>
      <c r="I42" s="50" t="str">
        <f aca="false">IFERROR(__xludf.dummyfunction("""COMPUTED_VALUE"""),"Appareil photo")</f>
        <v>Appareil photo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</row>
    <row r="43" customFormat="false" ht="15.75" hidden="false" customHeight="false" outlineLevel="0" collapsed="false">
      <c r="A43" s="76" t="n">
        <f aca="false">A42+1</f>
        <v>42</v>
      </c>
      <c r="B43" s="70" t="n">
        <f aca="false">IFERROR(__xludf.dummyfunction("filter(Famillesid!$22:$22,(Famillesid!$16:$16=A43)+(Famillesid!$17:$17=A43)+(Famillesid!$18:$18=A43)+(Famillesid!$19:$19=A43)+(Famillesid!$20:$20=A43)+(Famillesid!$21:$21=A43))"),51)</f>
        <v>51</v>
      </c>
      <c r="C43" s="77" t="str">
        <f aca="false">IFERROR(__xludf.dummyfunction("""COMPUTED_VALUE"""),"Damien GUYONVARCH")</f>
        <v>Damien GUYONVARCH</v>
      </c>
      <c r="D43" s="78" t="str">
        <f aca="false">IFERROR(__xludf.dummyfunction("filter('Réponses au formulaire 1'!T:T,'Réponses au formulaire 1'!B:B=C43)"),"Cadre avec une photo de Dwayne Johnson")</f>
        <v>Cadre avec une photo de Dwayne Johnson</v>
      </c>
      <c r="E43" s="72"/>
      <c r="F43" s="68"/>
      <c r="G43" s="15"/>
      <c r="H43" s="76" t="str">
        <f aca="false">IFERROR(__xludf.dummyfunction("""COMPUTED_VALUE"""),"J'ui une grosse pute")</f>
        <v>J'ui une grosse pute</v>
      </c>
      <c r="I43" s="50" t="str">
        <f aca="false">IFERROR(__xludf.dummyfunction("""COMPUTED_VALUE"""),"Chapeau de farfadet ")</f>
        <v>Chapeau de farfadet 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</row>
    <row r="44" customFormat="false" ht="15.75" hidden="false" customHeight="false" outlineLevel="0" collapsed="false">
      <c r="A44" s="76" t="n">
        <f aca="false">A43+1</f>
        <v>43</v>
      </c>
      <c r="B44" s="70" t="n">
        <f aca="false">IFERROR(__xludf.dummyfunction("filter(Famillesid!$22:$22,(Famillesid!$16:$16=A44)+(Famillesid!$17:$17=A44)+(Famillesid!$18:$18=A44)+(Famillesid!$19:$19=A44)+(Famillesid!$20:$20=A44)+(Famillesid!$21:$21=A44))"),51)</f>
        <v>51</v>
      </c>
      <c r="C44" s="77" t="str">
        <f aca="false">IFERROR(__xludf.dummyfunction("""COMPUTED_VALUE"""),"Florent COLLOCH")</f>
        <v>Florent COLLOCH</v>
      </c>
      <c r="D44" s="78" t="str">
        <f aca="false">IFERROR(__xludf.dummyfunction("filter('Réponses au formulaire 1'!T:T,'Réponses au formulaire 1'!B:B=C44)"),"Bouteille de sable")</f>
        <v>Bouteille de sable</v>
      </c>
      <c r="E44" s="72"/>
      <c r="F44" s="68"/>
      <c r="G44" s="15"/>
      <c r="H44" s="76" t="str">
        <f aca="false">IFERROR(__xludf.dummyfunction("""COMPUTED_VALUE"""),"Valentine KEMPF")</f>
        <v>Valentine KEMPF</v>
      </c>
      <c r="I44" s="50" t="str">
        <f aca="false">IFERROR(__xludf.dummyfunction("""COMPUTED_VALUE"""),"Une sonette de vélo ")</f>
        <v>Une sonette de vélo 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</row>
    <row r="45" customFormat="false" ht="15.75" hidden="false" customHeight="false" outlineLevel="0" collapsed="false">
      <c r="A45" s="76" t="n">
        <f aca="false">A44+1</f>
        <v>44</v>
      </c>
      <c r="B45" s="70" t="n">
        <f aca="false">IFERROR(__xludf.dummyfunction("filter(Famillesid!$22:$22,(Famillesid!$16:$16=A45)+(Famillesid!$17:$17=A45)+(Famillesid!$18:$18=A45)+(Famillesid!$19:$19=A45)+(Famillesid!$20:$20=A45)+(Famillesid!$21:$21=A45))"),51)</f>
        <v>51</v>
      </c>
      <c r="C45" s="77" t="str">
        <f aca="false">IFERROR(__xludf.dummyfunction("""COMPUTED_VALUE"""),"Adrien RIDOUARD")</f>
        <v>Adrien RIDOUARD</v>
      </c>
      <c r="D45" s="78" t="str">
        <f aca="false">IFERROR(__xludf.dummyfunction("filter('Réponses au formulaire 1'!T:T,'Réponses au formulaire 1'!B:B=C45)"),"Liasse de billets (home made) ")</f>
        <v>Liasse de billets (home made) </v>
      </c>
      <c r="E45" s="72"/>
      <c r="F45" s="68"/>
      <c r="G45" s="15"/>
      <c r="H45" s="76" t="str">
        <f aca="false">IFERROR(__xludf.dummyfunction("""COMPUTED_VALUE"""),"Charlotte Fosse")</f>
        <v>Charlotte Fosse</v>
      </c>
      <c r="I45" s="50" t="str">
        <f aca="false">IFERROR(__xludf.dummyfunction("""COMPUTED_VALUE"""),"Choix en cours")</f>
        <v>Choix en cours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</row>
    <row r="46" customFormat="false" ht="15.75" hidden="false" customHeight="false" outlineLevel="0" collapsed="false">
      <c r="A46" s="76" t="n">
        <f aca="false">A45+1</f>
        <v>45</v>
      </c>
      <c r="B46" s="70" t="n">
        <f aca="false">IFERROR(__xludf.dummyfunction("filter(Famillesid!$22:$22,(Famillesid!$16:$16=A46)+(Famillesid!$17:$17=A46)+(Famillesid!$18:$18=A46)+(Famillesid!$19:$19=A46)+(Famillesid!$20:$20=A46)+(Famillesid!$21:$21=A46))"),31)</f>
        <v>31</v>
      </c>
      <c r="C46" s="77" t="str">
        <f aca="false">IFERROR(__xludf.dummyfunction("""COMPUTED_VALUE"""),"Lucas MIRANDE")</f>
        <v>Lucas MIRANDE</v>
      </c>
      <c r="D46" s="78" t="str">
        <f aca="false">IFERROR(__xludf.dummyfunction("filter('Réponses au formulaire 1'!T:T,'Réponses au formulaire 1'!B:B=C46)"),"Un drapeau du Brésil")</f>
        <v>Un drapeau du Brésil</v>
      </c>
      <c r="E46" s="72"/>
      <c r="F46" s="68"/>
      <c r="G46" s="15"/>
      <c r="H46" s="76" t="str">
        <f aca="false">IFERROR(__xludf.dummyfunction("""COMPUTED_VALUE"""),"Julien LACOUR")</f>
        <v>Julien LACOUR</v>
      </c>
      <c r="I46" s="50" t="str">
        <f aca="false">IFERROR(__xludf.dummyfunction("""COMPUTED_VALUE"""),"Peluche Snoopy")</f>
        <v>Peluche Snoopy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</row>
    <row r="47" customFormat="false" ht="15.75" hidden="false" customHeight="false" outlineLevel="0" collapsed="false">
      <c r="A47" s="76" t="n">
        <f aca="false">A46+1</f>
        <v>46</v>
      </c>
      <c r="B47" s="70" t="n">
        <f aca="false">IFERROR(__xludf.dummyfunction("filter(Famillesid!$22:$22,(Famillesid!$16:$16=A47)+(Famillesid!$17:$17=A47)+(Famillesid!$18:$18=A47)+(Famillesid!$19:$19=A47)+(Famillesid!$20:$20=A47)+(Famillesid!$21:$21=A47))"),41)</f>
        <v>41</v>
      </c>
      <c r="C47" s="77" t="str">
        <f aca="false">IFERROR(__xludf.dummyfunction("""COMPUTED_VALUE"""),"Simon PUECH")</f>
        <v>Simon PUECH</v>
      </c>
      <c r="D47" s="78" t="str">
        <f aca="false">IFERROR(__xludf.dummyfunction("filter('Réponses au formulaire 1'!T:T,'Réponses au formulaire 1'!B:B=C47)"),"Harnais de kitesurf")</f>
        <v>Harnais de kitesurf</v>
      </c>
      <c r="E47" s="72"/>
      <c r="F47" s="68"/>
      <c r="G47" s="15"/>
      <c r="H47" s="76" t="str">
        <f aca="false">IFERROR(__xludf.dummyfunction("""COMPUTED_VALUE"""),"Irène Le Borgne")</f>
        <v>Irène Le Borgne</v>
      </c>
      <c r="I47" s="50" t="str">
        <f aca="false">IFERROR(__xludf.dummyfunction("""COMPUTED_VALUE"""),"Un kway orange")</f>
        <v>Un kway orange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</row>
    <row r="48" customFormat="false" ht="15.75" hidden="false" customHeight="false" outlineLevel="0" collapsed="false">
      <c r="A48" s="76" t="n">
        <f aca="false">A47+1</f>
        <v>47</v>
      </c>
      <c r="B48" s="70" t="n">
        <f aca="false">IFERROR(__xludf.dummyfunction("filter(Famillesid!$22:$22,(Famillesid!$16:$16=A48)+(Famillesid!$17:$17=A48)+(Famillesid!$18:$18=A48)+(Famillesid!$19:$19=A48)+(Famillesid!$20:$20=A48)+(Famillesid!$21:$21=A48))"),61)</f>
        <v>61</v>
      </c>
      <c r="C48" s="77" t="str">
        <f aca="false">IFERROR(__xludf.dummyfunction("""COMPUTED_VALUE"""),"Thomas Serratrice")</f>
        <v>Thomas Serratrice</v>
      </c>
      <c r="D48" s="78" t="str">
        <f aca="false">IFERROR(__xludf.dummyfunction("filter('Réponses au formulaire 1'!T:T,'Réponses au formulaire 1'!B:B=C48)"),"Bombe de lubrifiant moteur diesel ")</f>
        <v>Bombe de lubrifiant moteur diesel </v>
      </c>
      <c r="E48" s="72" t="s">
        <v>1144</v>
      </c>
      <c r="F48" s="68" t="s">
        <v>1158</v>
      </c>
      <c r="G48" s="15"/>
      <c r="H48" s="76" t="str">
        <f aca="false">IFERROR(__xludf.dummyfunction("""COMPUTED_VALUE"""),"Aurélien DE LA HOUGUE")</f>
        <v>Aurélien DE LA HOUGUE</v>
      </c>
      <c r="I48" s="50" t="str">
        <f aca="false">IFERROR(__xludf.dummyfunction("""COMPUTED_VALUE"""),"Une spirale hypnotisante")</f>
        <v>Une spirale hypnotisante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</row>
    <row r="49" customFormat="false" ht="15.75" hidden="false" customHeight="false" outlineLevel="0" collapsed="false">
      <c r="A49" s="76" t="n">
        <f aca="false">A48+1</f>
        <v>48</v>
      </c>
      <c r="B49" s="70" t="n">
        <f aca="false">IFERROR(__xludf.dummyfunction("filter(Famillesid!$22:$22,(Famillesid!$16:$16=A49)+(Famillesid!$17:$17=A49)+(Famillesid!$18:$18=A49)+(Famillesid!$19:$19=A49)+(Famillesid!$20:$20=A49)+(Famillesid!$21:$21=A49))"),16)</f>
        <v>16</v>
      </c>
      <c r="C49" s="77" t="str">
        <f aca="false">IFERROR(__xludf.dummyfunction("""COMPUTED_VALUE"""),"Clément DENIS")</f>
        <v>Clément DENIS</v>
      </c>
      <c r="D49" s="78" t="str">
        <f aca="false">IFERROR(__xludf.dummyfunction("filter('Réponses au formulaire 1'!T:T,'Réponses au formulaire 1'!B:B=C49)"),"Abdel Caspor Harrack si il est là ")</f>
        <v>Abdel Caspor Harrack si il est là </v>
      </c>
      <c r="E49" s="72" t="s">
        <v>1144</v>
      </c>
      <c r="F49" s="68" t="s">
        <v>1158</v>
      </c>
      <c r="G49" s="15"/>
      <c r="H49" s="76" t="str">
        <f aca="false">IFERROR(__xludf.dummyfunction("""COMPUTED_VALUE"""),"Matthieu BARCET")</f>
        <v>Matthieu BARCET</v>
      </c>
      <c r="I49" s="50" t="str">
        <f aca="false">IFERROR(__xludf.dummyfunction("""COMPUTED_VALUE"""),"Un bout de voile")</f>
        <v>Un bout de voile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</row>
    <row r="50" customFormat="false" ht="15.75" hidden="false" customHeight="false" outlineLevel="0" collapsed="false">
      <c r="A50" s="76" t="n">
        <f aca="false">A49+1</f>
        <v>49</v>
      </c>
      <c r="B50" s="70" t="n">
        <f aca="false">IFERROR(__xludf.dummyfunction("filter(Famillesid!$22:$22,(Famillesid!$16:$16=A50)+(Famillesid!$17:$17=A50)+(Famillesid!$18:$18=A50)+(Famillesid!$19:$19=A50)+(Famillesid!$20:$20=A50)+(Famillesid!$21:$21=A50))"),56)</f>
        <v>56</v>
      </c>
      <c r="C50" s="77" t="str">
        <f aca="false">IFERROR(__xludf.dummyfunction("""COMPUTED_VALUE"""),"Mathieu KERMAREC")</f>
        <v>Mathieu KERMAREC</v>
      </c>
      <c r="D50" s="78" t="str">
        <f aca="false">IFERROR(__xludf.dummyfunction("filter('Réponses au formulaire 1'!T:T,'Réponses au formulaire 1'!B:B=C50)"),"Un truc")</f>
        <v>Un truc</v>
      </c>
      <c r="E50" s="72" t="s">
        <v>1144</v>
      </c>
      <c r="F50" s="68" t="s">
        <v>1157</v>
      </c>
      <c r="G50" s="15"/>
      <c r="H50" s="76" t="str">
        <f aca="false">IFERROR(__xludf.dummyfunction("""COMPUTED_VALUE"""),"Marie VIOLLEAU")</f>
        <v>Marie VIOLLEAU</v>
      </c>
      <c r="I50" s="50" t="str">
        <f aca="false">IFERROR(__xludf.dummyfunction("""COMPUTED_VALUE"""),"Une béquille ")</f>
        <v>Une béquille 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</row>
    <row r="51" customFormat="false" ht="15.75" hidden="false" customHeight="false" outlineLevel="0" collapsed="false">
      <c r="A51" s="76" t="n">
        <f aca="false">A50+1</f>
        <v>50</v>
      </c>
      <c r="B51" s="70" t="n">
        <f aca="false">IFERROR(__xludf.dummyfunction("filter(Famillesid!$22:$22,(Famillesid!$16:$16=A51)+(Famillesid!$17:$17=A51)+(Famillesid!$18:$18=A51)+(Famillesid!$19:$19=A51)+(Famillesid!$20:$20=A51)+(Famillesid!$21:$21=A51))"),56)</f>
        <v>56</v>
      </c>
      <c r="C51" s="77" t="str">
        <f aca="false">IFERROR(__xludf.dummyfunction("""COMPUTED_VALUE"""),"Thomas LE JAN")</f>
        <v>Thomas LE JAN</v>
      </c>
      <c r="D51" s="78" t="str">
        <f aca="false">IFERROR(__xludf.dummyfunction("filter('Réponses au formulaire 1'!T:T,'Réponses au formulaire 1'!B:B=C51)"),"Un cadeau ")</f>
        <v>Un cadeau </v>
      </c>
      <c r="E51" s="72" t="s">
        <v>1144</v>
      </c>
      <c r="F51" s="68" t="s">
        <v>1157</v>
      </c>
      <c r="G51" s="15"/>
      <c r="H51" s="76" t="str">
        <f aca="false">IFERROR(__xludf.dummyfunction("""COMPUTED_VALUE"""),"Mathieu ZACH")</f>
        <v>Mathieu ZACH</v>
      </c>
      <c r="I51" s="50" t="str">
        <f aca="false">IFERROR(__xludf.dummyfunction("""COMPUTED_VALUE"""),"Poster sympathique ")</f>
        <v>Poster sympathique 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</row>
    <row r="52" customFormat="false" ht="15.75" hidden="false" customHeight="false" outlineLevel="0" collapsed="false">
      <c r="A52" s="76" t="n">
        <f aca="false">A51+1</f>
        <v>51</v>
      </c>
      <c r="B52" s="70" t="n">
        <f aca="false">IFERROR(__xludf.dummyfunction("filter(Famillesid!$22:$22,(Famillesid!$16:$16=A52)+(Famillesid!$17:$17=A52)+(Famillesid!$18:$18=A52)+(Famillesid!$19:$19=A52)+(Famillesid!$20:$20=A52)+(Famillesid!$21:$21=A52))"),56)</f>
        <v>56</v>
      </c>
      <c r="C52" s="77" t="str">
        <f aca="false">IFERROR(__xludf.dummyfunction("""COMPUTED_VALUE"""),"Paul LENOIR")</f>
        <v>Paul LENOIR</v>
      </c>
      <c r="D52" s="78" t="str">
        <f aca="false">IFERROR(__xludf.dummyfunction("filter('Réponses au formulaire 1'!T:T,'Réponses au formulaire 1'!B:B=C52)"),"Un présent ")</f>
        <v>Un présent </v>
      </c>
      <c r="E52" s="72" t="s">
        <v>1144</v>
      </c>
      <c r="F52" s="68" t="s">
        <v>1157</v>
      </c>
      <c r="G52" s="15"/>
      <c r="H52" s="76" t="str">
        <f aca="false">IFERROR(__xludf.dummyfunction("""COMPUTED_VALUE"""),"Iris PROUST")</f>
        <v>Iris PROUST</v>
      </c>
      <c r="I52" s="50" t="str">
        <f aca="false">IFERROR(__xludf.dummyfunction("""COMPUTED_VALUE"""),"cannelés")</f>
        <v>cannelés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</row>
    <row r="53" customFormat="false" ht="15.75" hidden="false" customHeight="false" outlineLevel="0" collapsed="false">
      <c r="A53" s="76" t="n">
        <f aca="false">A52+1</f>
        <v>52</v>
      </c>
      <c r="B53" s="70" t="n">
        <f aca="false">IFERROR(__xludf.dummyfunction("filter(Famillesid!$22:$22,(Famillesid!$16:$16=A53)+(Famillesid!$17:$17=A53)+(Famillesid!$18:$18=A53)+(Famillesid!$19:$19=A53)+(Famillesid!$20:$20=A53)+(Famillesid!$21:$21=A53))"),56)</f>
        <v>56</v>
      </c>
      <c r="C53" s="77" t="str">
        <f aca="false">IFERROR(__xludf.dummyfunction("""COMPUTED_VALUE"""),"Alexandre MERVILLE")</f>
        <v>Alexandre MERVILLE</v>
      </c>
      <c r="D53" s="78" t="str">
        <f aca="false">IFERROR(__xludf.dummyfunction("filter('Réponses au formulaire 1'!T:T,'Réponses au formulaire 1'!B:B=C53)"),"NON")</f>
        <v>NON</v>
      </c>
      <c r="E53" s="72"/>
      <c r="F53" s="68"/>
      <c r="G53" s="15"/>
      <c r="H53" s="76" t="str">
        <f aca="false">IFERROR(__xludf.dummyfunction("""COMPUTED_VALUE"""),"Louis AUGEREAU")</f>
        <v>Louis AUGEREAU</v>
      </c>
      <c r="I53" s="50" t="str">
        <f aca="false">IFERROR(__xludf.dummyfunction("""COMPUTED_VALUE"""),"Un truc stylé")</f>
        <v>Un truc stylé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</row>
    <row r="54" customFormat="false" ht="15.75" hidden="false" customHeight="false" outlineLevel="0" collapsed="false">
      <c r="A54" s="76" t="n">
        <f aca="false">A53+1</f>
        <v>53</v>
      </c>
      <c r="B54" s="70" t="n">
        <f aca="false">IFERROR(__xludf.dummyfunction("filter(Famillesid!$22:$22,(Famillesid!$16:$16=A54)+(Famillesid!$17:$17=A54)+(Famillesid!$18:$18=A54)+(Famillesid!$19:$19=A54)+(Famillesid!$20:$20=A54)+(Famillesid!$21:$21=A54))"),56)</f>
        <v>56</v>
      </c>
      <c r="C54" s="77" t="str">
        <f aca="false">IFERROR(__xludf.dummyfunction("""COMPUTED_VALUE"""),"Gabriel Lucas")</f>
        <v>Gabriel Lucas</v>
      </c>
      <c r="D54" s="78" t="str">
        <f aca="false">IFERROR(__xludf.dummyfunction("filter('Réponses au formulaire 1'!T:T,'Réponses au formulaire 1'!B:B=C54)"),"Oui")</f>
        <v>Oui</v>
      </c>
      <c r="E54" s="72" t="s">
        <v>1144</v>
      </c>
      <c r="F54" s="68" t="s">
        <v>1157</v>
      </c>
      <c r="G54" s="15"/>
      <c r="H54" s="76" t="str">
        <f aca="false">IFERROR(__xludf.dummyfunction("""COMPUTED_VALUE"""),"Céline Balmes")</f>
        <v>Céline Balmes</v>
      </c>
      <c r="I54" s="50" t="str">
        <f aca="false">IFERROR(__xludf.dummyfunction("""COMPUTED_VALUE"""),"Cape Winterf'aigle")</f>
        <v>Cape Winterf'aigle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</row>
    <row r="55" customFormat="false" ht="15.75" hidden="false" customHeight="false" outlineLevel="0" collapsed="false">
      <c r="A55" s="76" t="n">
        <f aca="false">A54+1</f>
        <v>54</v>
      </c>
      <c r="B55" s="70" t="n">
        <f aca="false">IFERROR(__xludf.dummyfunction("filter(Famillesid!$22:$22,(Famillesid!$16:$16=A55)+(Famillesid!$17:$17=A55)+(Famillesid!$18:$18=A55)+(Famillesid!$19:$19=A55)+(Famillesid!$20:$20=A55)+(Famillesid!$21:$21=A55))"),61)</f>
        <v>61</v>
      </c>
      <c r="C55" s="77" t="str">
        <f aca="false">IFERROR(__xludf.dummyfunction("""COMPUTED_VALUE"""),"Grégory Perret")</f>
        <v>Grégory Perret</v>
      </c>
      <c r="D55" s="78" t="str">
        <f aca="false">IFERROR(__xludf.dummyfunction("filter('Réponses au formulaire 1'!T:T,'Réponses au formulaire 1'!B:B=C55)"),"Casquette de Schumacher ")</f>
        <v>Casquette de Schumacher </v>
      </c>
      <c r="E55" s="72"/>
      <c r="F55" s="68"/>
      <c r="G55" s="15"/>
      <c r="H55" s="76" t="str">
        <f aca="false">IFERROR(__xludf.dummyfunction("""COMPUTED_VALUE"""),"Paul SIMON")</f>
        <v>Paul SIMON</v>
      </c>
      <c r="I55" s="50" t="str">
        <f aca="false">IFERROR(__xludf.dummyfunction("""COMPUTED_VALUE"""),"De l'amour")</f>
        <v>De l'amour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</row>
    <row r="56" customFormat="false" ht="15.75" hidden="false" customHeight="false" outlineLevel="0" collapsed="false">
      <c r="A56" s="76" t="n">
        <f aca="false">A55+1</f>
        <v>55</v>
      </c>
      <c r="B56" s="70" t="n">
        <f aca="false">IFERROR(__xludf.dummyfunction("filter(Famillesid!$22:$22,(Famillesid!$16:$16=A56)+(Famillesid!$17:$17=A56)+(Famillesid!$18:$18=A56)+(Famillesid!$19:$19=A56)+(Famillesid!$20:$20=A56)+(Famillesid!$21:$21=A56))"),71)</f>
        <v>71</v>
      </c>
      <c r="C56" s="77" t="str">
        <f aca="false">IFERROR(__xludf.dummyfunction("""COMPUTED_VALUE"""),"Agathe MADAULE")</f>
        <v>Agathe MADAULE</v>
      </c>
      <c r="D56" s="78" t="str">
        <f aca="false">IFERROR(__xludf.dummyfunction("filter('Réponses au formulaire 1'!T:T,'Réponses au formulaire 1'!B:B=C56)"),"Foulard feria")</f>
        <v>Foulard feria</v>
      </c>
      <c r="E56" s="72"/>
      <c r="F56" s="68"/>
      <c r="G56" s="15"/>
      <c r="H56" s="76" t="str">
        <f aca="false">IFERROR(__xludf.dummyfunction("""COMPUTED_VALUE"""),"Paul CHAUVIN")</f>
        <v>Paul CHAUVIN</v>
      </c>
      <c r="I56" s="50" t="str">
        <f aca="false">IFERROR(__xludf.dummyfunction("""COMPUTED_VALUE"""),"je sais pas encore ")</f>
        <v>je sais pas encore 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</row>
    <row r="57" customFormat="false" ht="15.75" hidden="false" customHeight="false" outlineLevel="0" collapsed="false">
      <c r="A57" s="76" t="n">
        <f aca="false">A56+1</f>
        <v>56</v>
      </c>
      <c r="B57" s="70" t="n">
        <f aca="false">IFERROR(__xludf.dummyfunction("filter(Famillesid!$22:$22,(Famillesid!$16:$16=A57)+(Famillesid!$17:$17=A57)+(Famillesid!$18:$18=A57)+(Famillesid!$19:$19=A57)+(Famillesid!$20:$20=A57)+(Famillesid!$21:$21=A57))"),31)</f>
        <v>31</v>
      </c>
      <c r="C57" s="77" t="str">
        <f aca="false">IFERROR(__xludf.dummyfunction("""COMPUTED_VALUE"""),"Mathilde Querné")</f>
        <v>Mathilde Querné</v>
      </c>
      <c r="D57" s="78" t="str">
        <f aca="false">IFERROR(__xludf.dummyfunction("filter('Réponses au formulaire 1'!T:T,'Réponses au formulaire 1'!B:B=C57)"),"Un cactus")</f>
        <v>Un cactus</v>
      </c>
      <c r="E57" s="72"/>
      <c r="F57" s="68"/>
      <c r="G57" s="15"/>
      <c r="H57" s="76" t="str">
        <f aca="false">IFERROR(__xludf.dummyfunction("""COMPUTED_VALUE"""),"Jules SINTES")</f>
        <v>Jules SINTES</v>
      </c>
      <c r="I57" s="50" t="str">
        <f aca="false">IFERROR(__xludf.dummyfunction("""COMPUTED_VALUE"""),"Ski")</f>
        <v>Ski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</row>
    <row r="58" customFormat="false" ht="15.75" hidden="false" customHeight="false" outlineLevel="0" collapsed="false">
      <c r="A58" s="76" t="n">
        <f aca="false">A57+1</f>
        <v>57</v>
      </c>
      <c r="B58" s="70" t="n">
        <f aca="false">IFERROR(__xludf.dummyfunction("filter(Famillesid!$22:$22,(Famillesid!$16:$16=A58)+(Famillesid!$17:$17=A58)+(Famillesid!$18:$18=A58)+(Famillesid!$19:$19=A58)+(Famillesid!$20:$20=A58)+(Famillesid!$21:$21=A58))"),76)</f>
        <v>76</v>
      </c>
      <c r="C58" s="77" t="str">
        <f aca="false">IFERROR(__xludf.dummyfunction("""COMPUTED_VALUE"""),"Marie Cozzi")</f>
        <v>Marie Cozzi</v>
      </c>
      <c r="D58" s="78" t="str">
        <f aca="false">IFERROR(__xludf.dummyfunction("filter('Réponses au formulaire 1'!T:T,'Réponses au formulaire 1'!B:B=C58)"),"Ma veste jaune")</f>
        <v>Ma veste jaune</v>
      </c>
      <c r="E58" s="80" t="s">
        <v>1144</v>
      </c>
      <c r="F58" s="81" t="s">
        <v>1160</v>
      </c>
      <c r="G58" s="15"/>
      <c r="H58" s="76" t="str">
        <f aca="false">IFERROR(__xludf.dummyfunction("""COMPUTED_VALUE"""),"Emeric Claudel")</f>
        <v>Emeric Claudel</v>
      </c>
      <c r="I58" s="50" t="str">
        <f aca="false">IFERROR(__xludf.dummyfunction("""COMPUTED_VALUE"""),"Raffin")</f>
        <v>Raffin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</row>
    <row r="59" customFormat="false" ht="15.75" hidden="false" customHeight="false" outlineLevel="0" collapsed="false">
      <c r="A59" s="76" t="n">
        <f aca="false">A58+1</f>
        <v>58</v>
      </c>
      <c r="B59" s="70" t="n">
        <f aca="false">IFERROR(__xludf.dummyfunction("filter(Famillesid!$22:$22,(Famillesid!$16:$16=A59)+(Famillesid!$17:$17=A59)+(Famillesid!$18:$18=A59)+(Famillesid!$19:$19=A59)+(Famillesid!$20:$20=A59)+(Famillesid!$21:$21=A59))"),66)</f>
        <v>66</v>
      </c>
      <c r="C59" s="77" t="str">
        <f aca="false">IFERROR(__xludf.dummyfunction("""COMPUTED_VALUE"""),"Cédric DUSSERRE")</f>
        <v>Cédric DUSSERRE</v>
      </c>
      <c r="D59" s="78" t="str">
        <f aca="false">IFERROR(__xludf.dummyfunction("filter('Réponses au formulaire 1'!T:T,'Réponses au formulaire 1'!B:B=C59)"),"Une crosse de hockey")</f>
        <v>Une crosse de hockey</v>
      </c>
      <c r="E59" s="72"/>
      <c r="F59" s="68"/>
      <c r="G59" s="15"/>
      <c r="H59" s="76" t="str">
        <f aca="false">IFERROR(__xludf.dummyfunction("""COMPUTED_VALUE"""),"Orson JAY")</f>
        <v>Orson JAY</v>
      </c>
      <c r="I59" s="50" t="str">
        <f aca="false">IFERROR(__xludf.dummyfunction("""COMPUTED_VALUE"""),"Ski bas")</f>
        <v>Ski bas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</row>
    <row r="60" customFormat="false" ht="15.75" hidden="false" customHeight="false" outlineLevel="0" collapsed="false">
      <c r="A60" s="76" t="n">
        <f aca="false">A59+1</f>
        <v>59</v>
      </c>
      <c r="B60" s="70" t="n">
        <f aca="false">IFERROR(__xludf.dummyfunction("filter(Famillesid!$22:$22,(Famillesid!$16:$16=A60)+(Famillesid!$17:$17=A60)+(Famillesid!$18:$18=A60)+(Famillesid!$19:$19=A60)+(Famillesid!$20:$20=A60)+(Famillesid!$21:$21=A60))"),66)</f>
        <v>66</v>
      </c>
      <c r="C60" s="77" t="str">
        <f aca="false">IFERROR(__xludf.dummyfunction("""COMPUTED_VALUE"""),"Julien Douxami")</f>
        <v>Julien Douxami</v>
      </c>
      <c r="D60" s="78" t="str">
        <f aca="false">IFERROR(__xludf.dummyfunction("filter('Réponses au formulaire 1'!T:T,'Réponses au formulaire 1'!B:B=C60)"),"des lunettes fashion")</f>
        <v>des lunettes fashion</v>
      </c>
      <c r="E60" s="72"/>
      <c r="F60" s="68"/>
      <c r="G60" s="15"/>
      <c r="H60" s="76" t="str">
        <f aca="false">IFERROR(__xludf.dummyfunction("""COMPUTED_VALUE"""),"Sébastien MARAIS")</f>
        <v>Sébastien MARAIS</v>
      </c>
      <c r="I60" s="50" t="str">
        <f aca="false">IFERROR(__xludf.dummyfunction("""COMPUTED_VALUE"""),"Bonsaï")</f>
        <v>Bonsaï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</row>
    <row r="61" customFormat="false" ht="15.75" hidden="false" customHeight="false" outlineLevel="0" collapsed="false">
      <c r="A61" s="76" t="n">
        <f aca="false">A60+1</f>
        <v>60</v>
      </c>
      <c r="B61" s="70" t="n">
        <f aca="false">IFERROR(__xludf.dummyfunction("filter(Famillesid!$22:$22,(Famillesid!$16:$16=A61)+(Famillesid!$17:$17=A61)+(Famillesid!$18:$18=A61)+(Famillesid!$19:$19=A61)+(Famillesid!$20:$20=A61)+(Famillesid!$21:$21=A61))"),61)</f>
        <v>61</v>
      </c>
      <c r="C61" s="77" t="str">
        <f aca="false">IFERROR(__xludf.dummyfunction("""COMPUTED_VALUE"""),"Louis DA COSTA")</f>
        <v>Louis DA COSTA</v>
      </c>
      <c r="D61" s="78" t="str">
        <f aca="false">IFERROR(__xludf.dummyfunction("filter('Réponses au formulaire 1'!T:T,'Réponses au formulaire 1'!B:B=C61)"),"Une atelle")</f>
        <v>Une atelle</v>
      </c>
      <c r="E61" s="72"/>
      <c r="F61" s="68"/>
      <c r="G61" s="15"/>
      <c r="H61" s="76" t="str">
        <f aca="false">IFERROR(__xludf.dummyfunction("""COMPUTED_VALUE"""),"Baptiste Miossec")</f>
        <v>Baptiste Miossec</v>
      </c>
      <c r="I61" s="50" t="str">
        <f aca="false">IFERROR(__xludf.dummyfunction("""COMPUTED_VALUE"""),"Médaille de semi marathon ")</f>
        <v>Médaille de semi marathon 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</row>
    <row r="62" customFormat="false" ht="15.75" hidden="false" customHeight="false" outlineLevel="0" collapsed="false">
      <c r="A62" s="76" t="n">
        <f aca="false">A61+1</f>
        <v>61</v>
      </c>
      <c r="B62" s="70" t="n">
        <f aca="false">IFERROR(__xludf.dummyfunction("filter(Famillesid!$22:$22,(Famillesid!$16:$16=A62)+(Famillesid!$17:$17=A62)+(Famillesid!$18:$18=A62)+(Famillesid!$19:$19=A62)+(Famillesid!$20:$20=A62)+(Famillesid!$21:$21=A62))"),61)</f>
        <v>61</v>
      </c>
      <c r="C62" s="77" t="str">
        <f aca="false">IFERROR(__xludf.dummyfunction("""COMPUTED_VALUE"""),"Antoine Dupuis")</f>
        <v>Antoine Dupuis</v>
      </c>
      <c r="D62" s="78" t="str">
        <f aca="false">IFERROR(__xludf.dummyfunction("filter('Réponses au formulaire 1'!T:T,'Réponses au formulaire 1'!B:B=C62)"),"Un ski de qualité supérieure")</f>
        <v>Un ski de qualité supérieure</v>
      </c>
      <c r="E62" s="72" t="s">
        <v>1144</v>
      </c>
      <c r="F62" s="68" t="s">
        <v>1162</v>
      </c>
      <c r="G62" s="15"/>
      <c r="H62" s="76" t="str">
        <f aca="false">IFERROR(__xludf.dummyfunction("""COMPUTED_VALUE"""),"Ferreol GORIOUX")</f>
        <v>Ferreol GORIOUX</v>
      </c>
      <c r="I62" s="50" t="str">
        <f aca="false">IFERROR(__xludf.dummyfunction("""COMPUTED_VALUE"""),"Un maillot de rugby ")</f>
        <v>Un maillot de rugby 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</row>
    <row r="63" customFormat="false" ht="15.75" hidden="false" customHeight="false" outlineLevel="0" collapsed="false">
      <c r="A63" s="76" t="n">
        <f aca="false">A62+1</f>
        <v>62</v>
      </c>
      <c r="B63" s="70" t="n">
        <f aca="false">IFERROR(__xludf.dummyfunction("filter(Famillesid!$22:$22,(Famillesid!$16:$16=A63)+(Famillesid!$17:$17=A63)+(Famillesid!$18:$18=A63)+(Famillesid!$19:$19=A63)+(Famillesid!$20:$20=A63)+(Famillesid!$21:$21=A63))"),16)</f>
        <v>16</v>
      </c>
      <c r="C63" s="77" t="str">
        <f aca="false">IFERROR(__xludf.dummyfunction("""COMPUTED_VALUE"""),"Lilian Dedecker")</f>
        <v>Lilian Dedecker</v>
      </c>
      <c r="D63" s="78" t="str">
        <f aca="false">IFERROR(__xludf.dummyfunction("filter('Réponses au formulaire 1'!T:T,'Réponses au formulaire 1'!B:B=C63)"),"Appareil photo")</f>
        <v>Appareil photo</v>
      </c>
      <c r="E63" s="72"/>
      <c r="F63" s="68"/>
      <c r="G63" s="15"/>
      <c r="H63" s="76" t="str">
        <f aca="false">IFERROR(__xludf.dummyfunction("""COMPUTED_VALUE"""),"Gauthier Maillard")</f>
        <v>Gauthier Maillard</v>
      </c>
      <c r="I63" s="50" t="str">
        <f aca="false">IFERROR(__xludf.dummyfunction("""COMPUTED_VALUE"""),"Une roue de velo")</f>
        <v>Une roue de velo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</row>
    <row r="64" customFormat="false" ht="15.75" hidden="false" customHeight="false" outlineLevel="0" collapsed="false">
      <c r="A64" s="76" t="n">
        <f aca="false">A63+1</f>
        <v>63</v>
      </c>
      <c r="B64" s="70" t="n">
        <f aca="false">IFERROR(__xludf.dummyfunction("filter(Famillesid!$22:$22,(Famillesid!$16:$16=A64)+(Famillesid!$17:$17=A64)+(Famillesid!$18:$18=A64)+(Famillesid!$19:$19=A64)+(Famillesid!$20:$20=A64)+(Famillesid!$21:$21=A64))"),81)</f>
        <v>81</v>
      </c>
      <c r="C64" s="77" t="str">
        <f aca="false">IFERROR(__xludf.dummyfunction("""COMPUTED_VALUE"""),"J'ui une grosse pute")</f>
        <v>J'ui une grosse pute</v>
      </c>
      <c r="D64" s="78" t="str">
        <f aca="false">IFERROR(__xludf.dummyfunction("filter('Réponses au formulaire 1'!T:T,'Réponses au formulaire 1'!B:B=C64)"),"Chapeau de farfadet ")</f>
        <v>Chapeau de farfadet </v>
      </c>
      <c r="E64" s="72"/>
      <c r="F64" s="68"/>
      <c r="G64" s="15"/>
      <c r="H64" s="76" t="str">
        <f aca="false">IFERROR(__xludf.dummyfunction("""COMPUTED_VALUE"""),"Thomas SAEZ")</f>
        <v>Thomas SAEZ</v>
      </c>
      <c r="I64" s="50" t="str">
        <f aca="false">IFERROR(__xludf.dummyfunction("""COMPUTED_VALUE"""),"une truelle avec du platre")</f>
        <v>une truelle avec du platre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</row>
    <row r="65" customFormat="false" ht="15.75" hidden="false" customHeight="false" outlineLevel="0" collapsed="false">
      <c r="A65" s="76" t="n">
        <f aca="false">A64+1</f>
        <v>64</v>
      </c>
      <c r="B65" s="70" t="n">
        <f aca="false">IFERROR(__xludf.dummyfunction("filter(Famillesid!$22:$22,(Famillesid!$16:$16=A65)+(Famillesid!$17:$17=A65)+(Famillesid!$18:$18=A65)+(Famillesid!$19:$19=A65)+(Famillesid!$20:$20=A65)+(Famillesid!$21:$21=A65))"),71)</f>
        <v>71</v>
      </c>
      <c r="C65" s="77" t="str">
        <f aca="false">IFERROR(__xludf.dummyfunction("""COMPUTED_VALUE"""),"Valentine KEMPF")</f>
        <v>Valentine KEMPF</v>
      </c>
      <c r="D65" s="78" t="str">
        <f aca="false">IFERROR(__xludf.dummyfunction("filter('Réponses au formulaire 1'!T:T,'Réponses au formulaire 1'!B:B=C65)"),"Une sonette de vélo ")</f>
        <v>Une sonette de vélo </v>
      </c>
      <c r="E65" s="72"/>
      <c r="F65" s="68"/>
      <c r="G65" s="15"/>
      <c r="H65" s="76" t="str">
        <f aca="false">IFERROR(__xludf.dummyfunction("""COMPUTED_VALUE"""),"Maixent TIGNON")</f>
        <v>Maixent TIGNON</v>
      </c>
      <c r="I65" s="50" t="str">
        <f aca="false">IFERROR(__xludf.dummyfunction("""COMPUTED_VALUE"""),"Une chaise de bureau en bien bel état")</f>
        <v>Une chaise de bureau en bien bel état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</row>
    <row r="66" customFormat="false" ht="15.75" hidden="false" customHeight="false" outlineLevel="0" collapsed="false">
      <c r="A66" s="76" t="n">
        <f aca="false">A65+1</f>
        <v>65</v>
      </c>
      <c r="B66" s="70" t="n">
        <f aca="false">IFERROR(__xludf.dummyfunction("filter(Famillesid!$22:$22,(Famillesid!$16:$16=A66)+(Famillesid!$17:$17=A66)+(Famillesid!$18:$18=A66)+(Famillesid!$19:$19=A66)+(Famillesid!$20:$20=A66)+(Famillesid!$21:$21=A66))"),86)</f>
        <v>86</v>
      </c>
      <c r="C66" s="77" t="str">
        <f aca="false">IFERROR(__xludf.dummyfunction("""COMPUTED_VALUE"""),"Charlotte Fosse")</f>
        <v>Charlotte Fosse</v>
      </c>
      <c r="D66" s="78" t="str">
        <f aca="false">IFERROR(__xludf.dummyfunction("filter('Réponses au formulaire 1'!T:T,'Réponses au formulaire 1'!B:B=C66)"),"Choix en cours")</f>
        <v>Choix en cours</v>
      </c>
      <c r="E66" s="72"/>
      <c r="F66" s="68"/>
      <c r="G66" s="15"/>
      <c r="H66" s="76" t="str">
        <f aca="false">IFERROR(__xludf.dummyfunction("""COMPUTED_VALUE"""),"Quentin Peyle")</f>
        <v>Quentin Peyle</v>
      </c>
      <c r="I66" s="50" t="str">
        <f aca="false">IFERROR(__xludf.dummyfunction("""COMPUTED_VALUE"""),"Une bêche ")</f>
        <v>Une bêche 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</row>
    <row r="67" customFormat="false" ht="15.75" hidden="false" customHeight="false" outlineLevel="0" collapsed="false">
      <c r="A67" s="76" t="n">
        <f aca="false">A66+1</f>
        <v>66</v>
      </c>
      <c r="B67" s="70" t="n">
        <f aca="false">IFERROR(__xludf.dummyfunction("filter(Famillesid!$22:$22,(Famillesid!$16:$16=A67)+(Famillesid!$17:$17=A67)+(Famillesid!$18:$18=A67)+(Famillesid!$19:$19=A67)+(Famillesid!$20:$20=A67)+(Famillesid!$21:$21=A67))"),36)</f>
        <v>36</v>
      </c>
      <c r="C67" s="77" t="str">
        <f aca="false">IFERROR(__xludf.dummyfunction("""COMPUTED_VALUE"""),"Julien LACOUR")</f>
        <v>Julien LACOUR</v>
      </c>
      <c r="D67" s="78" t="str">
        <f aca="false">IFERROR(__xludf.dummyfunction("filter('Réponses au formulaire 1'!T:T,'Réponses au formulaire 1'!B:B=C67)"),"Peluche Snoopy")</f>
        <v>Peluche Snoopy</v>
      </c>
      <c r="E67" s="72"/>
      <c r="F67" s="68"/>
      <c r="G67" s="15"/>
      <c r="H67" s="76" t="str">
        <f aca="false">IFERROR(__xludf.dummyfunction("""COMPUTED_VALUE"""),"Lucas Baraton")</f>
        <v>Lucas Baraton</v>
      </c>
      <c r="I67" s="50" t="str">
        <f aca="false">IFERROR(__xludf.dummyfunction("""COMPUTED_VALUE"""),"Boîte de glaçons ")</f>
        <v>Boîte de glaçons 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</row>
    <row r="68" customFormat="false" ht="15.75" hidden="false" customHeight="false" outlineLevel="0" collapsed="false">
      <c r="A68" s="76" t="n">
        <f aca="false">A67+1</f>
        <v>67</v>
      </c>
      <c r="B68" s="70" t="n">
        <f aca="false">IFERROR(__xludf.dummyfunction("filter(Famillesid!$22:$22,(Famillesid!$16:$16=A68)+(Famillesid!$17:$17=A68)+(Famillesid!$18:$18=A68)+(Famillesid!$19:$19=A68)+(Famillesid!$20:$20=A68)+(Famillesid!$21:$21=A68))"),31)</f>
        <v>31</v>
      </c>
      <c r="C68" s="77" t="str">
        <f aca="false">IFERROR(__xludf.dummyfunction("""COMPUTED_VALUE"""),"Irène Le Borgne")</f>
        <v>Irène Le Borgne</v>
      </c>
      <c r="D68" s="78" t="str">
        <f aca="false">IFERROR(__xludf.dummyfunction("filter('Réponses au formulaire 1'!T:T,'Réponses au formulaire 1'!B:B=C68)"),"Un kway orange")</f>
        <v>Un kway orange</v>
      </c>
      <c r="E68" s="72"/>
      <c r="F68" s="68"/>
      <c r="G68" s="15"/>
      <c r="H68" s="76" t="str">
        <f aca="false">IFERROR(__xludf.dummyfunction("""COMPUTED_VALUE"""),"Martin Fauchille-Martin")</f>
        <v>Martin Fauchille-Martin</v>
      </c>
      <c r="I68" s="50" t="str">
        <f aca="false">IFERROR(__xludf.dummyfunction("""COMPUTED_VALUE"""),"Le petit Némo")</f>
        <v>Le petit Némo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</row>
    <row r="69" customFormat="false" ht="15.75" hidden="false" customHeight="false" outlineLevel="0" collapsed="false">
      <c r="A69" s="76" t="n">
        <f aca="false">A68+1</f>
        <v>68</v>
      </c>
      <c r="B69" s="70" t="n">
        <f aca="false">IFERROR(__xludf.dummyfunction("filter(Famillesid!$22:$22,(Famillesid!$16:$16=A69)+(Famillesid!$17:$17=A69)+(Famillesid!$18:$18=A69)+(Famillesid!$19:$19=A69)+(Famillesid!$20:$20=A69)+(Famillesid!$21:$21=A69))"),86)</f>
        <v>86</v>
      </c>
      <c r="C69" s="77" t="str">
        <f aca="false">IFERROR(__xludf.dummyfunction("""COMPUTED_VALUE"""),"Aurélien DE LA HOUGUE")</f>
        <v>Aurélien DE LA HOUGUE</v>
      </c>
      <c r="D69" s="78" t="str">
        <f aca="false">IFERROR(__xludf.dummyfunction("filter('Réponses au formulaire 1'!T:T,'Réponses au formulaire 1'!B:B=C69)"),"Une spirale hypnotisante")</f>
        <v>Une spirale hypnotisante</v>
      </c>
      <c r="E69" s="72"/>
      <c r="F69" s="68"/>
      <c r="G69" s="15"/>
      <c r="H69" s="76" t="str">
        <f aca="false">IFERROR(__xludf.dummyfunction("""COMPUTED_VALUE"""),"Nils Hornet")</f>
        <v>Nils Hornet</v>
      </c>
      <c r="I69" s="50" t="str">
        <f aca="false">IFERROR(__xludf.dummyfunction("""COMPUTED_VALUE"""),"Une tongue ")</f>
        <v>Une tongue 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</row>
    <row r="70" customFormat="false" ht="15.75" hidden="false" customHeight="false" outlineLevel="0" collapsed="false">
      <c r="A70" s="76" t="n">
        <f aca="false">A69+1</f>
        <v>69</v>
      </c>
      <c r="B70" s="70" t="n">
        <f aca="false">IFERROR(__xludf.dummyfunction("filter(Famillesid!$22:$22,(Famillesid!$16:$16=A70)+(Famillesid!$17:$17=A70)+(Famillesid!$18:$18=A70)+(Famillesid!$19:$19=A70)+(Famillesid!$20:$20=A70)+(Famillesid!$21:$21=A70))"),86)</f>
        <v>86</v>
      </c>
      <c r="C70" s="77" t="str">
        <f aca="false">IFERROR(__xludf.dummyfunction("""COMPUTED_VALUE"""),"Matthieu BARCET")</f>
        <v>Matthieu BARCET</v>
      </c>
      <c r="D70" s="78" t="str">
        <f aca="false">IFERROR(__xludf.dummyfunction("filter('Réponses au formulaire 1'!T:T,'Réponses au formulaire 1'!B:B=C70)"),"Un bout de voile")</f>
        <v>Un bout de voile</v>
      </c>
      <c r="E70" s="72"/>
      <c r="F70" s="68"/>
      <c r="G70" s="15"/>
      <c r="H70" s="76" t="str">
        <f aca="false">IFERROR(__xludf.dummyfunction("""COMPUTED_VALUE"""),"Thomas MEDORI")</f>
        <v>Thomas MEDORI</v>
      </c>
      <c r="I70" s="50" t="str">
        <f aca="false">IFERROR(__xludf.dummyfunction("""COMPUTED_VALUE"""),"Aquarium")</f>
        <v>Aquarium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</row>
    <row r="71" customFormat="false" ht="15.75" hidden="false" customHeight="false" outlineLevel="0" collapsed="false">
      <c r="A71" s="76" t="n">
        <f aca="false">A70+1</f>
        <v>70</v>
      </c>
      <c r="B71" s="70" t="n">
        <f aca="false">IFERROR(__xludf.dummyfunction("filter(Famillesid!$22:$22,(Famillesid!$16:$16=A71)+(Famillesid!$17:$17=A71)+(Famillesid!$18:$18=A71)+(Famillesid!$19:$19=A71)+(Famillesid!$20:$20=A71)+(Famillesid!$21:$21=A71))"),91)</f>
        <v>91</v>
      </c>
      <c r="C71" s="77" t="str">
        <f aca="false">IFERROR(__xludf.dummyfunction("""COMPUTED_VALUE"""),"Marie VIOLLEAU")</f>
        <v>Marie VIOLLEAU</v>
      </c>
      <c r="D71" s="78" t="str">
        <f aca="false">IFERROR(__xludf.dummyfunction("filter('Réponses au formulaire 1'!T:T,'Réponses au formulaire 1'!B:B=C71)"),"Une béquille ")</f>
        <v>Une béquille </v>
      </c>
      <c r="E71" s="72"/>
      <c r="F71" s="68"/>
      <c r="G71" s="15"/>
      <c r="H71" s="76" t="str">
        <f aca="false">IFERROR(__xludf.dummyfunction("""COMPUTED_VALUE"""),"Aurèle HAINAUT")</f>
        <v>Aurèle HAINAUT</v>
      </c>
      <c r="I71" s="50" t="str">
        <f aca="false">IFERROR(__xludf.dummyfunction("""COMPUTED_VALUE"""),"Un flacon de poppy ")</f>
        <v>Un flacon de poppy 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</row>
    <row r="72" customFormat="false" ht="15.75" hidden="false" customHeight="false" outlineLevel="0" collapsed="false">
      <c r="A72" s="76" t="n">
        <f aca="false">A71+1</f>
        <v>71</v>
      </c>
      <c r="B72" s="70" t="n">
        <f aca="false">IFERROR(__xludf.dummyfunction("filter(Famillesid!$22:$22,(Famillesid!$16:$16=A72)+(Famillesid!$17:$17=A72)+(Famillesid!$18:$18=A72)+(Famillesid!$19:$19=A72)+(Famillesid!$20:$20=A72)+(Famillesid!$21:$21=A72))"),91)</f>
        <v>91</v>
      </c>
      <c r="C72" s="77" t="str">
        <f aca="false">IFERROR(__xludf.dummyfunction("""COMPUTED_VALUE"""),"Mathieu ZACH")</f>
        <v>Mathieu ZACH</v>
      </c>
      <c r="D72" s="78" t="str">
        <f aca="false">IFERROR(__xludf.dummyfunction("filter('Réponses au formulaire 1'!T:T,'Réponses au formulaire 1'!B:B=C72)"),"Poster sympathique ")</f>
        <v>Poster sympathique </v>
      </c>
      <c r="E72" s="72"/>
      <c r="F72" s="68"/>
      <c r="G72" s="15"/>
      <c r="H72" s="76" t="str">
        <f aca="false">IFERROR(__xludf.dummyfunction("""COMPUTED_VALUE"""),"Aurèle DALIBOT")</f>
        <v>Aurèle DALIBOT</v>
      </c>
      <c r="I72" s="50" t="str">
        <f aca="false">IFERROR(__xludf.dummyfunction("""COMPUTED_VALUE"""),"Un chibros")</f>
        <v>Un chibros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</row>
    <row r="73" customFormat="false" ht="15.75" hidden="false" customHeight="false" outlineLevel="0" collapsed="false">
      <c r="A73" s="76" t="n">
        <f aca="false">A72+1</f>
        <v>72</v>
      </c>
      <c r="B73" s="70" t="n">
        <f aca="false">IFERROR(__xludf.dummyfunction("filter(Famillesid!$22:$22,(Famillesid!$16:$16=A73)+(Famillesid!$17:$17=A73)+(Famillesid!$18:$18=A73)+(Famillesid!$19:$19=A73)+(Famillesid!$20:$20=A73)+(Famillesid!$21:$21=A73))"),91)</f>
        <v>91</v>
      </c>
      <c r="C73" s="77" t="str">
        <f aca="false">IFERROR(__xludf.dummyfunction("""COMPUTED_VALUE"""),"Iris PROUST")</f>
        <v>Iris PROUST</v>
      </c>
      <c r="D73" s="78" t="str">
        <f aca="false">IFERROR(__xludf.dummyfunction("filter('Réponses au formulaire 1'!T:T,'Réponses au formulaire 1'!B:B=C73)"),"cannelés")</f>
        <v>cannelés</v>
      </c>
      <c r="E73" s="72"/>
      <c r="F73" s="68"/>
      <c r="G73" s="15"/>
      <c r="H73" s="76" t="str">
        <f aca="false">IFERROR(__xludf.dummyfunction("""COMPUTED_VALUE"""),"Quentin NIGRON")</f>
        <v>Quentin NIGRON</v>
      </c>
      <c r="I73" s="50" t="str">
        <f aca="false">IFERROR(__xludf.dummyfunction("""COMPUTED_VALUE"""),"Une fiole ")</f>
        <v>Une fiole 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</row>
    <row r="74" customFormat="false" ht="15.75" hidden="false" customHeight="false" outlineLevel="0" collapsed="false">
      <c r="A74" s="76" t="n">
        <f aca="false">A73+1</f>
        <v>73</v>
      </c>
      <c r="B74" s="70" t="n">
        <f aca="false">IFERROR(__xludf.dummyfunction("filter(Famillesid!$22:$22,(Famillesid!$16:$16=A74)+(Famillesid!$17:$17=A74)+(Famillesid!$18:$18=A74)+(Famillesid!$19:$19=A74)+(Famillesid!$20:$20=A74)+(Famillesid!$21:$21=A74))"),86)</f>
        <v>86</v>
      </c>
      <c r="C74" s="77" t="str">
        <f aca="false">IFERROR(__xludf.dummyfunction("""COMPUTED_VALUE"""),"Louis AUGEREAU")</f>
        <v>Louis AUGEREAU</v>
      </c>
      <c r="D74" s="78" t="str">
        <f aca="false">IFERROR(__xludf.dummyfunction("filter('Réponses au formulaire 1'!T:T,'Réponses au formulaire 1'!B:B=C74)"),"Un truc stylé")</f>
        <v>Un truc stylé</v>
      </c>
      <c r="E74" s="72"/>
      <c r="F74" s="68"/>
      <c r="G74" s="15"/>
      <c r="H74" s="76" t="str">
        <f aca="false">IFERROR(__xludf.dummyfunction("""COMPUTED_VALUE"""),"Alessandro MASI")</f>
        <v>Alessandro MASI</v>
      </c>
      <c r="I74" s="50" t="str">
        <f aca="false">IFERROR(__xludf.dummyfunction("""COMPUTED_VALUE"""),".")</f>
        <v>.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</row>
    <row r="75" customFormat="false" ht="15.75" hidden="false" customHeight="false" outlineLevel="0" collapsed="false">
      <c r="A75" s="76" t="n">
        <f aca="false">A74+1</f>
        <v>74</v>
      </c>
      <c r="B75" s="70" t="n">
        <f aca="false">IFERROR(__xludf.dummyfunction("filter(Famillesid!$22:$22,(Famillesid!$16:$16=A75)+(Famillesid!$17:$17=A75)+(Famillesid!$18:$18=A75)+(Famillesid!$19:$19=A75)+(Famillesid!$20:$20=A75)+(Famillesid!$21:$21=A75))"),86)</f>
        <v>86</v>
      </c>
      <c r="C75" s="77" t="str">
        <f aca="false">IFERROR(__xludf.dummyfunction("""COMPUTED_VALUE"""),"Céline Balmes")</f>
        <v>Céline Balmes</v>
      </c>
      <c r="D75" s="78" t="str">
        <f aca="false">IFERROR(__xludf.dummyfunction("filter('Réponses au formulaire 1'!T:T,'Réponses au formulaire 1'!B:B=C75)"),"Cape Winterf'aigle")</f>
        <v>Cape Winterf'aigle</v>
      </c>
      <c r="E75" s="72"/>
      <c r="F75" s="68"/>
      <c r="G75" s="15"/>
      <c r="H75" s="76" t="str">
        <f aca="false">IFERROR(__xludf.dummyfunction("""COMPUTED_VALUE"""),"Robin Tanquerel")</f>
        <v>Robin Tanquerel</v>
      </c>
      <c r="I75" s="50" t="str">
        <f aca="false">IFERROR(__xludf.dummyfunction("""COMPUTED_VALUE"""),"Du JDR et de l'alcool ")</f>
        <v>Du JDR et de l'alcool 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</row>
    <row r="76" customFormat="false" ht="15.75" hidden="false" customHeight="false" outlineLevel="0" collapsed="false">
      <c r="A76" s="76" t="n">
        <f aca="false">A75+1</f>
        <v>75</v>
      </c>
      <c r="B76" s="70" t="n">
        <f aca="false">IFERROR(__xludf.dummyfunction("filter(Famillesid!$22:$22,(Famillesid!$16:$16=A76)+(Famillesid!$17:$17=A76)+(Famillesid!$18:$18=A76)+(Famillesid!$19:$19=A76)+(Famillesid!$20:$20=A76)+(Famillesid!$21:$21=A76))"),86)</f>
        <v>86</v>
      </c>
      <c r="C76" s="77" t="str">
        <f aca="false">IFERROR(__xludf.dummyfunction("""COMPUTED_VALUE"""),"Paul SIMON")</f>
        <v>Paul SIMON</v>
      </c>
      <c r="D76" s="78" t="str">
        <f aca="false">IFERROR(__xludf.dummyfunction("filter('Réponses au formulaire 1'!T:T,'Réponses au formulaire 1'!B:B=C76)"),"De l'amour")</f>
        <v>De l'amour</v>
      </c>
      <c r="E76" s="72"/>
      <c r="F76" s="68"/>
      <c r="G76" s="15"/>
      <c r="H76" s="76" t="str">
        <f aca="false">IFERROR(__xludf.dummyfunction("""COMPUTED_VALUE"""),"Nathan Gérard")</f>
        <v>Nathan Gérard</v>
      </c>
      <c r="I76" s="50" t="str">
        <f aca="false">IFERROR(__xludf.dummyfunction("""COMPUTED_VALUE"""),"Un calendrier Clara Morgane")</f>
        <v>Un calendrier Clara Morgane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</row>
    <row r="77" customFormat="false" ht="15.75" hidden="false" customHeight="false" outlineLevel="0" collapsed="false">
      <c r="A77" s="76" t="n">
        <f aca="false">A76+1</f>
        <v>76</v>
      </c>
      <c r="B77" s="70" t="n">
        <f aca="false">IFERROR(__xludf.dummyfunction("filter(Famillesid!$22:$22,(Famillesid!$16:$16=A77)+(Famillesid!$17:$17=A77)+(Famillesid!$18:$18=A77)+(Famillesid!$19:$19=A77)+(Famillesid!$20:$20=A77)+(Famillesid!$21:$21=A77))"),66)</f>
        <v>66</v>
      </c>
      <c r="C77" s="77" t="str">
        <f aca="false">IFERROR(__xludf.dummyfunction("""COMPUTED_VALUE"""),"Paul CHAUVIN")</f>
        <v>Paul CHAUVIN</v>
      </c>
      <c r="D77" s="78" t="str">
        <f aca="false">IFERROR(__xludf.dummyfunction("filter('Réponses au formulaire 1'!T:T,'Réponses au formulaire 1'!B:B=C77)"),"je sais pas encore ")</f>
        <v>je sais pas encore </v>
      </c>
      <c r="E77" s="72"/>
      <c r="F77" s="68"/>
      <c r="G77" s="15"/>
      <c r="H77" s="76" t="str">
        <f aca="false">IFERROR(__xludf.dummyfunction("""COMPUTED_VALUE"""),"Alizée DIATCHENKO")</f>
        <v>Alizée DIATCHENKO</v>
      </c>
      <c r="I77" s="50" t="str">
        <f aca="false">IFERROR(__xludf.dummyfunction("""COMPUTED_VALUE"""),"Une étoile")</f>
        <v>Une étoile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</row>
    <row r="78" customFormat="false" ht="15.75" hidden="false" customHeight="false" outlineLevel="0" collapsed="false">
      <c r="A78" s="76" t="n">
        <f aca="false">A77+1</f>
        <v>77</v>
      </c>
      <c r="B78" s="70" t="n">
        <f aca="false">IFERROR(__xludf.dummyfunction("filter(Famillesid!$22:$22,(Famillesid!$16:$16=A78)+(Famillesid!$17:$17=A78)+(Famillesid!$18:$18=A78)+(Famillesid!$19:$19=A78)+(Famillesid!$20:$20=A78)+(Famillesid!$21:$21=A78))"),96)</f>
        <v>96</v>
      </c>
      <c r="C78" s="77" t="str">
        <f aca="false">IFERROR(__xludf.dummyfunction("""COMPUTED_VALUE"""),"Paul MARTEL")</f>
        <v>Paul MARTEL</v>
      </c>
      <c r="D78" s="78" t="str">
        <f aca="false">IFERROR(__xludf.dummyfunction("filter('Réponses au formulaire 1'!T:T,'Réponses au formulaire 1'!B:B=C78)"),"Déguisement ")</f>
        <v>Déguisement </v>
      </c>
      <c r="E78" s="72" t="s">
        <v>1144</v>
      </c>
      <c r="F78" s="68" t="s">
        <v>1158</v>
      </c>
      <c r="G78" s="15"/>
      <c r="H78" s="76" t="str">
        <f aca="false">IFERROR(__xludf.dummyfunction("""COMPUTED_VALUE"""),"Thibaut BERTHOMÉ")</f>
        <v>Thibaut BERTHOMÉ</v>
      </c>
      <c r="I78" s="50" t="str">
        <f aca="false">IFERROR(__xludf.dummyfunction("""COMPUTED_VALUE"""),"Une maquette d'archi lol")</f>
        <v>Une maquette d'archi lol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</row>
    <row r="79" customFormat="false" ht="15.75" hidden="false" customHeight="false" outlineLevel="0" collapsed="false">
      <c r="A79" s="76" t="n">
        <f aca="false">A78+1</f>
        <v>78</v>
      </c>
      <c r="B79" s="70" t="n">
        <f aca="false">IFERROR(__xludf.dummyfunction("filter(Famillesid!$22:$22,(Famillesid!$16:$16=A79)+(Famillesid!$17:$17=A79)+(Famillesid!$18:$18=A79)+(Famillesid!$19:$19=A79)+(Famillesid!$20:$20=A79)+(Famillesid!$21:$21=A79))"),96)</f>
        <v>96</v>
      </c>
      <c r="C79" s="77" t="str">
        <f aca="false">IFERROR(__xludf.dummyfunction("""COMPUTED_VALUE"""),"Pierre-Louis lombard")</f>
        <v>Pierre-Louis lombard</v>
      </c>
      <c r="D79" s="78" t="str">
        <f aca="false">IFERROR(__xludf.dummyfunction("filter('Réponses au formulaire 1'!T:T,'Réponses au formulaire 1'!B:B=C79)"),"Mon bob Charlie ")</f>
        <v>Mon bob Charlie </v>
      </c>
      <c r="E79" s="72" t="s">
        <v>1144</v>
      </c>
      <c r="F79" s="68" t="s">
        <v>1158</v>
      </c>
      <c r="G79" s="15"/>
      <c r="H79" s="76" t="str">
        <f aca="false">IFERROR(__xludf.dummyfunction("""COMPUTED_VALUE"""),"Claire TRINQUET")</f>
        <v>Claire TRINQUET</v>
      </c>
      <c r="I79" s="50" t="str">
        <f aca="false">IFERROR(__xludf.dummyfunction("""COMPUTED_VALUE"""),"Un domino")</f>
        <v>Un domino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</row>
    <row r="80" customFormat="false" ht="15.75" hidden="false" customHeight="false" outlineLevel="0" collapsed="false">
      <c r="A80" s="76" t="n">
        <f aca="false">A79+1</f>
        <v>79</v>
      </c>
      <c r="B80" s="70" t="n">
        <f aca="false">IFERROR(__xludf.dummyfunction("filter(Famillesid!$22:$22,(Famillesid!$16:$16=A80)+(Famillesid!$17:$17=A80)+(Famillesid!$18:$18=A80)+(Famillesid!$19:$19=A80)+(Famillesid!$20:$20=A80)+(Famillesid!$21:$21=A80))"),96)</f>
        <v>96</v>
      </c>
      <c r="C80" s="77" t="str">
        <f aca="false">IFERROR(__xludf.dummyfunction("""COMPUTED_VALUE"""),"Lucas Chaubier")</f>
        <v>Lucas Chaubier</v>
      </c>
      <c r="D80" s="78" t="s">
        <v>1163</v>
      </c>
      <c r="E80" s="72" t="s">
        <v>1144</v>
      </c>
      <c r="F80" s="68" t="s">
        <v>1158</v>
      </c>
      <c r="G80" s="15"/>
      <c r="H80" s="76" t="str">
        <f aca="false">IFERROR(__xludf.dummyfunction("""COMPUTED_VALUE"""),"Sol VILLEGAS")</f>
        <v>Sol VILLEGAS</v>
      </c>
      <c r="I80" s="50" t="str">
        <f aca="false">IFERROR(__xludf.dummyfunction("""COMPUTED_VALUE"""),"JAMONN")</f>
        <v>JAMONN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</row>
    <row r="81" customFormat="false" ht="15.75" hidden="false" customHeight="false" outlineLevel="0" collapsed="false">
      <c r="A81" s="76" t="n">
        <f aca="false">A80+1</f>
        <v>80</v>
      </c>
      <c r="B81" s="70" t="n">
        <f aca="false">IFERROR(__xludf.dummyfunction("filter(Famillesid!$22:$22,(Famillesid!$16:$16=A81)+(Famillesid!$17:$17=A81)+(Famillesid!$18:$18=A81)+(Famillesid!$19:$19=A81)+(Famillesid!$20:$20=A81)+(Famillesid!$21:$21=A81))"),96)</f>
        <v>96</v>
      </c>
      <c r="C81" s="77" t="str">
        <f aca="false">IFERROR(__xludf.dummyfunction("""COMPUTED_VALUE"""),"Matthieu RETIERE")</f>
        <v>Matthieu RETIERE</v>
      </c>
      <c r="D81" s="78" t="str">
        <f aca="false">IFERROR(__xludf.dummyfunction("filter('Réponses au formulaire 1'!T:T,'Réponses au formulaire 1'!B:B=C81)"),"Un truc quali")</f>
        <v>Un truc quali</v>
      </c>
      <c r="E81" s="72" t="s">
        <v>1144</v>
      </c>
      <c r="F81" s="68" t="s">
        <v>1157</v>
      </c>
      <c r="G81" s="15"/>
      <c r="H81" s="76" t="str">
        <f aca="false">IFERROR(__xludf.dummyfunction("""COMPUTED_VALUE"""),"Mario ALVAREZ-CASTRILLON")</f>
        <v>Mario ALVAREZ-CASTRILLON</v>
      </c>
      <c r="I81" s="50" t="str">
        <f aca="false">IFERROR(__xludf.dummyfunction("""COMPUTED_VALUE"""),"Guitare")</f>
        <v>Guitare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</row>
    <row r="82" customFormat="false" ht="15.75" hidden="false" customHeight="false" outlineLevel="0" collapsed="false">
      <c r="A82" s="76" t="n">
        <f aca="false">A81+1</f>
        <v>81</v>
      </c>
      <c r="B82" s="70" t="n">
        <f aca="false">IFERROR(__xludf.dummyfunction("filter(Famillesid!$22:$22,(Famillesid!$16:$16=A82)+(Famillesid!$17:$17=A82)+(Famillesid!$18:$18=A82)+(Famillesid!$19:$19=A82)+(Famillesid!$20:$20=A82)+(Famillesid!$21:$21=A82))"),106)</f>
        <v>106</v>
      </c>
      <c r="C82" s="77" t="str">
        <f aca="false">IFERROR(__xludf.dummyfunction("""COMPUTED_VALUE"""),"Jules SINTES")</f>
        <v>Jules SINTES</v>
      </c>
      <c r="D82" s="78" t="str">
        <f aca="false">IFERROR(__xludf.dummyfunction("filter('Réponses au formulaire 1'!T:T,'Réponses au formulaire 1'!B:B=C82)"),"Ski")</f>
        <v>Ski</v>
      </c>
      <c r="E82" s="72"/>
      <c r="F82" s="68"/>
      <c r="G82" s="15"/>
      <c r="H82" s="76" t="str">
        <f aca="false">IFERROR(__xludf.dummyfunction("""COMPUTED_VALUE"""),"Marie-Jeanne PAUL")</f>
        <v>Marie-Jeanne PAUL</v>
      </c>
      <c r="I82" s="50" t="str">
        <f aca="false">IFERROR(__xludf.dummyfunction("""COMPUTED_VALUE"""),"Je sais pas")</f>
        <v>Je sais pas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</row>
    <row r="83" customFormat="false" ht="15.75" hidden="false" customHeight="false" outlineLevel="0" collapsed="false">
      <c r="A83" s="76" t="n">
        <f aca="false">A82+1</f>
        <v>82</v>
      </c>
      <c r="B83" s="70" t="n">
        <f aca="false">IFERROR(__xludf.dummyfunction("filter(Famillesid!$22:$22,(Famillesid!$16:$16=A83)+(Famillesid!$17:$17=A83)+(Famillesid!$18:$18=A83)+(Famillesid!$19:$19=A83)+(Famillesid!$20:$20=A83)+(Famillesid!$21:$21=A83))"),106)</f>
        <v>106</v>
      </c>
      <c r="C83" s="77" t="str">
        <f aca="false">IFERROR(__xludf.dummyfunction("""COMPUTED_VALUE"""),"Emeric Claudel")</f>
        <v>Emeric Claudel</v>
      </c>
      <c r="D83" s="78" t="str">
        <f aca="false">IFERROR(__xludf.dummyfunction("filter('Réponses au formulaire 1'!T:T,'Réponses au formulaire 1'!B:B=C83)"),"Raffin")</f>
        <v>Raffin</v>
      </c>
      <c r="E83" s="72"/>
      <c r="F83" s="68"/>
      <c r="G83" s="15"/>
      <c r="H83" s="76" t="str">
        <f aca="false">IFERROR(__xludf.dummyfunction("""COMPUTED_VALUE"""),"Vincent Maillou")</f>
        <v>Vincent Maillou</v>
      </c>
      <c r="I83" s="50" t="str">
        <f aca="false">IFERROR(__xludf.dummyfunction("""COMPUTED_VALUE"""),"Un aviron (la rame)")</f>
        <v>Un aviron (la rame)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</row>
    <row r="84" customFormat="false" ht="15.75" hidden="false" customHeight="false" outlineLevel="0" collapsed="false">
      <c r="A84" s="76" t="n">
        <f aca="false">A83+1</f>
        <v>83</v>
      </c>
      <c r="B84" s="70" t="n">
        <f aca="false">IFERROR(__xludf.dummyfunction("filter(Famillesid!$22:$22,(Famillesid!$16:$16=A84)+(Famillesid!$17:$17=A84)+(Famillesid!$18:$18=A84)+(Famillesid!$19:$19=A84)+(Famillesid!$20:$20=A84)+(Famillesid!$21:$21=A84))"),106)</f>
        <v>106</v>
      </c>
      <c r="C84" s="77" t="str">
        <f aca="false">IFERROR(__xludf.dummyfunction("""COMPUTED_VALUE"""),"Thomas AUZARD")</f>
        <v>Thomas AUZARD</v>
      </c>
      <c r="D84" s="78" t="str">
        <f aca="false">IFERROR(__xludf.dummyfunction("filter('Réponses au formulaire 1'!T:T,'Réponses au formulaire 1'!B:B=C84)"),"Une voiture ")</f>
        <v>Une voiture </v>
      </c>
      <c r="E84" s="72" t="s">
        <v>1144</v>
      </c>
      <c r="F84" s="68"/>
      <c r="G84" s="15"/>
      <c r="H84" s="76" t="str">
        <f aca="false">IFERROR(__xludf.dummyfunction("""COMPUTED_VALUE"""),"Alfonso COLON DE CARVAJAL")</f>
        <v>Alfonso COLON DE CARVAJAL</v>
      </c>
      <c r="I84" s="50" t="str">
        <f aca="false">IFERROR(__xludf.dummyfunction("""COMPUTED_VALUE"""),"Vêtements")</f>
        <v>Vêtements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</row>
    <row r="85" customFormat="false" ht="15.75" hidden="false" customHeight="false" outlineLevel="0" collapsed="false">
      <c r="A85" s="76" t="n">
        <f aca="false">A84+1</f>
        <v>84</v>
      </c>
      <c r="B85" s="70" t="n">
        <f aca="false">IFERROR(__xludf.dummyfunction("filter(Famillesid!$22:$22,(Famillesid!$16:$16=A85)+(Famillesid!$17:$17=A85)+(Famillesid!$18:$18=A85)+(Famillesid!$19:$19=A85)+(Famillesid!$20:$20=A85)+(Famillesid!$21:$21=A85))"),106)</f>
        <v>106</v>
      </c>
      <c r="C85" s="77" t="str">
        <f aca="false">IFERROR(__xludf.dummyfunction("""COMPUTED_VALUE"""),"Orson JAY")</f>
        <v>Orson JAY</v>
      </c>
      <c r="D85" s="78" t="str">
        <f aca="false">IFERROR(__xludf.dummyfunction("filter('Réponses au formulaire 1'!T:T,'Réponses au formulaire 1'!B:B=C85)"),"Ski bas")</f>
        <v>Ski bas</v>
      </c>
      <c r="E85" s="72"/>
      <c r="F85" s="68"/>
      <c r="G85" s="15"/>
      <c r="H85" s="76" t="str">
        <f aca="false">IFERROR(__xludf.dummyfunction("""COMPUTED_VALUE"""),"Constance PHILIPPE")</f>
        <v>Constance PHILIPPE</v>
      </c>
      <c r="I85" s="50" t="str">
        <f aca="false">IFERROR(__xludf.dummyfunction("""COMPUTED_VALUE"""),"Pygama")</f>
        <v>Pygama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</row>
    <row r="86" customFormat="false" ht="15.75" hidden="false" customHeight="false" outlineLevel="0" collapsed="false">
      <c r="A86" s="76" t="n">
        <f aca="false">A85+1</f>
        <v>85</v>
      </c>
      <c r="B86" s="70" t="n">
        <f aca="false">IFERROR(__xludf.dummyfunction("filter(Famillesid!$22:$22,(Famillesid!$16:$16=A86)+(Famillesid!$17:$17=A86)+(Famillesid!$18:$18=A86)+(Famillesid!$19:$19=A86)+(Famillesid!$20:$20=A86)+(Famillesid!$21:$21=A86))"),91)</f>
        <v>91</v>
      </c>
      <c r="C86" s="77" t="str">
        <f aca="false">IFERROR(__xludf.dummyfunction("""COMPUTED_VALUE"""),"Sébastien MARAIS")</f>
        <v>Sébastien MARAIS</v>
      </c>
      <c r="D86" s="78" t="str">
        <f aca="false">IFERROR(__xludf.dummyfunction("filter('Réponses au formulaire 1'!T:T,'Réponses au formulaire 1'!B:B=C86)"),"Bonsaï")</f>
        <v>Bonsaï</v>
      </c>
      <c r="E86" s="72"/>
      <c r="F86" s="68"/>
      <c r="G86" s="15"/>
      <c r="H86" s="76" t="str">
        <f aca="false">IFERROR(__xludf.dummyfunction("""COMPUTED_VALUE"""),"Alban VILLEDIEU")</f>
        <v>Alban VILLEDIEU</v>
      </c>
      <c r="I86" s="50" t="str">
        <f aca="false">IFERROR(__xludf.dummyfunction("""COMPUTED_VALUE"""),"Jsp wsh")</f>
        <v>Jsp wsh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</row>
    <row r="87" customFormat="false" ht="15.75" hidden="false" customHeight="false" outlineLevel="0" collapsed="false">
      <c r="A87" s="76" t="n">
        <f aca="false">A86+1</f>
        <v>86</v>
      </c>
      <c r="B87" s="70" t="n">
        <f aca="false">IFERROR(__xludf.dummyfunction("filter(Famillesid!$22:$22,(Famillesid!$16:$16=A87)+(Famillesid!$17:$17=A87)+(Famillesid!$18:$18=A87)+(Famillesid!$19:$19=A87)+(Famillesid!$20:$20=A87)+(Famillesid!$21:$21=A87))"),71)</f>
        <v>71</v>
      </c>
      <c r="C87" s="77" t="str">
        <f aca="false">IFERROR(__xludf.dummyfunction("""COMPUTED_VALUE"""),"Baptiste Miossec")</f>
        <v>Baptiste Miossec</v>
      </c>
      <c r="D87" s="78" t="str">
        <f aca="false">IFERROR(__xludf.dummyfunction("filter('Réponses au formulaire 1'!T:T,'Réponses au formulaire 1'!B:B=C87)"),"Médaille de semi marathon ")</f>
        <v>Médaille de semi marathon </v>
      </c>
      <c r="E87" s="72"/>
      <c r="F87" s="68"/>
      <c r="G87" s="15"/>
      <c r="H87" s="76" t="str">
        <f aca="false">IFERROR(__xludf.dummyfunction("""COMPUTED_VALUE"""),"Marius DUVILLARD")</f>
        <v>Marius DUVILLARD</v>
      </c>
      <c r="I87" s="50" t="str">
        <f aca="false">IFERROR(__xludf.dummyfunction("""COMPUTED_VALUE"""),"une fi'sel")</f>
        <v>une fi'sel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</row>
    <row r="88" customFormat="false" ht="15.75" hidden="false" customHeight="false" outlineLevel="0" collapsed="false">
      <c r="A88" s="76" t="n">
        <f aca="false">A87+1</f>
        <v>87</v>
      </c>
      <c r="B88" s="70" t="n">
        <f aca="false">IFERROR(__xludf.dummyfunction("filter(Famillesid!$22:$22,(Famillesid!$16:$16=A88)+(Famillesid!$17:$17=A88)+(Famillesid!$18:$18=A88)+(Famillesid!$19:$19=A88)+(Famillesid!$20:$20=A88)+(Famillesid!$21:$21=A88))"),111)</f>
        <v>111</v>
      </c>
      <c r="C88" s="77" t="str">
        <f aca="false">IFERROR(__xludf.dummyfunction("""COMPUTED_VALUE"""),"Ferreol GORIOUX")</f>
        <v>Ferreol GORIOUX</v>
      </c>
      <c r="D88" s="78" t="str">
        <f aca="false">IFERROR(__xludf.dummyfunction("filter('Réponses au formulaire 1'!T:T,'Réponses au formulaire 1'!B:B=C88)"),"Un maillot de rugby ")</f>
        <v>Un maillot de rugby </v>
      </c>
      <c r="E88" s="72"/>
      <c r="F88" s="68"/>
      <c r="G88" s="15"/>
      <c r="H88" s="76" t="str">
        <f aca="false">IFERROR(__xludf.dummyfunction("""COMPUTED_VALUE"""),"Pierre Go")</f>
        <v>Pierre Go</v>
      </c>
      <c r="I88" s="50" t="str">
        <f aca="false">IFERROR(__xludf.dummyfunction("""COMPUTED_VALUE"""),"Une machine à barbe a papa")</f>
        <v>Une machine à barbe a papa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</row>
    <row r="89" customFormat="false" ht="15.75" hidden="false" customHeight="false" outlineLevel="0" collapsed="false">
      <c r="A89" s="76" t="n">
        <f aca="false">A88+1</f>
        <v>88</v>
      </c>
      <c r="B89" s="70" t="n">
        <f aca="false">IFERROR(__xludf.dummyfunction("filter(Famillesid!$22:$22,(Famillesid!$16:$16=A89)+(Famillesid!$17:$17=A89)+(Famillesid!$18:$18=A89)+(Famillesid!$19:$19=A89)+(Famillesid!$20:$20=A89)+(Famillesid!$21:$21=A89))"),91)</f>
        <v>91</v>
      </c>
      <c r="C89" s="77" t="str">
        <f aca="false">IFERROR(__xludf.dummyfunction("""COMPUTED_VALUE"""),"Gauthier Maillard")</f>
        <v>Gauthier Maillard</v>
      </c>
      <c r="D89" s="78" t="str">
        <f aca="false">IFERROR(__xludf.dummyfunction("filter('Réponses au formulaire 1'!T:T,'Réponses au formulaire 1'!B:B=C89)"),"Une roue de velo")</f>
        <v>Une roue de velo</v>
      </c>
      <c r="E89" s="72"/>
      <c r="F89" s="68"/>
      <c r="G89" s="15"/>
      <c r="H89" s="76" t="str">
        <f aca="false">IFERROR(__xludf.dummyfunction("""COMPUTED_VALUE"""),"Mitsi R.")</f>
        <v>Mitsi R.</v>
      </c>
      <c r="I89" s="50" t="str">
        <f aca="false">IFERROR(__xludf.dummyfunction("""COMPUTED_VALUE"""),"El sombrero")</f>
        <v>El sombrero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</row>
    <row r="90" customFormat="false" ht="15.75" hidden="false" customHeight="false" outlineLevel="0" collapsed="false">
      <c r="A90" s="76" t="n">
        <f aca="false">A89+1</f>
        <v>89</v>
      </c>
      <c r="B90" s="70" t="n">
        <f aca="false">IFERROR(__xludf.dummyfunction("filter(Famillesid!$22:$22,(Famillesid!$16:$16=A90)+(Famillesid!$17:$17=A90)+(Famillesid!$18:$18=A90)+(Famillesid!$19:$19=A90)+(Famillesid!$20:$20=A90)+(Famillesid!$21:$21=A90))"),116)</f>
        <v>116</v>
      </c>
      <c r="C90" s="77" t="str">
        <f aca="false">IFERROR(__xludf.dummyfunction("""COMPUTED_VALUE"""),"Thomas SAEZ")</f>
        <v>Thomas SAEZ</v>
      </c>
      <c r="D90" s="78" t="str">
        <f aca="false">IFERROR(__xludf.dummyfunction("filter('Réponses au formulaire 1'!T:T,'Réponses au formulaire 1'!B:B=C90)"),"une truelle avec du platre")</f>
        <v>une truelle avec du platre</v>
      </c>
      <c r="E90" s="72"/>
      <c r="F90" s="68"/>
      <c r="G90" s="15"/>
      <c r="H90" s="76" t="str">
        <f aca="false">IFERROR(__xludf.dummyfunction("""COMPUTED_VALUE"""),"Valentin Antonio")</f>
        <v>Valentin Antonio</v>
      </c>
      <c r="I90" s="50" t="str">
        <f aca="false">IFERROR(__xludf.dummyfunction("""COMPUTED_VALUE"""),"une balle de hand")</f>
        <v>une balle de hand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</row>
    <row r="91" customFormat="false" ht="15.75" hidden="false" customHeight="false" outlineLevel="0" collapsed="false">
      <c r="A91" s="76" t="n">
        <f aca="false">A90+1</f>
        <v>90</v>
      </c>
      <c r="B91" s="70" t="n">
        <f aca="false">IFERROR(__xludf.dummyfunction("filter(Famillesid!$22:$22,(Famillesid!$16:$16=A91)+(Famillesid!$17:$17=A91)+(Famillesid!$18:$18=A91)+(Famillesid!$19:$19=A91)+(Famillesid!$20:$20=A91)+(Famillesid!$21:$21=A91))"),91)</f>
        <v>91</v>
      </c>
      <c r="C91" s="77" t="str">
        <f aca="false">IFERROR(__xludf.dummyfunction("""COMPUTED_VALUE"""),"Maixent TIGNON")</f>
        <v>Maixent TIGNON</v>
      </c>
      <c r="D91" s="78" t="str">
        <f aca="false">IFERROR(__xludf.dummyfunction("filter('Réponses au formulaire 1'!T:T,'Réponses au formulaire 1'!B:B=C91)"),"Une chaise de bureau en bien bel état")</f>
        <v>Une chaise de bureau en bien bel état</v>
      </c>
      <c r="E91" s="72"/>
      <c r="F91" s="68"/>
      <c r="G91" s="15"/>
      <c r="H91" s="76" t="str">
        <f aca="false">IFERROR(__xludf.dummyfunction("""COMPUTED_VALUE"""),"Alizée AMSLER")</f>
        <v>Alizée AMSLER</v>
      </c>
      <c r="I91" s="50" t="str">
        <f aca="false">IFERROR(__xludf.dummyfunction("""COMPUTED_VALUE"""),"Jeu de wii ")</f>
        <v>Jeu de wii 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</row>
    <row r="92" customFormat="false" ht="15.75" hidden="false" customHeight="false" outlineLevel="0" collapsed="false">
      <c r="A92" s="76" t="n">
        <f aca="false">A91+1</f>
        <v>91</v>
      </c>
      <c r="B92" s="70" t="n">
        <f aca="false">IFERROR(__xludf.dummyfunction("filter(Famillesid!$22:$22,(Famillesid!$16:$16=A92)+(Famillesid!$17:$17=A92)+(Famillesid!$18:$18=A92)+(Famillesid!$19:$19=A92)+(Famillesid!$20:$20=A92)+(Famillesid!$21:$21=A92))"),11)</f>
        <v>11</v>
      </c>
      <c r="C92" s="77" t="str">
        <f aca="false">IFERROR(__xludf.dummyfunction("""COMPUTED_VALUE"""),"Quentin Peyle")</f>
        <v>Quentin Peyle</v>
      </c>
      <c r="D92" s="78" t="str">
        <f aca="false">IFERROR(__xludf.dummyfunction("filter('Réponses au formulaire 1'!T:T,'Réponses au formulaire 1'!B:B=C92)"),"Une bêche ")</f>
        <v>Une bêche </v>
      </c>
      <c r="E92" s="72"/>
      <c r="F92" s="68"/>
      <c r="G92" s="15"/>
      <c r="H92" s="76" t="str">
        <f aca="false">IFERROR(__xludf.dummyfunction("""COMPUTED_VALUE"""),"Mai-Vi VU")</f>
        <v>Mai-Vi VU</v>
      </c>
      <c r="I92" s="50" t="str">
        <f aca="false">IFERROR(__xludf.dummyfunction("""COMPUTED_VALUE"""),"Une genouillère ")</f>
        <v>Une genouillère 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</row>
    <row r="93" customFormat="false" ht="15.75" hidden="false" customHeight="false" outlineLevel="0" collapsed="false">
      <c r="A93" s="76" t="n">
        <f aca="false">A92+1</f>
        <v>92</v>
      </c>
      <c r="B93" s="70" t="n">
        <f aca="false">IFERROR(__xludf.dummyfunction("filter(Famillesid!$22:$22,(Famillesid!$16:$16=A93)+(Famillesid!$17:$17=A93)+(Famillesid!$18:$18=A93)+(Famillesid!$19:$19=A93)+(Famillesid!$20:$20=A93)+(Famillesid!$21:$21=A93))"),61)</f>
        <v>61</v>
      </c>
      <c r="C93" s="77" t="str">
        <f aca="false">IFERROR(__xludf.dummyfunction("""COMPUTED_VALUE"""),"Lucas Baraton")</f>
        <v>Lucas Baraton</v>
      </c>
      <c r="D93" s="78" t="str">
        <f aca="false">IFERROR(__xludf.dummyfunction("filter('Réponses au formulaire 1'!T:T,'Réponses au formulaire 1'!B:B=C93)"),"Boîte de glaçons ")</f>
        <v>Boîte de glaçons </v>
      </c>
      <c r="E93" s="72"/>
      <c r="F93" s="68"/>
      <c r="G93" s="15"/>
      <c r="H93" s="76" t="str">
        <f aca="false">IFERROR(__xludf.dummyfunction("""COMPUTED_VALUE"""),"Perrine JUILLET")</f>
        <v>Perrine JUILLET</v>
      </c>
      <c r="I93" s="50" t="str">
        <f aca="false">IFERROR(__xludf.dummyfunction("""COMPUTED_VALUE"""),"Mon diplome de bac littéraire")</f>
        <v>Mon diplome de bac littéraire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</row>
    <row r="94" customFormat="false" ht="15.75" hidden="false" customHeight="false" outlineLevel="0" collapsed="false">
      <c r="A94" s="76" t="n">
        <f aca="false">A93+1</f>
        <v>93</v>
      </c>
      <c r="B94" s="70" t="n">
        <f aca="false">IFERROR(__xludf.dummyfunction("filter(Famillesid!$22:$22,(Famillesid!$16:$16=A94)+(Famillesid!$17:$17=A94)+(Famillesid!$18:$18=A94)+(Famillesid!$19:$19=A94)+(Famillesid!$20:$20=A94)+(Famillesid!$21:$21=A94))"),111)</f>
        <v>111</v>
      </c>
      <c r="C94" s="77" t="str">
        <f aca="false">IFERROR(__xludf.dummyfunction("""COMPUTED_VALUE"""),"Samuel RATOUIT")</f>
        <v>Samuel RATOUIT</v>
      </c>
      <c r="D94" s="78" t="str">
        <f aca="false">IFERROR(__xludf.dummyfunction("filter('Réponses au formulaire 1'!T:T,'Réponses au formulaire 1'!B:B=C94)"),"Un Chapelet ")</f>
        <v>Un Chapelet </v>
      </c>
      <c r="E94" s="72" t="s">
        <v>1144</v>
      </c>
      <c r="F94" s="68" t="s">
        <v>1157</v>
      </c>
      <c r="G94" s="15"/>
      <c r="H94" s="76" t="str">
        <f aca="false">IFERROR(__xludf.dummyfunction("""COMPUTED_VALUE"""),"Maxence PASCAL")</f>
        <v>Maxence PASCAL</v>
      </c>
      <c r="I94" s="50" t="str">
        <f aca="false">IFERROR(__xludf.dummyfunction("""COMPUTED_VALUE"""),"Manette de console")</f>
        <v>Manette de console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</row>
    <row r="95" customFormat="false" ht="15.75" hidden="false" customHeight="false" outlineLevel="0" collapsed="false">
      <c r="A95" s="76" t="n">
        <f aca="false">A94+1</f>
        <v>94</v>
      </c>
      <c r="B95" s="70" t="n">
        <f aca="false">IFERROR(__xludf.dummyfunction("filter(Famillesid!$22:$22,(Famillesid!$16:$16=A95)+(Famillesid!$17:$17=A95)+(Famillesid!$18:$18=A95)+(Famillesid!$19:$19=A95)+(Famillesid!$20:$20=A95)+(Famillesid!$21:$21=A95))"),111)</f>
        <v>111</v>
      </c>
      <c r="C95" s="77" t="str">
        <f aca="false">IFERROR(__xludf.dummyfunction("""COMPUTED_VALUE"""),"Martin Fauchille-Martin")</f>
        <v>Martin Fauchille-Martin</v>
      </c>
      <c r="D95" s="78" t="str">
        <f aca="false">IFERROR(__xludf.dummyfunction("filter('Réponses au formulaire 1'!T:T,'Réponses au formulaire 1'!B:B=C95)"),"Le petit Némo")</f>
        <v>Le petit Némo</v>
      </c>
      <c r="E95" s="72"/>
      <c r="F95" s="68"/>
      <c r="G95" s="15"/>
      <c r="H95" s="76" t="str">
        <f aca="false">IFERROR(__xludf.dummyfunction("""COMPUTED_VALUE"""),"Lisa SAVARIEAU")</f>
        <v>Lisa SAVARIEAU</v>
      </c>
      <c r="I95" s="50" t="str">
        <f aca="false">IFERROR(__xludf.dummyfunction("""COMPUTED_VALUE"""),"Tomates cerises")</f>
        <v>Tomates cerises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</row>
    <row r="96" customFormat="false" ht="15.75" hidden="false" customHeight="false" outlineLevel="0" collapsed="false">
      <c r="A96" s="76" t="n">
        <f aca="false">A95+1</f>
        <v>95</v>
      </c>
      <c r="B96" s="70" t="n">
        <f aca="false">IFERROR(__xludf.dummyfunction("filter(Famillesid!$22:$22,(Famillesid!$16:$16=A96)+(Famillesid!$17:$17=A96)+(Famillesid!$18:$18=A96)+(Famillesid!$19:$19=A96)+(Famillesid!$20:$20=A96)+(Famillesid!$21:$21=A96))"),111)</f>
        <v>111</v>
      </c>
      <c r="C96" s="77" t="str">
        <f aca="false">IFERROR(__xludf.dummyfunction("""COMPUTED_VALUE"""),"Nils Hornet")</f>
        <v>Nils Hornet</v>
      </c>
      <c r="D96" s="78" t="str">
        <f aca="false">IFERROR(__xludf.dummyfunction("filter('Réponses au formulaire 1'!T:T,'Réponses au formulaire 1'!B:B=C96)"),"Une tongue ")</f>
        <v>Une tongue </v>
      </c>
      <c r="E96" s="72"/>
      <c r="F96" s="68"/>
      <c r="G96" s="15"/>
      <c r="H96" s="76" t="str">
        <f aca="false">IFERROR(__xludf.dummyfunction("""COMPUTED_VALUE"""),"Ludivine LUXEY")</f>
        <v>Ludivine LUXEY</v>
      </c>
      <c r="I96" s="50" t="str">
        <f aca="false">IFERROR(__xludf.dummyfunction("""COMPUTED_VALUE"""),"Drapeau rugby ")</f>
        <v>Drapeau rugby 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</row>
    <row r="97" customFormat="false" ht="15.75" hidden="false" customHeight="false" outlineLevel="0" collapsed="false">
      <c r="A97" s="76" t="n">
        <f aca="false">A96+1</f>
        <v>96</v>
      </c>
      <c r="B97" s="70" t="n">
        <f aca="false">IFERROR(__xludf.dummyfunction("filter(Famillesid!$22:$22,(Famillesid!$16:$16=A97)+(Famillesid!$17:$17=A97)+(Famillesid!$18:$18=A97)+(Famillesid!$19:$19=A97)+(Famillesid!$20:$20=A97)+(Famillesid!$21:$21=A97))"),121)</f>
        <v>121</v>
      </c>
      <c r="C97" s="77" t="str">
        <f aca="false">IFERROR(__xludf.dummyfunction("""COMPUTED_VALUE"""),"Thomas MEDORI")</f>
        <v>Thomas MEDORI</v>
      </c>
      <c r="D97" s="78" t="str">
        <f aca="false">IFERROR(__xludf.dummyfunction("filter('Réponses au formulaire 1'!T:T,'Réponses au formulaire 1'!B:B=C97)"),"Aquarium")</f>
        <v>Aquarium</v>
      </c>
      <c r="E97" s="72"/>
      <c r="F97" s="68"/>
      <c r="G97" s="15"/>
      <c r="H97" s="76" t="str">
        <f aca="false">IFERROR(__xludf.dummyfunction("""COMPUTED_VALUE"""),"Henrique MARTINEZ DE AZEVEDO")</f>
        <v>Henrique MARTINEZ DE AZEVEDO</v>
      </c>
      <c r="I97" s="50" t="str">
        <f aca="false">IFERROR(__xludf.dummyfunction("""COMPUTED_VALUE"""),"une fausse canne a peche, peut-etre")</f>
        <v>une fausse canne a peche, peut-etre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</row>
    <row r="98" customFormat="false" ht="15.75" hidden="false" customHeight="false" outlineLevel="0" collapsed="false">
      <c r="A98" s="76" t="n">
        <f aca="false">A97+1</f>
        <v>97</v>
      </c>
      <c r="B98" s="70" t="n">
        <f aca="false">IFERROR(__xludf.dummyfunction("filter(Famillesid!$22:$22,(Famillesid!$16:$16=A98)+(Famillesid!$17:$17=A98)+(Famillesid!$18:$18=A98)+(Famillesid!$19:$19=A98)+(Famillesid!$20:$20=A98)+(Famillesid!$21:$21=A98))"),121)</f>
        <v>121</v>
      </c>
      <c r="C98" s="77" t="str">
        <f aca="false">IFERROR(__xludf.dummyfunction("""COMPUTED_VALUE"""),"Aurèle HAINAUT")</f>
        <v>Aurèle HAINAUT</v>
      </c>
      <c r="D98" s="78" t="str">
        <f aca="false">IFERROR(__xludf.dummyfunction("filter('Réponses au formulaire 1'!T:T,'Réponses au formulaire 1'!B:B=C98)"),"Un flacon de poppy ")</f>
        <v>Un flacon de poppy </v>
      </c>
      <c r="E98" s="72"/>
      <c r="F98" s="68"/>
      <c r="G98" s="15"/>
      <c r="H98" s="76" t="str">
        <f aca="false">IFERROR(__xludf.dummyfunction("""COMPUTED_VALUE"""),"Ariane BERGER")</f>
        <v>Ariane BERGER</v>
      </c>
      <c r="I98" s="50" t="str">
        <f aca="false">IFERROR(__xludf.dummyfunction("""COMPUTED_VALUE"""),"Une bougie")</f>
        <v>Une bougie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</row>
    <row r="99" customFormat="false" ht="15.75" hidden="false" customHeight="false" outlineLevel="0" collapsed="false">
      <c r="A99" s="76" t="n">
        <f aca="false">A98+1</f>
        <v>98</v>
      </c>
      <c r="B99" s="70" t="n">
        <f aca="false">IFERROR(__xludf.dummyfunction("filter(Famillesid!$22:$22,(Famillesid!$16:$16=A99)+(Famillesid!$17:$17=A99)+(Famillesid!$18:$18=A99)+(Famillesid!$19:$19=A99)+(Famillesid!$20:$20=A99)+(Famillesid!$21:$21=A99))"),121)</f>
        <v>121</v>
      </c>
      <c r="C99" s="77" t="str">
        <f aca="false">IFERROR(__xludf.dummyfunction("""COMPUTED_VALUE"""),"Aurèle DALIBOT")</f>
        <v>Aurèle DALIBOT</v>
      </c>
      <c r="D99" s="78" t="str">
        <f aca="false">IFERROR(__xludf.dummyfunction("filter('Réponses au formulaire 1'!T:T,'Réponses au formulaire 1'!B:B=C99)"),"Un chibros")</f>
        <v>Un chibros</v>
      </c>
      <c r="E99" s="72"/>
      <c r="F99" s="68"/>
      <c r="G99" s="15"/>
      <c r="H99" s="76" t="str">
        <f aca="false">IFERROR(__xludf.dummyfunction("""COMPUTED_VALUE"""),"Alice Mennesson")</f>
        <v>Alice Mennesson</v>
      </c>
      <c r="I99" s="50" t="str">
        <f aca="false">IFERROR(__xludf.dummyfunction("""COMPUTED_VALUE"""),"Une planche de snow")</f>
        <v>Une planche de snow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</row>
    <row r="100" customFormat="false" ht="15.75" hidden="false" customHeight="false" outlineLevel="0" collapsed="false">
      <c r="A100" s="76" t="n">
        <f aca="false">A99+1</f>
        <v>99</v>
      </c>
      <c r="B100" s="70" t="n">
        <f aca="false">IFERROR(__xludf.dummyfunction("filter(Famillesid!$22:$22,(Famillesid!$16:$16=A100)+(Famillesid!$17:$17=A100)+(Famillesid!$18:$18=A100)+(Famillesid!$19:$19=A100)+(Famillesid!$20:$20=A100)+(Famillesid!$21:$21=A100))"),61)</f>
        <v>61</v>
      </c>
      <c r="C100" s="77" t="str">
        <f aca="false">IFERROR(__xludf.dummyfunction("""COMPUTED_VALUE"""),"Quentin NIGRON")</f>
        <v>Quentin NIGRON</v>
      </c>
      <c r="D100" s="78" t="str">
        <f aca="false">IFERROR(__xludf.dummyfunction("filter('Réponses au formulaire 1'!T:T,'Réponses au formulaire 1'!B:B=C100)"),"Une fiole ")</f>
        <v>Une fiole </v>
      </c>
      <c r="E100" s="72"/>
      <c r="F100" s="68"/>
      <c r="G100" s="15"/>
      <c r="H100" s="76" t="str">
        <f aca="false">IFERROR(__xludf.dummyfunction("""COMPUTED_VALUE"""),"José Ronzel")</f>
        <v>José Ronzel</v>
      </c>
      <c r="I100" s="50" t="str">
        <f aca="false">IFERROR(__xludf.dummyfunction("""COMPUTED_VALUE"""),"Feo le chat")</f>
        <v>Feo le chat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</row>
    <row r="101" customFormat="false" ht="15.75" hidden="false" customHeight="false" outlineLevel="0" collapsed="false">
      <c r="A101" s="76" t="n">
        <f aca="false">A100+1</f>
        <v>100</v>
      </c>
      <c r="B101" s="70" t="n">
        <f aca="false">IFERROR(__xludf.dummyfunction("filter(Famillesid!$22:$22,(Famillesid!$16:$16=A101)+(Famillesid!$17:$17=A101)+(Famillesid!$18:$18=A101)+(Famillesid!$19:$19=A101)+(Famillesid!$20:$20=A101)+(Famillesid!$21:$21=A101))"),76)</f>
        <v>76</v>
      </c>
      <c r="C101" s="77" t="str">
        <f aca="false">IFERROR(__xludf.dummyfunction("""COMPUTED_VALUE"""),"Alessandro MASI")</f>
        <v>Alessandro MASI</v>
      </c>
      <c r="D101" s="78" t="s">
        <v>55</v>
      </c>
      <c r="E101" s="72"/>
      <c r="F101" s="68"/>
      <c r="G101" s="15"/>
      <c r="H101" s="76" t="str">
        <f aca="false">IFERROR(__xludf.dummyfunction("""COMPUTED_VALUE"""),"Léa SCETBUN")</f>
        <v>Léa SCETBUN</v>
      </c>
      <c r="I101" s="50" t="str">
        <f aca="false">IFERROR(__xludf.dummyfunction("""COMPUTED_VALUE"""),"Un porte clé")</f>
        <v>Un porte clé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</row>
    <row r="102" customFormat="false" ht="15.75" hidden="false" customHeight="false" outlineLevel="0" collapsed="false">
      <c r="A102" s="76" t="n">
        <f aca="false">A101+1</f>
        <v>101</v>
      </c>
      <c r="B102" s="70" t="n">
        <f aca="false">IFERROR(__xludf.dummyfunction("filter(Famillesid!$22:$22,(Famillesid!$16:$16=A102)+(Famillesid!$17:$17=A102)+(Famillesid!$18:$18=A102)+(Famillesid!$19:$19=A102)+(Famillesid!$20:$20=A102)+(Famillesid!$21:$21=A102))"),76)</f>
        <v>76</v>
      </c>
      <c r="C102" s="77" t="str">
        <f aca="false">IFERROR(__xludf.dummyfunction("""COMPUTED_VALUE"""),"Robin Tanquerel")</f>
        <v>Robin Tanquerel</v>
      </c>
      <c r="D102" s="78" t="str">
        <f aca="false">IFERROR(__xludf.dummyfunction("filter('Réponses au formulaire 1'!T:T,'Réponses au formulaire 1'!B:B=C102)"),"Du JDR et de l'alcool ")</f>
        <v>Du JDR et de l'alcool </v>
      </c>
      <c r="E102" s="72"/>
      <c r="F102" s="68"/>
      <c r="G102" s="15"/>
      <c r="H102" s="76" t="str">
        <f aca="false">IFERROR(__xludf.dummyfunction("""COMPUTED_VALUE"""),"Théo DELOBEL")</f>
        <v>Théo DELOBEL</v>
      </c>
      <c r="I102" s="50" t="str">
        <f aca="false">IFERROR(__xludf.dummyfunction("""COMPUTED_VALUE"""),"Le fleurs du mal/pin's Brio/autrechoselol")</f>
        <v>Le fleurs du mal/pin's Brio/autrechoselol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</row>
    <row r="103" customFormat="false" ht="15.75" hidden="false" customHeight="false" outlineLevel="0" collapsed="false">
      <c r="A103" s="76" t="n">
        <f aca="false">A102+1</f>
        <v>102</v>
      </c>
      <c r="B103" s="70" t="str">
        <f aca="false">IFERROR(__xludf.dummyfunction("filter(Famillesid!$22:$22,(Famillesid!$16:$16=A103)+(Famillesid!$17:$17=A103)+(Famillesid!$18:$18=A103)+(Famillesid!$19:$19=A103)+(Famillesid!$20:$20=A103)+(Famillesid!$21:$21=A103))"),"#N/A")</f>
        <v>#N/A</v>
      </c>
      <c r="C103" s="77" t="str">
        <f aca="false">IFERROR(__xludf.dummyfunction("""COMPUTED_VALUE"""),"Pauline AUBRY")</f>
        <v>Pauline AUBRY</v>
      </c>
      <c r="D103" s="78" t="str">
        <f aca="false">IFERROR(__xludf.dummyfunction("filter('Réponses au formulaire 1'!T:T,'Réponses au formulaire 1'!B:B=C103)"),"Ma couronne")</f>
        <v>Ma couronne</v>
      </c>
      <c r="E103" s="80" t="s">
        <v>1144</v>
      </c>
      <c r="F103" s="81" t="s">
        <v>1158</v>
      </c>
      <c r="G103" s="15"/>
      <c r="H103" s="76" t="str">
        <f aca="false">IFERROR(__xludf.dummyfunction("""COMPUTED_VALUE"""),"Jérôme KAYSER")</f>
        <v>Jérôme KAYSER</v>
      </c>
      <c r="I103" s="50" t="str">
        <f aca="false">IFERROR(__xludf.dummyfunction("""COMPUTED_VALUE"""),"Les Fleurs du mal/Un pins FA/autre chose lol")</f>
        <v>Les Fleurs du mal/Un pins FA/autre chose lol</v>
      </c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</row>
    <row r="104" customFormat="false" ht="15.75" hidden="false" customHeight="false" outlineLevel="0" collapsed="false">
      <c r="A104" s="76" t="n">
        <f aca="false">A103+1</f>
        <v>103</v>
      </c>
      <c r="B104" s="70" t="n">
        <f aca="false">IFERROR(__xludf.dummyfunction("filter(Famillesid!$22:$22,(Famillesid!$16:$16=A104)+(Famillesid!$17:$17=A104)+(Famillesid!$18:$18=A104)+(Famillesid!$19:$19=A104)+(Famillesid!$20:$20=A104)+(Famillesid!$21:$21=A104))"),146)</f>
        <v>146</v>
      </c>
      <c r="C104" s="77" t="str">
        <f aca="false">IFERROR(__xludf.dummyfunction("""COMPUTED_VALUE"""),"Nicolas GUYONNEAU")</f>
        <v>Nicolas GUYONNEAU</v>
      </c>
      <c r="D104" s="78" t="str">
        <f aca="false">IFERROR(__xludf.dummyfunction("filter('Réponses au formulaire 1'!T:T,'Réponses au formulaire 1'!B:B=C104)"),"Mon maillot de volley")</f>
        <v>Mon maillot de volley</v>
      </c>
      <c r="E104" s="72" t="s">
        <v>1144</v>
      </c>
      <c r="F104" s="68" t="s">
        <v>1158</v>
      </c>
      <c r="G104" s="15"/>
      <c r="H104" s="76" t="str">
        <f aca="false">IFERROR(__xludf.dummyfunction("""COMPUTED_VALUE"""),"Esteban LECOURT")</f>
        <v>Esteban LECOURT</v>
      </c>
      <c r="I104" s="50" t="str">
        <f aca="false">IFERROR(__xludf.dummyfunction("""COMPUTED_VALUE"""),"Un sweat SKT")</f>
        <v>Un sweat SKT</v>
      </c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</row>
    <row r="105" customFormat="false" ht="15.75" hidden="false" customHeight="false" outlineLevel="0" collapsed="false">
      <c r="A105" s="76" t="n">
        <f aca="false">A104+1</f>
        <v>104</v>
      </c>
      <c r="B105" s="70" t="n">
        <f aca="false">IFERROR(__xludf.dummyfunction("filter(Famillesid!$22:$22,(Famillesid!$16:$16=A105)+(Famillesid!$17:$17=A105)+(Famillesid!$18:$18=A105)+(Famillesid!$19:$19=A105)+(Famillesid!$20:$20=A105)+(Famillesid!$21:$21=A105))"),31)</f>
        <v>31</v>
      </c>
      <c r="C105" s="77" t="str">
        <f aca="false">IFERROR(__xludf.dummyfunction("""COMPUTED_VALUE"""),"Nathan Gérard")</f>
        <v>Nathan Gérard</v>
      </c>
      <c r="D105" s="78" t="str">
        <f aca="false">IFERROR(__xludf.dummyfunction("filter('Réponses au formulaire 1'!T:T,'Réponses au formulaire 1'!B:B=C105)"),"Un calendrier Clara Morgane")</f>
        <v>Un calendrier Clara Morgane</v>
      </c>
      <c r="E105" s="72"/>
      <c r="F105" s="68"/>
      <c r="G105" s="15"/>
      <c r="H105" s="76" t="str">
        <f aca="false">IFERROR(__xludf.dummyfunction("""COMPUTED_VALUE"""),"Luis FERNANDEZ")</f>
        <v>Luis FERNANDEZ</v>
      </c>
      <c r="I105" s="50" t="str">
        <f aca="false">IFERROR(__xludf.dummyfunction("""COMPUTED_VALUE"""),"Chaussons escalade")</f>
        <v>Chaussons escalade</v>
      </c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</row>
    <row r="106" customFormat="false" ht="15.75" hidden="false" customHeight="false" outlineLevel="0" collapsed="false">
      <c r="A106" s="76" t="n">
        <f aca="false">A105+1</f>
        <v>105</v>
      </c>
      <c r="B106" s="70" t="str">
        <f aca="false">IFERROR(__xludf.dummyfunction("filter(Famillesid!$22:$22,(Famillesid!$16:$16=A106)+(Famillesid!$17:$17=A106)+(Famillesid!$18:$18=A106)+(Famillesid!$19:$19=A106)+(Famillesid!$20:$20=A106)+(Famillesid!$21:$21=A106))"),"#N/A")</f>
        <v>#N/A</v>
      </c>
      <c r="C106" s="77" t="str">
        <f aca="false">IFERROR(__xludf.dummyfunction("""COMPUTED_VALUE"""),"Flora SOUSSAND")</f>
        <v>Flora SOUSSAND</v>
      </c>
      <c r="D106" s="78" t="str">
        <f aca="false">IFERROR(__xludf.dummyfunction("filter('Réponses au formulaire 1'!T:T,'Réponses au formulaire 1'!B:B=C106)"),"ECNiouzes sur l'enfance")</f>
        <v>ECNiouzes sur l'enfance</v>
      </c>
      <c r="E106" s="72" t="s">
        <v>1144</v>
      </c>
      <c r="F106" s="68" t="s">
        <v>1158</v>
      </c>
      <c r="G106" s="15"/>
      <c r="H106" s="76" t="str">
        <f aca="false">IFERROR(__xludf.dummyfunction("""COMPUTED_VALUE"""),"Eugénie cotte")</f>
        <v>Eugénie cotte</v>
      </c>
      <c r="I106" s="50" t="str">
        <f aca="false">IFERROR(__xludf.dummyfunction("""COMPUTED_VALUE"""),"Des oreilles de cochon")</f>
        <v>Des oreilles de cochon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</row>
    <row r="107" customFormat="false" ht="15.75" hidden="false" customHeight="false" outlineLevel="0" collapsed="false">
      <c r="A107" s="76" t="n">
        <f aca="false">A106+1</f>
        <v>106</v>
      </c>
      <c r="B107" s="70" t="n">
        <f aca="false">IFERROR(__xludf.dummyfunction("filter(Famillesid!$22:$22,(Famillesid!$16:$16=A107)+(Famillesid!$17:$17=A107)+(Famillesid!$18:$18=A107)+(Famillesid!$19:$19=A107)+(Famillesid!$20:$20=A107)+(Famillesid!$21:$21=A107))"),71)</f>
        <v>71</v>
      </c>
      <c r="C107" s="77" t="str">
        <f aca="false">IFERROR(__xludf.dummyfunction("""COMPUTED_VALUE"""),"Maxime Guldner")</f>
        <v>Maxime Guldner</v>
      </c>
      <c r="D107" s="78" t="str">
        <f aca="false">IFERROR(__xludf.dummyfunction("filter('Réponses au formulaire 1'!T:T,'Réponses au formulaire 1'!B:B=C107)"),"album l'entourage ")</f>
        <v>album l'entourage </v>
      </c>
      <c r="E107" s="80" t="s">
        <v>1144</v>
      </c>
      <c r="F107" s="81" t="s">
        <v>1160</v>
      </c>
      <c r="G107" s="15"/>
      <c r="H107" s="76" t="str">
        <f aca="false">IFERROR(__xludf.dummyfunction("""COMPUTED_VALUE"""),"Samuel BISMUT")</f>
        <v>Samuel BISMUT</v>
      </c>
      <c r="I107" s="50" t="str">
        <f aca="false">IFERROR(__xludf.dummyfunction("""COMPUTED_VALUE"""),"Chapeau Ricard ")</f>
        <v>Chapeau Ricard </v>
      </c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</row>
    <row r="108" customFormat="false" ht="15.75" hidden="false" customHeight="false" outlineLevel="0" collapsed="false">
      <c r="A108" s="76" t="n">
        <f aca="false">A107+1</f>
        <v>107</v>
      </c>
      <c r="B108" s="70" t="n">
        <f aca="false">IFERROR(__xludf.dummyfunction("filter(Famillesid!$22:$22,(Famillesid!$16:$16=A108)+(Famillesid!$17:$17=A108)+(Famillesid!$18:$18=A108)+(Famillesid!$19:$19=A108)+(Famillesid!$20:$20=A108)+(Famillesid!$21:$21=A108))"),141)</f>
        <v>141</v>
      </c>
      <c r="C108" s="77" t="str">
        <f aca="false">IFERROR(__xludf.dummyfunction("""COMPUTED_VALUE"""),"Alizée DIATCHENKO")</f>
        <v>Alizée DIATCHENKO</v>
      </c>
      <c r="D108" s="78" t="str">
        <f aca="false">IFERROR(__xludf.dummyfunction("filter('Réponses au formulaire 1'!T:T,'Réponses au formulaire 1'!B:B=C108)"),"Une étoile")</f>
        <v>Une étoile</v>
      </c>
      <c r="E108" s="72"/>
      <c r="F108" s="68"/>
      <c r="G108" s="15"/>
      <c r="H108" s="76" t="str">
        <f aca="false">IFERROR(__xludf.dummyfunction("""COMPUTED_VALUE"""),"Victor BLANCART")</f>
        <v>Victor BLANCART</v>
      </c>
      <c r="I108" s="50" t="str">
        <f aca="false">IFERROR(__xludf.dummyfunction("""COMPUTED_VALUE"""),"Une gourde")</f>
        <v>Une gourde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</row>
    <row r="109" customFormat="false" ht="15.75" hidden="false" customHeight="false" outlineLevel="0" collapsed="false">
      <c r="A109" s="76" t="n">
        <f aca="false">A108+1</f>
        <v>108</v>
      </c>
      <c r="B109" s="70" t="n">
        <f aca="false">IFERROR(__xludf.dummyfunction("filter(Famillesid!$22:$22,(Famillesid!$16:$16=A109)+(Famillesid!$17:$17=A109)+(Famillesid!$18:$18=A109)+(Famillesid!$19:$19=A109)+(Famillesid!$20:$20=A109)+(Famillesid!$21:$21=A109))"),71)</f>
        <v>71</v>
      </c>
      <c r="C109" s="77" t="str">
        <f aca="false">IFERROR(__xludf.dummyfunction("""COMPUTED_VALUE"""),"Thibaut BERTHOMÉ")</f>
        <v>Thibaut BERTHOMÉ</v>
      </c>
      <c r="D109" s="78" t="str">
        <f aca="false">IFERROR(__xludf.dummyfunction("filter('Réponses au formulaire 1'!T:T,'Réponses au formulaire 1'!B:B=C109)"),"Une maquette d'archi lol")</f>
        <v>Une maquette d'archi lol</v>
      </c>
      <c r="E109" s="72"/>
      <c r="F109" s="68"/>
      <c r="G109" s="15"/>
      <c r="H109" s="76" t="str">
        <f aca="false">IFERROR(__xludf.dummyfunction("""COMPUTED_VALUE"""),"Tommy GEHENIAU")</f>
        <v>Tommy GEHENIAU</v>
      </c>
      <c r="I109" s="50" t="str">
        <f aca="false">IFERROR(__xludf.dummyfunction("""COMPUTED_VALUE"""),"Aurèle")</f>
        <v>Aurèle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</row>
    <row r="110" customFormat="false" ht="15.75" hidden="false" customHeight="false" outlineLevel="0" collapsed="false">
      <c r="A110" s="76" t="n">
        <f aca="false">A109+1</f>
        <v>109</v>
      </c>
      <c r="B110" s="70" t="str">
        <f aca="false">IFERROR(__xludf.dummyfunction("filter(Famillesid!$22:$22,(Famillesid!$16:$16=A110)+(Famillesid!$17:$17=A110)+(Famillesid!$18:$18=A110)+(Famillesid!$19:$19=A110)+(Famillesid!$20:$20=A110)+(Famillesid!$21:$21=A110))"),"#N/A")</f>
        <v>#N/A</v>
      </c>
      <c r="C110" s="77" t="str">
        <f aca="false">IFERROR(__xludf.dummyfunction("""COMPUTED_VALUE"""),"Claire TRINQUET")</f>
        <v>Claire TRINQUET</v>
      </c>
      <c r="D110" s="78" t="str">
        <f aca="false">IFERROR(__xludf.dummyfunction("filter('Réponses au formulaire 1'!T:T,'Réponses au formulaire 1'!B:B=C110)"),"Un domino")</f>
        <v>Un domino</v>
      </c>
      <c r="E110" s="72"/>
      <c r="F110" s="68"/>
      <c r="G110" s="15"/>
      <c r="H110" s="76" t="str">
        <f aca="false">IFERROR(__xludf.dummyfunction("""COMPUTED_VALUE"""),"Léo HUREAU")</f>
        <v>Léo HUREAU</v>
      </c>
      <c r="I110" s="50" t="str">
        <f aca="false">IFERROR(__xludf.dummyfunction("""COMPUTED_VALUE"""),"Une voiture ")</f>
        <v>Une voiture 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</row>
    <row r="111" customFormat="false" ht="15.75" hidden="false" customHeight="false" outlineLevel="0" collapsed="false">
      <c r="A111" s="76" t="n">
        <f aca="false">A110+1</f>
        <v>110</v>
      </c>
      <c r="B111" s="70" t="n">
        <f aca="false">IFERROR(__xludf.dummyfunction("filter(Famillesid!$22:$22,(Famillesid!$16:$16=A111)+(Famillesid!$17:$17=A111)+(Famillesid!$18:$18=A111)+(Famillesid!$19:$19=A111)+(Famillesid!$20:$20=A111)+(Famillesid!$21:$21=A111))"),136)</f>
        <v>136</v>
      </c>
      <c r="C111" s="77" t="str">
        <f aca="false">IFERROR(__xludf.dummyfunction("""COMPUTED_VALUE"""),"Sol VILLEGAS")</f>
        <v>Sol VILLEGAS</v>
      </c>
      <c r="D111" s="78" t="str">
        <f aca="false">IFERROR(__xludf.dummyfunction("filter('Réponses au formulaire 1'!T:T,'Réponses au formulaire 1'!B:B=C111)"),"JAMONN")</f>
        <v>JAMONN</v>
      </c>
      <c r="E111" s="72"/>
      <c r="F111" s="68"/>
      <c r="G111" s="15"/>
      <c r="H111" s="76" t="str">
        <f aca="false">IFERROR(__xludf.dummyfunction("""COMPUTED_VALUE"""),"Awen BRUNEAU")</f>
        <v>Awen BRUNEAU</v>
      </c>
      <c r="I111" s="50" t="str">
        <f aca="false">IFERROR(__xludf.dummyfunction("""COMPUTED_VALUE"""),"Objet relatif aux vieilles charrues")</f>
        <v>Objet relatif aux vieilles charrues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</row>
    <row r="112" customFormat="false" ht="15.75" hidden="false" customHeight="false" outlineLevel="0" collapsed="false">
      <c r="A112" s="76" t="n">
        <f aca="false">A111+1</f>
        <v>111</v>
      </c>
      <c r="B112" s="70" t="n">
        <f aca="false">IFERROR(__xludf.dummyfunction("filter(Famillesid!$22:$22,(Famillesid!$16:$16=A112)+(Famillesid!$17:$17=A112)+(Famillesid!$18:$18=A112)+(Famillesid!$19:$19=A112)+(Famillesid!$20:$20=A112)+(Famillesid!$21:$21=A112))"),136)</f>
        <v>136</v>
      </c>
      <c r="C112" s="77" t="str">
        <f aca="false">IFERROR(__xludf.dummyfunction("""COMPUTED_VALUE"""),"Mario ALVAREZ-CASTRILLON")</f>
        <v>Mario ALVAREZ-CASTRILLON</v>
      </c>
      <c r="D112" s="78" t="str">
        <f aca="false">IFERROR(__xludf.dummyfunction("filter('Réponses au formulaire 1'!T:T,'Réponses au formulaire 1'!B:B=C112)"),"Guitare")</f>
        <v>Guitare</v>
      </c>
      <c r="E112" s="72"/>
      <c r="F112" s="68"/>
      <c r="G112" s="15"/>
      <c r="H112" s="76" t="str">
        <f aca="false">IFERROR(__xludf.dummyfunction("""COMPUTED_VALUE"""),"Maxime GRAS")</f>
        <v>Maxime GRAS</v>
      </c>
      <c r="I112" s="50" t="str">
        <f aca="false">IFERROR(__xludf.dummyfunction("""COMPUTED_VALUE"""),"Sachet de meth/chapeau/silp/bouteille de Mr Propre/Truc de théâtre")</f>
        <v>Sachet de meth/chapeau/silp/bouteille de Mr Propre/Truc de théâtre</v>
      </c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</row>
    <row r="113" customFormat="false" ht="15.75" hidden="false" customHeight="false" outlineLevel="0" collapsed="false">
      <c r="A113" s="76" t="n">
        <f aca="false">A112+1</f>
        <v>112</v>
      </c>
      <c r="B113" s="70" t="str">
        <f aca="false">IFERROR(__xludf.dummyfunction("filter(Famillesid!$22:$22,(Famillesid!$16:$16=A113)+(Famillesid!$17:$17=A113)+(Famillesid!$18:$18=A113)+(Famillesid!$19:$19=A113)+(Famillesid!$20:$20=A113)+(Famillesid!$21:$21=A113))"),"#N/A")</f>
        <v>#N/A</v>
      </c>
      <c r="C113" s="77" t="str">
        <f aca="false">IFERROR(__xludf.dummyfunction("""COMPUTED_VALUE"""),"Marie-Jeanne PAUL")</f>
        <v>Marie-Jeanne PAUL</v>
      </c>
      <c r="D113" s="78" t="str">
        <f aca="false">IFERROR(__xludf.dummyfunction("filter('Réponses au formulaire 1'!T:T,'Réponses au formulaire 1'!B:B=C113)"),"Je sais pas")</f>
        <v>Je sais pas</v>
      </c>
      <c r="E113" s="72"/>
      <c r="F113" s="68"/>
      <c r="G113" s="15"/>
      <c r="H113" s="76" t="str">
        <f aca="false">IFERROR(__xludf.dummyfunction("""COMPUTED_VALUE"""),"Chloé CANAVATE")</f>
        <v>Chloé CANAVATE</v>
      </c>
      <c r="I113" s="50" t="str">
        <f aca="false">IFERROR(__xludf.dummyfunction("""COMPUTED_VALUE"""),"Une bouteille de jagger")</f>
        <v>Une bouteille de jagger</v>
      </c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</row>
    <row r="114" customFormat="false" ht="15.75" hidden="false" customHeight="false" outlineLevel="0" collapsed="false">
      <c r="A114" s="76" t="n">
        <f aca="false">A113+1</f>
        <v>113</v>
      </c>
      <c r="B114" s="70" t="n">
        <f aca="false">IFERROR(__xludf.dummyfunction("filter(Famillesid!$22:$22,(Famillesid!$16:$16=A114)+(Famillesid!$17:$17=A114)+(Famillesid!$18:$18=A114)+(Famillesid!$19:$19=A114)+(Famillesid!$20:$20=A114)+(Famillesid!$21:$21=A114))"),136)</f>
        <v>136</v>
      </c>
      <c r="C114" s="77" t="str">
        <f aca="false">IFERROR(__xludf.dummyfunction("""COMPUTED_VALUE"""),"Vincent Maillou")</f>
        <v>Vincent Maillou</v>
      </c>
      <c r="D114" s="78" t="str">
        <f aca="false">IFERROR(__xludf.dummyfunction("filter('Réponses au formulaire 1'!T:T,'Réponses au formulaire 1'!B:B=C114)"),"Un aviron (la rame)")</f>
        <v>Un aviron (la rame)</v>
      </c>
      <c r="E114" s="72"/>
      <c r="F114" s="68"/>
      <c r="G114" s="15"/>
      <c r="H114" s="76" t="str">
        <f aca="false">IFERROR(__xludf.dummyfunction("""COMPUTED_VALUE"""),"Antoine TARDIVON")</f>
        <v>Antoine TARDIVON</v>
      </c>
      <c r="I114" s="50" t="str">
        <f aca="false">IFERROR(__xludf.dummyfunction("""COMPUTED_VALUE"""),"No se")</f>
        <v>No se</v>
      </c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</row>
    <row r="115" customFormat="false" ht="15.75" hidden="false" customHeight="false" outlineLevel="0" collapsed="false">
      <c r="A115" s="76" t="n">
        <f aca="false">A114+1</f>
        <v>114</v>
      </c>
      <c r="B115" s="70" t="n">
        <f aca="false">IFERROR(__xludf.dummyfunction("filter(Famillesid!$22:$22,(Famillesid!$16:$16=A115)+(Famillesid!$17:$17=A115)+(Famillesid!$18:$18=A115)+(Famillesid!$19:$19=A115)+(Famillesid!$20:$20=A115)+(Famillesid!$21:$21=A115))"),126)</f>
        <v>126</v>
      </c>
      <c r="C115" s="77" t="str">
        <f aca="false">IFERROR(__xludf.dummyfunction("""COMPUTED_VALUE"""),"Benjamin Martin")</f>
        <v>Benjamin Martin</v>
      </c>
      <c r="D115" s="78" t="str">
        <f aca="false">IFERROR(__xludf.dummyfunction("filter('Réponses au formulaire 1'!T:T,'Réponses au formulaire 1'!B:B=C115)"),"Le parchemin magique du Sorcier")</f>
        <v>Le parchemin magique du Sorcier</v>
      </c>
      <c r="E115" s="72" t="s">
        <v>1144</v>
      </c>
      <c r="F115" s="68" t="s">
        <v>1157</v>
      </c>
      <c r="G115" s="15"/>
      <c r="H115" s="76" t="str">
        <f aca="false">IFERROR(__xludf.dummyfunction("""COMPUTED_VALUE"""),"Adrien Simonet")</f>
        <v>Adrien Simonet</v>
      </c>
      <c r="I115" s="50" t="str">
        <f aca="false">IFERROR(__xludf.dummyfunction("""COMPUTED_VALUE"""),"Rien")</f>
        <v>Rien</v>
      </c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</row>
    <row r="116" customFormat="false" ht="15.75" hidden="false" customHeight="false" outlineLevel="0" collapsed="false">
      <c r="A116" s="76" t="n">
        <f aca="false">A115+1</f>
        <v>115</v>
      </c>
      <c r="B116" s="70" t="n">
        <f aca="false">IFERROR(__xludf.dummyfunction("filter(Famillesid!$22:$22,(Famillesid!$16:$16=A116)+(Famillesid!$17:$17=A116)+(Famillesid!$18:$18=A116)+(Famillesid!$19:$19=A116)+(Famillesid!$20:$20=A116)+(Famillesid!$21:$21=A116))"),126)</f>
        <v>126</v>
      </c>
      <c r="C116" s="77" t="str">
        <f aca="false">IFERROR(__xludf.dummyfunction("""COMPUTED_VALUE"""),"Alix BOSSU")</f>
        <v>Alix BOSSU</v>
      </c>
      <c r="D116" s="78" t="str">
        <f aca="false">IFERROR(__xludf.dummyfunction("filter('Réponses au formulaire 1'!T:T,'Réponses au formulaire 1'!B:B=C116)"),"une kro vide")</f>
        <v>une kro vide</v>
      </c>
      <c r="E116" s="80" t="s">
        <v>1144</v>
      </c>
      <c r="F116" s="81" t="s">
        <v>1160</v>
      </c>
      <c r="G116" s="15"/>
      <c r="H116" s="76" t="str">
        <f aca="false">IFERROR(__xludf.dummyfunction("""COMPUTED_VALUE"""),"Maena GALERON")</f>
        <v>Maena GALERON</v>
      </c>
      <c r="I116" s="50" t="str">
        <f aca="false">IFERROR(__xludf.dummyfunction("""COMPUTED_VALUE"""),"Une étoile ")</f>
        <v>Une étoile </v>
      </c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</row>
    <row r="117" customFormat="false" ht="15.75" hidden="false" customHeight="false" outlineLevel="0" collapsed="false">
      <c r="A117" s="76" t="n">
        <f aca="false">A116+1</f>
        <v>116</v>
      </c>
      <c r="B117" s="70" t="n">
        <f aca="false">IFERROR(__xludf.dummyfunction("filter(Famillesid!$22:$22,(Famillesid!$16:$16=A117)+(Famillesid!$17:$17=A117)+(Famillesid!$18:$18=A117)+(Famillesid!$19:$19=A117)+(Famillesid!$20:$20=A117)+(Famillesid!$21:$21=A117))"),126)</f>
        <v>126</v>
      </c>
      <c r="C117" s="77" t="str">
        <f aca="false">IFERROR(__xludf.dummyfunction("""COMPUTED_VALUE"""),"Oscar JACINTHO")</f>
        <v>Oscar JACINTHO</v>
      </c>
      <c r="D117" s="78" t="str">
        <f aca="false">IFERROR(__xludf.dummyfunction("filter('Réponses au formulaire 1'!T:T,'Réponses au formulaire 1'!B:B=C117)"),"De la sorcière")</f>
        <v>De la sorcière</v>
      </c>
      <c r="E117" s="80" t="s">
        <v>1144</v>
      </c>
      <c r="F117" s="81" t="s">
        <v>1160</v>
      </c>
      <c r="G117" s="15"/>
      <c r="H117" s="76" t="str">
        <f aca="false">IFERROR(__xludf.dummyfunction("""COMPUTED_VALUE"""),"Antoine LETOFFET")</f>
        <v>Antoine LETOFFET</v>
      </c>
      <c r="I117" s="50" t="str">
        <f aca="false">IFERROR(__xludf.dummyfunction("""COMPUTED_VALUE"""),"je sais pas encore")</f>
        <v>je sais pas encore</v>
      </c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</row>
    <row r="118" customFormat="false" ht="15.75" hidden="false" customHeight="false" outlineLevel="0" collapsed="false">
      <c r="A118" s="76" t="n">
        <f aca="false">A117+1</f>
        <v>117</v>
      </c>
      <c r="B118" s="70" t="n">
        <f aca="false">IFERROR(__xludf.dummyfunction("filter(Famillesid!$22:$22,(Famillesid!$16:$16=A118)+(Famillesid!$17:$17=A118)+(Famillesid!$18:$18=A118)+(Famillesid!$19:$19=A118)+(Famillesid!$20:$20=A118)+(Famillesid!$21:$21=A118))"),106)</f>
        <v>106</v>
      </c>
      <c r="C118" s="77" t="str">
        <f aca="false">IFERROR(__xludf.dummyfunction("""COMPUTED_VALUE"""),"Henri CHHOA")</f>
        <v>Henri CHHOA</v>
      </c>
      <c r="D118" s="78" t="str">
        <f aca="false">IFERROR(__xludf.dummyfunction("filter('Réponses au formulaire 1'!T:T,'Réponses au formulaire 1'!B:B=C118)"),"Pshit pshit")</f>
        <v>Pshit pshit</v>
      </c>
      <c r="E118" s="80" t="s">
        <v>1144</v>
      </c>
      <c r="F118" s="81" t="s">
        <v>1160</v>
      </c>
      <c r="G118" s="15"/>
      <c r="H118" s="76" t="str">
        <f aca="false">IFERROR(__xludf.dummyfunction("""COMPUTED_VALUE"""),"Grégoire Turzo")</f>
        <v>Grégoire Turzo</v>
      </c>
      <c r="I118" s="50" t="str">
        <f aca="false">IFERROR(__xludf.dummyfunction("""COMPUTED_VALUE"""),"Lunette de toilettes")</f>
        <v>Lunette de toilettes</v>
      </c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</row>
    <row r="119" customFormat="false" ht="15.75" hidden="false" customHeight="false" outlineLevel="0" collapsed="false">
      <c r="A119" s="76" t="n">
        <f aca="false">A118+1</f>
        <v>118</v>
      </c>
      <c r="B119" s="70" t="n">
        <f aca="false">IFERROR(__xludf.dummyfunction("filter(Famillesid!$22:$22,(Famillesid!$16:$16=A119)+(Famillesid!$17:$17=A119)+(Famillesid!$18:$18=A119)+(Famillesid!$19:$19=A119)+(Famillesid!$20:$20=A119)+(Famillesid!$21:$21=A119))"),151)</f>
        <v>151</v>
      </c>
      <c r="C119" s="77" t="str">
        <f aca="false">IFERROR(__xludf.dummyfunction("""COMPUTED_VALUE"""),"Juan Felipe GÓMEZ ALFARO")</f>
        <v>Juan Felipe GÓMEZ ALFARO</v>
      </c>
      <c r="D119" s="78" t="str">
        <f aca="false">IFERROR(__xludf.dummyfunction("filter('Réponses au formulaire 1'!T:T,'Réponses au formulaire 1'!B:B=C119)"),"Aucune idée")</f>
        <v>Aucune idée</v>
      </c>
      <c r="E119" s="72" t="s">
        <v>1144</v>
      </c>
      <c r="F119" s="68" t="s">
        <v>1157</v>
      </c>
      <c r="G119" s="15"/>
      <c r="H119" s="76" t="str">
        <f aca="false">IFERROR(__xludf.dummyfunction("""COMPUTED_VALUE"""),"Henri de Chanterac")</f>
        <v>Henri de Chanterac</v>
      </c>
      <c r="I119" s="50" t="str">
        <f aca="false">IFERROR(__xludf.dummyfunction("""COMPUTED_VALUE"""),"un pochon de houblon")</f>
        <v>un pochon de houblon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</row>
    <row r="120" customFormat="false" ht="15.75" hidden="false" customHeight="false" outlineLevel="0" collapsed="false">
      <c r="A120" s="76" t="n">
        <f aca="false">A119+1</f>
        <v>119</v>
      </c>
      <c r="B120" s="70" t="n">
        <f aca="false">IFERROR(__xludf.dummyfunction("filter(Famillesid!$22:$22,(Famillesid!$16:$16=A120)+(Famillesid!$17:$17=A120)+(Famillesid!$18:$18=A120)+(Famillesid!$19:$19=A120)+(Famillesid!$20:$20=A120)+(Famillesid!$21:$21=A120))"),151)</f>
        <v>151</v>
      </c>
      <c r="C120" s="77" t="str">
        <f aca="false">IFERROR(__xludf.dummyfunction("""COMPUTED_VALUE"""),"Alfonso COLON DE CARVAJAL")</f>
        <v>Alfonso COLON DE CARVAJAL</v>
      </c>
      <c r="D120" s="78" t="str">
        <f aca="false">IFERROR(__xludf.dummyfunction("filter('Réponses au formulaire 1'!T:T,'Réponses au formulaire 1'!B:B=C120)"),"Vêtements")</f>
        <v>Vêtements</v>
      </c>
      <c r="E120" s="72"/>
      <c r="F120" s="68"/>
      <c r="G120" s="15"/>
      <c r="H120" s="76" t="str">
        <f aca="false">IFERROR(__xludf.dummyfunction("""COMPUTED_VALUE"""),"Elouan BARBEREAU")</f>
        <v>Elouan BARBEREAU</v>
      </c>
      <c r="I120" s="50" t="str">
        <f aca="false">IFERROR(__xludf.dummyfunction("""COMPUTED_VALUE"""),"papier")</f>
        <v>papier</v>
      </c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</row>
    <row r="121" customFormat="false" ht="15.75" hidden="false" customHeight="false" outlineLevel="0" collapsed="false">
      <c r="A121" s="76" t="n">
        <f aca="false">A120+1</f>
        <v>120</v>
      </c>
      <c r="B121" s="70" t="n">
        <f aca="false">IFERROR(__xludf.dummyfunction("filter(Famillesid!$22:$22,(Famillesid!$16:$16=A121)+(Famillesid!$17:$17=A121)+(Famillesid!$18:$18=A121)+(Famillesid!$19:$19=A121)+(Famillesid!$20:$20=A121)+(Famillesid!$21:$21=A121))"),146)</f>
        <v>146</v>
      </c>
      <c r="C121" s="77" t="str">
        <f aca="false">IFERROR(__xludf.dummyfunction("""COMPUTED_VALUE"""),"Sarah PETROCCHI")</f>
        <v>Sarah PETROCCHI</v>
      </c>
      <c r="D121" s="78" t="str">
        <f aca="false">IFERROR(__xludf.dummyfunction("filter('Réponses au formulaire 1'!T:T,'Réponses au formulaire 1'!B:B=C121)"),"Une carte de salon de tatouage")</f>
        <v>Une carte de salon de tatouage</v>
      </c>
      <c r="E121" s="72" t="s">
        <v>1144</v>
      </c>
      <c r="F121" s="68" t="s">
        <v>1157</v>
      </c>
      <c r="G121" s="15"/>
      <c r="H121" s="76" t="str">
        <f aca="false">IFERROR(__xludf.dummyfunction("""COMPUTED_VALUE"""),"Moens Diego")</f>
        <v>Moens Diego</v>
      </c>
      <c r="I121" s="50" t="str">
        <f aca="false">IFERROR(__xludf.dummyfunction("""COMPUTED_VALUE"""),"Grande feuille à rouler ")</f>
        <v>Grande feuille à rouler </v>
      </c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</row>
    <row r="122" customFormat="false" ht="15.75" hidden="false" customHeight="false" outlineLevel="0" collapsed="false">
      <c r="A122" s="76" t="n">
        <f aca="false">A121+1</f>
        <v>121</v>
      </c>
      <c r="B122" s="70" t="n">
        <f aca="false">IFERROR(__xludf.dummyfunction("filter(Famillesid!$22:$22,(Famillesid!$16:$16=A122)+(Famillesid!$17:$17=A122)+(Famillesid!$18:$18=A122)+(Famillesid!$19:$19=A122)+(Famillesid!$20:$20=A122)+(Famillesid!$21:$21=A122))"),146)</f>
        <v>146</v>
      </c>
      <c r="C122" s="77" t="str">
        <f aca="false">IFERROR(__xludf.dummyfunction("""COMPUTED_VALUE"""),"Constance PHILIPPE")</f>
        <v>Constance PHILIPPE</v>
      </c>
      <c r="D122" s="78" t="str">
        <f aca="false">IFERROR(__xludf.dummyfunction("filter('Réponses au formulaire 1'!T:T,'Réponses au formulaire 1'!B:B=C122)"),"Pygama")</f>
        <v>Pygama</v>
      </c>
      <c r="E122" s="72"/>
      <c r="F122" s="68"/>
      <c r="G122" s="15"/>
      <c r="H122" s="76" t="str">
        <f aca="false">IFERROR(__xludf.dummyfunction("""COMPUTED_VALUE"""),"Felipe Altamirano")</f>
        <v>Felipe Altamirano</v>
      </c>
      <c r="I122" s="50" t="str">
        <f aca="false">IFERROR(__xludf.dummyfunction("""COMPUTED_VALUE"""),"Une bouteille de pisco vide")</f>
        <v>Une bouteille de pisco vide</v>
      </c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</row>
    <row r="123" customFormat="false" ht="15.75" hidden="false" customHeight="false" outlineLevel="0" collapsed="false">
      <c r="A123" s="76" t="n">
        <f aca="false">A122+1</f>
        <v>122</v>
      </c>
      <c r="B123" s="70" t="n">
        <f aca="false">IFERROR(__xludf.dummyfunction("filter(Famillesid!$22:$22,(Famillesid!$16:$16=A123)+(Famillesid!$17:$17=A123)+(Famillesid!$18:$18=A123)+(Famillesid!$19:$19=A123)+(Famillesid!$20:$20=A123)+(Famillesid!$21:$21=A123))"),156)</f>
        <v>156</v>
      </c>
      <c r="C123" s="77" t="str">
        <f aca="false">IFERROR(__xludf.dummyfunction("""COMPUTED_VALUE"""),"Alban VILLEDIEU")</f>
        <v>Alban VILLEDIEU</v>
      </c>
      <c r="D123" s="78" t="str">
        <f aca="false">IFERROR(__xludf.dummyfunction("filter('Réponses au formulaire 1'!T:T,'Réponses au formulaire 1'!B:B=C123)"),"Jsp wsh")</f>
        <v>Jsp wsh</v>
      </c>
      <c r="E123" s="72"/>
      <c r="F123" s="68"/>
      <c r="G123" s="15"/>
      <c r="H123" s="76" t="str">
        <f aca="false">IFERROR(__xludf.dummyfunction("""COMPUTED_VALUE"""),"Alison ALIAGA")</f>
        <v>Alison ALIAGA</v>
      </c>
      <c r="I123" s="50" t="str">
        <f aca="false">IFERROR(__xludf.dummyfunction("""COMPUTED_VALUE"""),"Mon nounou ")</f>
        <v>Mon nounou </v>
      </c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</row>
    <row r="124" customFormat="false" ht="15.75" hidden="false" customHeight="false" outlineLevel="0" collapsed="false">
      <c r="A124" s="76" t="n">
        <f aca="false">A123+1</f>
        <v>123</v>
      </c>
      <c r="B124" s="70" t="n">
        <f aca="false">IFERROR(__xludf.dummyfunction("filter(Famillesid!$22:$22,(Famillesid!$16:$16=A124)+(Famillesid!$17:$17=A124)+(Famillesid!$18:$18=A124)+(Famillesid!$19:$19=A124)+(Famillesid!$20:$20=A124)+(Famillesid!$21:$21=A124))"),161)</f>
        <v>161</v>
      </c>
      <c r="C124" s="77" t="str">
        <f aca="false">IFERROR(__xludf.dummyfunction("""COMPUTED_VALUE"""),"Marius DUVILLARD")</f>
        <v>Marius DUVILLARD</v>
      </c>
      <c r="D124" s="78" t="str">
        <f aca="false">IFERROR(__xludf.dummyfunction("filter('Réponses au formulaire 1'!T:T,'Réponses au formulaire 1'!B:B=C124)"),"une fi'sel")</f>
        <v>une fi'sel</v>
      </c>
      <c r="E124" s="72"/>
      <c r="F124" s="68"/>
      <c r="G124" s="15"/>
      <c r="H124" s="76" t="str">
        <f aca="false">IFERROR(__xludf.dummyfunction("""COMPUTED_VALUE"""),"Argueta Tamayo Emanuel")</f>
        <v>Argueta Tamayo Emanuel</v>
      </c>
      <c r="I124" s="50" t="str">
        <f aca="false">IFERROR(__xludf.dummyfunction("""COMPUTED_VALUE"""),"Valentina (Salsa Picante) ")</f>
        <v>Valentina (Salsa Picante) </v>
      </c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</row>
    <row r="125" customFormat="false" ht="15.75" hidden="false" customHeight="false" outlineLevel="0" collapsed="false">
      <c r="A125" s="76" t="n">
        <f aca="false">A124+1</f>
        <v>124</v>
      </c>
      <c r="B125" s="70" t="n">
        <f aca="false">IFERROR(__xludf.dummyfunction("filter(Famillesid!$22:$22,(Famillesid!$16:$16=A125)+(Famillesid!$17:$17=A125)+(Famillesid!$18:$18=A125)+(Famillesid!$19:$19=A125)+(Famillesid!$20:$20=A125)+(Famillesid!$21:$21=A125))"),156)</f>
        <v>156</v>
      </c>
      <c r="C125" s="77" t="str">
        <f aca="false">IFERROR(__xludf.dummyfunction("""COMPUTED_VALUE"""),"Pierre Go")</f>
        <v>Pierre Go</v>
      </c>
      <c r="D125" s="78" t="str">
        <f aca="false">IFERROR(__xludf.dummyfunction("filter('Réponses au formulaire 1'!T:T,'Réponses au formulaire 1'!B:B=C125)"),"Une machine à barbe a papa")</f>
        <v>Une machine à barbe a papa</v>
      </c>
      <c r="E125" s="72"/>
      <c r="F125" s="68"/>
      <c r="G125" s="15"/>
      <c r="H125" s="76" t="str">
        <f aca="false">IFERROR(__xludf.dummyfunction("""COMPUTED_VALUE"""),"Marina THIEME PETERSEN")</f>
        <v>Marina THIEME PETERSEN</v>
      </c>
      <c r="I125" s="50" t="str">
        <f aca="false">IFERROR(__xludf.dummyfunction("""COMPUTED_VALUE"""),"schoko bons")</f>
        <v>schoko bons</v>
      </c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</row>
    <row r="126" customFormat="false" ht="15.75" hidden="false" customHeight="false" outlineLevel="0" collapsed="false">
      <c r="A126" s="76" t="n">
        <f aca="false">A125+1</f>
        <v>125</v>
      </c>
      <c r="B126" s="70" t="n">
        <f aca="false">IFERROR(__xludf.dummyfunction("filter(Famillesid!$22:$22,(Famillesid!$16:$16=A126)+(Famillesid!$17:$17=A126)+(Famillesid!$18:$18=A126)+(Famillesid!$19:$19=A126)+(Famillesid!$20:$20=A126)+(Famillesid!$21:$21=A126))"),156)</f>
        <v>156</v>
      </c>
      <c r="C126" s="77" t="str">
        <f aca="false">IFERROR(__xludf.dummyfunction("""COMPUTED_VALUE"""),"Mitsi R.")</f>
        <v>Mitsi R.</v>
      </c>
      <c r="D126" s="78" t="str">
        <f aca="false">IFERROR(__xludf.dummyfunction("filter('Réponses au formulaire 1'!T:T,'Réponses au formulaire 1'!B:B=C126)"),"El sombrero")</f>
        <v>El sombrero</v>
      </c>
      <c r="E126" s="72"/>
      <c r="F126" s="68"/>
      <c r="G126" s="15"/>
      <c r="H126" s="76" t="str">
        <f aca="false">IFERROR(__xludf.dummyfunction("""COMPUTED_VALUE"""),"Erwan Sauvage")</f>
        <v>Erwan Sauvage</v>
      </c>
      <c r="I126" s="50" t="str">
        <f aca="false">IFERROR(__xludf.dummyfunction("""COMPUTED_VALUE"""),"Mon peignoir")</f>
        <v>Mon peignoir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</row>
    <row r="127" customFormat="false" ht="15.75" hidden="false" customHeight="false" outlineLevel="0" collapsed="false">
      <c r="A127" s="76" t="n">
        <f aca="false">A126+1</f>
        <v>126</v>
      </c>
      <c r="B127" s="70" t="n">
        <f aca="false">IFERROR(__xludf.dummyfunction("filter(Famillesid!$22:$22,(Famillesid!$16:$16=A127)+(Famillesid!$17:$17=A127)+(Famillesid!$18:$18=A127)+(Famillesid!$19:$19=A127)+(Famillesid!$20:$20=A127)+(Famillesid!$21:$21=A127))"),106)</f>
        <v>106</v>
      </c>
      <c r="C127" s="77" t="str">
        <f aca="false">IFERROR(__xludf.dummyfunction("""COMPUTED_VALUE"""),"Valentin Antonio")</f>
        <v>Valentin Antonio</v>
      </c>
      <c r="D127" s="78" t="str">
        <f aca="false">IFERROR(__xludf.dummyfunction("filter('Réponses au formulaire 1'!T:T,'Réponses au formulaire 1'!B:B=C127)"),"une balle de hand")</f>
        <v>une balle de hand</v>
      </c>
      <c r="E127" s="72"/>
      <c r="F127" s="68"/>
      <c r="G127" s="15"/>
      <c r="H127" s="76" t="str">
        <f aca="false">IFERROR(__xludf.dummyfunction("""COMPUTED_VALUE"""),"Manon VLIEGHE")</f>
        <v>Manon VLIEGHE</v>
      </c>
      <c r="I127" s="50" t="str">
        <f aca="false">IFERROR(__xludf.dummyfunction("""COMPUTED_VALUE"""),"Une valise de matèriel à dessin")</f>
        <v>Une valise de matèriel à dessin</v>
      </c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</row>
    <row r="128" customFormat="false" ht="15.75" hidden="false" customHeight="false" outlineLevel="0" collapsed="false">
      <c r="A128" s="76" t="n">
        <f aca="false">A127+1</f>
        <v>127</v>
      </c>
      <c r="B128" s="70" t="n">
        <f aca="false">IFERROR(__xludf.dummyfunction("filter(Famillesid!$22:$22,(Famillesid!$16:$16=A128)+(Famillesid!$17:$17=A128)+(Famillesid!$18:$18=A128)+(Famillesid!$19:$19=A128)+(Famillesid!$20:$20=A128)+(Famillesid!$21:$21=A128))"),166)</f>
        <v>166</v>
      </c>
      <c r="C128" s="77" t="str">
        <f aca="false">IFERROR(__xludf.dummyfunction("""COMPUTED_VALUE"""),"Juline CORNET-GOY")</f>
        <v>Juline CORNET-GOY</v>
      </c>
      <c r="D128" s="78" t="str">
        <f aca="false">IFERROR(__xludf.dummyfunction("filter('Réponses au formulaire 1'!T:T,'Réponses au formulaire 1'!B:B=C128)"),"Don’t know yet")</f>
        <v>Don’t know yet</v>
      </c>
      <c r="E128" s="72" t="s">
        <v>1144</v>
      </c>
      <c r="F128" s="68" t="s">
        <v>1157</v>
      </c>
      <c r="G128" s="15"/>
      <c r="H128" s="76" t="str">
        <f aca="false">IFERROR(__xludf.dummyfunction("""COMPUTED_VALUE"""),"Miguel MORENO")</f>
        <v>Miguel MORENO</v>
      </c>
      <c r="I128" s="50" t="str">
        <f aca="false">IFERROR(__xludf.dummyfunction("""COMPUTED_VALUE"""),"Conseills académiques et pour bien s'amuser pendant ses études dans la façon Latinoaméricaine ")</f>
        <v>Conseills académiques et pour bien s'amuser pendant ses études dans la façon Latinoaméricaine </v>
      </c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</row>
    <row r="129" customFormat="false" ht="15.75" hidden="false" customHeight="false" outlineLevel="0" collapsed="false">
      <c r="A129" s="76" t="n">
        <f aca="false">A128+1</f>
        <v>128</v>
      </c>
      <c r="B129" s="70" t="n">
        <f aca="false">IFERROR(__xludf.dummyfunction("filter(Famillesid!$22:$22,(Famillesid!$16:$16=A129)+(Famillesid!$17:$17=A129)+(Famillesid!$18:$18=A129)+(Famillesid!$19:$19=A129)+(Famillesid!$20:$20=A129)+(Famillesid!$21:$21=A129))"),166)</f>
        <v>166</v>
      </c>
      <c r="C129" s="77" t="str">
        <f aca="false">IFERROR(__xludf.dummyfunction("""COMPUTED_VALUE"""),"Lise GERMON")</f>
        <v>Lise GERMON</v>
      </c>
      <c r="D129" s="78" t="s">
        <v>1164</v>
      </c>
      <c r="E129" s="72" t="s">
        <v>1144</v>
      </c>
      <c r="F129" s="68" t="s">
        <v>1165</v>
      </c>
      <c r="G129" s="15"/>
      <c r="H129" s="76" t="str">
        <f aca="false">IFERROR(__xludf.dummyfunction("""COMPUTED_VALUE"""),"Baptiste Marlet")</f>
        <v>Baptiste Marlet</v>
      </c>
      <c r="I129" s="50" t="str">
        <f aca="false">IFERROR(__xludf.dummyfunction("""COMPUTED_VALUE"""),"Le set de dés du JDR")</f>
        <v>Le set de dés du JDR</v>
      </c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</row>
    <row r="130" customFormat="false" ht="15.75" hidden="false" customHeight="false" outlineLevel="0" collapsed="false">
      <c r="A130" s="76" t="n">
        <f aca="false">A129+1</f>
        <v>129</v>
      </c>
      <c r="B130" s="70" t="n">
        <f aca="false">IFERROR(__xludf.dummyfunction("filter(Famillesid!$22:$22,(Famillesid!$16:$16=A130)+(Famillesid!$17:$17=A130)+(Famillesid!$18:$18=A130)+(Famillesid!$19:$19=A130)+(Famillesid!$20:$20=A130)+(Famillesid!$21:$21=A130))"),166)</f>
        <v>166</v>
      </c>
      <c r="C130" s="77" t="str">
        <f aca="false">IFERROR(__xludf.dummyfunction("""COMPUTED_VALUE"""),"Alizée AMSLER")</f>
        <v>Alizée AMSLER</v>
      </c>
      <c r="D130" s="78" t="str">
        <f aca="false">IFERROR(__xludf.dummyfunction("filter('Réponses au formulaire 1'!T:T,'Réponses au formulaire 1'!B:B=C130)"),"Jeu de wii ")</f>
        <v>Jeu de wii </v>
      </c>
      <c r="E130" s="72"/>
      <c r="F130" s="68"/>
      <c r="G130" s="15"/>
      <c r="H130" s="76" t="str">
        <f aca="false">IFERROR(__xludf.dummyfunction("""COMPUTED_VALUE"""),"Nicolas Meniconi")</f>
        <v>Nicolas Meniconi</v>
      </c>
      <c r="I130" s="50" t="str">
        <f aca="false">IFERROR(__xludf.dummyfunction("""COMPUTED_VALUE"""),"Noeud pap")</f>
        <v>Noeud pap</v>
      </c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</row>
    <row r="131" customFormat="false" ht="15.75" hidden="false" customHeight="false" outlineLevel="0" collapsed="false">
      <c r="A131" s="76" t="n">
        <f aca="false">A130+1</f>
        <v>130</v>
      </c>
      <c r="B131" s="70" t="n">
        <f aca="false">IFERROR(__xludf.dummyfunction("filter(Famillesid!$22:$22,(Famillesid!$16:$16=A131)+(Famillesid!$17:$17=A131)+(Famillesid!$18:$18=A131)+(Famillesid!$19:$19=A131)+(Famillesid!$20:$20=A131)+(Famillesid!$21:$21=A131))"),166)</f>
        <v>166</v>
      </c>
      <c r="C131" s="77" t="str">
        <f aca="false">IFERROR(__xludf.dummyfunction("""COMPUTED_VALUE"""),"Mai-Vi VU")</f>
        <v>Mai-Vi VU</v>
      </c>
      <c r="D131" s="78" t="str">
        <f aca="false">IFERROR(__xludf.dummyfunction("filter('Réponses au formulaire 1'!T:T,'Réponses au formulaire 1'!B:B=C131)"),"Une genouillère ")</f>
        <v>Une genouillère </v>
      </c>
      <c r="E131" s="72"/>
      <c r="F131" s="68"/>
      <c r="G131" s="15"/>
      <c r="H131" s="76" t="str">
        <f aca="false">IFERROR(__xludf.dummyfunction("""COMPUTED_VALUE"""),"Romain THIMON")</f>
        <v>Romain THIMON</v>
      </c>
      <c r="I131" s="50" t="str">
        <f aca="false">IFERROR(__xludf.dummyfunction("""COMPUTED_VALUE"""),"32 ecocups et deux balles de ping pong")</f>
        <v>32 ecocups et deux balles de ping pong</v>
      </c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</row>
    <row r="132" customFormat="false" ht="15.75" hidden="false" customHeight="false" outlineLevel="0" collapsed="false">
      <c r="A132" s="76" t="n">
        <f aca="false">A131+1</f>
        <v>131</v>
      </c>
      <c r="B132" s="70" t="n">
        <f aca="false">IFERROR(__xludf.dummyfunction("filter(Famillesid!$22:$22,(Famillesid!$16:$16=A132)+(Famillesid!$17:$17=A132)+(Famillesid!$18:$18=A132)+(Famillesid!$19:$19=A132)+(Famillesid!$20:$20=A132)+(Famillesid!$21:$21=A132))"),166)</f>
        <v>166</v>
      </c>
      <c r="C132" s="77" t="str">
        <f aca="false">IFERROR(__xludf.dummyfunction("""COMPUTED_VALUE"""),"Perrine JUILLET")</f>
        <v>Perrine JUILLET</v>
      </c>
      <c r="D132" s="78" t="str">
        <f aca="false">IFERROR(__xludf.dummyfunction("filter('Réponses au formulaire 1'!T:T,'Réponses au formulaire 1'!B:B=C132)"),"Mon diplome de bac littéraire")</f>
        <v>Mon diplome de bac littéraire</v>
      </c>
      <c r="E132" s="72"/>
      <c r="F132" s="68"/>
      <c r="G132" s="15"/>
      <c r="H132" s="76" t="str">
        <f aca="false">IFERROR(__xludf.dummyfunction("""COMPUTED_VALUE"""),"Maximilien LESSAULT")</f>
        <v>Maximilien LESSAULT</v>
      </c>
      <c r="I132" s="50" t="str">
        <f aca="false">IFERROR(__xludf.dummyfunction("""COMPUTED_VALUE"""),"Je sais pas encore")</f>
        <v>Je sais pas encore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</row>
    <row r="133" customFormat="false" ht="15.75" hidden="false" customHeight="false" outlineLevel="0" collapsed="false">
      <c r="A133" s="76" t="n">
        <f aca="false">A132+1</f>
        <v>132</v>
      </c>
      <c r="B133" s="70" t="n">
        <f aca="false">IFERROR(__xludf.dummyfunction("filter(Famillesid!$22:$22,(Famillesid!$16:$16=A133)+(Famillesid!$17:$17=A133)+(Famillesid!$18:$18=A133)+(Famillesid!$19:$19=A133)+(Famillesid!$20:$20=A133)+(Famillesid!$21:$21=A133))"),171)</f>
        <v>171</v>
      </c>
      <c r="C133" s="77" t="str">
        <f aca="false">IFERROR(__xludf.dummyfunction("""COMPUTED_VALUE"""),"Maxence PASCAL")</f>
        <v>Maxence PASCAL</v>
      </c>
      <c r="D133" s="78" t="str">
        <f aca="false">IFERROR(__xludf.dummyfunction("filter('Réponses au formulaire 1'!T:T,'Réponses au formulaire 1'!B:B=C133)"),"Manette de console")</f>
        <v>Manette de console</v>
      </c>
      <c r="E133" s="72"/>
      <c r="F133" s="68"/>
      <c r="G133" s="15"/>
      <c r="H133" s="76" t="str">
        <f aca="false">IFERROR(__xludf.dummyfunction("""COMPUTED_VALUE"""),"Thomas oppmann")</f>
        <v>Thomas oppmann</v>
      </c>
      <c r="I133" s="50" t="str">
        <f aca="false">IFERROR(__xludf.dummyfunction("""COMPUTED_VALUE"""),"Une manette GameCube ")</f>
        <v>Une manette GameCube </v>
      </c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</row>
    <row r="134" customFormat="false" ht="15.75" hidden="false" customHeight="false" outlineLevel="0" collapsed="false">
      <c r="A134" s="76" t="n">
        <f aca="false">A133+1</f>
        <v>133</v>
      </c>
      <c r="B134" s="70" t="n">
        <f aca="false">IFERROR(__xludf.dummyfunction("filter(Famillesid!$22:$22,(Famillesid!$16:$16=A134)+(Famillesid!$17:$17=A134)+(Famillesid!$18:$18=A134)+(Famillesid!$19:$19=A134)+(Famillesid!$20:$20=A134)+(Famillesid!$21:$21=A134))"),101)</f>
        <v>101</v>
      </c>
      <c r="C134" s="77" t="str">
        <f aca="false">IFERROR(__xludf.dummyfunction("""COMPUTED_VALUE"""),"Lisa SAVARIEAU")</f>
        <v>Lisa SAVARIEAU</v>
      </c>
      <c r="D134" s="78" t="str">
        <f aca="false">IFERROR(__xludf.dummyfunction("filter('Réponses au formulaire 1'!T:T,'Réponses au formulaire 1'!B:B=C134)"),"Tomates cerises")</f>
        <v>Tomates cerises</v>
      </c>
      <c r="E134" s="72"/>
      <c r="F134" s="68"/>
      <c r="G134" s="15"/>
      <c r="H134" s="76" t="str">
        <f aca="false">IFERROR(__xludf.dummyfunction("""COMPUTED_VALUE"""),"Alexandre Ghannad")</f>
        <v>Alexandre Ghannad</v>
      </c>
      <c r="I134" s="50" t="str">
        <f aca="false">IFERROR(__xludf.dummyfunction("""COMPUTED_VALUE"""),"je sais pas encore")</f>
        <v>je sais pas encore</v>
      </c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</row>
    <row r="135" customFormat="false" ht="15.75" hidden="false" customHeight="false" outlineLevel="0" collapsed="false">
      <c r="A135" s="76" t="n">
        <f aca="false">A134+1</f>
        <v>134</v>
      </c>
      <c r="B135" s="70" t="n">
        <f aca="false">IFERROR(__xludf.dummyfunction("filter(Famillesid!$22:$22,(Famillesid!$16:$16=A135)+(Famillesid!$17:$17=A135)+(Famillesid!$18:$18=A135)+(Famillesid!$19:$19=A135)+(Famillesid!$20:$20=A135)+(Famillesid!$21:$21=A135))"),101)</f>
        <v>101</v>
      </c>
      <c r="C135" s="77" t="str">
        <f aca="false">IFERROR(__xludf.dummyfunction("""COMPUTED_VALUE"""),"Ludivine LUXEY")</f>
        <v>Ludivine LUXEY</v>
      </c>
      <c r="D135" s="78" t="str">
        <f aca="false">IFERROR(__xludf.dummyfunction("filter('Réponses au formulaire 1'!T:T,'Réponses au formulaire 1'!B:B=C135)"),"Drapeau rugby ")</f>
        <v>Drapeau rugby </v>
      </c>
      <c r="E135" s="72"/>
      <c r="F135" s="68"/>
      <c r="G135" s="15"/>
      <c r="H135" s="76" t="str">
        <f aca="false">IFERROR(__xludf.dummyfunction("""COMPUTED_VALUE"""),"Christopher LESDALONS")</f>
        <v>Christopher LESDALONS</v>
      </c>
      <c r="I135" s="50" t="str">
        <f aca="false">IFERROR(__xludf.dummyfunction("""COMPUTED_VALUE"""),"Je sais pas encore")</f>
        <v>Je sais pas encore</v>
      </c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</row>
    <row r="136" customFormat="false" ht="15.75" hidden="false" customHeight="false" outlineLevel="0" collapsed="false">
      <c r="A136" s="76" t="n">
        <f aca="false">A135+1</f>
        <v>135</v>
      </c>
      <c r="B136" s="70" t="n">
        <f aca="false">IFERROR(__xludf.dummyfunction("filter(Famillesid!$22:$22,(Famillesid!$16:$16=A136)+(Famillesid!$17:$17=A136)+(Famillesid!$18:$18=A136)+(Famillesid!$19:$19=A136)+(Famillesid!$20:$20=A136)+(Famillesid!$21:$21=A136))"),171)</f>
        <v>171</v>
      </c>
      <c r="C136" s="77" t="str">
        <f aca="false">IFERROR(__xludf.dummyfunction("""COMPUTED_VALUE"""),"Henrique MARTINEZ DE AZEVEDO")</f>
        <v>Henrique MARTINEZ DE AZEVEDO</v>
      </c>
      <c r="D136" s="78" t="str">
        <f aca="false">IFERROR(__xludf.dummyfunction("filter('Réponses au formulaire 1'!T:T,'Réponses au formulaire 1'!B:B=C136)"),"une fausse canne a peche, peut-etre")</f>
        <v>une fausse canne a peche, peut-etre</v>
      </c>
      <c r="E136" s="72"/>
      <c r="F136" s="68"/>
      <c r="G136" s="15"/>
      <c r="H136" s="76" t="str">
        <f aca="false">IFERROR(__xludf.dummyfunction("""COMPUTED_VALUE"""),"Amine BEDRANE")</f>
        <v>Amine BEDRANE</v>
      </c>
      <c r="I136" s="50" t="str">
        <f aca="false">IFERROR(__xludf.dummyfunction("""COMPUTED_VALUE"""),"Sais pas encore")</f>
        <v>Sais pas encore</v>
      </c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</row>
    <row r="137" customFormat="false" ht="15.75" hidden="false" customHeight="false" outlineLevel="0" collapsed="false">
      <c r="A137" s="76" t="n">
        <f aca="false">A136+1</f>
        <v>136</v>
      </c>
      <c r="B137" s="70" t="n">
        <f aca="false">IFERROR(__xludf.dummyfunction("filter(Famillesid!$22:$22,(Famillesid!$16:$16=A137)+(Famillesid!$17:$17=A137)+(Famillesid!$18:$18=A137)+(Famillesid!$19:$19=A137)+(Famillesid!$20:$20=A137)+(Famillesid!$21:$21=A137))"),101)</f>
        <v>101</v>
      </c>
      <c r="C137" s="77" t="str">
        <f aca="false">IFERROR(__xludf.dummyfunction("""COMPUTED_VALUE"""),"Ariane BERGER")</f>
        <v>Ariane BERGER</v>
      </c>
      <c r="D137" s="78" t="str">
        <f aca="false">IFERROR(__xludf.dummyfunction("filter('Réponses au formulaire 1'!T:T,'Réponses au formulaire 1'!B:B=C137)"),"Une bougie")</f>
        <v>Une bougie</v>
      </c>
      <c r="E137" s="72"/>
      <c r="F137" s="68"/>
      <c r="G137" s="15"/>
      <c r="H137" s="76" t="str">
        <f aca="false">IFERROR(__xludf.dummyfunction("""COMPUTED_VALUE"""),"Charles-Eole MARICHAL")</f>
        <v>Charles-Eole MARICHAL</v>
      </c>
      <c r="I137" s="50" t="str">
        <f aca="false">IFERROR(__xludf.dummyfunction("""COMPUTED_VALUE"""),"La Salière d'Or")</f>
        <v>La Salière d'Or</v>
      </c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</row>
    <row r="138" customFormat="false" ht="15.75" hidden="false" customHeight="false" outlineLevel="0" collapsed="false">
      <c r="A138" s="76" t="n">
        <f aca="false">A137+1</f>
        <v>137</v>
      </c>
      <c r="B138" s="70" t="n">
        <f aca="false">IFERROR(__xludf.dummyfunction("filter(Famillesid!$22:$22,(Famillesid!$16:$16=A138)+(Famillesid!$17:$17=A138)+(Famillesid!$18:$18=A138)+(Famillesid!$19:$19=A138)+(Famillesid!$20:$20=A138)+(Famillesid!$21:$21=A138))"),101)</f>
        <v>101</v>
      </c>
      <c r="C138" s="77" t="str">
        <f aca="false">IFERROR(__xludf.dummyfunction("""COMPUTED_VALUE"""),"Alice Mennesson")</f>
        <v>Alice Mennesson</v>
      </c>
      <c r="D138" s="78" t="str">
        <f aca="false">IFERROR(__xludf.dummyfunction("filter('Réponses au formulaire 1'!T:T,'Réponses au formulaire 1'!B:B=C138)"),"Une planche de snow")</f>
        <v>Une planche de snow</v>
      </c>
      <c r="E138" s="72"/>
      <c r="F138" s="68"/>
      <c r="G138" s="15"/>
      <c r="H138" s="76" t="str">
        <f aca="false">IFERROR(__xludf.dummyfunction("""COMPUTED_VALUE"""),"Pierre-Jean POLLOT")</f>
        <v>Pierre-Jean POLLOT</v>
      </c>
      <c r="I138" s="50" t="str">
        <f aca="false">IFERROR(__xludf.dummyfunction("""COMPUTED_VALUE"""),"Un noeud papillon")</f>
        <v>Un noeud papillon</v>
      </c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</row>
    <row r="139" customFormat="false" ht="15.75" hidden="false" customHeight="false" outlineLevel="0" collapsed="false">
      <c r="A139" s="76" t="n">
        <f aca="false">A138+1</f>
        <v>138</v>
      </c>
      <c r="B139" s="70" t="n">
        <f aca="false">IFERROR(__xludf.dummyfunction("filter(Famillesid!$22:$22,(Famillesid!$16:$16=A139)+(Famillesid!$17:$17=A139)+(Famillesid!$18:$18=A139)+(Famillesid!$19:$19=A139)+(Famillesid!$20:$20=A139)+(Famillesid!$21:$21=A139))"),171)</f>
        <v>171</v>
      </c>
      <c r="C139" s="77" t="str">
        <f aca="false">IFERROR(__xludf.dummyfunction("""COMPUTED_VALUE"""),"José Ronzel")</f>
        <v>José Ronzel</v>
      </c>
      <c r="D139" s="78" t="str">
        <f aca="false">IFERROR(__xludf.dummyfunction("filter('Réponses au formulaire 1'!T:T,'Réponses au formulaire 1'!B:B=C139)"),"Feo le chat")</f>
        <v>Feo le chat</v>
      </c>
      <c r="E139" s="72"/>
      <c r="F139" s="68"/>
      <c r="G139" s="15"/>
      <c r="H139" s="76" t="str">
        <f aca="false">IFERROR(__xludf.dummyfunction("""COMPUTED_VALUE"""),"Judith LOUIS-ALEXANDRE")</f>
        <v>Judith LOUIS-ALEXANDRE</v>
      </c>
      <c r="I139" s="50" t="str">
        <f aca="false">IFERROR(__xludf.dummyfunction("""COMPUTED_VALUE"""),".")</f>
        <v>.</v>
      </c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</row>
    <row r="140" customFormat="false" ht="15.75" hidden="false" customHeight="false" outlineLevel="0" collapsed="false">
      <c r="A140" s="76" t="n">
        <f aca="false">A139+1</f>
        <v>139</v>
      </c>
      <c r="B140" s="70" t="n">
        <f aca="false">IFERROR(__xludf.dummyfunction("filter(Famillesid!$22:$22,(Famillesid!$16:$16=A140)+(Famillesid!$17:$17=A140)+(Famillesid!$18:$18=A140)+(Famillesid!$19:$19=A140)+(Famillesid!$20:$20=A140)+(Famillesid!$21:$21=A140))"),171)</f>
        <v>171</v>
      </c>
      <c r="C140" s="77" t="str">
        <f aca="false">IFERROR(__xludf.dummyfunction("""COMPUTED_VALUE"""),"Exequiel")</f>
        <v>Exequiel</v>
      </c>
      <c r="D140" s="78" t="str">
        <f aca="false">IFERROR(__xludf.dummyfunction("filter('Réponses au formulaire 1'!T:T,'Réponses au formulaire 1'!B:B=C140)"),"Une flute")</f>
        <v>Une flute</v>
      </c>
      <c r="E140" s="72" t="s">
        <v>1144</v>
      </c>
      <c r="F140" s="68" t="s">
        <v>1166</v>
      </c>
      <c r="G140" s="15"/>
      <c r="H140" s="76" t="str">
        <f aca="false">IFERROR(__xludf.dummyfunction("""COMPUTED_VALUE"""),"Alexandre MERASLI")</f>
        <v>Alexandre MERASLI</v>
      </c>
      <c r="I140" s="50" t="str">
        <f aca="false">IFERROR(__xludf.dummyfunction("""COMPUTED_VALUE"""),"Une balle de ping pong")</f>
        <v>Une balle de ping pong</v>
      </c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</row>
    <row r="141" customFormat="false" ht="15.75" hidden="false" customHeight="false" outlineLevel="0" collapsed="false">
      <c r="A141" s="76" t="n">
        <f aca="false">A140+1</f>
        <v>140</v>
      </c>
      <c r="B141" s="70" t="n">
        <f aca="false">IFERROR(__xludf.dummyfunction("filter(Famillesid!$22:$22,(Famillesid!$16:$16=A141)+(Famillesid!$17:$17=A141)+(Famillesid!$18:$18=A141)+(Famillesid!$19:$19=A141)+(Famillesid!$20:$20=A141)+(Famillesid!$21:$21=A141))"),176)</f>
        <v>176</v>
      </c>
      <c r="C141" s="77" t="str">
        <f aca="false">IFERROR(__xludf.dummyfunction("""COMPUTED_VALUE"""),"Léa SCETBUN")</f>
        <v>Léa SCETBUN</v>
      </c>
      <c r="D141" s="78" t="str">
        <f aca="false">IFERROR(__xludf.dummyfunction("filter('Réponses au formulaire 1'!T:T,'Réponses au formulaire 1'!B:B=C141)"),"Un porte clé")</f>
        <v>Un porte clé</v>
      </c>
      <c r="E141" s="72"/>
      <c r="F141" s="68"/>
      <c r="G141" s="15"/>
      <c r="H141" s="76" t="str">
        <f aca="false">IFERROR(__xludf.dummyfunction("""COMPUTED_VALUE"""),"Charlotte BEAUNE")</f>
        <v>Charlotte BEAUNE</v>
      </c>
      <c r="I141" s="50" t="str">
        <f aca="false">IFERROR(__xludf.dummyfunction("""COMPUTED_VALUE"""),"Mon attelle de genou flingué")</f>
        <v>Mon attelle de genou flingué</v>
      </c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</row>
    <row r="142" customFormat="false" ht="15.75" hidden="false" customHeight="false" outlineLevel="0" collapsed="false">
      <c r="A142" s="76" t="n">
        <f aca="false">A141+1</f>
        <v>141</v>
      </c>
      <c r="B142" s="70" t="n">
        <f aca="false">IFERROR(__xludf.dummyfunction("filter(Famillesid!$22:$22,(Famillesid!$16:$16=A142)+(Famillesid!$17:$17=A142)+(Famillesid!$18:$18=A142)+(Famillesid!$19:$19=A142)+(Famillesid!$20:$20=A142)+(Famillesid!$21:$21=A142))"),176)</f>
        <v>176</v>
      </c>
      <c r="C142" s="77" t="str">
        <f aca="false">IFERROR(__xludf.dummyfunction("""COMPUTED_VALUE"""),"Théo DELOBEL")</f>
        <v>Théo DELOBEL</v>
      </c>
      <c r="D142" s="78" t="str">
        <f aca="false">IFERROR(__xludf.dummyfunction("filter('Réponses au formulaire 1'!T:T,'Réponses au formulaire 1'!B:B=C142)"),"Le fleurs du mal/pin's Brio/autrechoselol")</f>
        <v>Le fleurs du mal/pin's Brio/autrechoselol</v>
      </c>
      <c r="E142" s="72"/>
      <c r="F142" s="68"/>
      <c r="G142" s="15"/>
      <c r="H142" s="76" t="str">
        <f aca="false">IFERROR(__xludf.dummyfunction("""COMPUTED_VALUE"""),"Helena Delmotte")</f>
        <v>Helena Delmotte</v>
      </c>
      <c r="I142" s="50" t="str">
        <f aca="false">IFERROR(__xludf.dummyfunction("""COMPUTED_VALUE"""),"Une affiche de la COMU")</f>
        <v>Une affiche de la COMU</v>
      </c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</row>
    <row r="143" customFormat="false" ht="15.75" hidden="false" customHeight="false" outlineLevel="0" collapsed="false">
      <c r="A143" s="76" t="n">
        <f aca="false">A142+1</f>
        <v>142</v>
      </c>
      <c r="B143" s="70" t="n">
        <f aca="false">IFERROR(__xludf.dummyfunction("filter(Famillesid!$22:$22,(Famillesid!$16:$16=A143)+(Famillesid!$17:$17=A143)+(Famillesid!$18:$18=A143)+(Famillesid!$19:$19=A143)+(Famillesid!$20:$20=A143)+(Famillesid!$21:$21=A143))"),176)</f>
        <v>176</v>
      </c>
      <c r="C143" s="77" t="str">
        <f aca="false">IFERROR(__xludf.dummyfunction("""COMPUTED_VALUE"""),"Jérôme KAYSER")</f>
        <v>Jérôme KAYSER</v>
      </c>
      <c r="D143" s="78" t="str">
        <f aca="false">IFERROR(__xludf.dummyfunction("filter('Réponses au formulaire 1'!T:T,'Réponses au formulaire 1'!B:B=C143)"),"Les Fleurs du mal/Un pins FA/autre chose lol")</f>
        <v>Les Fleurs du mal/Un pins FA/autre chose lol</v>
      </c>
      <c r="E143" s="72"/>
      <c r="F143" s="68"/>
      <c r="G143" s="15"/>
      <c r="H143" s="76" t="str">
        <f aca="false">IFERROR(__xludf.dummyfunction("""COMPUTED_VALUE"""),"Marie COUPÉ")</f>
        <v>Marie COUPÉ</v>
      </c>
      <c r="I143" s="50" t="str">
        <f aca="false">IFERROR(__xludf.dummyfunction("""COMPUTED_VALUE"""),"Une girafe en plastique")</f>
        <v>Une girafe en plastique</v>
      </c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</row>
    <row r="144" customFormat="false" ht="15.75" hidden="false" customHeight="false" outlineLevel="0" collapsed="false">
      <c r="A144" s="76" t="n">
        <f aca="false">A143+1</f>
        <v>143</v>
      </c>
      <c r="B144" s="70" t="n">
        <f aca="false">IFERROR(__xludf.dummyfunction("filter(Famillesid!$22:$22,(Famillesid!$16:$16=A144)+(Famillesid!$17:$17=A144)+(Famillesid!$18:$18=A144)+(Famillesid!$19:$19=A144)+(Famillesid!$20:$20=A144)+(Famillesid!$21:$21=A144))"),176)</f>
        <v>176</v>
      </c>
      <c r="C144" s="77" t="str">
        <f aca="false">IFERROR(__xludf.dummyfunction("""COMPUTED_VALUE"""),"Esteban LECOURT")</f>
        <v>Esteban LECOURT</v>
      </c>
      <c r="D144" s="78" t="str">
        <f aca="false">IFERROR(__xludf.dummyfunction("filter('Réponses au formulaire 1'!T:T,'Réponses au formulaire 1'!B:B=C144)"),"Un sweat SKT")</f>
        <v>Un sweat SKT</v>
      </c>
      <c r="E144" s="72"/>
      <c r="F144" s="68"/>
      <c r="G144" s="15"/>
      <c r="H144" s="76" t="str">
        <f aca="false">IFERROR(__xludf.dummyfunction("""COMPUTED_VALUE"""),"Geoffroy LECONTE")</f>
        <v>Geoffroy LECONTE</v>
      </c>
      <c r="I144" s="50" t="str">
        <f aca="false">IFERROR(__xludf.dummyfunction("""COMPUTED_VALUE"""),"Pas encore décidé")</f>
        <v>Pas encore décidé</v>
      </c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</row>
    <row r="145" customFormat="false" ht="15.75" hidden="false" customHeight="false" outlineLevel="0" collapsed="false">
      <c r="A145" s="76" t="n">
        <f aca="false">A144+1</f>
        <v>144</v>
      </c>
      <c r="B145" s="70" t="n">
        <f aca="false">IFERROR(__xludf.dummyfunction("filter(Famillesid!$22:$22,(Famillesid!$16:$16=A145)+(Famillesid!$17:$17=A145)+(Famillesid!$18:$18=A145)+(Famillesid!$19:$19=A145)+(Famillesid!$20:$20=A145)+(Famillesid!$21:$21=A145))"),151)</f>
        <v>151</v>
      </c>
      <c r="C145" s="77" t="str">
        <f aca="false">IFERROR(__xludf.dummyfunction("""COMPUTED_VALUE"""),"Luis FERNANDEZ")</f>
        <v>Luis FERNANDEZ</v>
      </c>
      <c r="D145" s="78" t="str">
        <f aca="false">IFERROR(__xludf.dummyfunction("filter('Réponses au formulaire 1'!T:T,'Réponses au formulaire 1'!B:B=C145)"),"Chaussons escalade")</f>
        <v>Chaussons escalade</v>
      </c>
      <c r="E145" s="72"/>
      <c r="F145" s="68"/>
      <c r="G145" s="15"/>
      <c r="H145" s="76" t="str">
        <f aca="false">IFERROR(__xludf.dummyfunction("""COMPUTED_VALUE"""),"Pierre BOURREAU")</f>
        <v>Pierre BOURREAU</v>
      </c>
      <c r="I145" s="50" t="str">
        <f aca="false">IFERROR(__xludf.dummyfunction("""COMPUTED_VALUE"""),"Du vin")</f>
        <v>Du vin</v>
      </c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</row>
    <row r="146" customFormat="false" ht="15.75" hidden="false" customHeight="false" outlineLevel="0" collapsed="false">
      <c r="A146" s="76" t="n">
        <f aca="false">A145+1</f>
        <v>145</v>
      </c>
      <c r="B146" s="70" t="n">
        <f aca="false">IFERROR(__xludf.dummyfunction("filter(Famillesid!$22:$22,(Famillesid!$16:$16=A146)+(Famillesid!$17:$17=A146)+(Famillesid!$18:$18=A146)+(Famillesid!$19:$19=A146)+(Famillesid!$20:$20=A146)+(Famillesid!$21:$21=A146))"),181)</f>
        <v>181</v>
      </c>
      <c r="C146" s="77" t="str">
        <f aca="false">IFERROR(__xludf.dummyfunction("""COMPUTED_VALUE"""),"Solene LE FUR")</f>
        <v>Solene LE FUR</v>
      </c>
      <c r="D146" s="78" t="str">
        <f aca="false">IFERROR(__xludf.dummyfunction("filter('Réponses au formulaire 1'!T:T,'Réponses au formulaire 1'!B:B=C146)"),"Je sais pas encore")</f>
        <v>Je sais pas encore</v>
      </c>
      <c r="E146" s="72" t="s">
        <v>1144</v>
      </c>
      <c r="F146" s="68" t="s">
        <v>1157</v>
      </c>
      <c r="G146" s="15"/>
      <c r="H146" s="76" t="str">
        <f aca="false">IFERROR(__xludf.dummyfunction("""COMPUTED_VALUE"""),"Antoine SENELLART")</f>
        <v>Antoine SENELLART</v>
      </c>
      <c r="I146" s="50" t="str">
        <f aca="false">IFERROR(__xludf.dummyfunction("""COMPUTED_VALUE"""),"Un Khalot")</f>
        <v>Un Khalot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</row>
    <row r="147" customFormat="false" ht="15.75" hidden="false" customHeight="false" outlineLevel="0" collapsed="false">
      <c r="A147" s="76" t="n">
        <f aca="false">A146+1</f>
        <v>146</v>
      </c>
      <c r="B147" s="70" t="n">
        <f aca="false">IFERROR(__xludf.dummyfunction("filter(Famillesid!$22:$22,(Famillesid!$16:$16=A147)+(Famillesid!$17:$17=A147)+(Famillesid!$18:$18=A147)+(Famillesid!$19:$19=A147)+(Famillesid!$20:$20=A147)+(Famillesid!$21:$21=A147))"),181)</f>
        <v>181</v>
      </c>
      <c r="C147" s="77" t="str">
        <f aca="false">IFERROR(__xludf.dummyfunction("""COMPUTED_VALUE"""),"Eugénie cotte")</f>
        <v>Eugénie cotte</v>
      </c>
      <c r="D147" s="78" t="str">
        <f aca="false">IFERROR(__xludf.dummyfunction("filter('Réponses au formulaire 1'!T:T,'Réponses au formulaire 1'!B:B=C147)"),"Des oreilles de cochon")</f>
        <v>Des oreilles de cochon</v>
      </c>
      <c r="E147" s="72"/>
      <c r="F147" s="68"/>
      <c r="G147" s="15"/>
      <c r="H147" s="76" t="str">
        <f aca="false">IFERROR(__xludf.dummyfunction("""COMPUTED_VALUE"""),"Louis LEQUES")</f>
        <v>Louis LEQUES</v>
      </c>
      <c r="I147" s="50" t="str">
        <f aca="false">IFERROR(__xludf.dummyfunction("""COMPUTED_VALUE"""),"un oinj")</f>
        <v>un oinj</v>
      </c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</row>
    <row r="148" customFormat="false" ht="15.75" hidden="false" customHeight="false" outlineLevel="0" collapsed="false">
      <c r="A148" s="76" t="n">
        <f aca="false">A147+1</f>
        <v>147</v>
      </c>
      <c r="B148" s="70" t="n">
        <f aca="false">IFERROR(__xludf.dummyfunction("filter(Famillesid!$22:$22,(Famillesid!$16:$16=A148)+(Famillesid!$17:$17=A148)+(Famillesid!$18:$18=A148)+(Famillesid!$19:$19=A148)+(Famillesid!$20:$20=A148)+(Famillesid!$21:$21=A148))"),181)</f>
        <v>181</v>
      </c>
      <c r="C148" s="77" t="str">
        <f aca="false">IFERROR(__xludf.dummyfunction("""COMPUTED_VALUE"""),"Samuel BISMUT")</f>
        <v>Samuel BISMUT</v>
      </c>
      <c r="D148" s="78" t="str">
        <f aca="false">IFERROR(__xludf.dummyfunction("filter('Réponses au formulaire 1'!T:T,'Réponses au formulaire 1'!B:B=C148)"),"Chapeau Ricard ")</f>
        <v>Chapeau Ricard </v>
      </c>
      <c r="E148" s="72"/>
      <c r="F148" s="68"/>
      <c r="G148" s="15"/>
      <c r="H148" s="76" t="str">
        <f aca="false">IFERROR(__xludf.dummyfunction("""COMPUTED_VALUE"""),"Louis CLAUCE")</f>
        <v>Louis CLAUCE</v>
      </c>
      <c r="I148" s="50" t="str">
        <f aca="false">IFERROR(__xludf.dummyfunction("""COMPUTED_VALUE"""),"un coupe cigare")</f>
        <v>un coupe cigare</v>
      </c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</row>
    <row r="149" customFormat="false" ht="15.75" hidden="false" customHeight="false" outlineLevel="0" collapsed="false">
      <c r="A149" s="76" t="n">
        <f aca="false">A148+1</f>
        <v>148</v>
      </c>
      <c r="B149" s="70" t="n">
        <f aca="false">IFERROR(__xludf.dummyfunction("filter(Famillesid!$22:$22,(Famillesid!$16:$16=A149)+(Famillesid!$17:$17=A149)+(Famillesid!$18:$18=A149)+(Famillesid!$19:$19=A149)+(Famillesid!$20:$20=A149)+(Famillesid!$21:$21=A149))"),126)</f>
        <v>126</v>
      </c>
      <c r="C149" s="77" t="str">
        <f aca="false">IFERROR(__xludf.dummyfunction("""COMPUTED_VALUE"""),"Victor BLANCART")</f>
        <v>Victor BLANCART</v>
      </c>
      <c r="D149" s="78" t="str">
        <f aca="false">IFERROR(__xludf.dummyfunction("filter('Réponses au formulaire 1'!T:T,'Réponses au formulaire 1'!B:B=C149)"),"Une gourde")</f>
        <v>Une gourde</v>
      </c>
      <c r="E149" s="72"/>
      <c r="F149" s="68"/>
      <c r="G149" s="15"/>
      <c r="H149" s="76" t="str">
        <f aca="false">IFERROR(__xludf.dummyfunction("""COMPUTED_VALUE"""),"Samir ZINA-RAGGOUA")</f>
        <v>Samir ZINA-RAGGOUA</v>
      </c>
      <c r="I149" s="50" t="str">
        <f aca="false">IFERROR(__xludf.dummyfunction("""COMPUTED_VALUE"""),"Je ne sais pas")</f>
        <v>Je ne sais pas</v>
      </c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</row>
    <row r="150" customFormat="false" ht="15.75" hidden="false" customHeight="false" outlineLevel="0" collapsed="false">
      <c r="A150" s="76" t="n">
        <f aca="false">A149+1</f>
        <v>149</v>
      </c>
      <c r="B150" s="70" t="n">
        <f aca="false">IFERROR(__xludf.dummyfunction("filter(Famillesid!$22:$22,(Famillesid!$16:$16=A150)+(Famillesid!$17:$17=A150)+(Famillesid!$18:$18=A150)+(Famillesid!$19:$19=A150)+(Famillesid!$20:$20=A150)+(Famillesid!$21:$21=A150))"),121)</f>
        <v>121</v>
      </c>
      <c r="C150" s="77" t="str">
        <f aca="false">IFERROR(__xludf.dummyfunction("""COMPUTED_VALUE"""),"Tommy GEHENIAU")</f>
        <v>Tommy GEHENIAU</v>
      </c>
      <c r="D150" s="78" t="str">
        <f aca="false">IFERROR(__xludf.dummyfunction("filter('Réponses au formulaire 1'!T:T,'Réponses au formulaire 1'!B:B=C150)"),"Aurèle")</f>
        <v>Aurèle</v>
      </c>
      <c r="E150" s="72"/>
      <c r="F150" s="68"/>
      <c r="G150" s="15"/>
      <c r="H150" s="76" t="str">
        <f aca="false">IFERROR(__xludf.dummyfunction("""COMPUTED_VALUE"""),"Mikaël Farje")</f>
        <v>Mikaël Farje</v>
      </c>
      <c r="I150" s="50" t="str">
        <f aca="false">IFERROR(__xludf.dummyfunction("""COMPUTED_VALUE"""),"Un maillot de foot ")</f>
        <v>Un maillot de foot </v>
      </c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</row>
    <row r="151" customFormat="false" ht="15.75" hidden="false" customHeight="false" outlineLevel="0" collapsed="false">
      <c r="A151" s="76" t="n">
        <f aca="false">A150+1</f>
        <v>150</v>
      </c>
      <c r="B151" s="70" t="n">
        <f aca="false">IFERROR(__xludf.dummyfunction("filter(Famillesid!$22:$22,(Famillesid!$16:$16=A151)+(Famillesid!$17:$17=A151)+(Famillesid!$18:$18=A151)+(Famillesid!$19:$19=A151)+(Famillesid!$20:$20=A151)+(Famillesid!$21:$21=A151))"),186)</f>
        <v>186</v>
      </c>
      <c r="C151" s="77" t="str">
        <f aca="false">IFERROR(__xludf.dummyfunction("""COMPUTED_VALUE"""),"Léo HUREAU")</f>
        <v>Léo HUREAU</v>
      </c>
      <c r="D151" s="78" t="str">
        <f aca="false">IFERROR(__xludf.dummyfunction("filter('Réponses au formulaire 1'!T:T,'Réponses au formulaire 1'!B:B=C151)"),"Une voiture ")</f>
        <v>Une voiture </v>
      </c>
      <c r="E151" s="72"/>
      <c r="F151" s="68"/>
      <c r="G151" s="15"/>
      <c r="H151" s="76" t="str">
        <f aca="false">IFERROR(__xludf.dummyfunction("""COMPUTED_VALUE"""),"Allouache")</f>
        <v>Allouache</v>
      </c>
      <c r="I151" s="50" t="str">
        <f aca="false">IFERROR(__xludf.dummyfunction("""COMPUTED_VALUE"""),"Des ailes d’ange ")</f>
        <v>Des ailes d’ange </v>
      </c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</row>
    <row r="152" customFormat="false" ht="15.75" hidden="false" customHeight="false" outlineLevel="0" collapsed="false">
      <c r="A152" s="76" t="n">
        <f aca="false">A151+1</f>
        <v>151</v>
      </c>
      <c r="B152" s="70" t="n">
        <f aca="false">IFERROR(__xludf.dummyfunction("filter(Famillesid!$22:$22,(Famillesid!$16:$16=A152)+(Famillesid!$17:$17=A152)+(Famillesid!$18:$18=A152)+(Famillesid!$19:$19=A152)+(Famillesid!$20:$20=A152)+(Famillesid!$21:$21=A152))"),186)</f>
        <v>186</v>
      </c>
      <c r="C152" s="77" t="str">
        <f aca="false">IFERROR(__xludf.dummyfunction("""COMPUTED_VALUE"""),"Awen BRUNEAU")</f>
        <v>Awen BRUNEAU</v>
      </c>
      <c r="D152" s="78" t="str">
        <f aca="false">IFERROR(__xludf.dummyfunction("filter('Réponses au formulaire 1'!T:T,'Réponses au formulaire 1'!B:B=C152)"),"Objet relatif aux vieilles charrues")</f>
        <v>Objet relatif aux vieilles charrues</v>
      </c>
      <c r="E152" s="72"/>
      <c r="F152" s="68"/>
      <c r="G152" s="15"/>
      <c r="H152" s="76" t="str">
        <f aca="false">IFERROR(__xludf.dummyfunction("""COMPUTED_VALUE"""),"Jean Pichard")</f>
        <v>Jean Pichard</v>
      </c>
      <c r="I152" s="50" t="str">
        <f aca="false">IFERROR(__xludf.dummyfunction("""COMPUTED_VALUE"""),"Pas choisi encore ")</f>
        <v>Pas choisi encore </v>
      </c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</row>
    <row r="153" customFormat="false" ht="15.75" hidden="false" customHeight="false" outlineLevel="0" collapsed="false">
      <c r="A153" s="76" t="n">
        <f aca="false">A152+1</f>
        <v>152</v>
      </c>
      <c r="B153" s="70" t="n">
        <f aca="false">IFERROR(__xludf.dummyfunction("filter(Famillesid!$22:$22,(Famillesid!$16:$16=A153)+(Famillesid!$17:$17=A153)+(Famillesid!$18:$18=A153)+(Famillesid!$19:$19=A153)+(Famillesid!$20:$20=A153)+(Famillesid!$21:$21=A153))"),191)</f>
        <v>191</v>
      </c>
      <c r="C153" s="77" t="str">
        <f aca="false">IFERROR(__xludf.dummyfunction("""COMPUTED_VALUE"""),"simeo Potiron")</f>
        <v>simeo Potiron</v>
      </c>
      <c r="D153" s="78" t="str">
        <f aca="false">IFERROR(__xludf.dummyfunction("filter('Réponses au formulaire 1'!T:T,'Réponses au formulaire 1'!B:B=C153)"),"no se")</f>
        <v>no se</v>
      </c>
      <c r="E153" s="80" t="s">
        <v>1144</v>
      </c>
      <c r="F153" s="81" t="s">
        <v>1160</v>
      </c>
      <c r="G153" s="15"/>
      <c r="H153" s="76" t="str">
        <f aca="false">IFERROR(__xludf.dummyfunction("""COMPUTED_VALUE"""),"Mathis CELCE")</f>
        <v>Mathis CELCE</v>
      </c>
      <c r="I153" s="50" t="str">
        <f aca="false">IFERROR(__xludf.dummyfunction("""COMPUTED_VALUE"""),"Ta mère")</f>
        <v>Ta mère</v>
      </c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</row>
    <row r="154" customFormat="false" ht="15.75" hidden="false" customHeight="false" outlineLevel="0" collapsed="false">
      <c r="A154" s="76" t="n">
        <f aca="false">A153+1</f>
        <v>153</v>
      </c>
      <c r="B154" s="70" t="n">
        <f aca="false">IFERROR(__xludf.dummyfunction("filter(Famillesid!$22:$22,(Famillesid!$16:$16=A154)+(Famillesid!$17:$17=A154)+(Famillesid!$18:$18=A154)+(Famillesid!$19:$19=A154)+(Famillesid!$20:$20=A154)+(Famillesid!$21:$21=A154))"),186)</f>
        <v>186</v>
      </c>
      <c r="C154" s="77" t="str">
        <f aca="false">IFERROR(__xludf.dummyfunction("""COMPUTED_VALUE"""),"Pierre MAQUET")</f>
        <v>Pierre MAQUET</v>
      </c>
      <c r="D154" s="78" t="str">
        <f aca="false">IFERROR(__xludf.dummyfunction("filter('Réponses au formulaire 1'!T:T,'Réponses au formulaire 1'!B:B=C154)"),"Une partition")</f>
        <v>Une partition</v>
      </c>
      <c r="E154" s="72" t="s">
        <v>1144</v>
      </c>
      <c r="F154" s="68" t="s">
        <v>1157</v>
      </c>
      <c r="G154" s="15"/>
      <c r="H154" s="76" t="str">
        <f aca="false">IFERROR(__xludf.dummyfunction("""COMPUTED_VALUE"""),"Maxime Roy")</f>
        <v>Maxime Roy</v>
      </c>
      <c r="I154" s="50" t="str">
        <f aca="false">IFERROR(__xludf.dummyfunction("""COMPUTED_VALUE"""),"jsais ap")</f>
        <v>jsais ap</v>
      </c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</row>
    <row r="155" customFormat="false" ht="15.75" hidden="false" customHeight="false" outlineLevel="0" collapsed="false">
      <c r="A155" s="76" t="n">
        <f aca="false">A154+1</f>
        <v>154</v>
      </c>
      <c r="B155" s="70" t="n">
        <f aca="false">IFERROR(__xludf.dummyfunction("filter(Famillesid!$22:$22,(Famillesid!$16:$16=A155)+(Famillesid!$17:$17=A155)+(Famillesid!$18:$18=A155)+(Famillesid!$19:$19=A155)+(Famillesid!$20:$20=A155)+(Famillesid!$21:$21=A155))"),186)</f>
        <v>186</v>
      </c>
      <c r="C155" s="77" t="str">
        <f aca="false">IFERROR(__xludf.dummyfunction("""COMPUTED_VALUE"""),"Céline FEREC")</f>
        <v>Céline FEREC</v>
      </c>
      <c r="D155" s="78" t="str">
        <f aca="false">IFERROR(__xludf.dummyfunction("filter('Réponses au formulaire 1'!T:T,'Réponses au formulaire 1'!B:B=C155)"),"une feuille d'admission aux urgences ;)")</f>
        <v>une feuille d'admission aux urgences ;)</v>
      </c>
      <c r="E155" s="72" t="s">
        <v>1144</v>
      </c>
      <c r="F155" s="68" t="s">
        <v>1158</v>
      </c>
      <c r="G155" s="15"/>
      <c r="H155" s="76" t="str">
        <f aca="false">IFERROR(__xludf.dummyfunction("""COMPUTED_VALUE"""),"Gauthier PEZZOLI")</f>
        <v>Gauthier PEZZOLI</v>
      </c>
      <c r="I155" s="50" t="str">
        <f aca="false">IFERROR(__xludf.dummyfunction("""COMPUTED_VALUE"""),"Un rubix cube ou bien un lien vers ma chaîne YT")</f>
        <v>Un rubix cube ou bien un lien vers ma chaîne YT</v>
      </c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</row>
    <row r="156" customFormat="false" ht="15.75" hidden="false" customHeight="false" outlineLevel="0" collapsed="false">
      <c r="A156" s="76" t="n">
        <f aca="false">A155+1</f>
        <v>155</v>
      </c>
      <c r="B156" s="70" t="n">
        <f aca="false">IFERROR(__xludf.dummyfunction("filter(Famillesid!$22:$22,(Famillesid!$16:$16=A156)+(Famillesid!$17:$17=A156)+(Famillesid!$18:$18=A156)+(Famillesid!$19:$19=A156)+(Famillesid!$20:$20=A156)+(Famillesid!$21:$21=A156))"),161)</f>
        <v>161</v>
      </c>
      <c r="C156" s="77" t="str">
        <f aca="false">IFERROR(__xludf.dummyfunction("""COMPUTED_VALUE"""),"Maxime GRAS")</f>
        <v>Maxime GRAS</v>
      </c>
      <c r="D156" s="78" t="str">
        <f aca="false">IFERROR(__xludf.dummyfunction("filter('Réponses au formulaire 1'!T:T,'Réponses au formulaire 1'!B:B=C156)"),"Sachet de meth/chapeau/silp/bouteille de Mr Propre/Truc de théâtre")</f>
        <v>Sachet de meth/chapeau/silp/bouteille de Mr Propre/Truc de théâtre</v>
      </c>
      <c r="E156" s="72"/>
      <c r="F156" s="68"/>
      <c r="G156" s="15"/>
      <c r="H156" s="76" t="str">
        <f aca="false">IFERROR(__xludf.dummyfunction("""COMPUTED_VALUE"""),"Clément Wozniak")</f>
        <v>Clément Wozniak</v>
      </c>
      <c r="I156" s="50" t="str">
        <f aca="false">IFERROR(__xludf.dummyfunction("""COMPUTED_VALUE"""),"Oreiller")</f>
        <v>Oreiller</v>
      </c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</row>
    <row r="157" customFormat="false" ht="15.75" hidden="false" customHeight="false" outlineLevel="0" collapsed="false">
      <c r="A157" s="76" t="n">
        <f aca="false">A156+1</f>
        <v>156</v>
      </c>
      <c r="B157" s="70" t="n">
        <f aca="false">IFERROR(__xludf.dummyfunction("filter(Famillesid!$22:$22,(Famillesid!$16:$16=A157)+(Famillesid!$17:$17=A157)+(Famillesid!$18:$18=A157)+(Famillesid!$19:$19=A157)+(Famillesid!$20:$20=A157)+(Famillesid!$21:$21=A157))"),161)</f>
        <v>161</v>
      </c>
      <c r="C157" s="77" t="str">
        <f aca="false">IFERROR(__xludf.dummyfunction("""COMPUTED_VALUE"""),"Audrey BOYENVAL")</f>
        <v>Audrey BOYENVAL</v>
      </c>
      <c r="D157" s="78" t="str">
        <f aca="false">IFERROR(__xludf.dummyfunction("filter('Réponses au formulaire 1'!T:T,'Réponses au formulaire 1'!B:B=C157)"),"Un trophée")</f>
        <v>Un trophée</v>
      </c>
      <c r="E157" s="80" t="s">
        <v>1144</v>
      </c>
      <c r="F157" s="81" t="s">
        <v>1160</v>
      </c>
      <c r="G157" s="15"/>
      <c r="H157" s="76" t="str">
        <f aca="false">IFERROR(__xludf.dummyfunction("""COMPUTED_VALUE"""),"Cyriane BIENVENUE")</f>
        <v>Cyriane BIENVENUE</v>
      </c>
      <c r="I157" s="50" t="str">
        <f aca="false">IFERROR(__xludf.dummyfunction("""COMPUTED_VALUE"""),"Des gants de voile")</f>
        <v>Des gants de voile</v>
      </c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</row>
    <row r="158" customFormat="false" ht="15.75" hidden="false" customHeight="false" outlineLevel="0" collapsed="false">
      <c r="A158" s="76" t="n">
        <f aca="false">A157+1</f>
        <v>157</v>
      </c>
      <c r="B158" s="70" t="n">
        <f aca="false">IFERROR(__xludf.dummyfunction("filter(Famillesid!$22:$22,(Famillesid!$16:$16=A158)+(Famillesid!$17:$17=A158)+(Famillesid!$18:$18=A158)+(Famillesid!$19:$19=A158)+(Famillesid!$20:$20=A158)+(Famillesid!$21:$21=A158))"),141)</f>
        <v>141</v>
      </c>
      <c r="C158" s="77" t="str">
        <f aca="false">IFERROR(__xludf.dummyfunction("""COMPUTED_VALUE"""),"Chloé CANAVATE")</f>
        <v>Chloé CANAVATE</v>
      </c>
      <c r="D158" s="78" t="str">
        <f aca="false">IFERROR(__xludf.dummyfunction("filter('Réponses au formulaire 1'!T:T,'Réponses au formulaire 1'!B:B=C158)"),"Une bouteille de jagger")</f>
        <v>Une bouteille de jagger</v>
      </c>
      <c r="E158" s="72"/>
      <c r="F158" s="68"/>
      <c r="G158" s="15"/>
      <c r="H158" s="76" t="str">
        <f aca="false">IFERROR(__xludf.dummyfunction("""COMPUTED_VALUE"""),"Marius MENAULT")</f>
        <v>Marius MENAULT</v>
      </c>
      <c r="I158" s="50" t="str">
        <f aca="false">IFERROR(__xludf.dummyfunction("""COMPUTED_VALUE"""),"Des chaussettes")</f>
        <v>Des chaussettes</v>
      </c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</row>
    <row r="159" customFormat="false" ht="15.75" hidden="false" customHeight="false" outlineLevel="0" collapsed="false">
      <c r="A159" s="76" t="n">
        <f aca="false">A158+1</f>
        <v>158</v>
      </c>
      <c r="B159" s="70" t="n">
        <f aca="false">IFERROR(__xludf.dummyfunction("filter(Famillesid!$22:$22,(Famillesid!$16:$16=A159)+(Famillesid!$17:$17=A159)+(Famillesid!$18:$18=A159)+(Famillesid!$19:$19=A159)+(Famillesid!$20:$20=A159)+(Famillesid!$21:$21=A159))"),191)</f>
        <v>191</v>
      </c>
      <c r="C159" s="77" t="str">
        <f aca="false">IFERROR(__xludf.dummyfunction("""COMPUTED_VALUE"""),"Antoine TARDIVON")</f>
        <v>Antoine TARDIVON</v>
      </c>
      <c r="D159" s="78" t="str">
        <f aca="false">IFERROR(__xludf.dummyfunction("filter('Réponses au formulaire 1'!T:T,'Réponses au formulaire 1'!B:B=C159)"),"No se")</f>
        <v>No se</v>
      </c>
      <c r="E159" s="72"/>
      <c r="F159" s="68"/>
      <c r="G159" s="15"/>
      <c r="H159" s="76" t="str">
        <f aca="false">IFERROR(__xludf.dummyfunction("""COMPUTED_VALUE"""),"Cyprien MARION")</f>
        <v>Cyprien MARION</v>
      </c>
      <c r="I159" s="50" t="str">
        <f aca="false">IFERROR(__xludf.dummyfunction("""COMPUTED_VALUE"""),"Un démanilleur")</f>
        <v>Un démanilleur</v>
      </c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</row>
    <row r="160" customFormat="false" ht="15.75" hidden="false" customHeight="false" outlineLevel="0" collapsed="false">
      <c r="A160" s="76" t="n">
        <f aca="false">A159+1</f>
        <v>159</v>
      </c>
      <c r="B160" s="70" t="n">
        <f aca="false">IFERROR(__xludf.dummyfunction("filter(Famillesid!$22:$22,(Famillesid!$16:$16=A160)+(Famillesid!$17:$17=A160)+(Famillesid!$18:$18=A160)+(Famillesid!$19:$19=A160)+(Famillesid!$20:$20=A160)+(Famillesid!$21:$21=A160))"),191)</f>
        <v>191</v>
      </c>
      <c r="C160" s="77" t="str">
        <f aca="false">IFERROR(__xludf.dummyfunction("""COMPUTED_VALUE"""),"Adrien Simonet")</f>
        <v>Adrien Simonet</v>
      </c>
      <c r="D160" s="78" t="str">
        <f aca="false">IFERROR(__xludf.dummyfunction("filter('Réponses au formulaire 1'!T:T,'Réponses au formulaire 1'!B:B=C160)"),"Rien")</f>
        <v>Rien</v>
      </c>
      <c r="E160" s="72"/>
      <c r="F160" s="68"/>
      <c r="G160" s="15"/>
      <c r="H160" s="76" t="str">
        <f aca="false">IFERROR(__xludf.dummyfunction("""COMPUTED_VALUE"""),"Arthur LEMASSON")</f>
        <v>Arthur LEMASSON</v>
      </c>
      <c r="I160" s="50" t="str">
        <f aca="false">IFERROR(__xludf.dummyfunction("""COMPUTED_VALUE"""),"Un chips")</f>
        <v>Un chips</v>
      </c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</row>
    <row r="161" customFormat="false" ht="15.75" hidden="false" customHeight="false" outlineLevel="0" collapsed="false">
      <c r="A161" s="76" t="n">
        <f aca="false">A160+1</f>
        <v>160</v>
      </c>
      <c r="B161" s="70" t="n">
        <f aca="false">IFERROR(__xludf.dummyfunction("filter(Famillesid!$22:$22,(Famillesid!$16:$16=A161)+(Famillesid!$17:$17=A161)+(Famillesid!$18:$18=A161)+(Famillesid!$19:$19=A161)+(Famillesid!$20:$20=A161)+(Famillesid!$21:$21=A161))"),141)</f>
        <v>141</v>
      </c>
      <c r="C161" s="77" t="str">
        <f aca="false">IFERROR(__xludf.dummyfunction("""COMPUTED_VALUE"""),"Maena GALERON")</f>
        <v>Maena GALERON</v>
      </c>
      <c r="D161" s="78" t="str">
        <f aca="false">IFERROR(__xludf.dummyfunction("filter('Réponses au formulaire 1'!T:T,'Réponses au formulaire 1'!B:B=C161)"),"Une étoile ")</f>
        <v>Une étoile </v>
      </c>
      <c r="E161" s="72"/>
      <c r="F161" s="68"/>
      <c r="G161" s="15"/>
      <c r="H161" s="76" t="str">
        <f aca="false">IFERROR(__xludf.dummyfunction("""COMPUTED_VALUE"""),"Vincent MESLIER")</f>
        <v>Vincent MESLIER</v>
      </c>
      <c r="I161" s="50" t="str">
        <f aca="false">IFERROR(__xludf.dummyfunction("""COMPUTED_VALUE"""),"Une maximator")</f>
        <v>Une maximator</v>
      </c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</row>
    <row r="162" customFormat="false" ht="15.75" hidden="false" customHeight="false" outlineLevel="0" collapsed="false">
      <c r="A162" s="76" t="n">
        <f aca="false">A161+1</f>
        <v>161</v>
      </c>
      <c r="B162" s="70" t="n">
        <f aca="false">IFERROR(__xludf.dummyfunction("filter(Famillesid!$22:$22,(Famillesid!$16:$16=A162)+(Famillesid!$17:$17=A162)+(Famillesid!$18:$18=A162)+(Famillesid!$19:$19=A162)+(Famillesid!$20:$20=A162)+(Famillesid!$21:$21=A162))"),181)</f>
        <v>181</v>
      </c>
      <c r="C162" s="77" t="str">
        <f aca="false">IFERROR(__xludf.dummyfunction("""COMPUTED_VALUE"""),"Antoine LETOFFET")</f>
        <v>Antoine LETOFFET</v>
      </c>
      <c r="D162" s="78" t="str">
        <f aca="false">IFERROR(__xludf.dummyfunction("filter('Réponses au formulaire 1'!T:T,'Réponses au formulaire 1'!B:B=C162)"),"je sais pas encore")</f>
        <v>je sais pas encore</v>
      </c>
      <c r="E162" s="72"/>
      <c r="F162" s="68"/>
      <c r="G162" s="15"/>
      <c r="H162" s="76" t="str">
        <f aca="false">IFERROR(__xludf.dummyfunction("""COMPUTED_VALUE"""),"Tom OVISTE")</f>
        <v>Tom OVISTE</v>
      </c>
      <c r="I162" s="50" t="str">
        <f aca="false">IFERROR(__xludf.dummyfunction("""COMPUTED_VALUE"""),"Beaucoup d'amour")</f>
        <v>Beaucoup d'amour</v>
      </c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</row>
    <row r="163" customFormat="false" ht="15.75" hidden="false" customHeight="false" outlineLevel="0" collapsed="false">
      <c r="A163" s="76" t="n">
        <f aca="false">A162+1</f>
        <v>162</v>
      </c>
      <c r="B163" s="70" t="n">
        <f aca="false">IFERROR(__xludf.dummyfunction("filter(Famillesid!$22:$22,(Famillesid!$16:$16=A163)+(Famillesid!$17:$17=A163)+(Famillesid!$18:$18=A163)+(Famillesid!$19:$19=A163)+(Famillesid!$20:$20=A163)+(Famillesid!$21:$21=A163))"),196)</f>
        <v>196</v>
      </c>
      <c r="C163" s="77" t="str">
        <f aca="false">IFERROR(__xludf.dummyfunction("""COMPUTED_VALUE"""),"Grégoire Turzo")</f>
        <v>Grégoire Turzo</v>
      </c>
      <c r="D163" s="78" t="str">
        <f aca="false">IFERROR(__xludf.dummyfunction("filter('Réponses au formulaire 1'!T:T,'Réponses au formulaire 1'!B:B=C163)"),"Lunette de toilettes")</f>
        <v>Lunette de toilettes</v>
      </c>
      <c r="E163" s="72"/>
      <c r="F163" s="68"/>
      <c r="G163" s="15"/>
      <c r="H163" s="76" t="str">
        <f aca="false">IFERROR(__xludf.dummyfunction("""COMPUTED_VALUE"""),"Léonce AUDIBERT")</f>
        <v>Léonce AUDIBERT</v>
      </c>
      <c r="I163" s="50" t="str">
        <f aca="false">IFERROR(__xludf.dummyfunction("""COMPUTED_VALUE"""),"Désolé je sais pas du tout mon bon Adrien la mif et Lucas  la mif ")</f>
        <v>Désolé je sais pas du tout mon bon Adrien la mif et Lucas  la mif </v>
      </c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</row>
    <row r="164" customFormat="false" ht="15.75" hidden="false" customHeight="false" outlineLevel="0" collapsed="false">
      <c r="A164" s="76" t="n">
        <f aca="false">A163+1</f>
        <v>163</v>
      </c>
      <c r="B164" s="70" t="n">
        <f aca="false">IFERROR(__xludf.dummyfunction("filter(Famillesid!$22:$22,(Famillesid!$16:$16=A164)+(Famillesid!$17:$17=A164)+(Famillesid!$18:$18=A164)+(Famillesid!$19:$19=A164)+(Famillesid!$20:$20=A164)+(Famillesid!$21:$21=A164))"),196)</f>
        <v>196</v>
      </c>
      <c r="C164" s="77" t="str">
        <f aca="false">IFERROR(__xludf.dummyfunction("""COMPUTED_VALUE"""),"Henri de Chanterac")</f>
        <v>Henri de Chanterac</v>
      </c>
      <c r="D164" s="78" t="str">
        <f aca="false">IFERROR(__xludf.dummyfunction("filter('Réponses au formulaire 1'!T:T,'Réponses au formulaire 1'!B:B=C164)"),"un pochon de houblon")</f>
        <v>un pochon de houblon</v>
      </c>
      <c r="E164" s="72"/>
      <c r="F164" s="68"/>
      <c r="G164" s="15"/>
      <c r="H164" s="76" t="str">
        <f aca="false">IFERROR(__xludf.dummyfunction("""COMPUTED_VALUE"""),"Pm Guyot")</f>
        <v>Pm Guyot</v>
      </c>
      <c r="I164" s="50" t="str">
        <f aca="false">IFERROR(__xludf.dummyfunction("""COMPUTED_VALUE"""),"Un masque de merde")</f>
        <v>Un masque de merde</v>
      </c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</row>
    <row r="165" customFormat="false" ht="15.75" hidden="false" customHeight="false" outlineLevel="0" collapsed="false">
      <c r="A165" s="76" t="n">
        <f aca="false">A164+1</f>
        <v>164</v>
      </c>
      <c r="B165" s="70" t="n">
        <f aca="false">IFERROR(__xludf.dummyfunction("filter(Famillesid!$22:$22,(Famillesid!$16:$16=A165)+(Famillesid!$17:$17=A165)+(Famillesid!$18:$18=A165)+(Famillesid!$19:$19=A165)+(Famillesid!$20:$20=A165)+(Famillesid!$21:$21=A165))"),196)</f>
        <v>196</v>
      </c>
      <c r="C165" s="77" t="str">
        <f aca="false">IFERROR(__xludf.dummyfunction("""COMPUTED_VALUE"""),"Elouan BARBEREAU")</f>
        <v>Elouan BARBEREAU</v>
      </c>
      <c r="D165" s="78" t="str">
        <f aca="false">IFERROR(__xludf.dummyfunction("filter('Réponses au formulaire 1'!T:T,'Réponses au formulaire 1'!B:B=C165)"),"papier")</f>
        <v>papier</v>
      </c>
      <c r="E165" s="72"/>
      <c r="F165" s="68"/>
      <c r="G165" s="15"/>
      <c r="H165" s="76" t="str">
        <f aca="false">IFERROR(__xludf.dummyfunction("""COMPUTED_VALUE"""),"Antoine Chillet")</f>
        <v>Antoine Chillet</v>
      </c>
      <c r="I165" s="50" t="str">
        <f aca="false">IFERROR(__xludf.dummyfunction("""COMPUTED_VALUE"""),"Balle de ping avec le logo d'Enactus ")</f>
        <v>Balle de ping avec le logo d'Enactus </v>
      </c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</row>
    <row r="166" customFormat="false" ht="15.75" hidden="false" customHeight="false" outlineLevel="0" collapsed="false">
      <c r="A166" s="76" t="n">
        <f aca="false">A165+1</f>
        <v>165</v>
      </c>
      <c r="B166" s="70" t="n">
        <f aca="false">IFERROR(__xludf.dummyfunction("filter(Famillesid!$22:$22,(Famillesid!$16:$16=A166)+(Famillesid!$17:$17=A166)+(Famillesid!$18:$18=A166)+(Famillesid!$19:$19=A166)+(Famillesid!$20:$20=A166)+(Famillesid!$21:$21=A166))"),201)</f>
        <v>201</v>
      </c>
      <c r="C166" s="77" t="str">
        <f aca="false">IFERROR(__xludf.dummyfunction("""COMPUTED_VALUE"""),"Moens Diego")</f>
        <v>Moens Diego</v>
      </c>
      <c r="D166" s="78" t="str">
        <f aca="false">IFERROR(__xludf.dummyfunction("filter('Réponses au formulaire 1'!T:T,'Réponses au formulaire 1'!B:B=C166)"),"Grande feuille à rouler ")</f>
        <v>Grande feuille à rouler </v>
      </c>
      <c r="E166" s="72"/>
      <c r="F166" s="68"/>
      <c r="G166" s="15"/>
      <c r="H166" s="76" t="str">
        <f aca="false">IFERROR(__xludf.dummyfunction("""COMPUTED_VALUE"""),"Richard ARNAUD")</f>
        <v>Richard ARNAUD</v>
      </c>
      <c r="I166" s="50" t="str">
        <f aca="false">IFERROR(__xludf.dummyfunction("""COMPUTED_VALUE"""),"J'improserai")</f>
        <v>J'improserai</v>
      </c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</row>
    <row r="167" customFormat="false" ht="15.75" hidden="false" customHeight="false" outlineLevel="0" collapsed="false">
      <c r="A167" s="76" t="n">
        <f aca="false">A166+1</f>
        <v>166</v>
      </c>
      <c r="B167" s="70" t="n">
        <f aca="false">IFERROR(__xludf.dummyfunction("filter(Famillesid!$22:$22,(Famillesid!$16:$16=A167)+(Famillesid!$17:$17=A167)+(Famillesid!$18:$18=A167)+(Famillesid!$19:$19=A167)+(Famillesid!$20:$20=A167)+(Famillesid!$21:$21=A167))"),201)</f>
        <v>201</v>
      </c>
      <c r="C167" s="77" t="str">
        <f aca="false">IFERROR(__xludf.dummyfunction("""COMPUTED_VALUE"""),"Felipe Altamirano")</f>
        <v>Felipe Altamirano</v>
      </c>
      <c r="D167" s="78" t="str">
        <f aca="false">IFERROR(__xludf.dummyfunction("filter('Réponses au formulaire 1'!T:T,'Réponses au formulaire 1'!B:B=C167)"),"Une bouteille de pisco vide")</f>
        <v>Une bouteille de pisco vide</v>
      </c>
      <c r="E167" s="72"/>
      <c r="F167" s="68"/>
      <c r="G167" s="15"/>
      <c r="H167" s="76" t="str">
        <f aca="false">IFERROR(__xludf.dummyfunction("""COMPUTED_VALUE"""),"Le Mintier Emmanuel")</f>
        <v>Le Mintier Emmanuel</v>
      </c>
      <c r="I167" s="50" t="str">
        <f aca="false">IFERROR(__xludf.dummyfunction("""COMPUTED_VALUE"""),"Manivelle de Winch")</f>
        <v>Manivelle de Winch</v>
      </c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</row>
    <row r="168" customFormat="false" ht="15.75" hidden="false" customHeight="false" outlineLevel="0" collapsed="false">
      <c r="A168" s="76" t="n">
        <f aca="false">A167+1</f>
        <v>167</v>
      </c>
      <c r="B168" s="70" t="n">
        <f aca="false">IFERROR(__xludf.dummyfunction("filter(Famillesid!$22:$22,(Famillesid!$16:$16=A168)+(Famillesid!$17:$17=A168)+(Famillesid!$18:$18=A168)+(Famillesid!$19:$19=A168)+(Famillesid!$20:$20=A168)+(Famillesid!$21:$21=A168))"),201)</f>
        <v>201</v>
      </c>
      <c r="C168" s="77" t="str">
        <f aca="false">IFERROR(__xludf.dummyfunction("""COMPUTED_VALUE"""),"Alison ALIAGA")</f>
        <v>Alison ALIAGA</v>
      </c>
      <c r="D168" s="78" t="str">
        <f aca="false">IFERROR(__xludf.dummyfunction("filter('Réponses au formulaire 1'!T:T,'Réponses au formulaire 1'!B:B=C168)"),"Mon nounou ")</f>
        <v>Mon nounou </v>
      </c>
      <c r="E168" s="72"/>
      <c r="F168" s="68"/>
      <c r="G168" s="15"/>
      <c r="H168" s="76" t="str">
        <f aca="false">IFERROR(__xludf.dummyfunction("""COMPUTED_VALUE"""),"Lilie BOIZUMAULT")</f>
        <v>Lilie BOIZUMAULT</v>
      </c>
      <c r="I168" s="50" t="str">
        <f aca="false">IFERROR(__xludf.dummyfunction("""COMPUTED_VALUE"""),"Pochtard avec du gazon dedans ")</f>
        <v>Pochtard avec du gazon dedans </v>
      </c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</row>
    <row r="169" customFormat="false" ht="15.75" hidden="false" customHeight="false" outlineLevel="0" collapsed="false">
      <c r="A169" s="76" t="n">
        <f aca="false">A168+1</f>
        <v>168</v>
      </c>
      <c r="B169" s="70" t="n">
        <f aca="false">IFERROR(__xludf.dummyfunction("filter(Famillesid!$22:$22,(Famillesid!$16:$16=A169)+(Famillesid!$17:$17=A169)+(Famillesid!$18:$18=A169)+(Famillesid!$19:$19=A169)+(Famillesid!$20:$20=A169)+(Famillesid!$21:$21=A169))"),201)</f>
        <v>201</v>
      </c>
      <c r="C169" s="77" t="str">
        <f aca="false">IFERROR(__xludf.dummyfunction("""COMPUTED_VALUE"""),"Argueta Tamayo Emanuel")</f>
        <v>Argueta Tamayo Emanuel</v>
      </c>
      <c r="D169" s="78" t="str">
        <f aca="false">IFERROR(__xludf.dummyfunction("filter('Réponses au formulaire 1'!T:T,'Réponses au formulaire 1'!B:B=C169)"),"Valentina (Salsa Picante) ")</f>
        <v>Valentina (Salsa Picante) </v>
      </c>
      <c r="E169" s="72"/>
      <c r="F169" s="68"/>
      <c r="G169" s="15"/>
      <c r="H169" s="76" t="str">
        <f aca="false">IFERROR(__xludf.dummyfunction("""COMPUTED_VALUE"""),"Adrien Jamelot")</f>
        <v>Adrien Jamelot</v>
      </c>
      <c r="I169" s="50" t="str">
        <f aca="false">IFERROR(__xludf.dummyfunction("""COMPUTED_VALUE"""),"Une brosse à dents")</f>
        <v>Une brosse à dents</v>
      </c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</row>
    <row r="170" customFormat="false" ht="15.75" hidden="false" customHeight="false" outlineLevel="0" collapsed="false">
      <c r="A170" s="76" t="n">
        <f aca="false">A169+1</f>
        <v>169</v>
      </c>
      <c r="B170" s="70" t="n">
        <f aca="false">IFERROR(__xludf.dummyfunction("filter(Famillesid!$22:$22,(Famillesid!$16:$16=A170)+(Famillesid!$17:$17=A170)+(Famillesid!$18:$18=A170)+(Famillesid!$19:$19=A170)+(Famillesid!$20:$20=A170)+(Famillesid!$21:$21=A170))"),171)</f>
        <v>171</v>
      </c>
      <c r="C170" s="77" t="str">
        <f aca="false">IFERROR(__xludf.dummyfunction("""COMPUTED_VALUE"""),"Marina THIEME PETERSEN")</f>
        <v>Marina THIEME PETERSEN</v>
      </c>
      <c r="D170" s="78" t="str">
        <f aca="false">IFERROR(__xludf.dummyfunction("filter('Réponses au formulaire 1'!T:T,'Réponses au formulaire 1'!B:B=C170)"),"schoko bons")</f>
        <v>schoko bons</v>
      </c>
      <c r="E170" s="72"/>
      <c r="F170" s="68"/>
      <c r="G170" s="15"/>
      <c r="H170" s="76" t="str">
        <f aca="false">IFERROR(__xludf.dummyfunction("""COMPUTED_VALUE"""),"Eric Ali Mehenni")</f>
        <v>Eric Ali Mehenni</v>
      </c>
      <c r="I170" s="50" t="str">
        <f aca="false">IFERROR(__xludf.dummyfunction("""COMPUTED_VALUE"""),"Une carte")</f>
        <v>Une carte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</row>
    <row r="171" customFormat="false" ht="15.75" hidden="false" customHeight="false" outlineLevel="0" collapsed="false">
      <c r="A171" s="76" t="n">
        <f aca="false">A170+1</f>
        <v>170</v>
      </c>
      <c r="B171" s="70" t="n">
        <f aca="false">IFERROR(__xludf.dummyfunction("filter(Famillesid!$22:$22,(Famillesid!$16:$16=A171)+(Famillesid!$17:$17=A171)+(Famillesid!$18:$18=A171)+(Famillesid!$19:$19=A171)+(Famillesid!$20:$20=A171)+(Famillesid!$21:$21=A171))"),81)</f>
        <v>81</v>
      </c>
      <c r="C171" s="77" t="str">
        <f aca="false">IFERROR(__xludf.dummyfunction("""COMPUTED_VALUE"""),"Erwan Sauvage")</f>
        <v>Erwan Sauvage</v>
      </c>
      <c r="D171" s="78" t="str">
        <f aca="false">IFERROR(__xludf.dummyfunction("filter('Réponses au formulaire 1'!T:T,'Réponses au formulaire 1'!B:B=C171)"),"Mon peignoir")</f>
        <v>Mon peignoir</v>
      </c>
      <c r="E171" s="72"/>
      <c r="F171" s="68"/>
      <c r="G171" s="15"/>
      <c r="H171" s="76" t="str">
        <f aca="false">IFERROR(__xludf.dummyfunction("""COMPUTED_VALUE"""),"Anaïs BOUCHET")</f>
        <v>Anaïs BOUCHET</v>
      </c>
      <c r="I171" s="50" t="str">
        <f aca="false">IFERROR(__xludf.dummyfunction("""COMPUTED_VALUE"""),"Un serre-tête médusé ")</f>
        <v>Un serre-tête médusé </v>
      </c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</row>
    <row r="172" customFormat="false" ht="15.75" hidden="false" customHeight="false" outlineLevel="0" collapsed="false">
      <c r="A172" s="76" t="n">
        <f aca="false">A171+1</f>
        <v>171</v>
      </c>
      <c r="B172" s="70" t="n">
        <f aca="false">IFERROR(__xludf.dummyfunction("filter(Famillesid!$22:$22,(Famillesid!$16:$16=A172)+(Famillesid!$17:$17=A172)+(Famillesid!$18:$18=A172)+(Famillesid!$19:$19=A172)+(Famillesid!$20:$20=A172)+(Famillesid!$21:$21=A172))"),161)</f>
        <v>161</v>
      </c>
      <c r="C172" s="77" t="str">
        <f aca="false">IFERROR(__xludf.dummyfunction("""COMPUTED_VALUE"""),"Mathieu Rey-Herme")</f>
        <v>Mathieu Rey-Herme</v>
      </c>
      <c r="D172" s="78" t="str">
        <f aca="false">IFERROR(__xludf.dummyfunction("filter('Réponses au formulaire 1'!T:T,'Réponses au formulaire 1'!B:B=C172)"),"Veston du gouverneur (comu)")</f>
        <v>Veston du gouverneur (comu)</v>
      </c>
      <c r="E172" s="80" t="s">
        <v>1144</v>
      </c>
      <c r="F172" s="81" t="s">
        <v>1160</v>
      </c>
      <c r="G172" s="15"/>
      <c r="H172" s="76" t="str">
        <f aca="false">IFERROR(__xludf.dummyfunction("""COMPUTED_VALUE"""),"Antoine DAROUX")</f>
        <v>Antoine DAROUX</v>
      </c>
      <c r="I172" s="50" t="str">
        <f aca="false">IFERROR(__xludf.dummyfunction("""COMPUTED_VALUE"""),"Un planning du BDE des Fox")</f>
        <v>Un planning du BDE des Fox</v>
      </c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</row>
    <row r="173" customFormat="false" ht="15.75" hidden="false" customHeight="false" outlineLevel="0" collapsed="false">
      <c r="A173" s="76" t="n">
        <f aca="false">A172+1</f>
        <v>172</v>
      </c>
      <c r="B173" s="70" t="n">
        <f aca="false">IFERROR(__xludf.dummyfunction("filter(Famillesid!$22:$22,(Famillesid!$16:$16=A173)+(Famillesid!$17:$17=A173)+(Famillesid!$18:$18=A173)+(Famillesid!$19:$19=A173)+(Famillesid!$20:$20=A173)+(Famillesid!$21:$21=A173))"),201)</f>
        <v>201</v>
      </c>
      <c r="C173" s="77" t="str">
        <f aca="false">IFERROR(__xludf.dummyfunction("""COMPUTED_VALUE"""),"Tapias")</f>
        <v>Tapias</v>
      </c>
      <c r="D173" s="78" t="str">
        <f aca="false">IFERROR(__xludf.dummyfunction("filter('Réponses au formulaire 1'!T:T,'Réponses au formulaire 1'!B:B=C173)"),"Une banane vert ")</f>
        <v>Une banane vert </v>
      </c>
      <c r="E173" s="72" t="s">
        <v>1144</v>
      </c>
      <c r="F173" s="68" t="s">
        <v>1157</v>
      </c>
      <c r="G173" s="15"/>
      <c r="H173" s="76" t="str">
        <f aca="false">IFERROR(__xludf.dummyfunction("""COMPUTED_VALUE"""),"Lucas SANCIET--MUNIER")</f>
        <v>Lucas SANCIET--MUNIER</v>
      </c>
      <c r="I173" s="50" t="str">
        <f aca="false">IFERROR(__xludf.dummyfunction("""COMPUTED_VALUE"""),"Un saucisson de Savoie")</f>
        <v>Un saucisson de Savoie</v>
      </c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</row>
    <row r="174" customFormat="false" ht="15.75" hidden="false" customHeight="false" outlineLevel="0" collapsed="false">
      <c r="A174" s="76" t="n">
        <f aca="false">A173+1</f>
        <v>173</v>
      </c>
      <c r="B174" s="70" t="str">
        <f aca="false">IFERROR(__xludf.dummyfunction("filter(Famillesid!$22:$22,(Famillesid!$16:$16=A174)+(Famillesid!$17:$17=A174)+(Famillesid!$18:$18=A174)+(Famillesid!$19:$19=A174)+(Famillesid!$20:$20=A174)+(Famillesid!$21:$21=A174))"),"#N/A")</f>
        <v>#N/A</v>
      </c>
      <c r="C174" s="77" t="str">
        <f aca="false">IFERROR(__xludf.dummyfunction("""COMPUTED_VALUE"""),"Manon VLIEGHE")</f>
        <v>Manon VLIEGHE</v>
      </c>
      <c r="D174" s="78" t="str">
        <f aca="false">IFERROR(__xludf.dummyfunction("filter('Réponses au formulaire 1'!T:T,'Réponses au formulaire 1'!B:B=C174)"),"Une valise de matèriel à dessin")</f>
        <v>Une valise de matèriel à dessin</v>
      </c>
      <c r="E174" s="72"/>
      <c r="F174" s="68"/>
      <c r="G174" s="15"/>
      <c r="H174" s="76" t="str">
        <f aca="false">IFERROR(__xludf.dummyfunction("""COMPUTED_VALUE"""),"Thomas LE BOURHIS")</f>
        <v>Thomas LE BOURHIS</v>
      </c>
      <c r="I174" s="50" t="str">
        <f aca="false">IFERROR(__xludf.dummyfunction("""COMPUTED_VALUE"""),"Un paquet de cartes")</f>
        <v>Un paquet de cartes</v>
      </c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</row>
    <row r="175" customFormat="false" ht="15.75" hidden="false" customHeight="false" outlineLevel="0" collapsed="false">
      <c r="A175" s="76" t="n">
        <f aca="false">A174+1</f>
        <v>174</v>
      </c>
      <c r="B175" s="70" t="n">
        <f aca="false">IFERROR(__xludf.dummyfunction("filter(Famillesid!$22:$22,(Famillesid!$16:$16=A175)+(Famillesid!$17:$17=A175)+(Famillesid!$18:$18=A175)+(Famillesid!$19:$19=A175)+(Famillesid!$20:$20=A175)+(Famillesid!$21:$21=A175))"),201)</f>
        <v>201</v>
      </c>
      <c r="C175" s="77" t="str">
        <f aca="false">IFERROR(__xludf.dummyfunction("""COMPUTED_VALUE"""),"Miguel MORENO")</f>
        <v>Miguel MORENO</v>
      </c>
      <c r="D175" s="78" t="str">
        <f aca="false">IFERROR(__xludf.dummyfunction("filter('Réponses au formulaire 1'!T:T,'Réponses au formulaire 1'!B:B=C175)"),"Conseills académiques et pour bien s'amuser pendant ses études dans la façon Latinoaméricaine ")</f>
        <v>Conseills académiques et pour bien s'amuser pendant ses études dans la façon Latinoaméricaine </v>
      </c>
      <c r="E175" s="72"/>
      <c r="F175" s="68"/>
      <c r="G175" s="15"/>
      <c r="H175" s="76" t="str">
        <f aca="false">IFERROR(__xludf.dummyfunction("""COMPUTED_VALUE"""),"Hugo GAYRARD")</f>
        <v>Hugo GAYRARD</v>
      </c>
      <c r="I175" s="50" t="str">
        <f aca="false">IFERROR(__xludf.dummyfunction("""COMPUTED_VALUE"""),"Un déguisement")</f>
        <v>Un déguisement</v>
      </c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</row>
    <row r="176" customFormat="false" ht="15.75" hidden="false" customHeight="false" outlineLevel="0" collapsed="false">
      <c r="A176" s="76" t="n">
        <f aca="false">A175+1</f>
        <v>175</v>
      </c>
      <c r="B176" s="70" t="n">
        <f aca="false">IFERROR(__xludf.dummyfunction("filter(Famillesid!$22:$22,(Famillesid!$16:$16=A176)+(Famillesid!$17:$17=A176)+(Famillesid!$18:$18=A176)+(Famillesid!$19:$19=A176)+(Famillesid!$20:$20=A176)+(Famillesid!$21:$21=A176))"),206)</f>
        <v>206</v>
      </c>
      <c r="C176" s="77" t="str">
        <f aca="false">IFERROR(__xludf.dummyfunction("""COMPUTED_VALUE"""),"Baptiste Marlet")</f>
        <v>Baptiste Marlet</v>
      </c>
      <c r="D176" s="78" t="str">
        <f aca="false">IFERROR(__xludf.dummyfunction("filter('Réponses au formulaire 1'!T:T,'Réponses au formulaire 1'!B:B=C176)"),"Le set de dés du JDR")</f>
        <v>Le set de dés du JDR</v>
      </c>
      <c r="E176" s="72"/>
      <c r="F176" s="68"/>
      <c r="G176" s="15"/>
      <c r="H176" s="76" t="str">
        <f aca="false">IFERROR(__xludf.dummyfunction("""COMPUTED_VALUE"""),"Loïc")</f>
        <v>Loïc</v>
      </c>
      <c r="I176" s="50" t="str">
        <f aca="false">IFERROR(__xludf.dummyfunction("""COMPUTED_VALUE"""),"Toute ma bienveillance")</f>
        <v>Toute ma bienveillance</v>
      </c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</row>
    <row r="177" customFormat="false" ht="15.75" hidden="false" customHeight="false" outlineLevel="0" collapsed="false">
      <c r="A177" s="76" t="n">
        <f aca="false">A176+1</f>
        <v>176</v>
      </c>
      <c r="B177" s="70" t="n">
        <f aca="false">IFERROR(__xludf.dummyfunction("filter(Famillesid!$22:$22,(Famillesid!$16:$16=A177)+(Famillesid!$17:$17=A177)+(Famillesid!$18:$18=A177)+(Famillesid!$19:$19=A177)+(Famillesid!$20:$20=A177)+(Famillesid!$21:$21=A177))"),136)</f>
        <v>136</v>
      </c>
      <c r="C177" s="77" t="str">
        <f aca="false">IFERROR(__xludf.dummyfunction("""COMPUTED_VALUE"""),"Hugo SEMPÉ")</f>
        <v>Hugo SEMPÉ</v>
      </c>
      <c r="D177" s="78" t="str">
        <f aca="false">IFERROR(__xludf.dummyfunction("filter('Réponses au formulaire 1'!T:T,'Réponses au formulaire 1'!B:B=C177)"),"Un arrêt de bus")</f>
        <v>Un arrêt de bus</v>
      </c>
      <c r="E177" s="80" t="s">
        <v>1144</v>
      </c>
      <c r="F177" s="81" t="s">
        <v>1160</v>
      </c>
      <c r="G177" s="15"/>
      <c r="H177" s="76" t="str">
        <f aca="false">IFERROR(__xludf.dummyfunction("""COMPUTED_VALUE"""),"Pierre Veillard")</f>
        <v>Pierre Veillard</v>
      </c>
      <c r="I177" s="50" t="str">
        <f aca="false">IFERROR(__xludf.dummyfunction("""COMPUTED_VALUE"""),"Un poney")</f>
        <v>Un poney</v>
      </c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</row>
    <row r="178" customFormat="false" ht="15.75" hidden="false" customHeight="false" outlineLevel="0" collapsed="false">
      <c r="A178" s="76" t="n">
        <f aca="false">A177+1</f>
        <v>177</v>
      </c>
      <c r="B178" s="70" t="n">
        <f aca="false">IFERROR(__xludf.dummyfunction("filter(Famillesid!$22:$22,(Famillesid!$16:$16=A178)+(Famillesid!$17:$17=A178)+(Famillesid!$18:$18=A178)+(Famillesid!$19:$19=A178)+(Famillesid!$20:$20=A178)+(Famillesid!$21:$21=A178))"),206)</f>
        <v>206</v>
      </c>
      <c r="C178" s="77" t="str">
        <f aca="false">IFERROR(__xludf.dummyfunction("""COMPUTED_VALUE"""),"Nicolas Meniconi")</f>
        <v>Nicolas Meniconi</v>
      </c>
      <c r="D178" s="78" t="str">
        <f aca="false">IFERROR(__xludf.dummyfunction("filter('Réponses au formulaire 1'!T:T,'Réponses au formulaire 1'!B:B=C178)"),"Noeud pap")</f>
        <v>Noeud pap</v>
      </c>
      <c r="E178" s="72"/>
      <c r="F178" s="68"/>
      <c r="G178" s="15"/>
      <c r="H178" s="76" t="str">
        <f aca="false">IFERROR(__xludf.dummyfunction("""COMPUTED_VALUE"""),"Ruben MATONDZI")</f>
        <v>Ruben MATONDZI</v>
      </c>
      <c r="I178" s="50" t="str">
        <f aca="false">IFERROR(__xludf.dummyfunction("""COMPUTED_VALUE"""),"Un oreiller ")</f>
        <v>Un oreiller </v>
      </c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</row>
    <row r="179" customFormat="false" ht="15.75" hidden="false" customHeight="false" outlineLevel="0" collapsed="false">
      <c r="A179" s="76" t="n">
        <f aca="false">A178+1</f>
        <v>178</v>
      </c>
      <c r="B179" s="70" t="n">
        <f aca="false">IFERROR(__xludf.dummyfunction("filter(Famillesid!$22:$22,(Famillesid!$16:$16=A179)+(Famillesid!$17:$17=A179)+(Famillesid!$18:$18=A179)+(Famillesid!$19:$19=A179)+(Famillesid!$20:$20=A179)+(Famillesid!$21:$21=A179))"),186)</f>
        <v>186</v>
      </c>
      <c r="C179" s="77" t="str">
        <f aca="false">IFERROR(__xludf.dummyfunction("""COMPUTED_VALUE"""),"Romain THIMON")</f>
        <v>Romain THIMON</v>
      </c>
      <c r="D179" s="78" t="str">
        <f aca="false">IFERROR(__xludf.dummyfunction("filter('Réponses au formulaire 1'!T:T,'Réponses au formulaire 1'!B:B=C179)"),"32 ecocups et deux balles de ping pong")</f>
        <v>32 ecocups et deux balles de ping pong</v>
      </c>
      <c r="E179" s="72"/>
      <c r="F179" s="68"/>
      <c r="G179" s="15"/>
      <c r="H179" s="76" t="str">
        <f aca="false">IFERROR(__xludf.dummyfunction("""COMPUTED_VALUE"""),"Manon DUBREIL")</f>
        <v>Manon DUBREIL</v>
      </c>
      <c r="I179" s="50" t="str">
        <f aca="false">IFERROR(__xludf.dummyfunction("""COMPUTED_VALUE"""),"ADUNNO")</f>
        <v>ADUNNO</v>
      </c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</row>
    <row r="180" customFormat="false" ht="15.75" hidden="false" customHeight="false" outlineLevel="0" collapsed="false">
      <c r="A180" s="76" t="n">
        <f aca="false">A179+1</f>
        <v>179</v>
      </c>
      <c r="B180" s="70" t="n">
        <f aca="false">IFERROR(__xludf.dummyfunction("filter(Famillesid!$22:$22,(Famillesid!$16:$16=A180)+(Famillesid!$17:$17=A180)+(Famillesid!$18:$18=A180)+(Famillesid!$19:$19=A180)+(Famillesid!$20:$20=A180)+(Famillesid!$21:$21=A180))"),211)</f>
        <v>211</v>
      </c>
      <c r="C180" s="77" t="str">
        <f aca="false">IFERROR(__xludf.dummyfunction("""COMPUTED_VALUE"""),"Maximilien LESSAULT")</f>
        <v>Maximilien LESSAULT</v>
      </c>
      <c r="D180" s="78" t="str">
        <f aca="false">IFERROR(__xludf.dummyfunction("filter('Réponses au formulaire 1'!T:T,'Réponses au formulaire 1'!B:B=C180)"),"Je sais pas encore")</f>
        <v>Je sais pas encore</v>
      </c>
      <c r="E180" s="72"/>
      <c r="F180" s="68"/>
      <c r="G180" s="15"/>
      <c r="H180" s="76" t="str">
        <f aca="false">IFERROR(__xludf.dummyfunction("""COMPUTED_VALUE"""),"Maëlenn COLSON")</f>
        <v>Maëlenn COLSON</v>
      </c>
      <c r="I180" s="50" t="str">
        <f aca="false">IFERROR(__xludf.dummyfunction("""COMPUTED_VALUE"""),"Des paillettes &lt;3")</f>
        <v>Des paillettes &lt;3</v>
      </c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</row>
    <row r="181" customFormat="false" ht="15.75" hidden="false" customHeight="false" outlineLevel="0" collapsed="false">
      <c r="A181" s="76" t="n">
        <f aca="false">A180+1</f>
        <v>180</v>
      </c>
      <c r="B181" s="70" t="n">
        <f aca="false">IFERROR(__xludf.dummyfunction("filter(Famillesid!$22:$22,(Famillesid!$16:$16=A181)+(Famillesid!$17:$17=A181)+(Famillesid!$18:$18=A181)+(Famillesid!$19:$19=A181)+(Famillesid!$20:$20=A181)+(Famillesid!$21:$21=A181))"),211)</f>
        <v>211</v>
      </c>
      <c r="C181" s="77" t="str">
        <f aca="false">IFERROR(__xludf.dummyfunction("""COMPUTED_VALUE"""),"Thomas oppmann")</f>
        <v>Thomas oppmann</v>
      </c>
      <c r="D181" s="78" t="str">
        <f aca="false">IFERROR(__xludf.dummyfunction("filter('Réponses au formulaire 1'!T:T,'Réponses au formulaire 1'!B:B=C181)"),"Une manette GameCube ")</f>
        <v>Une manette GameCube </v>
      </c>
      <c r="E181" s="72"/>
      <c r="F181" s="68"/>
      <c r="G181" s="15"/>
      <c r="H181" s="76" t="str">
        <f aca="false">IFERROR(__xludf.dummyfunction("""COMPUTED_VALUE"""),"Rémy MAIGE")</f>
        <v>Rémy MAIGE</v>
      </c>
      <c r="I181" s="50" t="str">
        <f aca="false">IFERROR(__xludf.dummyfunction("""COMPUTED_VALUE"""),"¯\_(ツ)_/¯")</f>
        <v>¯\_(ツ)_/¯</v>
      </c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</row>
    <row r="182" customFormat="false" ht="15.75" hidden="false" customHeight="false" outlineLevel="0" collapsed="false">
      <c r="A182" s="76" t="n">
        <f aca="false">A181+1</f>
        <v>181</v>
      </c>
      <c r="B182" s="70" t="n">
        <f aca="false">IFERROR(__xludf.dummyfunction("filter(Famillesid!$22:$22,(Famillesid!$16:$16=A182)+(Famillesid!$17:$17=A182)+(Famillesid!$18:$18=A182)+(Famillesid!$19:$19=A182)+(Famillesid!$20:$20=A182)+(Famillesid!$21:$21=A182))"),211)</f>
        <v>211</v>
      </c>
      <c r="C182" s="77" t="str">
        <f aca="false">IFERROR(__xludf.dummyfunction("""COMPUTED_VALUE"""),"Alexandre Ghannad")</f>
        <v>Alexandre Ghannad</v>
      </c>
      <c r="D182" s="78" t="str">
        <f aca="false">IFERROR(__xludf.dummyfunction("filter('Réponses au formulaire 1'!T:T,'Réponses au formulaire 1'!B:B=C182)"),"je sais pas encore")</f>
        <v>je sais pas encore</v>
      </c>
      <c r="E182" s="72"/>
      <c r="F182" s="68"/>
      <c r="G182" s="15"/>
      <c r="H182" s="76" t="str">
        <f aca="false">IFERROR(__xludf.dummyfunction("""COMPUTED_VALUE"""),"Ramy SLIM")</f>
        <v>Ramy SLIM</v>
      </c>
      <c r="I182" s="50" t="str">
        <f aca="false">IFERROR(__xludf.dummyfunction("""COMPUTED_VALUE"""),"Un bandana")</f>
        <v>Un bandana</v>
      </c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</row>
    <row r="183" customFormat="false" ht="15.75" hidden="false" customHeight="false" outlineLevel="0" collapsed="false">
      <c r="A183" s="76" t="n">
        <f aca="false">A182+1</f>
        <v>182</v>
      </c>
      <c r="B183" s="70" t="n">
        <f aca="false">IFERROR(__xludf.dummyfunction("filter(Famillesid!$22:$22,(Famillesid!$16:$16=A183)+(Famillesid!$17:$17=A183)+(Famillesid!$18:$18=A183)+(Famillesid!$19:$19=A183)+(Famillesid!$20:$20=A183)+(Famillesid!$21:$21=A183))"),211)</f>
        <v>211</v>
      </c>
      <c r="C183" s="77" t="str">
        <f aca="false">IFERROR(__xludf.dummyfunction("""COMPUTED_VALUE"""),"Christopher LESDALONS")</f>
        <v>Christopher LESDALONS</v>
      </c>
      <c r="D183" s="78" t="str">
        <f aca="false">IFERROR(__xludf.dummyfunction("filter('Réponses au formulaire 1'!T:T,'Réponses au formulaire 1'!B:B=C183)"),"Je sais pas encore")</f>
        <v>Je sais pas encore</v>
      </c>
      <c r="E183" s="72"/>
      <c r="F183" s="68"/>
      <c r="G183" s="15"/>
      <c r="H183" s="76" t="str">
        <f aca="false">IFERROR(__xludf.dummyfunction("""COMPUTED_VALUE"""),"TOMAZ AMORIM")</f>
        <v>TOMAZ AMORIM</v>
      </c>
      <c r="I183" s="50" t="str">
        <f aca="false">IFERROR(__xludf.dummyfunction("""COMPUTED_VALUE"""),"Une tasse de café")</f>
        <v>Une tasse de café</v>
      </c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</row>
    <row r="184" customFormat="false" ht="15.75" hidden="false" customHeight="false" outlineLevel="0" collapsed="false">
      <c r="A184" s="76" t="n">
        <f aca="false">A183+1</f>
        <v>183</v>
      </c>
      <c r="B184" s="70" t="n">
        <f aca="false">IFERROR(__xludf.dummyfunction("filter(Famillesid!$22:$22,(Famillesid!$16:$16=A184)+(Famillesid!$17:$17=A184)+(Famillesid!$18:$18=A184)+(Famillesid!$19:$19=A184)+(Famillesid!$20:$20=A184)+(Famillesid!$21:$21=A184))"),211)</f>
        <v>211</v>
      </c>
      <c r="C184" s="77" t="str">
        <f aca="false">IFERROR(__xludf.dummyfunction("""COMPUTED_VALUE"""),"Amine BEDRANE")</f>
        <v>Amine BEDRANE</v>
      </c>
      <c r="D184" s="78" t="str">
        <f aca="false">IFERROR(__xludf.dummyfunction("filter('Réponses au formulaire 1'!T:T,'Réponses au formulaire 1'!B:B=C184)"),"Sais pas encore")</f>
        <v>Sais pas encore</v>
      </c>
      <c r="E184" s="72"/>
      <c r="F184" s="68"/>
      <c r="G184" s="15"/>
      <c r="H184" s="76" t="str">
        <f aca="false">IFERROR(__xludf.dummyfunction("""COMPUTED_VALUE"""),"Maxime Canard")</f>
        <v>Maxime Canard</v>
      </c>
      <c r="I184" s="50" t="str">
        <f aca="false">IFERROR(__xludf.dummyfunction("""COMPUTED_VALUE"""),"Je sais pas encore")</f>
        <v>Je sais pas encore</v>
      </c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</row>
    <row r="185" customFormat="false" ht="15.75" hidden="false" customHeight="false" outlineLevel="0" collapsed="false">
      <c r="A185" s="76" t="n">
        <f aca="false">A184+1</f>
        <v>184</v>
      </c>
      <c r="B185" s="70" t="n">
        <f aca="false">IFERROR(__xludf.dummyfunction("filter(Famillesid!$22:$22,(Famillesid!$16:$16=A185)+(Famillesid!$17:$17=A185)+(Famillesid!$18:$18=A185)+(Famillesid!$19:$19=A185)+(Famillesid!$20:$20=A185)+(Famillesid!$21:$21=A185))"),81)</f>
        <v>81</v>
      </c>
      <c r="C185" s="77" t="str">
        <f aca="false">IFERROR(__xludf.dummyfunction("""COMPUTED_VALUE"""),"Charles-Eole MARICHAL")</f>
        <v>Charles-Eole MARICHAL</v>
      </c>
      <c r="D185" s="78" t="str">
        <f aca="false">IFERROR(__xludf.dummyfunction("filter('Réponses au formulaire 1'!T:T,'Réponses au formulaire 1'!B:B=C185)"),"La Salière d'Or")</f>
        <v>La Salière d'Or</v>
      </c>
      <c r="E185" s="72"/>
      <c r="F185" s="68"/>
      <c r="G185" s="15"/>
      <c r="H185" s="76" t="str">
        <f aca="false">IFERROR(__xludf.dummyfunction("""COMPUTED_VALUE"""),"Corentin GILBERT")</f>
        <v>Corentin GILBERT</v>
      </c>
      <c r="I185" s="50" t="str">
        <f aca="false">IFERROR(__xludf.dummyfunction("""COMPUTED_VALUE"""),"boite a musique / partition")</f>
        <v>boite a musique / partition</v>
      </c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</row>
    <row r="186" customFormat="false" ht="15.75" hidden="false" customHeight="false" outlineLevel="0" collapsed="false">
      <c r="A186" s="76" t="n">
        <f aca="false">A185+1</f>
        <v>185</v>
      </c>
      <c r="B186" s="70" t="n">
        <f aca="false">IFERROR(__xludf.dummyfunction("filter(Famillesid!$22:$22,(Famillesid!$16:$16=A186)+(Famillesid!$17:$17=A186)+(Famillesid!$18:$18=A186)+(Famillesid!$19:$19=A186)+(Famillesid!$20:$20=A186)+(Famillesid!$21:$21=A186))"),76)</f>
        <v>76</v>
      </c>
      <c r="C186" s="77" t="str">
        <f aca="false">IFERROR(__xludf.dummyfunction("""COMPUTED_VALUE"""),"Justin Becker")</f>
        <v>Justin Becker</v>
      </c>
      <c r="D186" s="78" t="str">
        <f aca="false">IFERROR(__xludf.dummyfunction("filter('Réponses au formulaire 1'!T:T,'Réponses au formulaire 1'!B:B=C186)"),"Porte clé")</f>
        <v>Porte clé</v>
      </c>
      <c r="E186" s="72" t="s">
        <v>1144</v>
      </c>
      <c r="F186" s="68" t="s">
        <v>1158</v>
      </c>
      <c r="G186" s="15"/>
      <c r="H186" s="76" t="str">
        <f aca="false">IFERROR(__xludf.dummyfunction("""COMPUTED_VALUE"""),"Sergio MORENO LÓPEZ")</f>
        <v>Sergio MORENO LÓPEZ</v>
      </c>
      <c r="I186" s="50" t="str">
        <f aca="false">IFERROR(__xludf.dummyfunction("""COMPUTED_VALUE"""),"Acune idée encore ")</f>
        <v>Acune idée encore </v>
      </c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</row>
    <row r="187" customFormat="false" ht="15.75" hidden="false" customHeight="false" outlineLevel="0" collapsed="false">
      <c r="A187" s="76" t="n">
        <f aca="false">A186+1</f>
        <v>186</v>
      </c>
      <c r="B187" s="70" t="n">
        <f aca="false">IFERROR(__xludf.dummyfunction("filter(Famillesid!$22:$22,(Famillesid!$16:$16=A187)+(Famillesid!$17:$17=A187)+(Famillesid!$18:$18=A187)+(Famillesid!$19:$19=A187)+(Famillesid!$20:$20=A187)+(Famillesid!$21:$21=A187))"),206)</f>
        <v>206</v>
      </c>
      <c r="C187" s="77" t="str">
        <f aca="false">IFERROR(__xludf.dummyfunction("""COMPUTED_VALUE"""),"Pierre-Jean POLLOT")</f>
        <v>Pierre-Jean POLLOT</v>
      </c>
      <c r="D187" s="78" t="str">
        <f aca="false">IFERROR(__xludf.dummyfunction("filter('Réponses au formulaire 1'!T:T,'Réponses au formulaire 1'!B:B=C187)"),"Un noeud papillon")</f>
        <v>Un noeud papillon</v>
      </c>
      <c r="E187" s="72"/>
      <c r="F187" s="68"/>
      <c r="G187" s="15"/>
      <c r="H187" s="76" t="str">
        <f aca="false">IFERROR(__xludf.dummyfunction("""COMPUTED_VALUE"""),"Jose Luís RIVERA BLANCO")</f>
        <v>Jose Luís RIVERA BLANCO</v>
      </c>
      <c r="I187" s="50" t="str">
        <f aca="false">IFERROR(__xludf.dummyfunction("""COMPUTED_VALUE"""),"Je sais pas ")</f>
        <v>Je sais pas </v>
      </c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</row>
    <row r="188" customFormat="false" ht="15.75" hidden="false" customHeight="false" outlineLevel="0" collapsed="false">
      <c r="A188" s="76" t="n">
        <f aca="false">A187+1</f>
        <v>187</v>
      </c>
      <c r="B188" s="70" t="n">
        <f aca="false">IFERROR(__xludf.dummyfunction("filter(Famillesid!$22:$22,(Famillesid!$16:$16=A188)+(Famillesid!$17:$17=A188)+(Famillesid!$18:$18=A188)+(Famillesid!$19:$19=A188)+(Famillesid!$20:$20=A188)+(Famillesid!$21:$21=A188))"),71)</f>
        <v>71</v>
      </c>
      <c r="C188" s="77" t="str">
        <f aca="false">IFERROR(__xludf.dummyfunction("""COMPUTED_VALUE"""),"Judith LOUIS-ALEXANDRE")</f>
        <v>Judith LOUIS-ALEXANDRE</v>
      </c>
      <c r="D188" s="78" t="str">
        <f aca="false">IFERROR(__xludf.dummyfunction("filter('Réponses au formulaire 1'!T:T,'Réponses au formulaire 1'!B:B=C188)"),".")</f>
        <v>.</v>
      </c>
      <c r="E188" s="72"/>
      <c r="F188" s="68"/>
      <c r="G188" s="15"/>
      <c r="H188" s="76" t="str">
        <f aca="false">IFERROR(__xludf.dummyfunction("""COMPUTED_VALUE"""),"Yinzheng ZHOU")</f>
        <v>Yinzheng ZHOU</v>
      </c>
      <c r="I188" s="50" t="str">
        <f aca="false">IFERROR(__xludf.dummyfunction("""COMPUTED_VALUE"""),"Sais pas trop, des bières?")</f>
        <v>Sais pas trop, des bières?</v>
      </c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</row>
    <row r="189" customFormat="false" ht="15.75" hidden="false" customHeight="false" outlineLevel="0" collapsed="false">
      <c r="A189" s="76" t="n">
        <f aca="false">A188+1</f>
        <v>188</v>
      </c>
      <c r="B189" s="70" t="n">
        <f aca="false">IFERROR(__xludf.dummyfunction("filter(Famillesid!$22:$22,(Famillesid!$16:$16=A189)+(Famillesid!$17:$17=A189)+(Famillesid!$18:$18=A189)+(Famillesid!$19:$19=A189)+(Famillesid!$20:$20=A189)+(Famillesid!$21:$21=A189))"),156)</f>
        <v>156</v>
      </c>
      <c r="C189" s="77" t="str">
        <f aca="false">IFERROR(__xludf.dummyfunction("""COMPUTED_VALUE"""),"Alexandre MERASLI")</f>
        <v>Alexandre MERASLI</v>
      </c>
      <c r="D189" s="78" t="str">
        <f aca="false">IFERROR(__xludf.dummyfunction("filter('Réponses au formulaire 1'!T:T,'Réponses au formulaire 1'!B:B=C189)"),"Une balle de ping pong")</f>
        <v>Une balle de ping pong</v>
      </c>
      <c r="E189" s="72"/>
      <c r="F189" s="68"/>
      <c r="G189" s="15"/>
      <c r="H189" s="76" t="str">
        <f aca="false">IFERROR(__xludf.dummyfunction("""COMPUTED_VALUE"""),"Alexandre Bryk")</f>
        <v>Alexandre Bryk</v>
      </c>
      <c r="I189" s="50" t="str">
        <f aca="false">IFERROR(__xludf.dummyfunction("""COMPUTED_VALUE"""),"Aucune idée")</f>
        <v>Aucune idée</v>
      </c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</row>
    <row r="190" customFormat="false" ht="15.75" hidden="false" customHeight="false" outlineLevel="0" collapsed="false">
      <c r="A190" s="76" t="n">
        <f aca="false">A189+1</f>
        <v>189</v>
      </c>
      <c r="B190" s="70" t="n">
        <f aca="false">IFERROR(__xludf.dummyfunction("filter(Famillesid!$22:$22,(Famillesid!$16:$16=A190)+(Famillesid!$17:$17=A190)+(Famillesid!$18:$18=A190)+(Famillesid!$19:$19=A190)+(Famillesid!$20:$20=A190)+(Famillesid!$21:$21=A190))"),221)</f>
        <v>221</v>
      </c>
      <c r="C190" s="77" t="str">
        <f aca="false">IFERROR(__xludf.dummyfunction("""COMPUTED_VALUE"""),"Charlotte BEAUNE")</f>
        <v>Charlotte BEAUNE</v>
      </c>
      <c r="D190" s="78" t="str">
        <f aca="false">IFERROR(__xludf.dummyfunction("filter('Réponses au formulaire 1'!T:T,'Réponses au formulaire 1'!B:B=C190)"),"Mon attelle de genou flingué")</f>
        <v>Mon attelle de genou flingué</v>
      </c>
      <c r="E190" s="72"/>
      <c r="F190" s="68"/>
      <c r="G190" s="15"/>
      <c r="H190" s="76" t="str">
        <f aca="false">IFERROR(__xludf.dummyfunction("""COMPUTED_VALUE"""),"Sebastian CEPEDA")</f>
        <v>Sebastian CEPEDA</v>
      </c>
      <c r="I190" s="50" t="str">
        <f aca="false">IFERROR(__xludf.dummyfunction("""COMPUTED_VALUE"""),"un bout de papier ")</f>
        <v>un bout de papier </v>
      </c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</row>
    <row r="191" customFormat="false" ht="15.75" hidden="false" customHeight="false" outlineLevel="0" collapsed="false">
      <c r="A191" s="76" t="n">
        <f aca="false">A190+1</f>
        <v>190</v>
      </c>
      <c r="B191" s="70" t="n">
        <f aca="false">IFERROR(__xludf.dummyfunction("filter(Famillesid!$22:$22,(Famillesid!$16:$16=A191)+(Famillesid!$17:$17=A191)+(Famillesid!$18:$18=A191)+(Famillesid!$19:$19=A191)+(Famillesid!$20:$20=A191)+(Famillesid!$21:$21=A191))"),221)</f>
        <v>221</v>
      </c>
      <c r="C191" s="77" t="str">
        <f aca="false">IFERROR(__xludf.dummyfunction("""COMPUTED_VALUE"""),"Helena Delmotte")</f>
        <v>Helena Delmotte</v>
      </c>
      <c r="D191" s="78" t="str">
        <f aca="false">IFERROR(__xludf.dummyfunction("filter('Réponses au formulaire 1'!T:T,'Réponses au formulaire 1'!B:B=C191)"),"Une affiche de la COMU")</f>
        <v>Une affiche de la COMU</v>
      </c>
      <c r="E191" s="72"/>
      <c r="F191" s="68"/>
      <c r="G191" s="15"/>
      <c r="H191" s="76" t="str">
        <f aca="false">IFERROR(__xludf.dummyfunction("""COMPUTED_VALUE"""),"Sébastien VILLA")</f>
        <v>Sébastien VILLA</v>
      </c>
      <c r="I191" s="50" t="str">
        <f aca="false">IFERROR(__xludf.dummyfunction("""COMPUTED_VALUE"""),"un aviron")</f>
        <v>un aviron</v>
      </c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</row>
    <row r="192" customFormat="false" ht="15.75" hidden="false" customHeight="false" outlineLevel="0" collapsed="false">
      <c r="A192" s="76" t="n">
        <f aca="false">A191+1</f>
        <v>191</v>
      </c>
      <c r="B192" s="70" t="n">
        <f aca="false">IFERROR(__xludf.dummyfunction("filter(Famillesid!$22:$22,(Famillesid!$16:$16=A192)+(Famillesid!$17:$17=A192)+(Famillesid!$18:$18=A192)+(Famillesid!$19:$19=A192)+(Famillesid!$20:$20=A192)+(Famillesid!$21:$21=A192))"),221)</f>
        <v>221</v>
      </c>
      <c r="C192" s="77" t="str">
        <f aca="false">IFERROR(__xludf.dummyfunction("""COMPUTED_VALUE"""),"Anis KHEZNADJI")</f>
        <v>Anis KHEZNADJI</v>
      </c>
      <c r="D192" s="78" t="str">
        <f aca="false">IFERROR(__xludf.dummyfunction("filter('Réponses au formulaire 1'!T:T,'Réponses au formulaire 1'!B:B=C192)"),"Un kebab")</f>
        <v>Un kebab</v>
      </c>
      <c r="E192" s="72" t="s">
        <v>1144</v>
      </c>
      <c r="F192" s="68" t="s">
        <v>1157</v>
      </c>
      <c r="G192" s="15"/>
      <c r="H192" s="76" t="str">
        <f aca="false">IFERROR(__xludf.dummyfunction("""COMPUTED_VALUE"""),"Pierre Libault")</f>
        <v>Pierre Libault</v>
      </c>
      <c r="I192" s="50" t="str">
        <f aca="false">IFERROR(__xludf.dummyfunction("""COMPUTED_VALUE"""),"En réflexion ")</f>
        <v>En réflexion </v>
      </c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</row>
    <row r="193" customFormat="false" ht="15.75" hidden="false" customHeight="false" outlineLevel="0" collapsed="false">
      <c r="A193" s="76" t="n">
        <f aca="false">A192+1</f>
        <v>192</v>
      </c>
      <c r="B193" s="70" t="n">
        <f aca="false">IFERROR(__xludf.dummyfunction("filter(Famillesid!$22:$22,(Famillesid!$16:$16=A193)+(Famillesid!$17:$17=A193)+(Famillesid!$18:$18=A193)+(Famillesid!$19:$19=A193)+(Famillesid!$20:$20=A193)+(Famillesid!$21:$21=A193))"),156)</f>
        <v>156</v>
      </c>
      <c r="C193" s="77" t="str">
        <f aca="false">IFERROR(__xludf.dummyfunction("""COMPUTED_VALUE"""),"Marie COUPÉ")</f>
        <v>Marie COUPÉ</v>
      </c>
      <c r="D193" s="78" t="str">
        <f aca="false">IFERROR(__xludf.dummyfunction("filter('Réponses au formulaire 1'!T:T,'Réponses au formulaire 1'!B:B=C193)"),"Une girafe en plastique")</f>
        <v>Une girafe en plastique</v>
      </c>
      <c r="E193" s="72"/>
      <c r="F193" s="68"/>
      <c r="G193" s="15"/>
      <c r="H193" s="76" t="str">
        <f aca="false">IFERROR(__xludf.dummyfunction("""COMPUTED_VALUE"""),"Félix-Olivier Ngangue Nseke")</f>
        <v>Félix-Olivier Ngangue Nseke</v>
      </c>
      <c r="I193" s="50" t="str">
        <f aca="false">IFERROR(__xludf.dummyfunction("""COMPUTED_VALUE"""),"maillot de foot")</f>
        <v>maillot de foot</v>
      </c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</row>
    <row r="194" customFormat="false" ht="15.75" hidden="false" customHeight="false" outlineLevel="0" collapsed="false">
      <c r="A194" s="76" t="n">
        <f aca="false">A193+1</f>
        <v>193</v>
      </c>
      <c r="B194" s="70" t="n">
        <f aca="false">IFERROR(__xludf.dummyfunction("filter(Famillesid!$22:$22,(Famillesid!$16:$16=A194)+(Famillesid!$17:$17=A194)+(Famillesid!$18:$18=A194)+(Famillesid!$19:$19=A194)+(Famillesid!$20:$20=A194)+(Famillesid!$21:$21=A194))"),156)</f>
        <v>156</v>
      </c>
      <c r="C194" s="77" t="str">
        <f aca="false">IFERROR(__xludf.dummyfunction("""COMPUTED_VALUE"""),"Geoffroy LECONTE")</f>
        <v>Geoffroy LECONTE</v>
      </c>
      <c r="D194" s="78" t="str">
        <f aca="false">IFERROR(__xludf.dummyfunction("filter('Réponses au formulaire 1'!T:T,'Réponses au formulaire 1'!B:B=C194)"),"Pas encore décidé")</f>
        <v>Pas encore décidé</v>
      </c>
      <c r="E194" s="72"/>
      <c r="F194" s="68"/>
      <c r="G194" s="15"/>
      <c r="H194" s="76" t="str">
        <f aca="false">IFERROR(__xludf.dummyfunction("""COMPUTED_VALUE"""),"Laurène THILLIER")</f>
        <v>Laurène THILLIER</v>
      </c>
      <c r="I194" s="50" t="str">
        <f aca="false">IFERROR(__xludf.dummyfunction("""COMPUTED_VALUE"""),"oreilles de cochon")</f>
        <v>oreilles de cochon</v>
      </c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</row>
    <row r="195" customFormat="false" ht="15.75" hidden="false" customHeight="false" outlineLevel="0" collapsed="false">
      <c r="A195" s="76" t="n">
        <f aca="false">A194+1</f>
        <v>194</v>
      </c>
      <c r="B195" s="70" t="n">
        <f aca="false">IFERROR(__xludf.dummyfunction("filter(Famillesid!$22:$22,(Famillesid!$16:$16=A195)+(Famillesid!$17:$17=A195)+(Famillesid!$18:$18=A195)+(Famillesid!$19:$19=A195)+(Famillesid!$20:$20=A195)+(Famillesid!$21:$21=A195))"),216)</f>
        <v>216</v>
      </c>
      <c r="C195" s="77" t="str">
        <f aca="false">IFERROR(__xludf.dummyfunction("""COMPUTED_VALUE"""),"Pierre BOURREAU")</f>
        <v>Pierre BOURREAU</v>
      </c>
      <c r="D195" s="78" t="str">
        <f aca="false">IFERROR(__xludf.dummyfunction("filter('Réponses au formulaire 1'!T:T,'Réponses au formulaire 1'!B:B=C195)"),"Du vin")</f>
        <v>Du vin</v>
      </c>
      <c r="E195" s="72"/>
      <c r="F195" s="68"/>
      <c r="G195" s="15"/>
      <c r="H195" s="76" t="str">
        <f aca="false">IFERROR(__xludf.dummyfunction("""COMPUTED_VALUE"""),"Tanguy CABARET")</f>
        <v>Tanguy CABARET</v>
      </c>
      <c r="I195" s="50" t="str">
        <f aca="false">IFERROR(__xludf.dummyfunction("""COMPUTED_VALUE"""),"Une piece de bagnole mais je sais pas encore quoi ")</f>
        <v>Une piece de bagnole mais je sais pas encore quoi </v>
      </c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</row>
    <row r="196" customFormat="false" ht="15.75" hidden="false" customHeight="false" outlineLevel="0" collapsed="false">
      <c r="A196" s="76" t="n">
        <f aca="false">A195+1</f>
        <v>195</v>
      </c>
      <c r="B196" s="70" t="n">
        <f aca="false">IFERROR(__xludf.dummyfunction("filter(Famillesid!$22:$22,(Famillesid!$16:$16=A196)+(Famillesid!$17:$17=A196)+(Famillesid!$18:$18=A196)+(Famillesid!$19:$19=A196)+(Famillesid!$20:$20=A196)+(Famillesid!$21:$21=A196))"),216)</f>
        <v>216</v>
      </c>
      <c r="C196" s="77" t="str">
        <f aca="false">IFERROR(__xludf.dummyfunction("""COMPUTED_VALUE"""),"Antoine SENELLART")</f>
        <v>Antoine SENELLART</v>
      </c>
      <c r="D196" s="78" t="str">
        <f aca="false">IFERROR(__xludf.dummyfunction("filter('Réponses au formulaire 1'!T:T,'Réponses au formulaire 1'!B:B=C196)"),"Un Khalot")</f>
        <v>Un Khalot</v>
      </c>
      <c r="E196" s="72"/>
      <c r="F196" s="68"/>
      <c r="G196" s="15"/>
      <c r="H196" s="76" t="str">
        <f aca="false">IFERROR(__xludf.dummyfunction("""COMPUTED_VALUE"""),"Romane CARIOU")</f>
        <v>Romane CARIOU</v>
      </c>
      <c r="I196" s="50" t="str">
        <f aca="false">IFERROR(__xludf.dummyfunction("""COMPUTED_VALUE"""),"une corde de harpe ")</f>
        <v>une corde de harpe </v>
      </c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</row>
    <row r="197" customFormat="false" ht="15.75" hidden="false" customHeight="false" outlineLevel="0" collapsed="false">
      <c r="A197" s="76" t="n">
        <f aca="false">A196+1</f>
        <v>196</v>
      </c>
      <c r="B197" s="70" t="n">
        <f aca="false">IFERROR(__xludf.dummyfunction("filter(Famillesid!$22:$22,(Famillesid!$16:$16=A197)+(Famillesid!$17:$17=A197)+(Famillesid!$18:$18=A197)+(Famillesid!$19:$19=A197)+(Famillesid!$20:$20=A197)+(Famillesid!$21:$21=A197))"),226)</f>
        <v>226</v>
      </c>
      <c r="C197" s="77" t="str">
        <f aca="false">IFERROR(__xludf.dummyfunction("""COMPUTED_VALUE"""),"Louis LEQUES")</f>
        <v>Louis LEQUES</v>
      </c>
      <c r="D197" s="78" t="str">
        <f aca="false">IFERROR(__xludf.dummyfunction("filter('Réponses au formulaire 1'!T:T,'Réponses au formulaire 1'!B:B=C197)"),"un oinj")</f>
        <v>un oinj</v>
      </c>
      <c r="E197" s="72"/>
      <c r="F197" s="68"/>
      <c r="G197" s="15"/>
      <c r="H197" s="76" t="str">
        <f aca="false">IFERROR(__xludf.dummyfunction("""COMPUTED_VALUE"""),"Romain SUCCHE")</f>
        <v>Romain SUCCHE</v>
      </c>
      <c r="I197" s="50" t="str">
        <f aca="false">IFERROR(__xludf.dummyfunction("""COMPUTED_VALUE"""),"Lunettes cassées ")</f>
        <v>Lunettes cassées </v>
      </c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</row>
    <row r="198" customFormat="false" ht="15.75" hidden="false" customHeight="false" outlineLevel="0" collapsed="false">
      <c r="A198" s="76" t="n">
        <f aca="false">A197+1</f>
        <v>197</v>
      </c>
      <c r="B198" s="70" t="n">
        <f aca="false">IFERROR(__xludf.dummyfunction("filter(Famillesid!$22:$22,(Famillesid!$16:$16=A198)+(Famillesid!$17:$17=A198)+(Famillesid!$18:$18=A198)+(Famillesid!$19:$19=A198)+(Famillesid!$20:$20=A198)+(Famillesid!$21:$21=A198))"),216)</f>
        <v>216</v>
      </c>
      <c r="C198" s="77" t="str">
        <f aca="false">IFERROR(__xludf.dummyfunction("""COMPUTED_VALUE"""),"Louis CLAUCE")</f>
        <v>Louis CLAUCE</v>
      </c>
      <c r="D198" s="78" t="str">
        <f aca="false">IFERROR(__xludf.dummyfunction("filter('Réponses au formulaire 1'!T:T,'Réponses au formulaire 1'!B:B=C198)"),"un coupe cigare")</f>
        <v>un coupe cigare</v>
      </c>
      <c r="E198" s="72"/>
      <c r="F198" s="68"/>
      <c r="G198" s="15"/>
      <c r="H198" s="76" t="str">
        <f aca="false">IFERROR(__xludf.dummyfunction("""COMPUTED_VALUE"""),"Nicolas ROGER")</f>
        <v>Nicolas ROGER</v>
      </c>
      <c r="I198" s="50" t="str">
        <f aca="false">IFERROR(__xludf.dummyfunction("""COMPUTED_VALUE"""),"Une gamelle de chat ")</f>
        <v>Une gamelle de chat </v>
      </c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</row>
    <row r="199" customFormat="false" ht="15.75" hidden="false" customHeight="false" outlineLevel="0" collapsed="false">
      <c r="A199" s="76" t="n">
        <f aca="false">A198+1</f>
        <v>198</v>
      </c>
      <c r="B199" s="70" t="n">
        <f aca="false">IFERROR(__xludf.dummyfunction("filter(Famillesid!$22:$22,(Famillesid!$16:$16=A199)+(Famillesid!$17:$17=A199)+(Famillesid!$18:$18=A199)+(Famillesid!$19:$19=A199)+(Famillesid!$20:$20=A199)+(Famillesid!$21:$21=A199))"),226)</f>
        <v>226</v>
      </c>
      <c r="C199" s="77" t="str">
        <f aca="false">IFERROR(__xludf.dummyfunction("""COMPUTED_VALUE"""),"Samir ZINA-RAGGOUA")</f>
        <v>Samir ZINA-RAGGOUA</v>
      </c>
      <c r="D199" s="78" t="str">
        <f aca="false">IFERROR(__xludf.dummyfunction("filter('Réponses au formulaire 1'!T:T,'Réponses au formulaire 1'!B:B=C199)"),"Je ne sais pas")</f>
        <v>Je ne sais pas</v>
      </c>
      <c r="E199" s="72"/>
      <c r="F199" s="68"/>
      <c r="G199" s="15"/>
      <c r="H199" s="76" t="str">
        <f aca="false">IFERROR(__xludf.dummyfunction("""COMPUTED_VALUE"""),"Emmanuel COLLIGNAN")</f>
        <v>Emmanuel COLLIGNAN</v>
      </c>
      <c r="I199" s="50" t="str">
        <f aca="false">IFERROR(__xludf.dummyfunction("""COMPUTED_VALUE"""),"Ballon?")</f>
        <v>Ballon?</v>
      </c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</row>
    <row r="200" customFormat="false" ht="15.75" hidden="false" customHeight="false" outlineLevel="0" collapsed="false">
      <c r="A200" s="76" t="n">
        <f aca="false">A199+1</f>
        <v>199</v>
      </c>
      <c r="B200" s="70" t="n">
        <f aca="false">IFERROR(__xludf.dummyfunction("filter(Famillesid!$22:$22,(Famillesid!$16:$16=A200)+(Famillesid!$17:$17=A200)+(Famillesid!$18:$18=A200)+(Famillesid!$19:$19=A200)+(Famillesid!$20:$20=A200)+(Famillesid!$21:$21=A200))"),226)</f>
        <v>226</v>
      </c>
      <c r="C200" s="77" t="str">
        <f aca="false">IFERROR(__xludf.dummyfunction("""COMPUTED_VALUE"""),"Mikaël Farje")</f>
        <v>Mikaël Farje</v>
      </c>
      <c r="D200" s="78" t="str">
        <f aca="false">IFERROR(__xludf.dummyfunction("filter('Réponses au formulaire 1'!T:T,'Réponses au formulaire 1'!B:B=C200)"),"Un maillot de foot ")</f>
        <v>Un maillot de foot </v>
      </c>
      <c r="E200" s="72"/>
      <c r="F200" s="68"/>
      <c r="G200" s="15"/>
      <c r="H200" s="76" t="str">
        <f aca="false">IFERROR(__xludf.dummyfunction("""COMPUTED_VALUE"""),"Raúl VILLAFUERTE")</f>
        <v>Raúl VILLAFUERTE</v>
      </c>
      <c r="I200" s="50" t="str">
        <f aca="false">IFERROR(__xludf.dummyfunction("""COMPUTED_VALUE"""),"Tequila")</f>
        <v>Tequila</v>
      </c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</row>
    <row r="201" customFormat="false" ht="15.75" hidden="false" customHeight="false" outlineLevel="0" collapsed="false">
      <c r="A201" s="76" t="n">
        <f aca="false">A200+1</f>
        <v>200</v>
      </c>
      <c r="B201" s="70" t="n">
        <f aca="false">IFERROR(__xludf.dummyfunction("filter(Famillesid!$22:$22,(Famillesid!$16:$16=A201)+(Famillesid!$17:$17=A201)+(Famillesid!$18:$18=A201)+(Famillesid!$19:$19=A201)+(Famillesid!$20:$20=A201)+(Famillesid!$21:$21=A201))"),216)</f>
        <v>216</v>
      </c>
      <c r="C201" s="77" t="str">
        <f aca="false">IFERROR(__xludf.dummyfunction("""COMPUTED_VALUE"""),"Allouache")</f>
        <v>Allouache</v>
      </c>
      <c r="D201" s="78" t="str">
        <f aca="false">IFERROR(__xludf.dummyfunction("filter('Réponses au formulaire 1'!T:T,'Réponses au formulaire 1'!B:B=C201)"),"Des ailes d’ange ")</f>
        <v>Des ailes d’ange </v>
      </c>
      <c r="E201" s="72"/>
      <c r="F201" s="68"/>
      <c r="G201" s="15"/>
      <c r="H201" s="76" t="str">
        <f aca="false">IFERROR(__xludf.dummyfunction("""COMPUTED_VALUE"""),"Paul SAUBION")</f>
        <v>Paul SAUBION</v>
      </c>
      <c r="I201" s="50" t="str">
        <f aca="false">IFERROR(__xludf.dummyfunction("""COMPUTED_VALUE"""),"Une porte")</f>
        <v>Une porte</v>
      </c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</row>
    <row r="202" customFormat="false" ht="15.75" hidden="false" customHeight="false" outlineLevel="0" collapsed="false">
      <c r="A202" s="76" t="n">
        <f aca="false">A201+1</f>
        <v>201</v>
      </c>
      <c r="B202" s="70" t="n">
        <f aca="false">IFERROR(__xludf.dummyfunction("filter(Famillesid!$22:$22,(Famillesid!$16:$16=A202)+(Famillesid!$17:$17=A202)+(Famillesid!$18:$18=A202)+(Famillesid!$19:$19=A202)+(Famillesid!$20:$20=A202)+(Famillesid!$21:$21=A202))"),221)</f>
        <v>221</v>
      </c>
      <c r="C202" s="77" t="str">
        <f aca="false">IFERROR(__xludf.dummyfunction("""COMPUTED_VALUE"""),"Noémie RABILLOUD")</f>
        <v>Noémie RABILLOUD</v>
      </c>
      <c r="D202" s="78" t="str">
        <f aca="false">IFERROR(__xludf.dummyfunction("filter('Réponses au formulaire 1'!T:T,'Réponses au formulaire 1'!B:B=C202)"),"Un ras du cou (collier)")</f>
        <v>Un ras du cou (collier)</v>
      </c>
      <c r="E202" s="72" t="s">
        <v>1144</v>
      </c>
      <c r="F202" s="68" t="s">
        <v>1158</v>
      </c>
      <c r="G202" s="15"/>
      <c r="H202" s="76" t="str">
        <f aca="false">IFERROR(__xludf.dummyfunction("""COMPUTED_VALUE"""),"Florian BARTOCCI")</f>
        <v>Florian BARTOCCI</v>
      </c>
      <c r="I202" s="50" t="str">
        <f aca="false">IFERROR(__xludf.dummyfunction("""COMPUTED_VALUE"""),"Album de Gims")</f>
        <v>Album de Gims</v>
      </c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</row>
    <row r="203" customFormat="false" ht="15.75" hidden="false" customHeight="false" outlineLevel="0" collapsed="false">
      <c r="A203" s="76" t="n">
        <f aca="false">A202+1</f>
        <v>202</v>
      </c>
      <c r="B203" s="70" t="n">
        <f aca="false">IFERROR(__xludf.dummyfunction("filter(Famillesid!$22:$22,(Famillesid!$16:$16=A203)+(Famillesid!$17:$17=A203)+(Famillesid!$18:$18=A203)+(Famillesid!$19:$19=A203)+(Famillesid!$20:$20=A203)+(Famillesid!$21:$21=A203))"),196)</f>
        <v>196</v>
      </c>
      <c r="C203" s="77" t="str">
        <f aca="false">IFERROR(__xludf.dummyfunction("""COMPUTED_VALUE"""),"Jean Pichard")</f>
        <v>Jean Pichard</v>
      </c>
      <c r="D203" s="78" t="str">
        <f aca="false">IFERROR(__xludf.dummyfunction("filter('Réponses au formulaire 1'!T:T,'Réponses au formulaire 1'!B:B=C203)"),"Pas choisi encore ")</f>
        <v>Pas choisi encore </v>
      </c>
      <c r="E203" s="72"/>
      <c r="F203" s="68"/>
      <c r="G203" s="15"/>
      <c r="H203" s="76" t="str">
        <f aca="false">IFERROR(__xludf.dummyfunction("""COMPUTED_VALUE"""),"Jean-Baptiste de BECO")</f>
        <v>Jean-Baptiste de BECO</v>
      </c>
      <c r="I203" s="50" t="str">
        <f aca="false">IFERROR(__xludf.dummyfunction("""COMPUTED_VALUE"""),"Bouteille de picon")</f>
        <v>Bouteille de picon</v>
      </c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</row>
    <row r="204" customFormat="false" ht="15.75" hidden="false" customHeight="false" outlineLevel="0" collapsed="false">
      <c r="A204" s="76" t="n">
        <f aca="false">A203+1</f>
        <v>203</v>
      </c>
      <c r="B204" s="70" t="n">
        <f aca="false">IFERROR(__xludf.dummyfunction("filter(Famillesid!$22:$22,(Famillesid!$16:$16=A204)+(Famillesid!$17:$17=A204)+(Famillesid!$18:$18=A204)+(Famillesid!$19:$19=A204)+(Famillesid!$20:$20=A204)+(Famillesid!$21:$21=A204))"),231)</f>
        <v>231</v>
      </c>
      <c r="C204" s="77" t="str">
        <f aca="false">IFERROR(__xludf.dummyfunction("""COMPUTED_VALUE"""),"Mathis CELCE")</f>
        <v>Mathis CELCE</v>
      </c>
      <c r="D204" s="78" t="str">
        <f aca="false">IFERROR(__xludf.dummyfunction("filter('Réponses au formulaire 1'!T:T,'Réponses au formulaire 1'!B:B=C204)"),"Ta mère")</f>
        <v>Ta mère</v>
      </c>
      <c r="E204" s="72"/>
      <c r="F204" s="68"/>
      <c r="G204" s="15"/>
      <c r="H204" s="76" t="str">
        <f aca="false">IFERROR(__xludf.dummyfunction("""COMPUTED_VALUE"""),"Matthieu LAMIELLE")</f>
        <v>Matthieu LAMIELLE</v>
      </c>
      <c r="I204" s="50" t="str">
        <f aca="false">IFERROR(__xludf.dummyfunction("""COMPUTED_VALUE"""),"Une corde")</f>
        <v>Une corde</v>
      </c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</row>
    <row r="205" customFormat="false" ht="15.75" hidden="false" customHeight="false" outlineLevel="0" collapsed="false">
      <c r="A205" s="76" t="n">
        <f aca="false">A204+1</f>
        <v>204</v>
      </c>
      <c r="B205" s="70" t="n">
        <f aca="false">IFERROR(__xludf.dummyfunction("filter(Famillesid!$22:$22,(Famillesid!$16:$16=A205)+(Famillesid!$17:$17=A205)+(Famillesid!$18:$18=A205)+(Famillesid!$19:$19=A205)+(Famillesid!$20:$20=A205)+(Famillesid!$21:$21=A205))"),231)</f>
        <v>231</v>
      </c>
      <c r="C205" s="77" t="str">
        <f aca="false">IFERROR(__xludf.dummyfunction("""COMPUTED_VALUE"""),"Maxime Roy")</f>
        <v>Maxime Roy</v>
      </c>
      <c r="D205" s="78" t="str">
        <f aca="false">IFERROR(__xludf.dummyfunction("filter('Réponses au formulaire 1'!T:T,'Réponses au formulaire 1'!B:B=C205)"),"jsais ap")</f>
        <v>jsais ap</v>
      </c>
      <c r="E205" s="72"/>
      <c r="F205" s="68"/>
      <c r="G205" s="15"/>
      <c r="H205" s="76" t="str">
        <f aca="false">IFERROR(__xludf.dummyfunction("""COMPUTED_VALUE"""),"Adrien BERSIER")</f>
        <v>Adrien BERSIER</v>
      </c>
      <c r="I205" s="50" t="str">
        <f aca="false">IFERROR(__xludf.dummyfunction("""COMPUTED_VALUE"""),"Un diadème ")</f>
        <v>Un diadème </v>
      </c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</row>
    <row r="206" customFormat="false" ht="15.75" hidden="false" customHeight="false" outlineLevel="0" collapsed="false">
      <c r="A206" s="76" t="n">
        <f aca="false">A205+1</f>
        <v>205</v>
      </c>
      <c r="B206" s="70" t="n">
        <f aca="false">IFERROR(__xludf.dummyfunction("filter(Famillesid!$22:$22,(Famillesid!$16:$16=A206)+(Famillesid!$17:$17=A206)+(Famillesid!$18:$18=A206)+(Famillesid!$19:$19=A206)+(Famillesid!$20:$20=A206)+(Famillesid!$21:$21=A206))"),231)</f>
        <v>231</v>
      </c>
      <c r="C206" s="77" t="str">
        <f aca="false">IFERROR(__xludf.dummyfunction("""COMPUTED_VALUE"""),"Gauthier PEZZOLI")</f>
        <v>Gauthier PEZZOLI</v>
      </c>
      <c r="D206" s="78" t="str">
        <f aca="false">IFERROR(__xludf.dummyfunction("filter('Réponses au formulaire 1'!T:T,'Réponses au formulaire 1'!B:B=C206)"),"Un rubix cube ou bien un lien vers ma chaîne YT")</f>
        <v>Un rubix cube ou bien un lien vers ma chaîne YT</v>
      </c>
      <c r="E206" s="72"/>
      <c r="F206" s="68"/>
      <c r="G206" s="15"/>
      <c r="H206" s="76" t="str">
        <f aca="false">IFERROR(__xludf.dummyfunction("""COMPUTED_VALUE"""),"Aygalic JARA")</f>
        <v>Aygalic JARA</v>
      </c>
      <c r="I206" s="50" t="str">
        <f aca="false">IFERROR(__xludf.dummyfunction("""COMPUTED_VALUE"""),"Une ecocup ")</f>
        <v>Une ecocup 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</row>
    <row r="207" customFormat="false" ht="15.75" hidden="false" customHeight="false" outlineLevel="0" collapsed="false">
      <c r="A207" s="76" t="n">
        <f aca="false">A206+1</f>
        <v>206</v>
      </c>
      <c r="B207" s="70" t="n">
        <f aca="false">IFERROR(__xludf.dummyfunction("filter(Famillesid!$22:$22,(Famillesid!$16:$16=A207)+(Famillesid!$17:$17=A207)+(Famillesid!$18:$18=A207)+(Famillesid!$19:$19=A207)+(Famillesid!$20:$20=A207)+(Famillesid!$21:$21=A207))"),236)</f>
        <v>236</v>
      </c>
      <c r="C207" s="77" t="str">
        <f aca="false">IFERROR(__xludf.dummyfunction("""COMPUTED_VALUE"""),"Théo Hennion")</f>
        <v>Théo Hennion</v>
      </c>
      <c r="D207" s="78" t="str">
        <f aca="false">IFERROR(__xludf.dummyfunction("filter('Réponses au formulaire 1'!T:T,'Réponses au formulaire 1'!B:B=C207)"),"Un truc de boxe ou un truc de switch")</f>
        <v>Un truc de boxe ou un truc de switch</v>
      </c>
      <c r="E207" s="72" t="s">
        <v>1144</v>
      </c>
      <c r="F207" s="68" t="s">
        <v>1162</v>
      </c>
      <c r="G207" s="15"/>
      <c r="H207" s="76" t="str">
        <f aca="false">IFERROR(__xludf.dummyfunction("""COMPUTED_VALUE"""),"Thomas HERRBACH")</f>
        <v>Thomas HERRBACH</v>
      </c>
      <c r="I207" s="50" t="str">
        <f aca="false">IFERROR(__xludf.dummyfunction("""COMPUTED_VALUE"""),"Une bouture de romarin")</f>
        <v>Une bouture de romarin</v>
      </c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</row>
    <row r="208" customFormat="false" ht="15.75" hidden="false" customHeight="false" outlineLevel="0" collapsed="false">
      <c r="A208" s="76" t="n">
        <f aca="false">A207+1</f>
        <v>207</v>
      </c>
      <c r="B208" s="70" t="n">
        <f aca="false">IFERROR(__xludf.dummyfunction("filter(Famillesid!$22:$22,(Famillesid!$16:$16=A208)+(Famillesid!$17:$17=A208)+(Famillesid!$18:$18=A208)+(Famillesid!$19:$19=A208)+(Famillesid!$20:$20=A208)+(Famillesid!$21:$21=A208))"),236)</f>
        <v>236</v>
      </c>
      <c r="C208" s="77" t="str">
        <f aca="false">IFERROR(__xludf.dummyfunction("""COMPUTED_VALUE"""),"Clément Wozniak")</f>
        <v>Clément Wozniak</v>
      </c>
      <c r="D208" s="78" t="str">
        <f aca="false">IFERROR(__xludf.dummyfunction("filter('Réponses au formulaire 1'!T:T,'Réponses au formulaire 1'!B:B=C208)"),"Oreiller")</f>
        <v>Oreiller</v>
      </c>
      <c r="E208" s="72"/>
      <c r="F208" s="68"/>
      <c r="G208" s="15"/>
      <c r="H208" s="76" t="str">
        <f aca="false">IFERROR(__xludf.dummyfunction("""COMPUTED_VALUE"""),"Adrien BOUVIER")</f>
        <v>Adrien BOUVIER</v>
      </c>
      <c r="I208" s="50" t="str">
        <f aca="false">IFERROR(__xludf.dummyfunction("""COMPUTED_VALUE"""),"Un poids pour barre olympique ")</f>
        <v>Un poids pour barre olympique </v>
      </c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</row>
    <row r="209" customFormat="false" ht="15.75" hidden="false" customHeight="false" outlineLevel="0" collapsed="false">
      <c r="A209" s="76" t="n">
        <f aca="false">A208+1</f>
        <v>208</v>
      </c>
      <c r="B209" s="70" t="n">
        <f aca="false">IFERROR(__xludf.dummyfunction("filter(Famillesid!$22:$22,(Famillesid!$16:$16=A209)+(Famillesid!$17:$17=A209)+(Famillesid!$18:$18=A209)+(Famillesid!$19:$19=A209)+(Famillesid!$20:$20=A209)+(Famillesid!$21:$21=A209))"),241)</f>
        <v>241</v>
      </c>
      <c r="C209" s="77" t="str">
        <f aca="false">IFERROR(__xludf.dummyfunction("""COMPUTED_VALUE"""),"Cyriane BIENVENUE")</f>
        <v>Cyriane BIENVENUE</v>
      </c>
      <c r="D209" s="78" t="str">
        <f aca="false">IFERROR(__xludf.dummyfunction("filter('Réponses au formulaire 1'!T:T,'Réponses au formulaire 1'!B:B=C209)"),"Des gants de voile")</f>
        <v>Des gants de voile</v>
      </c>
      <c r="E209" s="72"/>
      <c r="F209" s="68"/>
      <c r="G209" s="15"/>
      <c r="H209" s="76" t="str">
        <f aca="false">IFERROR(__xludf.dummyfunction("""COMPUTED_VALUE"""),"Hugo Weiss")</f>
        <v>Hugo Weiss</v>
      </c>
      <c r="I209" s="50" t="str">
        <f aca="false">IFERROR(__xludf.dummyfunction("""COMPUTED_VALUE"""),"Une photo de Gaël Monfils")</f>
        <v>Une photo de Gaël Monfils</v>
      </c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</row>
    <row r="210" customFormat="false" ht="15.75" hidden="false" customHeight="false" outlineLevel="0" collapsed="false">
      <c r="A210" s="76" t="n">
        <f aca="false">A209+1</f>
        <v>209</v>
      </c>
      <c r="B210" s="70" t="n">
        <f aca="false">IFERROR(__xludf.dummyfunction("filter(Famillesid!$22:$22,(Famillesid!$16:$16=A210)+(Famillesid!$17:$17=A210)+(Famillesid!$18:$18=A210)+(Famillesid!$19:$19=A210)+(Famillesid!$20:$20=A210)+(Famillesid!$21:$21=A210))"),116)</f>
        <v>116</v>
      </c>
      <c r="C210" s="77" t="str">
        <f aca="false">IFERROR(__xludf.dummyfunction("""COMPUTED_VALUE"""),"Marius MENAULT")</f>
        <v>Marius MENAULT</v>
      </c>
      <c r="D210" s="78" t="str">
        <f aca="false">IFERROR(__xludf.dummyfunction("filter('Réponses au formulaire 1'!T:T,'Réponses au formulaire 1'!B:B=C210)"),"Des chaussettes")</f>
        <v>Des chaussettes</v>
      </c>
      <c r="E210" s="72"/>
      <c r="F210" s="68"/>
      <c r="G210" s="15"/>
      <c r="H210" s="76" t="str">
        <f aca="false">IFERROR(__xludf.dummyfunction("""COMPUTED_VALUE"""),"Adele ONDARCUHU")</f>
        <v>Adele ONDARCUHU</v>
      </c>
      <c r="I210" s="50" t="str">
        <f aca="false">IFERROR(__xludf.dummyfunction("""COMPUTED_VALUE"""),"Pas encore choisi")</f>
        <v>Pas encore choisi</v>
      </c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</row>
    <row r="211" customFormat="false" ht="15.75" hidden="false" customHeight="false" outlineLevel="0" collapsed="false">
      <c r="A211" s="76" t="n">
        <f aca="false">A210+1</f>
        <v>210</v>
      </c>
      <c r="B211" s="70" t="n">
        <f aca="false">IFERROR(__xludf.dummyfunction("filter(Famillesid!$22:$22,(Famillesid!$16:$16=A211)+(Famillesid!$17:$17=A211)+(Famillesid!$18:$18=A211)+(Famillesid!$19:$19=A211)+(Famillesid!$20:$20=A211)+(Famillesid!$21:$21=A211))"),246)</f>
        <v>246</v>
      </c>
      <c r="C211" s="77" t="str">
        <f aca="false">IFERROR(__xludf.dummyfunction("""COMPUTED_VALUE"""),"Amine CHEKROUD")</f>
        <v>Amine CHEKROUD</v>
      </c>
      <c r="D211" s="78" t="str">
        <f aca="false">IFERROR(__xludf.dummyfunction("filter('Réponses au formulaire 1'!T:T,'Réponses au formulaire 1'!B:B=C211)"),"Je sais pas")</f>
        <v>Je sais pas</v>
      </c>
      <c r="E211" s="72" t="s">
        <v>1144</v>
      </c>
      <c r="F211" s="68" t="s">
        <v>1157</v>
      </c>
      <c r="G211" s="15"/>
      <c r="H211" s="76" t="str">
        <f aca="false">IFERROR(__xludf.dummyfunction("""COMPUTED_VALUE"""),"Vire")</f>
        <v>Vire</v>
      </c>
      <c r="I211" s="50" t="str">
        <f aca="false">IFERROR(__xludf.dummyfunction("""COMPUTED_VALUE"""),"Raquette cassée")</f>
        <v>Raquette cassée</v>
      </c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</row>
    <row r="212" customFormat="false" ht="15.75" hidden="false" customHeight="false" outlineLevel="0" collapsed="false">
      <c r="A212" s="76" t="n">
        <f aca="false">A211+1</f>
        <v>211</v>
      </c>
      <c r="B212" s="70" t="n">
        <f aca="false">IFERROR(__xludf.dummyfunction("filter(Famillesid!$22:$22,(Famillesid!$16:$16=A212)+(Famillesid!$17:$17=A212)+(Famillesid!$18:$18=A212)+(Famillesid!$19:$19=A212)+(Famillesid!$20:$20=A212)+(Famillesid!$21:$21=A212))"),241)</f>
        <v>241</v>
      </c>
      <c r="C212" s="77" t="str">
        <f aca="false">IFERROR(__xludf.dummyfunction("""COMPUTED_VALUE"""),"Cyprien MARION")</f>
        <v>Cyprien MARION</v>
      </c>
      <c r="D212" s="78" t="str">
        <f aca="false">IFERROR(__xludf.dummyfunction("filter('Réponses au formulaire 1'!T:T,'Réponses au formulaire 1'!B:B=C212)"),"Un démanilleur")</f>
        <v>Un démanilleur</v>
      </c>
      <c r="E212" s="72"/>
      <c r="F212" s="68"/>
      <c r="G212" s="15"/>
      <c r="H212" s="76" t="str">
        <f aca="false">IFERROR(__xludf.dummyfunction("""COMPUTED_VALUE"""),"Fabien RAVET")</f>
        <v>Fabien RAVET</v>
      </c>
      <c r="I212" s="50" t="str">
        <f aca="false">IFERROR(__xludf.dummyfunction("""COMPUTED_VALUE"""),"Une partition")</f>
        <v>Une partition</v>
      </c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</row>
    <row r="213" customFormat="false" ht="15.75" hidden="false" customHeight="false" outlineLevel="0" collapsed="false">
      <c r="A213" s="76" t="n">
        <f aca="false">A212+1</f>
        <v>212</v>
      </c>
      <c r="B213" s="70" t="n">
        <f aca="false">IFERROR(__xludf.dummyfunction("filter(Famillesid!$22:$22,(Famillesid!$16:$16=A213)+(Famillesid!$17:$17=A213)+(Famillesid!$18:$18=A213)+(Famillesid!$19:$19=A213)+(Famillesid!$20:$20=A213)+(Famillesid!$21:$21=A213))"),251)</f>
        <v>251</v>
      </c>
      <c r="C213" s="77" t="str">
        <f aca="false">IFERROR(__xludf.dummyfunction("""COMPUTED_VALUE"""),"Arthur LEMASSON")</f>
        <v>Arthur LEMASSON</v>
      </c>
      <c r="D213" s="78" t="str">
        <f aca="false">IFERROR(__xludf.dummyfunction("filter('Réponses au formulaire 1'!T:T,'Réponses au formulaire 1'!B:B=C213)"),"Un chips")</f>
        <v>Un chips</v>
      </c>
      <c r="E213" s="72"/>
      <c r="F213" s="68"/>
      <c r="G213" s="15"/>
      <c r="H213" s="76" t="str">
        <f aca="false">IFERROR(__xludf.dummyfunction("""COMPUTED_VALUE"""),"Bastien")</f>
        <v>Bastien</v>
      </c>
      <c r="I213" s="50" t="str">
        <f aca="false">IFERROR(__xludf.dummyfunction("""COMPUTED_VALUE"""),"Pique de brochette")</f>
        <v>Pique de brochette</v>
      </c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</row>
    <row r="214" customFormat="false" ht="15.75" hidden="false" customHeight="false" outlineLevel="0" collapsed="false">
      <c r="A214" s="76" t="n">
        <f aca="false">A213+1</f>
        <v>213</v>
      </c>
      <c r="B214" s="70" t="n">
        <f aca="false">IFERROR(__xludf.dummyfunction("filter(Famillesid!$22:$22,(Famillesid!$16:$16=A214)+(Famillesid!$17:$17=A214)+(Famillesid!$18:$18=A214)+(Famillesid!$19:$19=A214)+(Famillesid!$20:$20=A214)+(Famillesid!$21:$21=A214))"),251)</f>
        <v>251</v>
      </c>
      <c r="C214" s="77" t="str">
        <f aca="false">IFERROR(__xludf.dummyfunction("""COMPUTED_VALUE"""),"Vincent MESLIER")</f>
        <v>Vincent MESLIER</v>
      </c>
      <c r="D214" s="78" t="str">
        <f aca="false">IFERROR(__xludf.dummyfunction("filter('Réponses au formulaire 1'!T:T,'Réponses au formulaire 1'!B:B=C214)"),"Une maximator")</f>
        <v>Une maximator</v>
      </c>
      <c r="E214" s="72"/>
      <c r="F214" s="68"/>
      <c r="G214" s="15"/>
      <c r="H214" s="76" t="str">
        <f aca="false">IFERROR(__xludf.dummyfunction("""COMPUTED_VALUE"""),"Audric BALSSA")</f>
        <v>Audric BALSSA</v>
      </c>
      <c r="I214" s="50" t="str">
        <f aca="false">IFERROR(__xludf.dummyfunction("""COMPUTED_VALUE"""),"Ce choix n'est pas définitif")</f>
        <v>Ce choix n'est pas définitif</v>
      </c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</row>
    <row r="215" customFormat="false" ht="15.75" hidden="false" customHeight="false" outlineLevel="0" collapsed="false">
      <c r="A215" s="76" t="n">
        <f aca="false">A214+1</f>
        <v>214</v>
      </c>
      <c r="B215" s="70" t="n">
        <f aca="false">IFERROR(__xludf.dummyfunction("filter(Famillesid!$22:$22,(Famillesid!$16:$16=A215)+(Famillesid!$17:$17=A215)+(Famillesid!$18:$18=A215)+(Famillesid!$19:$19=A215)+(Famillesid!$20:$20=A215)+(Famillesid!$21:$21=A215))"),251)</f>
        <v>251</v>
      </c>
      <c r="C215" s="77" t="str">
        <f aca="false">IFERROR(__xludf.dummyfunction("""COMPUTED_VALUE"""),"Tom OVISTE")</f>
        <v>Tom OVISTE</v>
      </c>
      <c r="D215" s="78" t="str">
        <f aca="false">IFERROR(__xludf.dummyfunction("filter('Réponses au formulaire 1'!T:T,'Réponses au formulaire 1'!B:B=C215)"),"Beaucoup d'amour")</f>
        <v>Beaucoup d'amour</v>
      </c>
      <c r="E215" s="72"/>
      <c r="F215" s="68"/>
      <c r="G215" s="15"/>
      <c r="H215" s="76" t="str">
        <f aca="false">IFERROR(__xludf.dummyfunction("""COMPUTED_VALUE"""),"Alexandre SEVENO")</f>
        <v>Alexandre SEVENO</v>
      </c>
      <c r="I215" s="50" t="str">
        <f aca="false">IFERROR(__xludf.dummyfunction("""COMPUTED_VALUE"""),"Un gant de moto")</f>
        <v>Un gant de moto</v>
      </c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</row>
    <row r="216" customFormat="false" ht="15.75" hidden="false" customHeight="false" outlineLevel="0" collapsed="false">
      <c r="A216" s="76" t="n">
        <f aca="false">A215+1</f>
        <v>215</v>
      </c>
      <c r="B216" s="70" t="n">
        <f aca="false">IFERROR(__xludf.dummyfunction("filter(Famillesid!$22:$22,(Famillesid!$16:$16=A216)+(Famillesid!$17:$17=A216)+(Famillesid!$18:$18=A216)+(Famillesid!$19:$19=A216)+(Famillesid!$20:$20=A216)+(Famillesid!$21:$21=A216))"),116)</f>
        <v>116</v>
      </c>
      <c r="C216" s="77" t="str">
        <f aca="false">IFERROR(__xludf.dummyfunction("""COMPUTED_VALUE"""),"Léonce AUDIBERT")</f>
        <v>Léonce AUDIBERT</v>
      </c>
      <c r="D216" s="78" t="str">
        <f aca="false">IFERROR(__xludf.dummyfunction("filter('Réponses au formulaire 1'!T:T,'Réponses au formulaire 1'!B:B=C216)"),"Désolé je sais pas du tout mon bon Adrien la mif et Lucas  la mif ")</f>
        <v>Désolé je sais pas du tout mon bon Adrien la mif et Lucas  la mif </v>
      </c>
      <c r="E216" s="72"/>
      <c r="F216" s="68"/>
      <c r="G216" s="15"/>
      <c r="H216" s="76" t="str">
        <f aca="false">IFERROR(__xludf.dummyfunction("""COMPUTED_VALUE"""),"Arthur")</f>
        <v>Arthur</v>
      </c>
      <c r="I216" s="50" t="str">
        <f aca="false">IFERROR(__xludf.dummyfunction("""COMPUTED_VALUE"""),"Une banane")</f>
        <v>Une banane</v>
      </c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</row>
    <row r="217" customFormat="false" ht="15.75" hidden="false" customHeight="false" outlineLevel="0" collapsed="false">
      <c r="A217" s="76" t="n">
        <f aca="false">A216+1</f>
        <v>216</v>
      </c>
      <c r="B217" s="70" t="n">
        <f aca="false">IFERROR(__xludf.dummyfunction("filter(Famillesid!$22:$22,(Famillesid!$16:$16=A217)+(Famillesid!$17:$17=A217)+(Famillesid!$18:$18=A217)+(Famillesid!$19:$19=A217)+(Famillesid!$20:$20=A217)+(Famillesid!$21:$21=A217))"),246)</f>
        <v>246</v>
      </c>
      <c r="C217" s="77" t="str">
        <f aca="false">IFERROR(__xludf.dummyfunction("""COMPUTED_VALUE"""),"Pm Guyot")</f>
        <v>Pm Guyot</v>
      </c>
      <c r="D217" s="78" t="str">
        <f aca="false">IFERROR(__xludf.dummyfunction("filter('Réponses au formulaire 1'!T:T,'Réponses au formulaire 1'!B:B=C217)"),"Un masque de merde")</f>
        <v>Un masque de merde</v>
      </c>
      <c r="E217" s="72"/>
      <c r="F217" s="68"/>
      <c r="G217" s="15"/>
      <c r="H217" s="76" t="str">
        <f aca="false">IFERROR(__xludf.dummyfunction("""COMPUTED_VALUE"""),"Mathurin Schneider")</f>
        <v>Mathurin Schneider</v>
      </c>
      <c r="I217" s="50" t="str">
        <f aca="false">IFERROR(__xludf.dummyfunction("""COMPUTED_VALUE"""),"Un truc en rapport avec les graffitis, une bombe ou un truc du genre !")</f>
        <v>Un truc en rapport avec les graffitis, une bombe ou un truc du genre !</v>
      </c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</row>
    <row r="218" customFormat="false" ht="15.75" hidden="false" customHeight="false" outlineLevel="0" collapsed="false">
      <c r="A218" s="76" t="n">
        <f aca="false">A217+1</f>
        <v>217</v>
      </c>
      <c r="B218" s="70" t="n">
        <f aca="false">IFERROR(__xludf.dummyfunction("filter(Famillesid!$22:$22,(Famillesid!$16:$16=A218)+(Famillesid!$17:$17=A218)+(Famillesid!$18:$18=A218)+(Famillesid!$19:$19=A218)+(Famillesid!$20:$20=A218)+(Famillesid!$21:$21=A218))"),116)</f>
        <v>116</v>
      </c>
      <c r="C218" s="77" t="str">
        <f aca="false">IFERROR(__xludf.dummyfunction("""COMPUTED_VALUE"""),"Antoine Chillet")</f>
        <v>Antoine Chillet</v>
      </c>
      <c r="D218" s="78" t="str">
        <f aca="false">IFERROR(__xludf.dummyfunction("filter('Réponses au formulaire 1'!T:T,'Réponses au formulaire 1'!B:B=C218)"),"Balle de ping avec le logo d'Enactus ")</f>
        <v>Balle de ping avec le logo d'Enactus </v>
      </c>
      <c r="E218" s="72"/>
      <c r="F218" s="68"/>
      <c r="G218" s="15"/>
      <c r="H218" s="76" t="str">
        <f aca="false">IFERROR(__xludf.dummyfunction("""COMPUTED_VALUE"""),"KONATE")</f>
        <v>KONATE</v>
      </c>
      <c r="I218" s="50" t="str">
        <f aca="false">IFERROR(__xludf.dummyfunction("""COMPUTED_VALUE"""),"Une bouteille de monbazillac")</f>
        <v>Une bouteille de monbazillac</v>
      </c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</row>
    <row r="219" customFormat="false" ht="15.75" hidden="false" customHeight="false" outlineLevel="0" collapsed="false">
      <c r="A219" s="76" t="n">
        <f aca="false">A218+1</f>
        <v>218</v>
      </c>
      <c r="B219" s="70" t="n">
        <f aca="false">IFERROR(__xludf.dummyfunction("filter(Famillesid!$22:$22,(Famillesid!$16:$16=A219)+(Famillesid!$17:$17=A219)+(Famillesid!$18:$18=A219)+(Famillesid!$19:$19=A219)+(Famillesid!$20:$20=A219)+(Famillesid!$21:$21=A219))"),241)</f>
        <v>241</v>
      </c>
      <c r="C219" s="77" t="str">
        <f aca="false">IFERROR(__xludf.dummyfunction("""COMPUTED_VALUE"""),"Louis COGAN")</f>
        <v>Louis COGAN</v>
      </c>
      <c r="D219" s="78" t="str">
        <f aca="false">IFERROR(__xludf.dummyfunction("filter('Réponses au formulaire 1'!T:T,'Réponses au formulaire 1'!B:B=C219)"),"Un gant de voile solitaire cherchant sa moitié au fond de la baie de Pornic (merci Cyriane)")</f>
        <v>Un gant de voile solitaire cherchant sa moitié au fond de la baie de Pornic (merci Cyriane)</v>
      </c>
      <c r="E219" s="72" t="s">
        <v>1144</v>
      </c>
      <c r="F219" s="68" t="s">
        <v>1162</v>
      </c>
      <c r="G219" s="15"/>
      <c r="H219" s="76" t="str">
        <f aca="false">IFERROR(__xludf.dummyfunction("""COMPUTED_VALUE"""),"Alexandre FOSSORIER")</f>
        <v>Alexandre FOSSORIER</v>
      </c>
      <c r="I219" s="50" t="str">
        <f aca="false">IFERROR(__xludf.dummyfunction("""COMPUTED_VALUE"""),"Mystère ")</f>
        <v>Mystère </v>
      </c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</row>
    <row r="220" customFormat="false" ht="15.75" hidden="false" customHeight="false" outlineLevel="0" collapsed="false">
      <c r="A220" s="76" t="n">
        <f aca="false">A219+1</f>
        <v>219</v>
      </c>
      <c r="B220" s="70" t="n">
        <f aca="false">IFERROR(__xludf.dummyfunction("filter(Famillesid!$22:$22,(Famillesid!$16:$16=A220)+(Famillesid!$17:$17=A220)+(Famillesid!$18:$18=A220)+(Famillesid!$19:$19=A220)+(Famillesid!$20:$20=A220)+(Famillesid!$21:$21=A220))"),246)</f>
        <v>246</v>
      </c>
      <c r="C220" s="77" t="str">
        <f aca="false">IFERROR(__xludf.dummyfunction("""COMPUTED_VALUE"""),"Richard ARNAUD")</f>
        <v>Richard ARNAUD</v>
      </c>
      <c r="D220" s="78" t="str">
        <f aca="false">IFERROR(__xludf.dummyfunction("filter('Réponses au formulaire 1'!T:T,'Réponses au formulaire 1'!B:B=C220)"),"J'improserai")</f>
        <v>J'improserai</v>
      </c>
      <c r="E220" s="72"/>
      <c r="F220" s="68"/>
      <c r="G220" s="15"/>
      <c r="H220" s="76" t="str">
        <f aca="false">IFERROR(__xludf.dummyfunction("""COMPUTED_VALUE"""),"Werner")</f>
        <v>Werner</v>
      </c>
      <c r="I220" s="50" t="str">
        <f aca="false">IFERROR(__xludf.dummyfunction("""COMPUTED_VALUE"""),"un cheveu de Poitou :o ")</f>
        <v>un cheveu de Poitou :o </v>
      </c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</row>
    <row r="221" customFormat="false" ht="15.75" hidden="false" customHeight="false" outlineLevel="0" collapsed="false">
      <c r="A221" s="76" t="n">
        <f aca="false">A220+1</f>
        <v>220</v>
      </c>
      <c r="B221" s="70" t="n">
        <f aca="false">IFERROR(__xludf.dummyfunction("filter(Famillesid!$22:$22,(Famillesid!$16:$16=A221)+(Famillesid!$17:$17=A221)+(Famillesid!$18:$18=A221)+(Famillesid!$19:$19=A221)+(Famillesid!$20:$20=A221)+(Famillesid!$21:$21=A221))"),241)</f>
        <v>241</v>
      </c>
      <c r="C221" s="77" t="str">
        <f aca="false">IFERROR(__xludf.dummyfunction("""COMPUTED_VALUE"""),"Le Mintier Emmanuel")</f>
        <v>Le Mintier Emmanuel</v>
      </c>
      <c r="D221" s="78" t="str">
        <f aca="false">IFERROR(__xludf.dummyfunction("filter('Réponses au formulaire 1'!T:T,'Réponses au formulaire 1'!B:B=C221)"),"Manivelle de Winch")</f>
        <v>Manivelle de Winch</v>
      </c>
      <c r="E221" s="72"/>
      <c r="F221" s="68"/>
      <c r="G221" s="15"/>
      <c r="H221" s="76" t="str">
        <f aca="false">IFERROR(__xludf.dummyfunction("""COMPUTED_VALUE"""),"Paniez")</f>
        <v>Paniez</v>
      </c>
      <c r="I221" s="50" t="str">
        <f aca="false">IFERROR(__xludf.dummyfunction("""COMPUTED_VALUE"""),"Une table")</f>
        <v>Une table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</row>
    <row r="222" customFormat="false" ht="15.75" hidden="false" customHeight="false" outlineLevel="0" collapsed="false">
      <c r="A222" s="76" t="n">
        <f aca="false">A221+1</f>
        <v>221</v>
      </c>
      <c r="B222" s="70" t="n">
        <f aca="false">IFERROR(__xludf.dummyfunction("filter(Famillesid!$22:$22,(Famillesid!$16:$16=A222)+(Famillesid!$17:$17=A222)+(Famillesid!$18:$18=A222)+(Famillesid!$19:$19=A222)+(Famillesid!$20:$20=A222)+(Famillesid!$21:$21=A222))"),116)</f>
        <v>116</v>
      </c>
      <c r="C222" s="77" t="str">
        <f aca="false">IFERROR(__xludf.dummyfunction("""COMPUTED_VALUE"""),"Lilie BOIZUMAULT")</f>
        <v>Lilie BOIZUMAULT</v>
      </c>
      <c r="D222" s="78" t="str">
        <f aca="false">IFERROR(__xludf.dummyfunction("filter('Réponses au formulaire 1'!T:T,'Réponses au formulaire 1'!B:B=C222)"),"Pochtard avec du gazon dedans ")</f>
        <v>Pochtard avec du gazon dedans </v>
      </c>
      <c r="E222" s="72"/>
      <c r="F222" s="68"/>
      <c r="G222" s="15"/>
      <c r="H222" s="76" t="str">
        <f aca="false">IFERROR(__xludf.dummyfunction("""COMPUTED_VALUE"""),"Adrien HALLARD")</f>
        <v>Adrien HALLARD</v>
      </c>
      <c r="I222" s="50" t="str">
        <f aca="false">IFERROR(__xludf.dummyfunction("""COMPUTED_VALUE"""),"?")</f>
        <v>?</v>
      </c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</row>
    <row r="223" customFormat="false" ht="15.75" hidden="false" customHeight="false" outlineLevel="0" collapsed="false">
      <c r="A223" s="76" t="n">
        <f aca="false">A222+1</f>
        <v>222</v>
      </c>
      <c r="B223" s="70" t="n">
        <f aca="false">IFERROR(__xludf.dummyfunction("filter(Famillesid!$22:$22,(Famillesid!$16:$16=A223)+(Famillesid!$17:$17=A223)+(Famillesid!$18:$18=A223)+(Famillesid!$19:$19=A223)+(Famillesid!$20:$20=A223)+(Famillesid!$21:$21=A223))"),221)</f>
        <v>221</v>
      </c>
      <c r="C223" s="77" t="str">
        <f aca="false">IFERROR(__xludf.dummyfunction("""COMPUTED_VALUE"""),"Amine MEHMOUDEN")</f>
        <v>Amine MEHMOUDEN</v>
      </c>
      <c r="D223" s="78" t="str">
        <f aca="false">IFERROR(__xludf.dummyfunction("filter('Réponses au formulaire 1'!T:T,'Réponses au formulaire 1'!B:B=C223)"),"je sais pas encore")</f>
        <v>je sais pas encore</v>
      </c>
      <c r="E223" s="72" t="s">
        <v>1144</v>
      </c>
      <c r="F223" s="68" t="s">
        <v>1157</v>
      </c>
      <c r="G223" s="15"/>
      <c r="H223" s="76" t="str">
        <f aca="false">IFERROR(__xludf.dummyfunction("""COMPUTED_VALUE"""),"Aurélio Catel")</f>
        <v>Aurélio Catel</v>
      </c>
      <c r="I223" s="50" t="str">
        <f aca="false">IFERROR(__xludf.dummyfunction("""COMPUTED_VALUE"""),"Médaille ")</f>
        <v>Médaille </v>
      </c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</row>
    <row r="224" customFormat="false" ht="15.75" hidden="false" customHeight="false" outlineLevel="0" collapsed="false">
      <c r="A224" s="76" t="n">
        <f aca="false">A223+1</f>
        <v>223</v>
      </c>
      <c r="B224" s="70" t="n">
        <f aca="false">IFERROR(__xludf.dummyfunction("filter(Famillesid!$22:$22,(Famillesid!$16:$16=A224)+(Famillesid!$17:$17=A224)+(Famillesid!$18:$18=A224)+(Famillesid!$19:$19=A224)+(Famillesid!$20:$20=A224)+(Famillesid!$21:$21=A224))"),231)</f>
        <v>231</v>
      </c>
      <c r="C224" s="77" t="str">
        <f aca="false">IFERROR(__xludf.dummyfunction("""COMPUTED_VALUE"""),"Adrien Jamelot")</f>
        <v>Adrien Jamelot</v>
      </c>
      <c r="D224" s="78" t="str">
        <f aca="false">IFERROR(__xludf.dummyfunction("filter('Réponses au formulaire 1'!T:T,'Réponses au formulaire 1'!B:B=C224)"),"Une brosse à dents")</f>
        <v>Une brosse à dents</v>
      </c>
      <c r="E224" s="72"/>
      <c r="F224" s="68"/>
      <c r="G224" s="15"/>
      <c r="H224" s="76" t="str">
        <f aca="false">IFERROR(__xludf.dummyfunction("""COMPUTED_VALUE"""),"Yuna Landais")</f>
        <v>Yuna Landais</v>
      </c>
      <c r="I224" s="50" t="str">
        <f aca="false">IFERROR(__xludf.dummyfunction("""COMPUTED_VALUE"""),"Drapeau breton ")</f>
        <v>Drapeau breton </v>
      </c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  <c r="EH224" s="15"/>
      <c r="EI224" s="15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</row>
    <row r="225" customFormat="false" ht="15.75" hidden="false" customHeight="false" outlineLevel="0" collapsed="false">
      <c r="A225" s="76" t="n">
        <f aca="false">A224+1</f>
        <v>224</v>
      </c>
      <c r="B225" s="70" t="n">
        <f aca="false">IFERROR(__xludf.dummyfunction("filter(Famillesid!$22:$22,(Famillesid!$16:$16=A225)+(Famillesid!$17:$17=A225)+(Famillesid!$18:$18=A225)+(Famillesid!$19:$19=A225)+(Famillesid!$20:$20=A225)+(Famillesid!$21:$21=A225))"),261)</f>
        <v>261</v>
      </c>
      <c r="C225" s="77" t="str">
        <f aca="false">IFERROR(__xludf.dummyfunction("""COMPUTED_VALUE"""),"Eric Ali Mehenni")</f>
        <v>Eric Ali Mehenni</v>
      </c>
      <c r="D225" s="78" t="str">
        <f aca="false">IFERROR(__xludf.dummyfunction("filter('Réponses au formulaire 1'!T:T,'Réponses au formulaire 1'!B:B=C225)"),"Une carte")</f>
        <v>Une carte</v>
      </c>
      <c r="E225" s="72"/>
      <c r="F225" s="68"/>
      <c r="G225" s="15"/>
      <c r="H225" s="76" t="str">
        <f aca="false">IFERROR(__xludf.dummyfunction("""COMPUTED_VALUE"""),"")</f>
        <v/>
      </c>
      <c r="I225" s="50" t="str">
        <f aca="false">IFERROR(__xludf.dummyfunction("""COMPUTED_VALUE"""),"#REF!")</f>
        <v>#REF!</v>
      </c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</row>
    <row r="226" customFormat="false" ht="15.75" hidden="false" customHeight="false" outlineLevel="0" collapsed="false">
      <c r="A226" s="76" t="n">
        <f aca="false">A225+1</f>
        <v>225</v>
      </c>
      <c r="B226" s="70" t="n">
        <f aca="false">IFERROR(__xludf.dummyfunction("filter(Famillesid!$22:$22,(Famillesid!$16:$16=A226)+(Famillesid!$17:$17=A226)+(Famillesid!$18:$18=A226)+(Famillesid!$19:$19=A226)+(Famillesid!$20:$20=A226)+(Famillesid!$21:$21=A226))"),246)</f>
        <v>246</v>
      </c>
      <c r="C226" s="77" t="str">
        <f aca="false">IFERROR(__xludf.dummyfunction("""COMPUTED_VALUE"""),"Anaïs BOUCHET")</f>
        <v>Anaïs BOUCHET</v>
      </c>
      <c r="D226" s="78" t="str">
        <f aca="false">IFERROR(__xludf.dummyfunction("filter('Réponses au formulaire 1'!T:T,'Réponses au formulaire 1'!B:B=C226)"),"Un serre-tête médusé ")</f>
        <v>Un serre-tête médusé </v>
      </c>
      <c r="E226" s="72"/>
      <c r="F226" s="68"/>
      <c r="G226" s="15"/>
      <c r="H226" s="76" t="str">
        <f aca="false">IFERROR(__xludf.dummyfunction("""COMPUTED_VALUE"""),"")</f>
        <v/>
      </c>
      <c r="I226" s="50" t="str">
        <f aca="false">IFERROR(__xludf.dummyfunction("""COMPUTED_VALUE"""),"#REF!")</f>
        <v>#REF!</v>
      </c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</row>
    <row r="227" customFormat="false" ht="15.75" hidden="false" customHeight="false" outlineLevel="0" collapsed="false">
      <c r="A227" s="76" t="n">
        <f aca="false">A226+1</f>
        <v>226</v>
      </c>
      <c r="B227" s="70" t="n">
        <f aca="false">IFERROR(__xludf.dummyfunction("filter(Famillesid!$22:$22,(Famillesid!$16:$16=A227)+(Famillesid!$17:$17=A227)+(Famillesid!$18:$18=A227)+(Famillesid!$19:$19=A227)+(Famillesid!$20:$20=A227)+(Famillesid!$21:$21=A227))"),256)</f>
        <v>256</v>
      </c>
      <c r="C227" s="77" t="str">
        <f aca="false">IFERROR(__xludf.dummyfunction("""COMPUTED_VALUE"""),"Antoine DAROUX")</f>
        <v>Antoine DAROUX</v>
      </c>
      <c r="D227" s="78" t="str">
        <f aca="false">IFERROR(__xludf.dummyfunction("filter('Réponses au formulaire 1'!T:T,'Réponses au formulaire 1'!B:B=C227)"),"Un planning du BDE des Fox")</f>
        <v>Un planning du BDE des Fox</v>
      </c>
      <c r="E227" s="72"/>
      <c r="F227" s="68"/>
      <c r="G227" s="15"/>
      <c r="H227" s="76" t="str">
        <f aca="false">IFERROR(__xludf.dummyfunction("""COMPUTED_VALUE"""),"")</f>
        <v/>
      </c>
      <c r="I227" s="50" t="str">
        <f aca="false">IFERROR(__xludf.dummyfunction("""COMPUTED_VALUE"""),"#REF!")</f>
        <v>#REF!</v>
      </c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</row>
    <row r="228" customFormat="false" ht="15.75" hidden="false" customHeight="false" outlineLevel="0" collapsed="false">
      <c r="A228" s="76" t="n">
        <f aca="false">A227+1</f>
        <v>227</v>
      </c>
      <c r="B228" s="70" t="n">
        <f aca="false">IFERROR(__xludf.dummyfunction("filter(Famillesid!$22:$22,(Famillesid!$16:$16=A228)+(Famillesid!$17:$17=A228)+(Famillesid!$18:$18=A228)+(Famillesid!$19:$19=A228)+(Famillesid!$20:$20=A228)+(Famillesid!$21:$21=A228))"),256)</f>
        <v>256</v>
      </c>
      <c r="C228" s="77" t="str">
        <f aca="false">IFERROR(__xludf.dummyfunction("""COMPUTED_VALUE"""),"Lucas SANCIET--MUNIER")</f>
        <v>Lucas SANCIET--MUNIER</v>
      </c>
      <c r="D228" s="78" t="str">
        <f aca="false">IFERROR(__xludf.dummyfunction("filter('Réponses au formulaire 1'!T:T,'Réponses au formulaire 1'!B:B=C228)"),"Un saucisson de Savoie")</f>
        <v>Un saucisson de Savoie</v>
      </c>
      <c r="E228" s="72"/>
      <c r="F228" s="68"/>
      <c r="G228" s="15"/>
      <c r="H228" s="76" t="str">
        <f aca="false">IFERROR(__xludf.dummyfunction("""COMPUTED_VALUE"""),"")</f>
        <v/>
      </c>
      <c r="I228" s="50" t="str">
        <f aca="false">IFERROR(__xludf.dummyfunction("""COMPUTED_VALUE"""),"#REF!")</f>
        <v>#REF!</v>
      </c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</row>
    <row r="229" customFormat="false" ht="15.75" hidden="false" customHeight="false" outlineLevel="0" collapsed="false">
      <c r="A229" s="76" t="n">
        <f aca="false">A228+1</f>
        <v>228</v>
      </c>
      <c r="B229" s="70" t="n">
        <f aca="false">IFERROR(__xludf.dummyfunction("filter(Famillesid!$22:$22,(Famillesid!$16:$16=A229)+(Famillesid!$17:$17=A229)+(Famillesid!$18:$18=A229)+(Famillesid!$19:$19=A229)+(Famillesid!$20:$20=A229)+(Famillesid!$21:$21=A229))"),261)</f>
        <v>261</v>
      </c>
      <c r="C229" s="77" t="str">
        <f aca="false">IFERROR(__xludf.dummyfunction("""COMPUTED_VALUE"""),"Thomas LE BOURHIS")</f>
        <v>Thomas LE BOURHIS</v>
      </c>
      <c r="D229" s="78" t="str">
        <f aca="false">IFERROR(__xludf.dummyfunction("filter('Réponses au formulaire 1'!T:T,'Réponses au formulaire 1'!B:B=C229)"),"Un paquet de cartes")</f>
        <v>Un paquet de cartes</v>
      </c>
      <c r="E229" s="72"/>
      <c r="F229" s="68"/>
      <c r="G229" s="15"/>
      <c r="H229" s="76" t="str">
        <f aca="false">IFERROR(__xludf.dummyfunction("""COMPUTED_VALUE"""),"")</f>
        <v/>
      </c>
      <c r="I229" s="50" t="str">
        <f aca="false">IFERROR(__xludf.dummyfunction("""COMPUTED_VALUE"""),"#REF!")</f>
        <v>#REF!</v>
      </c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</row>
    <row r="230" customFormat="false" ht="15.75" hidden="false" customHeight="false" outlineLevel="0" collapsed="false">
      <c r="A230" s="76" t="n">
        <f aca="false">A229+1</f>
        <v>229</v>
      </c>
      <c r="B230" s="70" t="n">
        <f aca="false">IFERROR(__xludf.dummyfunction("filter(Famillesid!$22:$22,(Famillesid!$16:$16=A230)+(Famillesid!$17:$17=A230)+(Famillesid!$18:$18=A230)+(Famillesid!$19:$19=A230)+(Famillesid!$20:$20=A230)+(Famillesid!$21:$21=A230))"),256)</f>
        <v>256</v>
      </c>
      <c r="C230" s="77" t="str">
        <f aca="false">IFERROR(__xludf.dummyfunction("""COMPUTED_VALUE"""),"Hugo GAYRARD")</f>
        <v>Hugo GAYRARD</v>
      </c>
      <c r="D230" s="78" t="str">
        <f aca="false">IFERROR(__xludf.dummyfunction("filter('Réponses au formulaire 1'!T:T,'Réponses au formulaire 1'!B:B=C230)"),"Un déguisement")</f>
        <v>Un déguisement</v>
      </c>
      <c r="E230" s="72"/>
      <c r="F230" s="68"/>
      <c r="G230" s="15"/>
      <c r="H230" s="76" t="str">
        <f aca="false">IFERROR(__xludf.dummyfunction("""COMPUTED_VALUE"""),"")</f>
        <v/>
      </c>
      <c r="I230" s="50" t="str">
        <f aca="false">IFERROR(__xludf.dummyfunction("""COMPUTED_VALUE"""),"#REF!")</f>
        <v>#REF!</v>
      </c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</row>
    <row r="231" customFormat="false" ht="15.75" hidden="false" customHeight="false" outlineLevel="0" collapsed="false">
      <c r="A231" s="76" t="n">
        <f aca="false">A230+1</f>
        <v>230</v>
      </c>
      <c r="B231" s="70" t="n">
        <f aca="false">IFERROR(__xludf.dummyfunction("filter(Famillesid!$22:$22,(Famillesid!$16:$16=A231)+(Famillesid!$17:$17=A231)+(Famillesid!$18:$18=A231)+(Famillesid!$19:$19=A231)+(Famillesid!$20:$20=A231)+(Famillesid!$21:$21=A231))"),256)</f>
        <v>256</v>
      </c>
      <c r="C231" s="77" t="str">
        <f aca="false">IFERROR(__xludf.dummyfunction("""COMPUTED_VALUE"""),"Loïc")</f>
        <v>Loïc</v>
      </c>
      <c r="D231" s="78" t="str">
        <f aca="false">IFERROR(__xludf.dummyfunction("filter('Réponses au formulaire 1'!T:T,'Réponses au formulaire 1'!B:B=C231)"),"Toute ma bienveillance")</f>
        <v>Toute ma bienveillance</v>
      </c>
      <c r="E231" s="72"/>
      <c r="F231" s="68"/>
      <c r="G231" s="15"/>
      <c r="H231" s="76" t="str">
        <f aca="false">IFERROR(__xludf.dummyfunction("""COMPUTED_VALUE"""),"")</f>
        <v/>
      </c>
      <c r="I231" s="50" t="str">
        <f aca="false">IFERROR(__xludf.dummyfunction("""COMPUTED_VALUE"""),"#REF!")</f>
        <v>#REF!</v>
      </c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</row>
    <row r="232" customFormat="false" ht="15.75" hidden="false" customHeight="false" outlineLevel="0" collapsed="false">
      <c r="A232" s="76" t="n">
        <f aca="false">A231+1</f>
        <v>231</v>
      </c>
      <c r="B232" s="70" t="n">
        <f aca="false">IFERROR(__xludf.dummyfunction("filter(Famillesid!$22:$22,(Famillesid!$16:$16=A232)+(Famillesid!$17:$17=A232)+(Famillesid!$18:$18=A232)+(Famillesid!$19:$19=A232)+(Famillesid!$20:$20=A232)+(Famillesid!$21:$21=A232))"),256)</f>
        <v>256</v>
      </c>
      <c r="C232" s="77" t="str">
        <f aca="false">IFERROR(__xludf.dummyfunction("""COMPUTED_VALUE"""),"Pierre Veillard")</f>
        <v>Pierre Veillard</v>
      </c>
      <c r="D232" s="78" t="str">
        <f aca="false">IFERROR(__xludf.dummyfunction("filter('Réponses au formulaire 1'!T:T,'Réponses au formulaire 1'!B:B=C232)"),"Un poney")</f>
        <v>Un poney</v>
      </c>
      <c r="E232" s="72"/>
      <c r="F232" s="68"/>
      <c r="G232" s="15"/>
      <c r="H232" s="76" t="str">
        <f aca="false">IFERROR(__xludf.dummyfunction("""COMPUTED_VALUE"""),"")</f>
        <v/>
      </c>
      <c r="I232" s="50" t="str">
        <f aca="false">IFERROR(__xludf.dummyfunction("""COMPUTED_VALUE"""),"#REF!")</f>
        <v>#REF!</v>
      </c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  <c r="EI232" s="15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</row>
    <row r="233" customFormat="false" ht="15.75" hidden="false" customHeight="false" outlineLevel="0" collapsed="false">
      <c r="A233" s="76" t="n">
        <f aca="false">A232+1</f>
        <v>232</v>
      </c>
      <c r="B233" s="70" t="n">
        <f aca="false">IFERROR(__xludf.dummyfunction("filter(Famillesid!$22:$22,(Famillesid!$16:$16=A233)+(Famillesid!$17:$17=A233)+(Famillesid!$18:$18=A233)+(Famillesid!$19:$19=A233)+(Famillesid!$20:$20=A233)+(Famillesid!$21:$21=A233))"),266)</f>
        <v>266</v>
      </c>
      <c r="C233" s="77" t="str">
        <f aca="false">IFERROR(__xludf.dummyfunction("""COMPUTED_VALUE"""),"Ruben MATONDZI")</f>
        <v>Ruben MATONDZI</v>
      </c>
      <c r="D233" s="78" t="str">
        <f aca="false">IFERROR(__xludf.dummyfunction("filter('Réponses au formulaire 1'!T:T,'Réponses au formulaire 1'!B:B=C233)"),"Un oreiller ")</f>
        <v>Un oreiller </v>
      </c>
      <c r="E233" s="72"/>
      <c r="F233" s="68"/>
      <c r="G233" s="15"/>
      <c r="H233" s="76" t="str">
        <f aca="false">IFERROR(__xludf.dummyfunction("""COMPUTED_VALUE"""),"")</f>
        <v/>
      </c>
      <c r="I233" s="50" t="str">
        <f aca="false">IFERROR(__xludf.dummyfunction("""COMPUTED_VALUE"""),"#REF!")</f>
        <v>#REF!</v>
      </c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  <c r="EI233" s="15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</row>
    <row r="234" customFormat="false" ht="15.75" hidden="false" customHeight="false" outlineLevel="0" collapsed="false">
      <c r="A234" s="76" t="n">
        <f aca="false">A233+1</f>
        <v>233</v>
      </c>
      <c r="B234" s="70" t="n">
        <f aca="false">IFERROR(__xludf.dummyfunction("filter(Famillesid!$22:$22,(Famillesid!$16:$16=A234)+(Famillesid!$17:$17=A234)+(Famillesid!$18:$18=A234)+(Famillesid!$19:$19=A234)+(Famillesid!$20:$20=A234)+(Famillesid!$21:$21=A234))"),266)</f>
        <v>266</v>
      </c>
      <c r="C234" s="77" t="str">
        <f aca="false">IFERROR(__xludf.dummyfunction("""COMPUTED_VALUE"""),"Manon DUBREIL")</f>
        <v>Manon DUBREIL</v>
      </c>
      <c r="D234" s="78" t="str">
        <f aca="false">IFERROR(__xludf.dummyfunction("filter('Réponses au formulaire 1'!T:T,'Réponses au formulaire 1'!B:B=C234)"),"ADUNNO")</f>
        <v>ADUNNO</v>
      </c>
      <c r="E234" s="72"/>
      <c r="F234" s="68"/>
      <c r="G234" s="15"/>
      <c r="H234" s="76" t="str">
        <f aca="false">IFERROR(__xludf.dummyfunction("""COMPUTED_VALUE"""),"")</f>
        <v/>
      </c>
      <c r="I234" s="50" t="str">
        <f aca="false">IFERROR(__xludf.dummyfunction("""COMPUTED_VALUE"""),"#REF!")</f>
        <v>#REF!</v>
      </c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</row>
    <row r="235" customFormat="false" ht="15.75" hidden="false" customHeight="false" outlineLevel="0" collapsed="false">
      <c r="A235" s="76" t="n">
        <f aca="false">A234+1</f>
        <v>234</v>
      </c>
      <c r="B235" s="70" t="n">
        <f aca="false">IFERROR(__xludf.dummyfunction("filter(Famillesid!$22:$22,(Famillesid!$16:$16=A235)+(Famillesid!$17:$17=A235)+(Famillesid!$18:$18=A235)+(Famillesid!$19:$19=A235)+(Famillesid!$20:$20=A235)+(Famillesid!$21:$21=A235))"),266)</f>
        <v>266</v>
      </c>
      <c r="C235" s="77" t="str">
        <f aca="false">IFERROR(__xludf.dummyfunction("""COMPUTED_VALUE"""),"Maëlenn COLSON")</f>
        <v>Maëlenn COLSON</v>
      </c>
      <c r="D235" s="78" t="str">
        <f aca="false">IFERROR(__xludf.dummyfunction("filter('Réponses au formulaire 1'!T:T,'Réponses au formulaire 1'!B:B=C235)"),"Des paillettes &lt;3")</f>
        <v>Des paillettes &lt;3</v>
      </c>
      <c r="E235" s="72"/>
      <c r="F235" s="68"/>
      <c r="G235" s="15"/>
      <c r="H235" s="76" t="str">
        <f aca="false">IFERROR(__xludf.dummyfunction("""COMPUTED_VALUE"""),"")</f>
        <v/>
      </c>
      <c r="I235" s="50" t="str">
        <f aca="false">IFERROR(__xludf.dummyfunction("""COMPUTED_VALUE"""),"#REF!")</f>
        <v>#REF!</v>
      </c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  <c r="EI235" s="15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</row>
    <row r="236" customFormat="false" ht="15.75" hidden="false" customHeight="false" outlineLevel="0" collapsed="false">
      <c r="A236" s="76" t="n">
        <f aca="false">A235+1</f>
        <v>235</v>
      </c>
      <c r="B236" s="70" t="n">
        <f aca="false">IFERROR(__xludf.dummyfunction("filter(Famillesid!$22:$22,(Famillesid!$16:$16=A236)+(Famillesid!$17:$17=A236)+(Famillesid!$18:$18=A236)+(Famillesid!$19:$19=A236)+(Famillesid!$20:$20=A236)+(Famillesid!$21:$21=A236))"),81)</f>
        <v>81</v>
      </c>
      <c r="C236" s="77" t="str">
        <f aca="false">IFERROR(__xludf.dummyfunction("""COMPUTED_VALUE"""),"Rémy MAIGE")</f>
        <v>Rémy MAIGE</v>
      </c>
      <c r="D236" s="78" t="str">
        <f aca="false">IFERROR(__xludf.dummyfunction("filter('Réponses au formulaire 1'!T:T,'Réponses au formulaire 1'!B:B=C236)"),"¯\_(ツ)_/¯")</f>
        <v>¯\_(ツ)_/¯</v>
      </c>
      <c r="E236" s="72"/>
      <c r="F236" s="68"/>
      <c r="G236" s="15"/>
      <c r="H236" s="76" t="str">
        <f aca="false">IFERROR(__xludf.dummyfunction("""COMPUTED_VALUE"""),"")</f>
        <v/>
      </c>
      <c r="I236" s="50" t="str">
        <f aca="false">IFERROR(__xludf.dummyfunction("""COMPUTED_VALUE"""),"#REF!")</f>
        <v>#REF!</v>
      </c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</row>
    <row r="237" customFormat="false" ht="15.75" hidden="false" customHeight="false" outlineLevel="0" collapsed="false">
      <c r="A237" s="76" t="n">
        <f aca="false">A236+1</f>
        <v>236</v>
      </c>
      <c r="B237" s="70" t="n">
        <f aca="false">IFERROR(__xludf.dummyfunction("filter(Famillesid!$22:$22,(Famillesid!$16:$16=A237)+(Famillesid!$17:$17=A237)+(Famillesid!$18:$18=A237)+(Famillesid!$19:$19=A237)+(Famillesid!$20:$20=A237)+(Famillesid!$21:$21=A237))"),261)</f>
        <v>261</v>
      </c>
      <c r="C237" s="77" t="str">
        <f aca="false">IFERROR(__xludf.dummyfunction("""COMPUTED_VALUE"""),"Ramy SLIM")</f>
        <v>Ramy SLIM</v>
      </c>
      <c r="D237" s="78" t="str">
        <f aca="false">IFERROR(__xludf.dummyfunction("filter('Réponses au formulaire 1'!T:T,'Réponses au formulaire 1'!B:B=C237)"),"Un bandana")</f>
        <v>Un bandana</v>
      </c>
      <c r="E237" s="72"/>
      <c r="F237" s="68"/>
      <c r="G237" s="15"/>
      <c r="H237" s="76" t="str">
        <f aca="false">IFERROR(__xludf.dummyfunction("""COMPUTED_VALUE"""),"")</f>
        <v/>
      </c>
      <c r="I237" s="50" t="str">
        <f aca="false">IFERROR(__xludf.dummyfunction("""COMPUTED_VALUE"""),"#REF!")</f>
        <v>#REF!</v>
      </c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</row>
    <row r="238" customFormat="false" ht="15.75" hidden="false" customHeight="false" outlineLevel="0" collapsed="false">
      <c r="A238" s="76" t="n">
        <f aca="false">A237+1</f>
        <v>237</v>
      </c>
      <c r="B238" s="70" t="n">
        <f aca="false">IFERROR(__xludf.dummyfunction("filter(Famillesid!$22:$22,(Famillesid!$16:$16=A238)+(Famillesid!$17:$17=A238)+(Famillesid!$18:$18=A238)+(Famillesid!$19:$19=A238)+(Famillesid!$20:$20=A238)+(Famillesid!$21:$21=A238))"),271)</f>
        <v>271</v>
      </c>
      <c r="C238" s="77" t="str">
        <f aca="false">IFERROR(__xludf.dummyfunction("""COMPUTED_VALUE"""),"TOMAZ AMORIM")</f>
        <v>TOMAZ AMORIM</v>
      </c>
      <c r="D238" s="78" t="str">
        <f aca="false">IFERROR(__xludf.dummyfunction("filter('Réponses au formulaire 1'!T:T,'Réponses au formulaire 1'!B:B=C238)"),"Une tasse de café")</f>
        <v>Une tasse de café</v>
      </c>
      <c r="E238" s="72"/>
      <c r="F238" s="68"/>
      <c r="G238" s="15"/>
      <c r="H238" s="76" t="str">
        <f aca="false">IFERROR(__xludf.dummyfunction("""COMPUTED_VALUE"""),"")</f>
        <v/>
      </c>
      <c r="I238" s="50" t="str">
        <f aca="false">IFERROR(__xludf.dummyfunction("""COMPUTED_VALUE"""),"")</f>
        <v/>
      </c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5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</row>
    <row r="239" customFormat="false" ht="15.75" hidden="false" customHeight="false" outlineLevel="0" collapsed="false">
      <c r="A239" s="76" t="n">
        <f aca="false">A238+1</f>
        <v>238</v>
      </c>
      <c r="B239" s="70" t="n">
        <f aca="false">IFERROR(__xludf.dummyfunction("filter(Famillesid!$22:$22,(Famillesid!$16:$16=A239)+(Famillesid!$17:$17=A239)+(Famillesid!$18:$18=A239)+(Famillesid!$19:$19=A239)+(Famillesid!$20:$20=A239)+(Famillesid!$21:$21=A239))"),256)</f>
        <v>256</v>
      </c>
      <c r="C239" s="77" t="str">
        <f aca="false">IFERROR(__xludf.dummyfunction("""COMPUTED_VALUE"""),"Maxime Canard")</f>
        <v>Maxime Canard</v>
      </c>
      <c r="D239" s="78" t="str">
        <f aca="false">IFERROR(__xludf.dummyfunction("filter('Réponses au formulaire 1'!T:T,'Réponses au formulaire 1'!B:B=C239)"),"Je sais pas encore")</f>
        <v>Je sais pas encore</v>
      </c>
      <c r="E239" s="72"/>
      <c r="F239" s="68"/>
      <c r="G239" s="15"/>
      <c r="H239" s="76" t="str">
        <f aca="false">IFERROR(__xludf.dummyfunction("""COMPUTED_VALUE"""),"")</f>
        <v/>
      </c>
      <c r="I239" s="50" t="str">
        <f aca="false">IFERROR(__xludf.dummyfunction("""COMPUTED_VALUE"""),"")</f>
        <v/>
      </c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  <c r="EF239" s="15"/>
      <c r="EG239" s="15"/>
      <c r="EH239" s="15"/>
      <c r="EI239" s="15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</row>
    <row r="240" customFormat="false" ht="15.75" hidden="false" customHeight="false" outlineLevel="0" collapsed="false">
      <c r="A240" s="76" t="n">
        <f aca="false">A239+1</f>
        <v>239</v>
      </c>
      <c r="B240" s="70" t="n">
        <f aca="false">IFERROR(__xludf.dummyfunction("filter(Famillesid!$22:$22,(Famillesid!$16:$16=A240)+(Famillesid!$17:$17=A240)+(Famillesid!$18:$18=A240)+(Famillesid!$19:$19=A240)+(Famillesid!$20:$20=A240)+(Famillesid!$21:$21=A240))"),276)</f>
        <v>276</v>
      </c>
      <c r="C240" s="77" t="str">
        <f aca="false">IFERROR(__xludf.dummyfunction("""COMPUTED_VALUE"""),"Corentin GILBERT")</f>
        <v>Corentin GILBERT</v>
      </c>
      <c r="D240" s="78" t="str">
        <f aca="false">IFERROR(__xludf.dummyfunction("filter('Réponses au formulaire 1'!T:T,'Réponses au formulaire 1'!B:B=C240)"),"boite a musique / partition")</f>
        <v>boite a musique / partition</v>
      </c>
      <c r="E240" s="72"/>
      <c r="F240" s="68"/>
      <c r="G240" s="15"/>
      <c r="H240" s="76" t="str">
        <f aca="false">IFERROR(__xludf.dummyfunction("""COMPUTED_VALUE"""),"")</f>
        <v/>
      </c>
      <c r="I240" s="50" t="str">
        <f aca="false">IFERROR(__xludf.dummyfunction("""COMPUTED_VALUE"""),"")</f>
        <v/>
      </c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  <c r="EF240" s="15"/>
      <c r="EG240" s="15"/>
      <c r="EH240" s="15"/>
      <c r="EI240" s="15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</row>
    <row r="241" customFormat="false" ht="15.75" hidden="false" customHeight="false" outlineLevel="0" collapsed="false">
      <c r="A241" s="76" t="n">
        <f aca="false">A240+1</f>
        <v>240</v>
      </c>
      <c r="B241" s="70" t="n">
        <f aca="false">IFERROR(__xludf.dummyfunction("filter(Famillesid!$22:$22,(Famillesid!$16:$16=A241)+(Famillesid!$17:$17=A241)+(Famillesid!$18:$18=A241)+(Famillesid!$19:$19=A241)+(Famillesid!$20:$20=A241)+(Famillesid!$21:$21=A241))"),281)</f>
        <v>281</v>
      </c>
      <c r="C241" s="77" t="str">
        <f aca="false">IFERROR(__xludf.dummyfunction("""COMPUTED_VALUE"""),"Sergio MORENO LÓPEZ")</f>
        <v>Sergio MORENO LÓPEZ</v>
      </c>
      <c r="D241" s="78" t="str">
        <f aca="false">IFERROR(__xludf.dummyfunction("filter('Réponses au formulaire 1'!T:T,'Réponses au formulaire 1'!B:B=C241)"),"Acune idée encore ")</f>
        <v>Acune idée encore </v>
      </c>
      <c r="E241" s="72"/>
      <c r="F241" s="68"/>
      <c r="G241" s="15"/>
      <c r="H241" s="76" t="str">
        <f aca="false">IFERROR(__xludf.dummyfunction("""COMPUTED_VALUE"""),"")</f>
        <v/>
      </c>
      <c r="I241" s="50" t="str">
        <f aca="false">IFERROR(__xludf.dummyfunction("""COMPUTED_VALUE"""),"")</f>
        <v/>
      </c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5"/>
      <c r="EG241" s="15"/>
      <c r="EH241" s="15"/>
      <c r="EI241" s="15"/>
      <c r="EJ241" s="15"/>
      <c r="EK241" s="15"/>
      <c r="EL241" s="15"/>
      <c r="EM241" s="15"/>
      <c r="EN241" s="15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</row>
    <row r="242" customFormat="false" ht="15.75" hidden="false" customHeight="false" outlineLevel="0" collapsed="false">
      <c r="A242" s="76" t="n">
        <f aca="false">A241+1</f>
        <v>241</v>
      </c>
      <c r="B242" s="70" t="n">
        <f aca="false">IFERROR(__xludf.dummyfunction("filter(Famillesid!$22:$22,(Famillesid!$16:$16=A242)+(Famillesid!$17:$17=A242)+(Famillesid!$18:$18=A242)+(Famillesid!$19:$19=A242)+(Famillesid!$20:$20=A242)+(Famillesid!$21:$21=A242))"),281)</f>
        <v>281</v>
      </c>
      <c r="C242" s="77" t="str">
        <f aca="false">IFERROR(__xludf.dummyfunction("""COMPUTED_VALUE"""),"Adán REYES REYES")</f>
        <v>Adán REYES REYES</v>
      </c>
      <c r="D242" s="78" t="str">
        <f aca="false">IFERROR(__xludf.dummyfunction("filter('Réponses au formulaire 1'!T:T,'Réponses au formulaire 1'!B:B=C242)"),"Je sais pas encore ")</f>
        <v>Je sais pas encore </v>
      </c>
      <c r="E242" s="72" t="s">
        <v>1144</v>
      </c>
      <c r="F242" s="68" t="s">
        <v>1158</v>
      </c>
      <c r="G242" s="15"/>
      <c r="H242" s="76" t="str">
        <f aca="false">IFERROR(__xludf.dummyfunction("""COMPUTED_VALUE"""),"")</f>
        <v/>
      </c>
      <c r="I242" s="50" t="str">
        <f aca="false">IFERROR(__xludf.dummyfunction("""COMPUTED_VALUE"""),"")</f>
        <v/>
      </c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</row>
    <row r="243" customFormat="false" ht="15.75" hidden="false" customHeight="false" outlineLevel="0" collapsed="false">
      <c r="A243" s="76" t="n">
        <f aca="false">A242+1</f>
        <v>242</v>
      </c>
      <c r="B243" s="70" t="n">
        <f aca="false">IFERROR(__xludf.dummyfunction("filter(Famillesid!$22:$22,(Famillesid!$16:$16=A243)+(Famillesid!$17:$17=A243)+(Famillesid!$18:$18=A243)+(Famillesid!$19:$19=A243)+(Famillesid!$20:$20=A243)+(Famillesid!$21:$21=A243))"),281)</f>
        <v>281</v>
      </c>
      <c r="C243" s="77" t="str">
        <f aca="false">IFERROR(__xludf.dummyfunction("""COMPUTED_VALUE"""),"Jose Luís RIVERA BLANCO")</f>
        <v>Jose Luís RIVERA BLANCO</v>
      </c>
      <c r="D243" s="78" t="str">
        <f aca="false">IFERROR(__xludf.dummyfunction("filter('Réponses au formulaire 1'!T:T,'Réponses au formulaire 1'!B:B=C243)"),"Je sais pas ")</f>
        <v>Je sais pas </v>
      </c>
      <c r="E243" s="72"/>
      <c r="F243" s="68"/>
      <c r="G243" s="15"/>
      <c r="H243" s="76" t="str">
        <f aca="false">IFERROR(__xludf.dummyfunction("""COMPUTED_VALUE"""),"")</f>
        <v/>
      </c>
      <c r="I243" s="50" t="str">
        <f aca="false">IFERROR(__xludf.dummyfunction("""COMPUTED_VALUE"""),"")</f>
        <v/>
      </c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5"/>
      <c r="EG243" s="15"/>
      <c r="EH243" s="15"/>
      <c r="EI243" s="15"/>
      <c r="EJ243" s="15"/>
      <c r="EK243" s="15"/>
      <c r="EL243" s="15"/>
      <c r="EM243" s="15"/>
      <c r="EN243" s="15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</row>
    <row r="244" customFormat="false" ht="15.75" hidden="false" customHeight="false" outlineLevel="0" collapsed="false">
      <c r="A244" s="76" t="n">
        <f aca="false">A243+1</f>
        <v>243</v>
      </c>
      <c r="B244" s="70" t="n">
        <f aca="false">IFERROR(__xludf.dummyfunction("filter(Famillesid!$22:$22,(Famillesid!$16:$16=A244)+(Famillesid!$17:$17=A244)+(Famillesid!$18:$18=A244)+(Famillesid!$19:$19=A244)+(Famillesid!$20:$20=A244)+(Famillesid!$21:$21=A244))"),281)</f>
        <v>281</v>
      </c>
      <c r="C244" s="77" t="str">
        <f aca="false">IFERROR(__xludf.dummyfunction("""COMPUTED_VALUE"""),"Yinzheng ZHOU")</f>
        <v>Yinzheng ZHOU</v>
      </c>
      <c r="D244" s="78" t="str">
        <f aca="false">IFERROR(__xludf.dummyfunction("filter('Réponses au formulaire 1'!T:T,'Réponses au formulaire 1'!B:B=C244)"),"Sais pas trop, des bières?")</f>
        <v>Sais pas trop, des bières?</v>
      </c>
      <c r="E244" s="72"/>
      <c r="F244" s="68"/>
      <c r="G244" s="15"/>
      <c r="H244" s="76" t="str">
        <f aca="false">IFERROR(__xludf.dummyfunction("""COMPUTED_VALUE"""),"")</f>
        <v/>
      </c>
      <c r="I244" s="50" t="str">
        <f aca="false">IFERROR(__xludf.dummyfunction("""COMPUTED_VALUE"""),"")</f>
        <v/>
      </c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</row>
    <row r="245" customFormat="false" ht="15.75" hidden="false" customHeight="false" outlineLevel="0" collapsed="false">
      <c r="A245" s="76" t="n">
        <f aca="false">A244+1</f>
        <v>244</v>
      </c>
      <c r="B245" s="70" t="n">
        <f aca="false">IFERROR(__xludf.dummyfunction("filter(Famillesid!$22:$22,(Famillesid!$16:$16=A245)+(Famillesid!$17:$17=A245)+(Famillesid!$18:$18=A245)+(Famillesid!$19:$19=A245)+(Famillesid!$20:$20=A245)+(Famillesid!$21:$21=A245))"),276)</f>
        <v>276</v>
      </c>
      <c r="C245" s="77" t="str">
        <f aca="false">IFERROR(__xludf.dummyfunction("""COMPUTED_VALUE"""),"Alexandre Bryk")</f>
        <v>Alexandre Bryk</v>
      </c>
      <c r="D245" s="78" t="str">
        <f aca="false">IFERROR(__xludf.dummyfunction("filter('Réponses au formulaire 1'!T:T,'Réponses au formulaire 1'!B:B=C245)"),"Aucune idée")</f>
        <v>Aucune idée</v>
      </c>
      <c r="E245" s="72"/>
      <c r="F245" s="68"/>
      <c r="G245" s="15"/>
      <c r="H245" s="76" t="str">
        <f aca="false">IFERROR(__xludf.dummyfunction("""COMPUTED_VALUE"""),"")</f>
        <v/>
      </c>
      <c r="I245" s="50" t="str">
        <f aca="false">IFERROR(__xludf.dummyfunction("""COMPUTED_VALUE"""),"")</f>
        <v/>
      </c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</row>
    <row r="246" customFormat="false" ht="15.75" hidden="false" customHeight="false" outlineLevel="0" collapsed="false">
      <c r="A246" s="76" t="n">
        <f aca="false">A245+1</f>
        <v>245</v>
      </c>
      <c r="B246" s="70" t="n">
        <f aca="false">IFERROR(__xludf.dummyfunction("filter(Famillesid!$22:$22,(Famillesid!$16:$16=A246)+(Famillesid!$17:$17=A246)+(Famillesid!$18:$18=A246)+(Famillesid!$19:$19=A246)+(Famillesid!$20:$20=A246)+(Famillesid!$21:$21=A246))"),281)</f>
        <v>281</v>
      </c>
      <c r="C246" s="77" t="str">
        <f aca="false">IFERROR(__xludf.dummyfunction("""COMPUTED_VALUE"""),"Sebastian CEPEDA")</f>
        <v>Sebastian CEPEDA</v>
      </c>
      <c r="D246" s="78" t="str">
        <f aca="false">IFERROR(__xludf.dummyfunction("filter('Réponses au formulaire 1'!T:T,'Réponses au formulaire 1'!B:B=C246)"),"un bout de papier ")</f>
        <v>un bout de papier </v>
      </c>
      <c r="E246" s="72"/>
      <c r="F246" s="68"/>
      <c r="G246" s="15"/>
      <c r="H246" s="76" t="str">
        <f aca="false">IFERROR(__xludf.dummyfunction("""COMPUTED_VALUE"""),"")</f>
        <v/>
      </c>
      <c r="I246" s="50" t="str">
        <f aca="false">IFERROR(__xludf.dummyfunction("""COMPUTED_VALUE"""),"")</f>
        <v/>
      </c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</row>
    <row r="247" customFormat="false" ht="15.75" hidden="false" customHeight="false" outlineLevel="0" collapsed="false">
      <c r="A247" s="76" t="n">
        <f aca="false">A246+1</f>
        <v>246</v>
      </c>
      <c r="B247" s="70" t="n">
        <f aca="false">IFERROR(__xludf.dummyfunction("filter(Famillesid!$22:$22,(Famillesid!$16:$16=A247)+(Famillesid!$17:$17=A247)+(Famillesid!$18:$18=A247)+(Famillesid!$19:$19=A247)+(Famillesid!$20:$20=A247)+(Famillesid!$21:$21=A247))"),281)</f>
        <v>281</v>
      </c>
      <c r="C247" s="77" t="str">
        <f aca="false">IFERROR(__xludf.dummyfunction("""COMPUTED_VALUE"""),"Julián David HERNÁNDEZ TOVAR")</f>
        <v>Julián David HERNÁNDEZ TOVAR</v>
      </c>
      <c r="D247" s="78" t="str">
        <f aca="false">IFERROR(__xludf.dummyfunction("filter('Réponses au formulaire 1'!T:T,'Réponses au formulaire 1'!B:B=C247)"),"""molinillo"" colombien, truc pour mélanger le cacao colombien :)")</f>
        <v>"molinillo" colombien, truc pour mélanger le cacao colombien :)</v>
      </c>
      <c r="E247" s="72" t="s">
        <v>1144</v>
      </c>
      <c r="F247" s="68" t="s">
        <v>1158</v>
      </c>
      <c r="G247" s="15"/>
      <c r="H247" s="76" t="str">
        <f aca="false">IFERROR(__xludf.dummyfunction("""COMPUTED_VALUE"""),"")</f>
        <v/>
      </c>
      <c r="I247" s="50" t="str">
        <f aca="false">IFERROR(__xludf.dummyfunction("""COMPUTED_VALUE"""),"")</f>
        <v/>
      </c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</row>
    <row r="248" customFormat="false" ht="15.75" hidden="false" customHeight="false" outlineLevel="0" collapsed="false">
      <c r="A248" s="76" t="n">
        <f aca="false">A247+1</f>
        <v>247</v>
      </c>
      <c r="B248" s="70" t="n">
        <f aca="false">IFERROR(__xludf.dummyfunction("filter(Famillesid!$22:$22,(Famillesid!$16:$16=A248)+(Famillesid!$17:$17=A248)+(Famillesid!$18:$18=A248)+(Famillesid!$19:$19=A248)+(Famillesid!$20:$20=A248)+(Famillesid!$21:$21=A248))"),271)</f>
        <v>271</v>
      </c>
      <c r="C248" s="77" t="str">
        <f aca="false">IFERROR(__xludf.dummyfunction("""COMPUTED_VALUE"""),"Ananda VANDERWEGEN")</f>
        <v>Ananda VANDERWEGEN</v>
      </c>
      <c r="D248" s="78" t="str">
        <f aca="false">IFERROR(__xludf.dummyfunction("filter('Réponses au formulaire 1'!T:T,'Réponses au formulaire 1'!B:B=C248)"),"T shirt ")</f>
        <v>T shirt </v>
      </c>
      <c r="E248" s="72" t="s">
        <v>1144</v>
      </c>
      <c r="F248" s="68" t="s">
        <v>1158</v>
      </c>
      <c r="G248" s="15"/>
      <c r="H248" s="76" t="str">
        <f aca="false">IFERROR(__xludf.dummyfunction("""COMPUTED_VALUE"""),"")</f>
        <v/>
      </c>
      <c r="I248" s="50" t="str">
        <f aca="false">IFERROR(__xludf.dummyfunction("""COMPUTED_VALUE"""),"")</f>
        <v/>
      </c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</row>
    <row r="249" customFormat="false" ht="15.75" hidden="false" customHeight="false" outlineLevel="0" collapsed="false">
      <c r="A249" s="76" t="n">
        <f aca="false">A248+1</f>
        <v>248</v>
      </c>
      <c r="B249" s="70" t="n">
        <f aca="false">IFERROR(__xludf.dummyfunction("filter(Famillesid!$22:$22,(Famillesid!$16:$16=A249)+(Famillesid!$17:$17=A249)+(Famillesid!$18:$18=A249)+(Famillesid!$19:$19=A249)+(Famillesid!$20:$20=A249)+(Famillesid!$21:$21=A249))"),11)</f>
        <v>11</v>
      </c>
      <c r="C249" s="77" t="str">
        <f aca="false">IFERROR(__xludf.dummyfunction("""COMPUTED_VALUE"""),"Sébastien VILLA")</f>
        <v>Sébastien VILLA</v>
      </c>
      <c r="D249" s="78" t="str">
        <f aca="false">IFERROR(__xludf.dummyfunction("filter('Réponses au formulaire 1'!T:T,'Réponses au formulaire 1'!B:B=C249)"),"un aviron")</f>
        <v>un aviron</v>
      </c>
      <c r="E249" s="72"/>
      <c r="F249" s="68"/>
      <c r="G249" s="15"/>
      <c r="H249" s="76" t="str">
        <f aca="false">IFERROR(__xludf.dummyfunction("""COMPUTED_VALUE"""),"")</f>
        <v/>
      </c>
      <c r="I249" s="50" t="str">
        <f aca="false">IFERROR(__xludf.dummyfunction("""COMPUTED_VALUE"""),"")</f>
        <v/>
      </c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5"/>
      <c r="EG249" s="15"/>
      <c r="EH249" s="15"/>
      <c r="EI249" s="15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</row>
    <row r="250" customFormat="false" ht="15.75" hidden="false" customHeight="false" outlineLevel="0" collapsed="false">
      <c r="A250" s="76" t="n">
        <f aca="false">A249+1</f>
        <v>249</v>
      </c>
      <c r="B250" s="70" t="n">
        <f aca="false">IFERROR(__xludf.dummyfunction("filter(Famillesid!$22:$22,(Famillesid!$16:$16=A250)+(Famillesid!$17:$17=A250)+(Famillesid!$18:$18=A250)+(Famillesid!$19:$19=A250)+(Famillesid!$20:$20=A250)+(Famillesid!$21:$21=A250))"),286)</f>
        <v>286</v>
      </c>
      <c r="C250" s="77" t="str">
        <f aca="false">IFERROR(__xludf.dummyfunction("""COMPUTED_VALUE"""),"Pierre Libault")</f>
        <v>Pierre Libault</v>
      </c>
      <c r="D250" s="78" t="str">
        <f aca="false">IFERROR(__xludf.dummyfunction("filter('Réponses au formulaire 1'!T:T,'Réponses au formulaire 1'!B:B=C250)"),"En réflexion ")</f>
        <v>En réflexion </v>
      </c>
      <c r="E250" s="72"/>
      <c r="F250" s="68"/>
      <c r="G250" s="15"/>
      <c r="H250" s="76" t="str">
        <f aca="false">IFERROR(__xludf.dummyfunction("""COMPUTED_VALUE"""),"")</f>
        <v/>
      </c>
      <c r="I250" s="50" t="str">
        <f aca="false">IFERROR(__xludf.dummyfunction("""COMPUTED_VALUE"""),"")</f>
        <v/>
      </c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</row>
    <row r="251" customFormat="false" ht="15.75" hidden="false" customHeight="false" outlineLevel="0" collapsed="false">
      <c r="A251" s="76" t="n">
        <f aca="false">A250+1</f>
        <v>250</v>
      </c>
      <c r="B251" s="70" t="n">
        <f aca="false">IFERROR(__xludf.dummyfunction("filter(Famillesid!$22:$22,(Famillesid!$16:$16=A251)+(Famillesid!$17:$17=A251)+(Famillesid!$18:$18=A251)+(Famillesid!$19:$19=A251)+(Famillesid!$20:$20=A251)+(Famillesid!$21:$21=A251))"),236)</f>
        <v>236</v>
      </c>
      <c r="C251" s="77" t="str">
        <f aca="false">IFERROR(__xludf.dummyfunction("""COMPUTED_VALUE"""),"Adam EL YOUMI")</f>
        <v>Adam EL YOUMI</v>
      </c>
      <c r="D251" s="78" t="str">
        <f aca="false">IFERROR(__xludf.dummyfunction("filter('Réponses au formulaire 1'!T:T,'Réponses au formulaire 1'!B:B=C251)"),"un cornichon")</f>
        <v>un cornichon</v>
      </c>
      <c r="E251" s="72" t="s">
        <v>1144</v>
      </c>
      <c r="F251" s="68" t="s">
        <v>1157</v>
      </c>
      <c r="G251" s="15"/>
      <c r="H251" s="76" t="str">
        <f aca="false">IFERROR(__xludf.dummyfunction("""COMPUTED_VALUE"""),"")</f>
        <v/>
      </c>
      <c r="I251" s="50" t="str">
        <f aca="false">IFERROR(__xludf.dummyfunction("""COMPUTED_VALUE"""),"")</f>
        <v/>
      </c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/>
      <c r="EV251" s="15"/>
      <c r="EW251" s="15"/>
      <c r="EX251" s="15"/>
    </row>
    <row r="252" customFormat="false" ht="15.75" hidden="false" customHeight="false" outlineLevel="0" collapsed="false">
      <c r="A252" s="76" t="n">
        <f aca="false">A251+1</f>
        <v>251</v>
      </c>
      <c r="B252" s="70" t="n">
        <f aca="false">IFERROR(__xludf.dummyfunction("filter(Famillesid!$22:$22,(Famillesid!$16:$16=A252)+(Famillesid!$17:$17=A252)+(Famillesid!$18:$18=A252)+(Famillesid!$19:$19=A252)+(Famillesid!$20:$20=A252)+(Famillesid!$21:$21=A252))"),76)</f>
        <v>76</v>
      </c>
      <c r="C252" s="77" t="str">
        <f aca="false">IFERROR(__xludf.dummyfunction("""COMPUTED_VALUE"""),"Vincent ESPINASSE")</f>
        <v>Vincent ESPINASSE</v>
      </c>
      <c r="D252" s="78" t="str">
        <f aca="false">IFERROR(__xludf.dummyfunction("filter('Réponses au formulaire 1'!T:T,'Réponses au formulaire 1'!B:B=C252)"),"un masque de lapin")</f>
        <v>un masque de lapin</v>
      </c>
      <c r="E252" s="72" t="s">
        <v>1144</v>
      </c>
      <c r="F252" s="68" t="s">
        <v>1158</v>
      </c>
      <c r="G252" s="15"/>
      <c r="H252" s="76" t="str">
        <f aca="false">IFERROR(__xludf.dummyfunction("""COMPUTED_VALUE"""),"")</f>
        <v/>
      </c>
      <c r="I252" s="50" t="str">
        <f aca="false">IFERROR(__xludf.dummyfunction("""COMPUTED_VALUE"""),"")</f>
        <v/>
      </c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/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</row>
    <row r="253" customFormat="false" ht="15.75" hidden="false" customHeight="false" outlineLevel="0" collapsed="false">
      <c r="A253" s="76" t="n">
        <f aca="false">A252+1</f>
        <v>252</v>
      </c>
      <c r="B253" s="70" t="n">
        <f aca="false">IFERROR(__xludf.dummyfunction("filter(Famillesid!$22:$22,(Famillesid!$16:$16=A253)+(Famillesid!$17:$17=A253)+(Famillesid!$18:$18=A253)+(Famillesid!$19:$19=A253)+(Famillesid!$20:$20=A253)+(Famillesid!$21:$21=A253))"),286)</f>
        <v>286</v>
      </c>
      <c r="C253" s="77" t="str">
        <f aca="false">IFERROR(__xludf.dummyfunction("""COMPUTED_VALUE"""),"Félix-Olivier Ngangue Nseke")</f>
        <v>Félix-Olivier Ngangue Nseke</v>
      </c>
      <c r="D253" s="78" t="str">
        <f aca="false">IFERROR(__xludf.dummyfunction("filter('Réponses au formulaire 1'!T:T,'Réponses au formulaire 1'!B:B=C253)"),"maillot de foot")</f>
        <v>maillot de foot</v>
      </c>
      <c r="E253" s="72"/>
      <c r="F253" s="68"/>
      <c r="G253" s="15"/>
      <c r="H253" s="76" t="str">
        <f aca="false">IFERROR(__xludf.dummyfunction("""COMPUTED_VALUE"""),"")</f>
        <v/>
      </c>
      <c r="I253" s="50" t="str">
        <f aca="false">IFERROR(__xludf.dummyfunction("""COMPUTED_VALUE"""),"")</f>
        <v/>
      </c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/>
      <c r="EG253" s="15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</row>
    <row r="254" customFormat="false" ht="15.75" hidden="false" customHeight="false" outlineLevel="0" collapsed="false">
      <c r="A254" s="76" t="n">
        <f aca="false">A253+1</f>
        <v>253</v>
      </c>
      <c r="B254" s="70" t="n">
        <f aca="false">IFERROR(__xludf.dummyfunction("filter(Famillesid!$22:$22,(Famillesid!$16:$16=A254)+(Famillesid!$17:$17=A254)+(Famillesid!$18:$18=A254)+(Famillesid!$19:$19=A254)+(Famillesid!$20:$20=A254)+(Famillesid!$21:$21=A254))"),286)</f>
        <v>286</v>
      </c>
      <c r="C254" s="77" t="str">
        <f aca="false">IFERROR(__xludf.dummyfunction("""COMPUTED_VALUE"""),"Laurène THILLIER")</f>
        <v>Laurène THILLIER</v>
      </c>
      <c r="D254" s="78" t="str">
        <f aca="false">IFERROR(__xludf.dummyfunction("filter('Réponses au formulaire 1'!T:T,'Réponses au formulaire 1'!B:B=C254)"),"oreilles de cochon")</f>
        <v>oreilles de cochon</v>
      </c>
      <c r="E254" s="72"/>
      <c r="F254" s="68"/>
      <c r="G254" s="15"/>
      <c r="H254" s="76" t="str">
        <f aca="false">IFERROR(__xludf.dummyfunction("""COMPUTED_VALUE"""),"")</f>
        <v/>
      </c>
      <c r="I254" s="50" t="str">
        <f aca="false">IFERROR(__xludf.dummyfunction("""COMPUTED_VALUE"""),"")</f>
        <v/>
      </c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</row>
    <row r="255" customFormat="false" ht="15.75" hidden="false" customHeight="false" outlineLevel="0" collapsed="false">
      <c r="A255" s="76" t="n">
        <f aca="false">A254+1</f>
        <v>254</v>
      </c>
      <c r="B255" s="70" t="n">
        <f aca="false">IFERROR(__xludf.dummyfunction("filter(Famillesid!$22:$22,(Famillesid!$16:$16=A255)+(Famillesid!$17:$17=A255)+(Famillesid!$18:$18=A255)+(Famillesid!$19:$19=A255)+(Famillesid!$20:$20=A255)+(Famillesid!$21:$21=A255))"),286)</f>
        <v>286</v>
      </c>
      <c r="C255" s="77" t="str">
        <f aca="false">IFERROR(__xludf.dummyfunction("""COMPUTED_VALUE"""),"Tanguy CABARET")</f>
        <v>Tanguy CABARET</v>
      </c>
      <c r="D255" s="78" t="str">
        <f aca="false">IFERROR(__xludf.dummyfunction("filter('Réponses au formulaire 1'!T:T,'Réponses au formulaire 1'!B:B=C255)"),"Une piece de bagnole mais je sais pas encore quoi ")</f>
        <v>Une piece de bagnole mais je sais pas encore quoi </v>
      </c>
      <c r="E255" s="72"/>
      <c r="F255" s="68"/>
      <c r="G255" s="15"/>
      <c r="H255" s="76" t="str">
        <f aca="false">IFERROR(__xludf.dummyfunction("""COMPUTED_VALUE"""),"")</f>
        <v/>
      </c>
      <c r="I255" s="50" t="str">
        <f aca="false">IFERROR(__xludf.dummyfunction("""COMPUTED_VALUE"""),"")</f>
        <v/>
      </c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  <c r="EI255" s="15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</row>
    <row r="256" customFormat="false" ht="15.75" hidden="false" customHeight="false" outlineLevel="0" collapsed="false">
      <c r="A256" s="76" t="n">
        <f aca="false">A255+1</f>
        <v>255</v>
      </c>
      <c r="B256" s="70" t="n">
        <f aca="false">IFERROR(__xludf.dummyfunction("filter(Famillesid!$22:$22,(Famillesid!$16:$16=A256)+(Famillesid!$17:$17=A256)+(Famillesid!$18:$18=A256)+(Famillesid!$19:$19=A256)+(Famillesid!$20:$20=A256)+(Famillesid!$21:$21=A256))"),161)</f>
        <v>161</v>
      </c>
      <c r="C256" s="77" t="str">
        <f aca="false">IFERROR(__xludf.dummyfunction("""COMPUTED_VALUE"""),"Romane CARIOU")</f>
        <v>Romane CARIOU</v>
      </c>
      <c r="D256" s="78" t="str">
        <f aca="false">IFERROR(__xludf.dummyfunction("filter('Réponses au formulaire 1'!T:T,'Réponses au formulaire 1'!B:B=C256)"),"une corde de harpe ")</f>
        <v>une corde de harpe </v>
      </c>
      <c r="E256" s="72"/>
      <c r="F256" s="68"/>
      <c r="G256" s="15"/>
      <c r="H256" s="76" t="str">
        <f aca="false">IFERROR(__xludf.dummyfunction("""COMPUTED_VALUE"""),"")</f>
        <v/>
      </c>
      <c r="I256" s="50" t="str">
        <f aca="false">IFERROR(__xludf.dummyfunction("""COMPUTED_VALUE"""),"")</f>
        <v/>
      </c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</row>
    <row r="257" customFormat="false" ht="15.75" hidden="false" customHeight="false" outlineLevel="0" collapsed="false">
      <c r="A257" s="76" t="n">
        <f aca="false">A256+1</f>
        <v>256</v>
      </c>
      <c r="B257" s="70" t="n">
        <f aca="false">IFERROR(__xludf.dummyfunction("filter(Famillesid!$22:$22,(Famillesid!$16:$16=A257)+(Famillesid!$17:$17=A257)+(Famillesid!$18:$18=A257)+(Famillesid!$19:$19=A257)+(Famillesid!$20:$20=A257)+(Famillesid!$21:$21=A257))"),291)</f>
        <v>291</v>
      </c>
      <c r="C257" s="77" t="str">
        <f aca="false">IFERROR(__xludf.dummyfunction("""COMPUTED_VALUE"""),"Romain SUCCHE")</f>
        <v>Romain SUCCHE</v>
      </c>
      <c r="D257" s="78" t="str">
        <f aca="false">IFERROR(__xludf.dummyfunction("filter('Réponses au formulaire 1'!T:T,'Réponses au formulaire 1'!B:B=C257)"),"Lunettes cassées ")</f>
        <v>Lunettes cassées </v>
      </c>
      <c r="E257" s="72"/>
      <c r="F257" s="68"/>
      <c r="G257" s="15"/>
      <c r="H257" s="76" t="str">
        <f aca="false">IFERROR(__xludf.dummyfunction("""COMPUTED_VALUE"""),"")</f>
        <v/>
      </c>
      <c r="I257" s="50" t="str">
        <f aca="false">IFERROR(__xludf.dummyfunction("""COMPUTED_VALUE"""),"")</f>
        <v/>
      </c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  <c r="EF257" s="15"/>
      <c r="EG257" s="15"/>
      <c r="EH257" s="15"/>
      <c r="EI257" s="15"/>
      <c r="EJ257" s="15"/>
      <c r="EK257" s="15"/>
      <c r="EL257" s="15"/>
      <c r="EM257" s="15"/>
      <c r="EN257" s="15"/>
      <c r="EO257" s="15"/>
      <c r="EP257" s="15"/>
      <c r="EQ257" s="15"/>
      <c r="ER257" s="15"/>
      <c r="ES257" s="15"/>
      <c r="ET257" s="15"/>
      <c r="EU257" s="15"/>
      <c r="EV257" s="15"/>
      <c r="EW257" s="15"/>
      <c r="EX257" s="15"/>
    </row>
    <row r="258" customFormat="false" ht="15.75" hidden="false" customHeight="false" outlineLevel="0" collapsed="false">
      <c r="A258" s="76" t="n">
        <f aca="false">A257+1</f>
        <v>257</v>
      </c>
      <c r="B258" s="70" t="n">
        <f aca="false">IFERROR(__xludf.dummyfunction("filter(Famillesid!$22:$22,(Famillesid!$16:$16=A258)+(Famillesid!$17:$17=A258)+(Famillesid!$18:$18=A258)+(Famillesid!$19:$19=A258)+(Famillesid!$20:$20=A258)+(Famillesid!$21:$21=A258))"),291)</f>
        <v>291</v>
      </c>
      <c r="C258" s="77" t="str">
        <f aca="false">IFERROR(__xludf.dummyfunction("""COMPUTED_VALUE"""),"Nicolas ROGER")</f>
        <v>Nicolas ROGER</v>
      </c>
      <c r="D258" s="78" t="str">
        <f aca="false">IFERROR(__xludf.dummyfunction("filter('Réponses au formulaire 1'!T:T,'Réponses au formulaire 1'!B:B=C258)"),"Une gamelle de chat ")</f>
        <v>Une gamelle de chat </v>
      </c>
      <c r="E258" s="72"/>
      <c r="F258" s="68"/>
      <c r="G258" s="15"/>
      <c r="H258" s="76" t="str">
        <f aca="false">IFERROR(__xludf.dummyfunction("""COMPUTED_VALUE"""),"")</f>
        <v/>
      </c>
      <c r="I258" s="50" t="str">
        <f aca="false">IFERROR(__xludf.dummyfunction("""COMPUTED_VALUE"""),"")</f>
        <v/>
      </c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</row>
    <row r="259" customFormat="false" ht="15.75" hidden="false" customHeight="false" outlineLevel="0" collapsed="false">
      <c r="A259" s="76" t="n">
        <f aca="false">A258+1</f>
        <v>258</v>
      </c>
      <c r="B259" s="70" t="n">
        <f aca="false">IFERROR(__xludf.dummyfunction("filter(Famillesid!$22:$22,(Famillesid!$16:$16=A259)+(Famillesid!$17:$17=A259)+(Famillesid!$18:$18=A259)+(Famillesid!$19:$19=A259)+(Famillesid!$20:$20=A259)+(Famillesid!$21:$21=A259))"),291)</f>
        <v>291</v>
      </c>
      <c r="C259" s="77" t="str">
        <f aca="false">IFERROR(__xludf.dummyfunction("""COMPUTED_VALUE"""),"Emmanuel COLLIGNAN")</f>
        <v>Emmanuel COLLIGNAN</v>
      </c>
      <c r="D259" s="78" t="str">
        <f aca="false">IFERROR(__xludf.dummyfunction("filter('Réponses au formulaire 1'!T:T,'Réponses au formulaire 1'!B:B=C259)"),"Ballon?")</f>
        <v>Ballon?</v>
      </c>
      <c r="E259" s="72"/>
      <c r="F259" s="68"/>
      <c r="G259" s="15"/>
      <c r="H259" s="76" t="str">
        <f aca="false">IFERROR(__xludf.dummyfunction("""COMPUTED_VALUE"""),"")</f>
        <v/>
      </c>
      <c r="I259" s="50" t="str">
        <f aca="false">IFERROR(__xludf.dummyfunction("""COMPUTED_VALUE"""),"")</f>
        <v/>
      </c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/>
      <c r="EX259" s="15"/>
    </row>
    <row r="260" customFormat="false" ht="15.75" hidden="false" customHeight="false" outlineLevel="0" collapsed="false">
      <c r="A260" s="76" t="n">
        <f aca="false">A259+1</f>
        <v>259</v>
      </c>
      <c r="B260" s="70" t="n">
        <f aca="false">IFERROR(__xludf.dummyfunction("filter(Famillesid!$22:$22,(Famillesid!$16:$16=A260)+(Famillesid!$17:$17=A260)+(Famillesid!$18:$18=A260)+(Famillesid!$19:$19=A260)+(Famillesid!$20:$20=A260)+(Famillesid!$21:$21=A260))"),291)</f>
        <v>291</v>
      </c>
      <c r="C260" s="77" t="str">
        <f aca="false">IFERROR(__xludf.dummyfunction("""COMPUTED_VALUE"""),"Jérôme VILLEROT")</f>
        <v>Jérôme VILLEROT</v>
      </c>
      <c r="D260" s="78" t="str">
        <f aca="false">IFERROR(__xludf.dummyfunction("filter('Réponses au formulaire 1'!T:T,'Réponses au formulaire 1'!B:B=C260)"),"Un billet")</f>
        <v>Un billet</v>
      </c>
      <c r="E260" s="72" t="s">
        <v>1144</v>
      </c>
      <c r="F260" s="68" t="s">
        <v>1157</v>
      </c>
      <c r="G260" s="15"/>
      <c r="H260" s="76" t="str">
        <f aca="false">IFERROR(__xludf.dummyfunction("""COMPUTED_VALUE"""),"")</f>
        <v/>
      </c>
      <c r="I260" s="50" t="str">
        <f aca="false">IFERROR(__xludf.dummyfunction("""COMPUTED_VALUE"""),"")</f>
        <v/>
      </c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/>
    </row>
    <row r="261" customFormat="false" ht="15.75" hidden="false" customHeight="false" outlineLevel="0" collapsed="false">
      <c r="A261" s="76" t="n">
        <f aca="false">A260+1</f>
        <v>260</v>
      </c>
      <c r="B261" s="70" t="n">
        <f aca="false">IFERROR(__xludf.dummyfunction("filter(Famillesid!$22:$22,(Famillesid!$16:$16=A261)+(Famillesid!$17:$17=A261)+(Famillesid!$18:$18=A261)+(Famillesid!$19:$19=A261)+(Famillesid!$20:$20=A261)+(Famillesid!$21:$21=A261))"),181)</f>
        <v>181</v>
      </c>
      <c r="C261" s="77" t="str">
        <f aca="false">IFERROR(__xludf.dummyfunction("""COMPUTED_VALUE"""),"Borget")</f>
        <v>Borget</v>
      </c>
      <c r="D261" s="78" t="str">
        <f aca="false">IFERROR(__xludf.dummyfunction("filter('Réponses au formulaire 1'!T:T,'Réponses au formulaire 1'!B:B=C261)"),"Un cochon")</f>
        <v>Un cochon</v>
      </c>
      <c r="E261" s="72" t="s">
        <v>1144</v>
      </c>
      <c r="F261" s="68" t="s">
        <v>1157</v>
      </c>
      <c r="G261" s="15"/>
      <c r="H261" s="76" t="str">
        <f aca="false">IFERROR(__xludf.dummyfunction("""COMPUTED_VALUE"""),"")</f>
        <v/>
      </c>
      <c r="I261" s="50" t="str">
        <f aca="false">IFERROR(__xludf.dummyfunction("""COMPUTED_VALUE"""),"")</f>
        <v/>
      </c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</row>
    <row r="262" customFormat="false" ht="15.75" hidden="false" customHeight="false" outlineLevel="0" collapsed="false">
      <c r="A262" s="76" t="n">
        <f aca="false">A261+1</f>
        <v>261</v>
      </c>
      <c r="B262" s="70" t="n">
        <f aca="false">IFERROR(__xludf.dummyfunction("filter(Famillesid!$22:$22,(Famillesid!$16:$16=A262)+(Famillesid!$17:$17=A262)+(Famillesid!$18:$18=A262)+(Famillesid!$19:$19=A262)+(Famillesid!$20:$20=A262)+(Famillesid!$21:$21=A262))"),151)</f>
        <v>151</v>
      </c>
      <c r="C262" s="77" t="str">
        <f aca="false">IFERROR(__xludf.dummyfunction("""COMPUTED_VALUE"""),"Raúl VILLAFUERTE")</f>
        <v>Raúl VILLAFUERTE</v>
      </c>
      <c r="D262" s="78" t="str">
        <f aca="false">IFERROR(__xludf.dummyfunction("filter('Réponses au formulaire 1'!T:T,'Réponses au formulaire 1'!B:B=C262)"),"Tequila")</f>
        <v>Tequila</v>
      </c>
      <c r="E262" s="72"/>
      <c r="F262" s="68"/>
      <c r="G262" s="15"/>
      <c r="H262" s="76" t="str">
        <f aca="false">IFERROR(__xludf.dummyfunction("""COMPUTED_VALUE"""),"")</f>
        <v/>
      </c>
      <c r="I262" s="50" t="str">
        <f aca="false">IFERROR(__xludf.dummyfunction("""COMPUTED_VALUE"""),"")</f>
        <v/>
      </c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/>
      <c r="EV262" s="15"/>
      <c r="EW262" s="15"/>
      <c r="EX262" s="15"/>
    </row>
    <row r="263" customFormat="false" ht="15.75" hidden="false" customHeight="false" outlineLevel="0" collapsed="false">
      <c r="A263" s="76" t="n">
        <f aca="false">A262+1</f>
        <v>262</v>
      </c>
      <c r="B263" s="70" t="n">
        <f aca="false">IFERROR(__xludf.dummyfunction("filter(Famillesid!$22:$22,(Famillesid!$16:$16=A263)+(Famillesid!$17:$17=A263)+(Famillesid!$18:$18=A263)+(Famillesid!$19:$19=A263)+(Famillesid!$20:$20=A263)+(Famillesid!$21:$21=A263))"),296)</f>
        <v>296</v>
      </c>
      <c r="C263" s="77" t="str">
        <f aca="false">IFERROR(__xludf.dummyfunction("""COMPUTED_VALUE"""),"Paul SAUBION")</f>
        <v>Paul SAUBION</v>
      </c>
      <c r="D263" s="78" t="str">
        <f aca="false">IFERROR(__xludf.dummyfunction("filter('Réponses au formulaire 1'!T:T,'Réponses au formulaire 1'!B:B=C263)"),"Une porte")</f>
        <v>Une porte</v>
      </c>
      <c r="E263" s="72"/>
      <c r="F263" s="68"/>
      <c r="G263" s="15"/>
      <c r="H263" s="76" t="str">
        <f aca="false">IFERROR(__xludf.dummyfunction("""COMPUTED_VALUE"""),"")</f>
        <v/>
      </c>
      <c r="I263" s="50" t="str">
        <f aca="false">IFERROR(__xludf.dummyfunction("""COMPUTED_VALUE"""),"")</f>
        <v/>
      </c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</row>
    <row r="264" customFormat="false" ht="15.75" hidden="false" customHeight="false" outlineLevel="0" collapsed="false">
      <c r="A264" s="76" t="n">
        <f aca="false">A263+1</f>
        <v>263</v>
      </c>
      <c r="B264" s="70" t="n">
        <f aca="false">IFERROR(__xludf.dummyfunction("filter(Famillesid!$22:$22,(Famillesid!$16:$16=A264)+(Famillesid!$17:$17=A264)+(Famillesid!$18:$18=A264)+(Famillesid!$19:$19=A264)+(Famillesid!$20:$20=A264)+(Famillesid!$21:$21=A264))"),296)</f>
        <v>296</v>
      </c>
      <c r="C264" s="77" t="str">
        <f aca="false">IFERROR(__xludf.dummyfunction("""COMPUTED_VALUE"""),"Florian BARTOCCI")</f>
        <v>Florian BARTOCCI</v>
      </c>
      <c r="D264" s="78" t="str">
        <f aca="false">IFERROR(__xludf.dummyfunction("filter('Réponses au formulaire 1'!T:T,'Réponses au formulaire 1'!B:B=C264)"),"Album de Gims")</f>
        <v>Album de Gims</v>
      </c>
      <c r="E264" s="72"/>
      <c r="F264" s="68"/>
      <c r="G264" s="15"/>
      <c r="H264" s="76" t="str">
        <f aca="false">IFERROR(__xludf.dummyfunction("""COMPUTED_VALUE"""),"")</f>
        <v/>
      </c>
      <c r="I264" s="50" t="str">
        <f aca="false">IFERROR(__xludf.dummyfunction("""COMPUTED_VALUE"""),"")</f>
        <v/>
      </c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</row>
    <row r="265" customFormat="false" ht="15.75" hidden="false" customHeight="false" outlineLevel="0" collapsed="false">
      <c r="A265" s="76" t="n">
        <f aca="false">A264+1</f>
        <v>264</v>
      </c>
      <c r="B265" s="70" t="n">
        <f aca="false">IFERROR(__xludf.dummyfunction("filter(Famillesid!$22:$22,(Famillesid!$16:$16=A265)+(Famillesid!$17:$17=A265)+(Famillesid!$18:$18=A265)+(Famillesid!$19:$19=A265)+(Famillesid!$20:$20=A265)+(Famillesid!$21:$21=A265))"),296)</f>
        <v>296</v>
      </c>
      <c r="C265" s="77" t="str">
        <f aca="false">IFERROR(__xludf.dummyfunction("""COMPUTED_VALUE"""),"Jean-Baptiste de BECO")</f>
        <v>Jean-Baptiste de BECO</v>
      </c>
      <c r="D265" s="78" t="str">
        <f aca="false">IFERROR(__xludf.dummyfunction("filter('Réponses au formulaire 1'!T:T,'Réponses au formulaire 1'!B:B=C265)"),"Bouteille de picon")</f>
        <v>Bouteille de picon</v>
      </c>
      <c r="E265" s="72"/>
      <c r="F265" s="68"/>
      <c r="G265" s="15"/>
      <c r="H265" s="76" t="str">
        <f aca="false">IFERROR(__xludf.dummyfunction("""COMPUTED_VALUE"""),"")</f>
        <v/>
      </c>
      <c r="I265" s="50" t="str">
        <f aca="false">IFERROR(__xludf.dummyfunction("""COMPUTED_VALUE"""),"")</f>
        <v/>
      </c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</row>
    <row r="266" customFormat="false" ht="15.75" hidden="false" customHeight="false" outlineLevel="0" collapsed="false">
      <c r="A266" s="76" t="n">
        <f aca="false">A265+1</f>
        <v>265</v>
      </c>
      <c r="B266" s="70" t="n">
        <f aca="false">IFERROR(__xludf.dummyfunction("filter(Famillesid!$22:$22,(Famillesid!$16:$16=A266)+(Famillesid!$17:$17=A266)+(Famillesid!$18:$18=A266)+(Famillesid!$19:$19=A266)+(Famillesid!$20:$20=A266)+(Famillesid!$21:$21=A266))"),296)</f>
        <v>296</v>
      </c>
      <c r="C266" s="77" t="str">
        <f aca="false">IFERROR(__xludf.dummyfunction("""COMPUTED_VALUE"""),"Matthieu LAMIELLE")</f>
        <v>Matthieu LAMIELLE</v>
      </c>
      <c r="D266" s="78" t="str">
        <f aca="false">IFERROR(__xludf.dummyfunction("filter('Réponses au formulaire 1'!T:T,'Réponses au formulaire 1'!B:B=C266)"),"Une corde")</f>
        <v>Une corde</v>
      </c>
      <c r="E266" s="72"/>
      <c r="F266" s="68"/>
      <c r="G266" s="15"/>
      <c r="H266" s="76" t="str">
        <f aca="false">IFERROR(__xludf.dummyfunction("""COMPUTED_VALUE"""),"")</f>
        <v/>
      </c>
      <c r="I266" s="50" t="str">
        <f aca="false">IFERROR(__xludf.dummyfunction("""COMPUTED_VALUE"""),"")</f>
        <v/>
      </c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</row>
    <row r="267" customFormat="false" ht="15.75" hidden="false" customHeight="false" outlineLevel="0" collapsed="false">
      <c r="A267" s="76" t="n">
        <f aca="false">A266+1</f>
        <v>266</v>
      </c>
      <c r="B267" s="70" t="n">
        <f aca="false">IFERROR(__xludf.dummyfunction("filter(Famillesid!$22:$22,(Famillesid!$16:$16=A267)+(Famillesid!$17:$17=A267)+(Famillesid!$18:$18=A267)+(Famillesid!$19:$19=A267)+(Famillesid!$20:$20=A267)+(Famillesid!$21:$21=A267))"),296)</f>
        <v>296</v>
      </c>
      <c r="C267" s="77" t="str">
        <f aca="false">IFERROR(__xludf.dummyfunction("""COMPUTED_VALUE"""),"Adrien BERSIER")</f>
        <v>Adrien BERSIER</v>
      </c>
      <c r="D267" s="78" t="str">
        <f aca="false">IFERROR(__xludf.dummyfunction("filter('Réponses au formulaire 1'!T:T,'Réponses au formulaire 1'!B:B=C267)"),"Un diadème ")</f>
        <v>Un diadème </v>
      </c>
      <c r="E267" s="72"/>
      <c r="F267" s="68"/>
      <c r="G267" s="15"/>
      <c r="H267" s="76" t="str">
        <f aca="false">IFERROR(__xludf.dummyfunction("""COMPUTED_VALUE"""),"")</f>
        <v/>
      </c>
      <c r="I267" s="50" t="str">
        <f aca="false">IFERROR(__xludf.dummyfunction("""COMPUTED_VALUE"""),"")</f>
        <v/>
      </c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</row>
    <row r="268" customFormat="false" ht="15.75" hidden="false" customHeight="false" outlineLevel="0" collapsed="false">
      <c r="A268" s="76" t="n">
        <f aca="false">A267+1</f>
        <v>267</v>
      </c>
      <c r="B268" s="70" t="n">
        <f aca="false">IFERROR(__xludf.dummyfunction("filter(Famillesid!$22:$22,(Famillesid!$16:$16=A268)+(Famillesid!$17:$17=A268)+(Famillesid!$18:$18=A268)+(Famillesid!$19:$19=A268)+(Famillesid!$20:$20=A268)+(Famillesid!$21:$21=A268))"),221)</f>
        <v>221</v>
      </c>
      <c r="C268" s="77" t="str">
        <f aca="false">IFERROR(__xludf.dummyfunction("""COMPUTED_VALUE"""),"Aygalic JARA")</f>
        <v>Aygalic JARA</v>
      </c>
      <c r="D268" s="78" t="str">
        <f aca="false">IFERROR(__xludf.dummyfunction("filter('Réponses au formulaire 1'!T:T,'Réponses au formulaire 1'!B:B=C268)"),"Une ecocup ")</f>
        <v>Une ecocup </v>
      </c>
      <c r="E268" s="72"/>
      <c r="F268" s="68"/>
      <c r="G268" s="15"/>
      <c r="H268" s="76" t="str">
        <f aca="false">IFERROR(__xludf.dummyfunction("""COMPUTED_VALUE"""),"")</f>
        <v/>
      </c>
      <c r="I268" s="50" t="str">
        <f aca="false">IFERROR(__xludf.dummyfunction("""COMPUTED_VALUE"""),"")</f>
        <v/>
      </c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  <c r="EI268" s="15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</row>
    <row r="269" customFormat="false" ht="15.75" hidden="false" customHeight="false" outlineLevel="0" collapsed="false">
      <c r="A269" s="76" t="n">
        <f aca="false">A268+1</f>
        <v>268</v>
      </c>
      <c r="B269" s="70" t="n">
        <f aca="false">IFERROR(__xludf.dummyfunction("filter(Famillesid!$22:$22,(Famillesid!$16:$16=A269)+(Famillesid!$17:$17=A269)+(Famillesid!$18:$18=A269)+(Famillesid!$19:$19=A269)+(Famillesid!$20:$20=A269)+(Famillesid!$21:$21=A269))"),276)</f>
        <v>276</v>
      </c>
      <c r="C269" s="77" t="str">
        <f aca="false">IFERROR(__xludf.dummyfunction("""COMPUTED_VALUE"""),"Thomas HERRBACH")</f>
        <v>Thomas HERRBACH</v>
      </c>
      <c r="D269" s="78" t="str">
        <f aca="false">IFERROR(__xludf.dummyfunction("filter('Réponses au formulaire 1'!T:T,'Réponses au formulaire 1'!B:B=C269)"),"Une bouture de romarin")</f>
        <v>Une bouture de romarin</v>
      </c>
      <c r="E269" s="72"/>
      <c r="F269" s="68"/>
      <c r="G269" s="15"/>
      <c r="H269" s="76" t="str">
        <f aca="false">IFERROR(__xludf.dummyfunction("""COMPUTED_VALUE"""),"")</f>
        <v/>
      </c>
      <c r="I269" s="50" t="str">
        <f aca="false">IFERROR(__xludf.dummyfunction("""COMPUTED_VALUE"""),"")</f>
        <v/>
      </c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5"/>
      <c r="ED269" s="15"/>
      <c r="EE269" s="15"/>
      <c r="EF269" s="15"/>
      <c r="EG269" s="15"/>
      <c r="EH269" s="15"/>
      <c r="EI269" s="15"/>
      <c r="EJ269" s="15"/>
      <c r="EK269" s="15"/>
      <c r="EL269" s="15"/>
      <c r="EM269" s="15"/>
      <c r="EN269" s="15"/>
      <c r="EO269" s="15"/>
      <c r="EP269" s="15"/>
      <c r="EQ269" s="15"/>
      <c r="ER269" s="15"/>
      <c r="ES269" s="15"/>
      <c r="ET269" s="15"/>
      <c r="EU269" s="15"/>
      <c r="EV269" s="15"/>
      <c r="EW269" s="15"/>
      <c r="EX269" s="15"/>
    </row>
    <row r="270" customFormat="false" ht="15.75" hidden="false" customHeight="false" outlineLevel="0" collapsed="false">
      <c r="A270" s="76" t="n">
        <f aca="false">A269+1</f>
        <v>269</v>
      </c>
      <c r="B270" s="70" t="n">
        <f aca="false">IFERROR(__xludf.dummyfunction("filter(Famillesid!$22:$22,(Famillesid!$16:$16=A270)+(Famillesid!$17:$17=A270)+(Famillesid!$18:$18=A270)+(Famillesid!$19:$19=A270)+(Famillesid!$20:$20=A270)+(Famillesid!$21:$21=A270))"),271)</f>
        <v>271</v>
      </c>
      <c r="C270" s="77" t="str">
        <f aca="false">IFERROR(__xludf.dummyfunction("""COMPUTED_VALUE"""),"Márcio Bruno DOS SANTOS CORREIA")</f>
        <v>Márcio Bruno DOS SANTOS CORREIA</v>
      </c>
      <c r="D270" s="78" t="str">
        <f aca="false">IFERROR(__xludf.dummyfunction("filter('Réponses au formulaire 1'!T:T,'Réponses au formulaire 1'!B:B=C270)"),"Livre")</f>
        <v>Livre</v>
      </c>
      <c r="E270" s="72" t="s">
        <v>1144</v>
      </c>
      <c r="F270" s="68" t="s">
        <v>1157</v>
      </c>
      <c r="G270" s="15"/>
      <c r="H270" s="76" t="str">
        <f aca="false">IFERROR(__xludf.dummyfunction("""COMPUTED_VALUE"""),"")</f>
        <v/>
      </c>
      <c r="I270" s="50" t="str">
        <f aca="false">IFERROR(__xludf.dummyfunction("""COMPUTED_VALUE"""),"")</f>
        <v/>
      </c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/>
      <c r="ED270" s="15"/>
      <c r="EE270" s="15"/>
      <c r="EF270" s="15"/>
      <c r="EG270" s="15"/>
      <c r="EH270" s="15"/>
      <c r="EI270" s="15"/>
      <c r="EJ270" s="15"/>
      <c r="EK270" s="15"/>
      <c r="EL270" s="15"/>
      <c r="EM270" s="15"/>
      <c r="EN270" s="15"/>
      <c r="EO270" s="15"/>
      <c r="EP270" s="15"/>
      <c r="EQ270" s="15"/>
      <c r="ER270" s="15"/>
      <c r="ES270" s="15"/>
      <c r="ET270" s="15"/>
      <c r="EU270" s="15"/>
      <c r="EV270" s="15"/>
      <c r="EW270" s="15"/>
      <c r="EX270" s="15"/>
    </row>
    <row r="271" customFormat="false" ht="15.75" hidden="false" customHeight="false" outlineLevel="0" collapsed="false">
      <c r="A271" s="76" t="n">
        <f aca="false">A270+1</f>
        <v>270</v>
      </c>
      <c r="B271" s="70" t="n">
        <f aca="false">IFERROR(__xludf.dummyfunction("filter(Famillesid!$22:$22,(Famillesid!$16:$16=A271)+(Famillesid!$17:$17=A271)+(Famillesid!$18:$18=A271)+(Famillesid!$19:$19=A271)+(Famillesid!$20:$20=A271)+(Famillesid!$21:$21=A271))"),136)</f>
        <v>136</v>
      </c>
      <c r="C271" s="77" t="str">
        <f aca="false">IFERROR(__xludf.dummyfunction("""COMPUTED_VALUE"""),"Adrien BOUVIER")</f>
        <v>Adrien BOUVIER</v>
      </c>
      <c r="D271" s="78" t="str">
        <f aca="false">IFERROR(__xludf.dummyfunction("filter('Réponses au formulaire 1'!T:T,'Réponses au formulaire 1'!B:B=C271)"),"Un poids pour barre olympique ")</f>
        <v>Un poids pour barre olympique </v>
      </c>
      <c r="E271" s="72"/>
      <c r="F271" s="68"/>
      <c r="G271" s="15"/>
      <c r="H271" s="76" t="str">
        <f aca="false">IFERROR(__xludf.dummyfunction("""COMPUTED_VALUE"""),"")</f>
        <v/>
      </c>
      <c r="I271" s="50" t="str">
        <f aca="false">IFERROR(__xludf.dummyfunction("""COMPUTED_VALUE"""),"")</f>
        <v/>
      </c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  <c r="EX271" s="15"/>
    </row>
    <row r="272" customFormat="false" ht="15.75" hidden="false" customHeight="false" outlineLevel="0" collapsed="false">
      <c r="A272" s="76" t="n">
        <f aca="false">A271+1</f>
        <v>271</v>
      </c>
      <c r="B272" s="70" t="n">
        <f aca="false">IFERROR(__xludf.dummyfunction("filter(Famillesid!$22:$22,(Famillesid!$16:$16=A272)+(Famillesid!$17:$17=A272)+(Famillesid!$18:$18=A272)+(Famillesid!$19:$19=A272)+(Famillesid!$20:$20=A272)+(Famillesid!$21:$21=A272))"),66)</f>
        <v>66</v>
      </c>
      <c r="C272" s="77" t="str">
        <f aca="false">IFERROR(__xludf.dummyfunction("""COMPUTED_VALUE"""),"Hugo Weiss")</f>
        <v>Hugo Weiss</v>
      </c>
      <c r="D272" s="78" t="str">
        <f aca="false">IFERROR(__xludf.dummyfunction("filter('Réponses au formulaire 1'!T:T,'Réponses au formulaire 1'!B:B=C272)"),"Une photo de Gaël Monfils")</f>
        <v>Une photo de Gaël Monfils</v>
      </c>
      <c r="E272" s="72"/>
      <c r="F272" s="68"/>
      <c r="G272" s="15"/>
      <c r="H272" s="76" t="str">
        <f aca="false">IFERROR(__xludf.dummyfunction("""COMPUTED_VALUE"""),"")</f>
        <v/>
      </c>
      <c r="I272" s="50" t="str">
        <f aca="false">IFERROR(__xludf.dummyfunction("""COMPUTED_VALUE"""),"")</f>
        <v/>
      </c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  <c r="EX272" s="15"/>
    </row>
    <row r="273" customFormat="false" ht="15.75" hidden="false" customHeight="false" outlineLevel="0" collapsed="false">
      <c r="A273" s="76" t="n">
        <f aca="false">A272+1</f>
        <v>272</v>
      </c>
      <c r="B273" s="70" t="n">
        <f aca="false">IFERROR(__xludf.dummyfunction("filter(Famillesid!$22:$22,(Famillesid!$16:$16=A273)+(Famillesid!$17:$17=A273)+(Famillesid!$18:$18=A273)+(Famillesid!$19:$19=A273)+(Famillesid!$20:$20=A273)+(Famillesid!$21:$21=A273))"),66)</f>
        <v>66</v>
      </c>
      <c r="C273" s="77" t="str">
        <f aca="false">IFERROR(__xludf.dummyfunction("""COMPUTED_VALUE"""),"Adele ONDARCUHU")</f>
        <v>Adele ONDARCUHU</v>
      </c>
      <c r="D273" s="78" t="str">
        <f aca="false">IFERROR(__xludf.dummyfunction("filter('Réponses au formulaire 1'!T:T,'Réponses au formulaire 1'!B:B=C273)"),"Pas encore choisi")</f>
        <v>Pas encore choisi</v>
      </c>
      <c r="E273" s="72"/>
      <c r="F273" s="68"/>
      <c r="G273" s="15"/>
      <c r="H273" s="76" t="str">
        <f aca="false">IFERROR(__xludf.dummyfunction("""COMPUTED_VALUE"""),"")</f>
        <v/>
      </c>
      <c r="I273" s="50" t="str">
        <f aca="false">IFERROR(__xludf.dummyfunction("""COMPUTED_VALUE"""),"")</f>
        <v/>
      </c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  <c r="EE273" s="15"/>
      <c r="EF273" s="15"/>
      <c r="EG273" s="15"/>
      <c r="EH273" s="15"/>
      <c r="EI273" s="15"/>
      <c r="EJ273" s="15"/>
      <c r="EK273" s="15"/>
      <c r="EL273" s="15"/>
      <c r="EM273" s="15"/>
      <c r="EN273" s="15"/>
      <c r="EO273" s="15"/>
      <c r="EP273" s="15"/>
      <c r="EQ273" s="15"/>
      <c r="ER273" s="15"/>
      <c r="ES273" s="15"/>
      <c r="ET273" s="15"/>
      <c r="EU273" s="15"/>
      <c r="EV273" s="15"/>
      <c r="EW273" s="15"/>
      <c r="EX273" s="15"/>
    </row>
    <row r="274" customFormat="false" ht="15.75" hidden="false" customHeight="false" outlineLevel="0" collapsed="false">
      <c r="A274" s="76" t="n">
        <f aca="false">A273+1</f>
        <v>273</v>
      </c>
      <c r="B274" s="70" t="n">
        <f aca="false">IFERROR(__xludf.dummyfunction("filter(Famillesid!$22:$22,(Famillesid!$16:$16=A274)+(Famillesid!$17:$17=A274)+(Famillesid!$18:$18=A274)+(Famillesid!$19:$19=A274)+(Famillesid!$20:$20=A274)+(Famillesid!$21:$21=A274))"),66)</f>
        <v>66</v>
      </c>
      <c r="C274" s="77" t="str">
        <f aca="false">IFERROR(__xludf.dummyfunction("""COMPUTED_VALUE"""),"Vire")</f>
        <v>Vire</v>
      </c>
      <c r="D274" s="78" t="str">
        <f aca="false">IFERROR(__xludf.dummyfunction("filter('Réponses au formulaire 1'!T:T,'Réponses au formulaire 1'!B:B=C274)"),"Raquette cassée")</f>
        <v>Raquette cassée</v>
      </c>
      <c r="E274" s="72"/>
      <c r="F274" s="68"/>
      <c r="G274" s="15"/>
      <c r="H274" s="76" t="str">
        <f aca="false">IFERROR(__xludf.dummyfunction("""COMPUTED_VALUE"""),"")</f>
        <v/>
      </c>
      <c r="I274" s="50" t="str">
        <f aca="false">IFERROR(__xludf.dummyfunction("""COMPUTED_VALUE"""),"")</f>
        <v/>
      </c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</row>
    <row r="275" customFormat="false" ht="15.75" hidden="false" customHeight="false" outlineLevel="0" collapsed="false">
      <c r="A275" s="76" t="n">
        <f aca="false">A274+1</f>
        <v>274</v>
      </c>
      <c r="B275" s="70" t="n">
        <f aca="false">IFERROR(__xludf.dummyfunction("filter(Famillesid!$22:$22,(Famillesid!$16:$16=A275)+(Famillesid!$17:$17=A275)+(Famillesid!$18:$18=A275)+(Famillesid!$19:$19=A275)+(Famillesid!$20:$20=A275)+(Famillesid!$21:$21=A275))"),236)</f>
        <v>236</v>
      </c>
      <c r="C275" s="77" t="str">
        <f aca="false">IFERROR(__xludf.dummyfunction("""COMPUTED_VALUE"""),"Valentin Pibernus")</f>
        <v>Valentin Pibernus</v>
      </c>
      <c r="D275" s="78" t="str">
        <f aca="false">IFERROR(__xludf.dummyfunction("filter('Réponses au formulaire 1'!T:T,'Réponses au formulaire 1'!B:B=C275)"),"Surprise ")</f>
        <v>Surprise </v>
      </c>
      <c r="E275" s="72" t="s">
        <v>1149</v>
      </c>
      <c r="F275" s="68" t="s">
        <v>1165</v>
      </c>
      <c r="G275" s="15"/>
      <c r="H275" s="76" t="str">
        <f aca="false">IFERROR(__xludf.dummyfunction("""COMPUTED_VALUE"""),"")</f>
        <v/>
      </c>
      <c r="I275" s="50" t="str">
        <f aca="false">IFERROR(__xludf.dummyfunction("""COMPUTED_VALUE"""),"")</f>
        <v/>
      </c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</row>
    <row r="276" customFormat="false" ht="15.75" hidden="false" customHeight="false" outlineLevel="0" collapsed="false">
      <c r="A276" s="76" t="n">
        <f aca="false">A275+1</f>
        <v>275</v>
      </c>
      <c r="B276" s="70" t="n">
        <f aca="false">IFERROR(__xludf.dummyfunction("filter(Famillesid!$22:$22,(Famillesid!$16:$16=A276)+(Famillesid!$17:$17=A276)+(Famillesid!$18:$18=A276)+(Famillesid!$19:$19=A276)+(Famillesid!$20:$20=A276)+(Famillesid!$21:$21=A276))"),276)</f>
        <v>276</v>
      </c>
      <c r="C276" s="77" t="str">
        <f aca="false">IFERROR(__xludf.dummyfunction("""COMPUTED_VALUE"""),"Fabien RAVET")</f>
        <v>Fabien RAVET</v>
      </c>
      <c r="D276" s="78" t="str">
        <f aca="false">IFERROR(__xludf.dummyfunction("filter('Réponses au formulaire 1'!T:T,'Réponses au formulaire 1'!B:B=C276)"),"Une partition")</f>
        <v>Une partition</v>
      </c>
      <c r="E276" s="72"/>
      <c r="F276" s="68"/>
      <c r="G276" s="15"/>
      <c r="H276" s="76" t="str">
        <f aca="false">IFERROR(__xludf.dummyfunction("""COMPUTED_VALUE"""),"")</f>
        <v/>
      </c>
      <c r="I276" s="50" t="str">
        <f aca="false">IFERROR(__xludf.dummyfunction("""COMPUTED_VALUE"""),"")</f>
        <v/>
      </c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  <c r="EF276" s="15"/>
      <c r="EG276" s="15"/>
      <c r="EH276" s="15"/>
      <c r="EI276" s="15"/>
      <c r="EJ276" s="15"/>
      <c r="EK276" s="15"/>
      <c r="EL276" s="15"/>
      <c r="EM276" s="15"/>
      <c r="EN276" s="15"/>
      <c r="EO276" s="15"/>
      <c r="EP276" s="15"/>
      <c r="EQ276" s="15"/>
      <c r="ER276" s="15"/>
      <c r="ES276" s="15"/>
      <c r="ET276" s="15"/>
      <c r="EU276" s="15"/>
      <c r="EV276" s="15"/>
      <c r="EW276" s="15"/>
      <c r="EX276" s="15"/>
    </row>
    <row r="277" customFormat="false" ht="15.75" hidden="false" customHeight="false" outlineLevel="0" collapsed="false">
      <c r="A277" s="76" t="n">
        <f aca="false">A276+1</f>
        <v>276</v>
      </c>
      <c r="B277" s="70" t="n">
        <f aca="false">IFERROR(__xludf.dummyfunction("filter(Famillesid!$22:$22,(Famillesid!$16:$16=A277)+(Famillesid!$17:$17=A277)+(Famillesid!$18:$18=A277)+(Famillesid!$19:$19=A277)+(Famillesid!$20:$20=A277)+(Famillesid!$21:$21=A277))"),116)</f>
        <v>116</v>
      </c>
      <c r="C277" s="77" t="str">
        <f aca="false">IFERROR(__xludf.dummyfunction("""COMPUTED_VALUE"""),"Bastien")</f>
        <v>Bastien</v>
      </c>
      <c r="D277" s="78" t="str">
        <f aca="false">IFERROR(__xludf.dummyfunction("filter('Réponses au formulaire 1'!T:T,'Réponses au formulaire 1'!B:B=C277)"),"Pique de brochette")</f>
        <v>Pique de brochette</v>
      </c>
      <c r="E277" s="72"/>
      <c r="F277" s="68"/>
      <c r="G277" s="15"/>
      <c r="H277" s="76" t="str">
        <f aca="false">IFERROR(__xludf.dummyfunction("""COMPUTED_VALUE"""),"")</f>
        <v/>
      </c>
      <c r="I277" s="50" t="str">
        <f aca="false">IFERROR(__xludf.dummyfunction("""COMPUTED_VALUE"""),"")</f>
        <v/>
      </c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  <c r="EE277" s="15"/>
      <c r="EF277" s="15"/>
      <c r="EG277" s="15"/>
      <c r="EH277" s="15"/>
      <c r="EI277" s="15"/>
      <c r="EJ277" s="15"/>
      <c r="EK277" s="15"/>
      <c r="EL277" s="15"/>
      <c r="EM277" s="15"/>
      <c r="EN277" s="15"/>
      <c r="EO277" s="15"/>
      <c r="EP277" s="15"/>
      <c r="EQ277" s="15"/>
      <c r="ER277" s="15"/>
      <c r="ES277" s="15"/>
      <c r="ET277" s="15"/>
      <c r="EU277" s="15"/>
      <c r="EV277" s="15"/>
      <c r="EW277" s="15"/>
      <c r="EX277" s="15"/>
    </row>
    <row r="278" customFormat="false" ht="15.75" hidden="false" customHeight="false" outlineLevel="0" collapsed="false">
      <c r="A278" s="76" t="n">
        <f aca="false">A277+1</f>
        <v>277</v>
      </c>
      <c r="B278" s="70" t="n">
        <f aca="false">IFERROR(__xludf.dummyfunction("filter(Famillesid!$22:$22,(Famillesid!$16:$16=A278)+(Famillesid!$17:$17=A278)+(Famillesid!$18:$18=A278)+(Famillesid!$19:$19=A278)+(Famillesid!$20:$20=A278)+(Famillesid!$21:$21=A278))"),51)</f>
        <v>51</v>
      </c>
      <c r="C278" s="77" t="str">
        <f aca="false">IFERROR(__xludf.dummyfunction("""COMPUTED_VALUE"""),"Audric BALSSA")</f>
        <v>Audric BALSSA</v>
      </c>
      <c r="D278" s="78" t="str">
        <f aca="false">IFERROR(__xludf.dummyfunction("filter('Réponses au formulaire 1'!T:T,'Réponses au formulaire 1'!B:B=C278)"),"Ce choix n'est pas définitif")</f>
        <v>Ce choix n'est pas définitif</v>
      </c>
      <c r="E278" s="72"/>
      <c r="F278" s="68"/>
      <c r="G278" s="15"/>
      <c r="H278" s="76" t="str">
        <f aca="false">IFERROR(__xludf.dummyfunction("""COMPUTED_VALUE"""),"")</f>
        <v/>
      </c>
      <c r="I278" s="50" t="str">
        <f aca="false">IFERROR(__xludf.dummyfunction("""COMPUTED_VALUE"""),"")</f>
        <v/>
      </c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  <c r="EE278" s="15"/>
      <c r="EF278" s="15"/>
      <c r="EG278" s="15"/>
      <c r="EH278" s="15"/>
      <c r="EI278" s="15"/>
      <c r="EJ278" s="15"/>
      <c r="EK278" s="15"/>
      <c r="EL278" s="15"/>
      <c r="EM278" s="15"/>
      <c r="EN278" s="15"/>
      <c r="EO278" s="15"/>
      <c r="EP278" s="15"/>
      <c r="EQ278" s="15"/>
      <c r="ER278" s="15"/>
      <c r="ES278" s="15"/>
      <c r="ET278" s="15"/>
      <c r="EU278" s="15"/>
      <c r="EV278" s="15"/>
      <c r="EW278" s="15"/>
      <c r="EX278" s="15"/>
    </row>
    <row r="279" customFormat="false" ht="15.75" hidden="false" customHeight="false" outlineLevel="0" collapsed="false">
      <c r="A279" s="76" t="n">
        <f aca="false">A278+1</f>
        <v>278</v>
      </c>
      <c r="B279" s="70" t="n">
        <f aca="false">IFERROR(__xludf.dummyfunction("filter(Famillesid!$22:$22,(Famillesid!$16:$16=A279)+(Famillesid!$17:$17=A279)+(Famillesid!$18:$18=A279)+(Famillesid!$19:$19=A279)+(Famillesid!$20:$20=A279)+(Famillesid!$21:$21=A279))"),146)</f>
        <v>146</v>
      </c>
      <c r="C279" s="77" t="str">
        <f aca="false">IFERROR(__xludf.dummyfunction("""COMPUTED_VALUE"""),"Alexandre SEVENO")</f>
        <v>Alexandre SEVENO</v>
      </c>
      <c r="D279" s="78" t="str">
        <f aca="false">IFERROR(__xludf.dummyfunction("filter('Réponses au formulaire 1'!T:T,'Réponses au formulaire 1'!B:B=C279)"),"Un gant de moto")</f>
        <v>Un gant de moto</v>
      </c>
      <c r="E279" s="72"/>
      <c r="F279" s="68"/>
      <c r="G279" s="15"/>
      <c r="H279" s="76" t="str">
        <f aca="false">IFERROR(__xludf.dummyfunction("""COMPUTED_VALUE"""),"")</f>
        <v/>
      </c>
      <c r="I279" s="50" t="str">
        <f aca="false">IFERROR(__xludf.dummyfunction("""COMPUTED_VALUE"""),"")</f>
        <v/>
      </c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  <c r="EE279" s="15"/>
      <c r="EF279" s="15"/>
      <c r="EG279" s="15"/>
      <c r="EH279" s="15"/>
      <c r="EI279" s="15"/>
      <c r="EJ279" s="15"/>
      <c r="EK279" s="15"/>
      <c r="EL279" s="15"/>
      <c r="EM279" s="15"/>
      <c r="EN279" s="15"/>
      <c r="EO279" s="15"/>
      <c r="EP279" s="15"/>
      <c r="EQ279" s="15"/>
      <c r="ER279" s="15"/>
      <c r="ES279" s="15"/>
      <c r="ET279" s="15"/>
      <c r="EU279" s="15"/>
      <c r="EV279" s="15"/>
      <c r="EW279" s="15"/>
      <c r="EX279" s="15"/>
    </row>
    <row r="280" customFormat="false" ht="15.75" hidden="false" customHeight="false" outlineLevel="0" collapsed="false">
      <c r="A280" s="76" t="n">
        <f aca="false">A279+1</f>
        <v>279</v>
      </c>
      <c r="B280" s="70" t="n">
        <f aca="false">IFERROR(__xludf.dummyfunction("filter(Famillesid!$22:$22,(Famillesid!$16:$16=A280)+(Famillesid!$17:$17=A280)+(Famillesid!$18:$18=A280)+(Famillesid!$19:$19=A280)+(Famillesid!$20:$20=A280)+(Famillesid!$21:$21=A280))"),146)</f>
        <v>146</v>
      </c>
      <c r="C280" s="77" t="str">
        <f aca="false">IFERROR(__xludf.dummyfunction("""COMPUTED_VALUE"""),"Maxime PATRY")</f>
        <v>Maxime PATRY</v>
      </c>
      <c r="D280" s="78" t="str">
        <f aca="false">IFERROR(__xludf.dummyfunction("filter('Réponses au formulaire 1'!T:T,'Réponses au formulaire 1'!B:B=C280)"),"Un chien mélange entre Trump et Thanos imprimé en 3d")</f>
        <v>Un chien mélange entre Trump et Thanos imprimé en 3d</v>
      </c>
      <c r="E280" s="72" t="s">
        <v>1144</v>
      </c>
      <c r="F280" s="68" t="s">
        <v>1158</v>
      </c>
      <c r="G280" s="15"/>
      <c r="H280" s="76" t="str">
        <f aca="false">IFERROR(__xludf.dummyfunction("""COMPUTED_VALUE"""),"")</f>
        <v/>
      </c>
      <c r="I280" s="50" t="str">
        <f aca="false">IFERROR(__xludf.dummyfunction("""COMPUTED_VALUE"""),"")</f>
        <v/>
      </c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  <c r="EE280" s="15"/>
      <c r="EF280" s="15"/>
      <c r="EG280" s="15"/>
      <c r="EH280" s="15"/>
      <c r="EI280" s="15"/>
      <c r="EJ280" s="15"/>
      <c r="EK280" s="15"/>
      <c r="EL280" s="15"/>
      <c r="EM280" s="15"/>
      <c r="EN280" s="15"/>
      <c r="EO280" s="15"/>
      <c r="EP280" s="15"/>
      <c r="EQ280" s="15"/>
      <c r="ER280" s="15"/>
      <c r="ES280" s="15"/>
      <c r="ET280" s="15"/>
      <c r="EU280" s="15"/>
      <c r="EV280" s="15"/>
      <c r="EW280" s="15"/>
      <c r="EX280" s="15"/>
    </row>
    <row r="281" customFormat="false" ht="15.75" hidden="false" customHeight="false" outlineLevel="0" collapsed="false">
      <c r="A281" s="76" t="n">
        <f aca="false">A280+1</f>
        <v>280</v>
      </c>
      <c r="B281" s="70" t="n">
        <f aca="false">IFERROR(__xludf.dummyfunction("filter(Famillesid!$22:$22,(Famillesid!$16:$16=A281)+(Famillesid!$17:$17=A281)+(Famillesid!$18:$18=A281)+(Famillesid!$19:$19=A281)+(Famillesid!$20:$20=A281)+(Famillesid!$21:$21=A281))"),266)</f>
        <v>266</v>
      </c>
      <c r="C281" s="77" t="str">
        <f aca="false">IFERROR(__xludf.dummyfunction("""COMPUTED_VALUE"""),"Selim Autones")</f>
        <v>Selim Autones</v>
      </c>
      <c r="D281" s="78" t="str">
        <f aca="false">IFERROR(__xludf.dummyfunction("filter('Réponses au formulaire 1'!T:T,'Réponses au formulaire 1'!B:B=C281)"),"Pull sporla")</f>
        <v>Pull sporla</v>
      </c>
      <c r="E281" s="72" t="s">
        <v>1144</v>
      </c>
      <c r="F281" s="68" t="s">
        <v>1162</v>
      </c>
      <c r="G281" s="15"/>
      <c r="H281" s="76" t="str">
        <f aca="false">IFERROR(__xludf.dummyfunction("""COMPUTED_VALUE"""),"")</f>
        <v/>
      </c>
      <c r="I281" s="50" t="str">
        <f aca="false">IFERROR(__xludf.dummyfunction("""COMPUTED_VALUE"""),"")</f>
        <v/>
      </c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  <c r="EE281" s="15"/>
      <c r="EF281" s="15"/>
      <c r="EG281" s="15"/>
      <c r="EH281" s="15"/>
      <c r="EI281" s="15"/>
      <c r="EJ281" s="15"/>
      <c r="EK281" s="15"/>
      <c r="EL281" s="15"/>
      <c r="EM281" s="15"/>
      <c r="EN281" s="15"/>
      <c r="EO281" s="15"/>
      <c r="EP281" s="15"/>
      <c r="EQ281" s="15"/>
      <c r="ER281" s="15"/>
      <c r="ES281" s="15"/>
      <c r="ET281" s="15"/>
      <c r="EU281" s="15"/>
      <c r="EV281" s="15"/>
      <c r="EW281" s="15"/>
      <c r="EX281" s="15"/>
    </row>
    <row r="282" customFormat="false" ht="15.75" hidden="false" customHeight="false" outlineLevel="0" collapsed="false">
      <c r="A282" s="76" t="n">
        <f aca="false">A281+1</f>
        <v>281</v>
      </c>
      <c r="B282" s="70" t="n">
        <f aca="false">IFERROR(__xludf.dummyfunction("filter(Famillesid!$22:$22,(Famillesid!$16:$16=A282)+(Famillesid!$17:$17=A282)+(Famillesid!$18:$18=A282)+(Famillesid!$19:$19=A282)+(Famillesid!$20:$20=A282)+(Famillesid!$21:$21=A282))"),136)</f>
        <v>136</v>
      </c>
      <c r="C282" s="77" t="str">
        <f aca="false">IFERROR(__xludf.dummyfunction("""COMPUTED_VALUE"""),"Arthur")</f>
        <v>Arthur</v>
      </c>
      <c r="D282" s="78" t="str">
        <f aca="false">IFERROR(__xludf.dummyfunction("filter('Réponses au formulaire 1'!T:T,'Réponses au formulaire 1'!B:B=C282)"),"Une banane")</f>
        <v>Une banane</v>
      </c>
      <c r="E282" s="72"/>
      <c r="F282" s="68"/>
      <c r="G282" s="15"/>
      <c r="H282" s="76" t="str">
        <f aca="false">IFERROR(__xludf.dummyfunction("""COMPUTED_VALUE"""),"")</f>
        <v/>
      </c>
      <c r="I282" s="50" t="str">
        <f aca="false">IFERROR(__xludf.dummyfunction("""COMPUTED_VALUE"""),"")</f>
        <v/>
      </c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</row>
    <row r="283" customFormat="false" ht="15.75" hidden="false" customHeight="false" outlineLevel="0" collapsed="false">
      <c r="A283" s="76" t="n">
        <f aca="false">A282+1</f>
        <v>282</v>
      </c>
      <c r="B283" s="70" t="n">
        <f aca="false">IFERROR(__xludf.dummyfunction("filter(Famillesid!$22:$22,(Famillesid!$16:$16=A283)+(Famillesid!$17:$17=A283)+(Famillesid!$18:$18=A283)+(Famillesid!$19:$19=A283)+(Famillesid!$20:$20=A283)+(Famillesid!$21:$21=A283))"),196)</f>
        <v>196</v>
      </c>
      <c r="C283" s="77" t="str">
        <f aca="false">IFERROR(__xludf.dummyfunction("""COMPUTED_VALUE"""),"Mathurin Schneider")</f>
        <v>Mathurin Schneider</v>
      </c>
      <c r="D283" s="78" t="str">
        <f aca="false">IFERROR(__xludf.dummyfunction("filter('Réponses au formulaire 1'!T:T,'Réponses au formulaire 1'!B:B=C283)"),"Un truc en rapport avec les graffitis, une bombe ou un truc du genre !")</f>
        <v>Un truc en rapport avec les graffitis, une bombe ou un truc du genre !</v>
      </c>
      <c r="E283" s="72"/>
      <c r="F283" s="68"/>
      <c r="G283" s="15"/>
      <c r="H283" s="76" t="str">
        <f aca="false">IFERROR(__xludf.dummyfunction("""COMPUTED_VALUE"""),"")</f>
        <v/>
      </c>
      <c r="I283" s="50" t="str">
        <f aca="false">IFERROR(__xludf.dummyfunction("""COMPUTED_VALUE"""),"")</f>
        <v/>
      </c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</row>
    <row r="284" customFormat="false" ht="15.75" hidden="false" customHeight="false" outlineLevel="0" collapsed="false">
      <c r="A284" s="76" t="n">
        <f aca="false">A283+1</f>
        <v>283</v>
      </c>
      <c r="B284" s="70" t="n">
        <f aca="false">IFERROR(__xludf.dummyfunction("filter(Famillesid!$22:$22,(Famillesid!$16:$16=A284)+(Famillesid!$17:$17=A284)+(Famillesid!$18:$18=A284)+(Famillesid!$19:$19=A284)+(Famillesid!$20:$20=A284)+(Famillesid!$21:$21=A284))"),141)</f>
        <v>141</v>
      </c>
      <c r="C284" s="77" t="str">
        <f aca="false">IFERROR(__xludf.dummyfunction("""COMPUTED_VALUE"""),"KONATE")</f>
        <v>KONATE</v>
      </c>
      <c r="D284" s="78" t="str">
        <f aca="false">IFERROR(__xludf.dummyfunction("filter('Réponses au formulaire 1'!T:T,'Réponses au formulaire 1'!B:B=C284)"),"Une bouteille de monbazillac")</f>
        <v>Une bouteille de monbazillac</v>
      </c>
      <c r="E284" s="72"/>
      <c r="F284" s="68"/>
      <c r="G284" s="15"/>
      <c r="H284" s="76" t="str">
        <f aca="false">IFERROR(__xludf.dummyfunction("""COMPUTED_VALUE"""),"")</f>
        <v/>
      </c>
      <c r="I284" s="50" t="str">
        <f aca="false">IFERROR(__xludf.dummyfunction("""COMPUTED_VALUE"""),"")</f>
        <v/>
      </c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  <c r="EF284" s="15"/>
      <c r="EG284" s="15"/>
      <c r="EH284" s="15"/>
      <c r="EI284" s="15"/>
      <c r="EJ284" s="15"/>
      <c r="EK284" s="15"/>
      <c r="EL284" s="15"/>
      <c r="EM284" s="15"/>
      <c r="EN284" s="15"/>
      <c r="EO284" s="15"/>
      <c r="EP284" s="15"/>
      <c r="EQ284" s="15"/>
      <c r="ER284" s="15"/>
      <c r="ES284" s="15"/>
      <c r="ET284" s="15"/>
      <c r="EU284" s="15"/>
      <c r="EV284" s="15"/>
      <c r="EW284" s="15"/>
      <c r="EX284" s="15"/>
    </row>
    <row r="285" customFormat="false" ht="15.75" hidden="false" customHeight="false" outlineLevel="0" collapsed="false">
      <c r="A285" s="76" t="n">
        <f aca="false">A284+1</f>
        <v>284</v>
      </c>
      <c r="B285" s="70" t="n">
        <f aca="false">IFERROR(__xludf.dummyfunction("filter(Famillesid!$22:$22,(Famillesid!$16:$16=A285)+(Famillesid!$17:$17=A285)+(Famillesid!$18:$18=A285)+(Famillesid!$19:$19=A285)+(Famillesid!$20:$20=A285)+(Famillesid!$21:$21=A285))"),286)</f>
        <v>286</v>
      </c>
      <c r="C285" s="77" t="str">
        <f aca="false">IFERROR(__xludf.dummyfunction("""COMPUTED_VALUE"""),"Alexandre FOSSORIER")</f>
        <v>Alexandre FOSSORIER</v>
      </c>
      <c r="D285" s="78" t="str">
        <f aca="false">IFERROR(__xludf.dummyfunction("filter('Réponses au formulaire 1'!T:T,'Réponses au formulaire 1'!B:B=C285)"),"Mystère ")</f>
        <v>Mystère </v>
      </c>
      <c r="E285" s="72"/>
      <c r="F285" s="68"/>
      <c r="G285" s="15"/>
      <c r="H285" s="76" t="str">
        <f aca="false">IFERROR(__xludf.dummyfunction("""COMPUTED_VALUE"""),"")</f>
        <v/>
      </c>
      <c r="I285" s="50" t="str">
        <f aca="false">IFERROR(__xludf.dummyfunction("""COMPUTED_VALUE"""),"")</f>
        <v/>
      </c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  <c r="EE285" s="15"/>
      <c r="EF285" s="15"/>
      <c r="EG285" s="15"/>
      <c r="EH285" s="15"/>
      <c r="EI285" s="15"/>
      <c r="EJ285" s="15"/>
      <c r="EK285" s="15"/>
      <c r="EL285" s="15"/>
      <c r="EM285" s="15"/>
      <c r="EN285" s="15"/>
      <c r="EO285" s="15"/>
      <c r="EP285" s="15"/>
      <c r="EQ285" s="15"/>
      <c r="ER285" s="15"/>
      <c r="ES285" s="15"/>
      <c r="ET285" s="15"/>
      <c r="EU285" s="15"/>
      <c r="EV285" s="15"/>
      <c r="EW285" s="15"/>
      <c r="EX285" s="15"/>
    </row>
    <row r="286" customFormat="false" ht="15.75" hidden="false" customHeight="false" outlineLevel="0" collapsed="false">
      <c r="A286" s="76" t="n">
        <f aca="false">A285+1</f>
        <v>285</v>
      </c>
      <c r="B286" s="70" t="n">
        <f aca="false">IFERROR(__xludf.dummyfunction("filter(Famillesid!$22:$22,(Famillesid!$16:$16=A286)+(Famillesid!$17:$17=A286)+(Famillesid!$18:$18=A286)+(Famillesid!$19:$19=A286)+(Famillesid!$20:$20=A286)+(Famillesid!$21:$21=A286))"),266)</f>
        <v>266</v>
      </c>
      <c r="C286" s="77" t="str">
        <f aca="false">IFERROR(__xludf.dummyfunction("""COMPUTED_VALUE"""),"Werner")</f>
        <v>Werner</v>
      </c>
      <c r="D286" s="78" t="str">
        <f aca="false">IFERROR(__xludf.dummyfunction("filter('Réponses au formulaire 1'!T:T,'Réponses au formulaire 1'!B:B=C286)"),"un cheveu de Poitou :o ")</f>
        <v>un cheveu de Poitou :o </v>
      </c>
      <c r="E286" s="72"/>
      <c r="F286" s="68"/>
      <c r="G286" s="15"/>
      <c r="H286" s="76" t="str">
        <f aca="false">IFERROR(__xludf.dummyfunction("""COMPUTED_VALUE"""),"")</f>
        <v/>
      </c>
      <c r="I286" s="50" t="str">
        <f aca="false">IFERROR(__xludf.dummyfunction("""COMPUTED_VALUE"""),"")</f>
        <v/>
      </c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  <c r="DY286" s="15"/>
      <c r="DZ286" s="15"/>
      <c r="EA286" s="15"/>
      <c r="EB286" s="15"/>
      <c r="EC286" s="15"/>
      <c r="ED286" s="15"/>
      <c r="EE286" s="15"/>
      <c r="EF286" s="15"/>
      <c r="EG286" s="15"/>
      <c r="EH286" s="15"/>
      <c r="EI286" s="15"/>
      <c r="EJ286" s="15"/>
      <c r="EK286" s="15"/>
      <c r="EL286" s="15"/>
      <c r="EM286" s="15"/>
      <c r="EN286" s="15"/>
      <c r="EO286" s="15"/>
      <c r="EP286" s="15"/>
      <c r="EQ286" s="15"/>
      <c r="ER286" s="15"/>
      <c r="ES286" s="15"/>
      <c r="ET286" s="15"/>
      <c r="EU286" s="15"/>
      <c r="EV286" s="15"/>
      <c r="EW286" s="15"/>
      <c r="EX286" s="15"/>
    </row>
    <row r="287" customFormat="false" ht="15.75" hidden="false" customHeight="false" outlineLevel="0" collapsed="false">
      <c r="A287" s="76" t="n">
        <f aca="false">A286+1</f>
        <v>286</v>
      </c>
      <c r="B287" s="70" t="n">
        <f aca="false">IFERROR(__xludf.dummyfunction("filter(Famillesid!$22:$22,(Famillesid!$16:$16=A287)+(Famillesid!$17:$17=A287)+(Famillesid!$18:$18=A287)+(Famillesid!$19:$19=A287)+(Famillesid!$20:$20=A287)+(Famillesid!$21:$21=A287))"),236)</f>
        <v>236</v>
      </c>
      <c r="C287" s="77" t="str">
        <f aca="false">IFERROR(__xludf.dummyfunction("""COMPUTED_VALUE"""),"Paniez")</f>
        <v>Paniez</v>
      </c>
      <c r="D287" s="78" t="str">
        <f aca="false">IFERROR(__xludf.dummyfunction("filter('Réponses au formulaire 1'!T:T,'Réponses au formulaire 1'!B:B=C287)"),"Une table")</f>
        <v>Une table</v>
      </c>
      <c r="E287" s="72"/>
      <c r="F287" s="68"/>
      <c r="G287" s="15"/>
      <c r="H287" s="76" t="str">
        <f aca="false">IFERROR(__xludf.dummyfunction("""COMPUTED_VALUE"""),"")</f>
        <v/>
      </c>
      <c r="I287" s="50" t="str">
        <f aca="false">IFERROR(__xludf.dummyfunction("""COMPUTED_VALUE"""),"")</f>
        <v/>
      </c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  <c r="DY287" s="15"/>
      <c r="DZ287" s="15"/>
      <c r="EA287" s="15"/>
      <c r="EB287" s="15"/>
      <c r="EC287" s="15"/>
      <c r="ED287" s="15"/>
      <c r="EE287" s="15"/>
      <c r="EF287" s="15"/>
      <c r="EG287" s="15"/>
      <c r="EH287" s="15"/>
      <c r="EI287" s="15"/>
      <c r="EJ287" s="15"/>
      <c r="EK287" s="15"/>
      <c r="EL287" s="15"/>
      <c r="EM287" s="15"/>
      <c r="EN287" s="15"/>
      <c r="EO287" s="15"/>
      <c r="EP287" s="15"/>
      <c r="EQ287" s="15"/>
      <c r="ER287" s="15"/>
      <c r="ES287" s="15"/>
      <c r="ET287" s="15"/>
      <c r="EU287" s="15"/>
      <c r="EV287" s="15"/>
      <c r="EW287" s="15"/>
      <c r="EX287" s="15"/>
    </row>
    <row r="288" customFormat="false" ht="15.75" hidden="false" customHeight="false" outlineLevel="0" collapsed="false">
      <c r="A288" s="76" t="n">
        <f aca="false">A287+1</f>
        <v>287</v>
      </c>
      <c r="B288" s="70" t="n">
        <f aca="false">IFERROR(__xludf.dummyfunction("filter(Famillesid!$22:$22,(Famillesid!$16:$16=A288)+(Famillesid!$17:$17=A288)+(Famillesid!$18:$18=A288)+(Famillesid!$19:$19=A288)+(Famillesid!$20:$20=A288)+(Famillesid!$21:$21=A288))"),241)</f>
        <v>241</v>
      </c>
      <c r="C288" s="77" t="str">
        <f aca="false">IFERROR(__xludf.dummyfunction("""COMPUTED_VALUE"""),"Adrien HALLARD")</f>
        <v>Adrien HALLARD</v>
      </c>
      <c r="D288" s="78" t="str">
        <f aca="false">IFERROR(__xludf.dummyfunction("filter('Réponses au formulaire 1'!T:T,'Réponses au formulaire 1'!B:B=C288)"),"?")</f>
        <v>?</v>
      </c>
      <c r="E288" s="72"/>
      <c r="F288" s="68"/>
      <c r="G288" s="15"/>
      <c r="H288" s="76" t="str">
        <f aca="false">IFERROR(__xludf.dummyfunction("""COMPUTED_VALUE"""),"")</f>
        <v/>
      </c>
      <c r="I288" s="50" t="str">
        <f aca="false">IFERROR(__xludf.dummyfunction("""COMPUTED_VALUE"""),"")</f>
        <v/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  <c r="EE288" s="15"/>
      <c r="EF288" s="15"/>
      <c r="EG288" s="15"/>
      <c r="EH288" s="15"/>
      <c r="EI288" s="15"/>
      <c r="EJ288" s="15"/>
      <c r="EK288" s="15"/>
      <c r="EL288" s="15"/>
      <c r="EM288" s="15"/>
      <c r="EN288" s="15"/>
      <c r="EO288" s="15"/>
      <c r="EP288" s="15"/>
      <c r="EQ288" s="15"/>
      <c r="ER288" s="15"/>
      <c r="ES288" s="15"/>
      <c r="ET288" s="15"/>
      <c r="EU288" s="15"/>
      <c r="EV288" s="15"/>
      <c r="EW288" s="15"/>
      <c r="EX288" s="15"/>
    </row>
    <row r="289" customFormat="false" ht="15.75" hidden="false" customHeight="false" outlineLevel="0" collapsed="false">
      <c r="A289" s="76" t="n">
        <f aca="false">A288+1</f>
        <v>288</v>
      </c>
      <c r="B289" s="70" t="n">
        <f aca="false">IFERROR(__xludf.dummyfunction("filter(Famillesid!$22:$22,(Famillesid!$16:$16=A289)+(Famillesid!$17:$17=A289)+(Famillesid!$18:$18=A289)+(Famillesid!$19:$19=A289)+(Famillesid!$20:$20=A289)+(Famillesid!$21:$21=A289))"),191)</f>
        <v>191</v>
      </c>
      <c r="C289" s="77" t="str">
        <f aca="false">IFERROR(__xludf.dummyfunction("""COMPUTED_VALUE"""),"Timothée Corlay")</f>
        <v>Timothée Corlay</v>
      </c>
      <c r="D289" s="78" t="str">
        <f aca="false">IFERROR(__xludf.dummyfunction("filter('Réponses au formulaire 1'!T:T,'Réponses au formulaire 1'!B:B=C289)"),"Raquette de squash")</f>
        <v>Raquette de squash</v>
      </c>
      <c r="E289" s="72" t="s">
        <v>1144</v>
      </c>
      <c r="F289" s="68" t="s">
        <v>1158</v>
      </c>
      <c r="G289" s="15"/>
      <c r="H289" s="76" t="str">
        <f aca="false">IFERROR(__xludf.dummyfunction("""COMPUTED_VALUE"""),"")</f>
        <v/>
      </c>
      <c r="I289" s="50" t="str">
        <f aca="false">IFERROR(__xludf.dummyfunction("""COMPUTED_VALUE"""),"")</f>
        <v/>
      </c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  <c r="EE289" s="15"/>
      <c r="EF289" s="15"/>
      <c r="EG289" s="15"/>
      <c r="EH289" s="15"/>
      <c r="EI289" s="15"/>
      <c r="EJ289" s="15"/>
      <c r="EK289" s="15"/>
      <c r="EL289" s="15"/>
      <c r="EM289" s="15"/>
      <c r="EN289" s="15"/>
      <c r="EO289" s="15"/>
      <c r="EP289" s="15"/>
      <c r="EQ289" s="15"/>
      <c r="ER289" s="15"/>
      <c r="ES289" s="15"/>
      <c r="ET289" s="15"/>
      <c r="EU289" s="15"/>
      <c r="EV289" s="15"/>
      <c r="EW289" s="15"/>
      <c r="EX289" s="15"/>
    </row>
    <row r="290" customFormat="false" ht="15.75" hidden="false" customHeight="false" outlineLevel="0" collapsed="false">
      <c r="A290" s="76" t="n">
        <f aca="false">A289+1</f>
        <v>289</v>
      </c>
      <c r="B290" s="70" t="n">
        <f aca="false">IFERROR(__xludf.dummyfunction("filter(Famillesid!$22:$22,(Famillesid!$16:$16=A290)+(Famillesid!$17:$17=A290)+(Famillesid!$18:$18=A290)+(Famillesid!$19:$19=A290)+(Famillesid!$20:$20=A290)+(Famillesid!$21:$21=A290))"),171)</f>
        <v>171</v>
      </c>
      <c r="C290" s="77" t="str">
        <f aca="false">IFERROR(__xludf.dummyfunction("""COMPUTED_VALUE"""),"Aurélio Catel")</f>
        <v>Aurélio Catel</v>
      </c>
      <c r="D290" s="78" t="str">
        <f aca="false">IFERROR(__xludf.dummyfunction("filter('Réponses au formulaire 1'!T:T,'Réponses au formulaire 1'!B:B=C290)"),"Médaille ")</f>
        <v>Médaille </v>
      </c>
      <c r="E290" s="72"/>
      <c r="F290" s="68"/>
      <c r="G290" s="15"/>
      <c r="H290" s="76" t="str">
        <f aca="false">IFERROR(__xludf.dummyfunction("""COMPUTED_VALUE"""),"")</f>
        <v/>
      </c>
      <c r="I290" s="50" t="str">
        <f aca="false">IFERROR(__xludf.dummyfunction("""COMPUTED_VALUE"""),"")</f>
        <v/>
      </c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</row>
    <row r="291" customFormat="false" ht="15.75" hidden="false" customHeight="false" outlineLevel="0" collapsed="false">
      <c r="A291" s="76" t="n">
        <f aca="false">A290+1</f>
        <v>290</v>
      </c>
      <c r="B291" s="70" t="str">
        <f aca="false">IFERROR(__xludf.dummyfunction("filter(Famillesid!$22:$22,(Famillesid!$16:$16=A291)+(Famillesid!$17:$17=A291)+(Famillesid!$18:$18=A291)+(Famillesid!$19:$19=A291)+(Famillesid!$20:$20=A291)+(Famillesid!$21:$21=A291))"),"#N/A")</f>
        <v>#N/A</v>
      </c>
      <c r="C291" s="77" t="str">
        <f aca="false">IFERROR(__xludf.dummyfunction("""COMPUTED_VALUE"""),"Yuna Landais")</f>
        <v>Yuna Landais</v>
      </c>
      <c r="D291" s="78" t="str">
        <f aca="false">IFERROR(__xludf.dummyfunction("filter('Réponses au formulaire 1'!T:T,'Réponses au formulaire 1'!B:B=C291)"),"Drapeau breton ")</f>
        <v>Drapeau breton </v>
      </c>
      <c r="E291" s="72"/>
      <c r="F291" s="68"/>
      <c r="G291" s="15"/>
      <c r="H291" s="76" t="str">
        <f aca="false">IFERROR(__xludf.dummyfunction("""COMPUTED_VALUE"""),"")</f>
        <v/>
      </c>
      <c r="I291" s="50" t="str">
        <f aca="false">IFERROR(__xludf.dummyfunction("""COMPUTED_VALUE"""),"")</f>
        <v/>
      </c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</row>
    <row r="292" customFormat="false" ht="15.75" hidden="false" customHeight="false" outlineLevel="0" collapsed="false">
      <c r="A292" s="76" t="n">
        <f aca="false">A291+1</f>
        <v>291</v>
      </c>
      <c r="B292" s="70" t="str">
        <f aca="false">IFERROR(__xludf.dummyfunction("filter(Famillesid!$22:$22,(Famillesid!$16:$16=A292)+(Famillesid!$17:$17=A292)+(Famillesid!$18:$18=A292)+(Famillesid!$19:$19=A292)+(Famillesid!$20:$20=A292)+(Famillesid!$21:$21=A292))"),"#N/A")</f>
        <v>#N/A</v>
      </c>
      <c r="C292" s="77"/>
      <c r="D292" s="78" t="str">
        <f aca="false">IFERROR(__xludf.dummyfunction("filter('Réponses au formulaire 1'!T:T,'Réponses au formulaire 1'!B:B=C292)"),"#REF!")</f>
        <v>#REF!</v>
      </c>
      <c r="E292" s="72"/>
      <c r="F292" s="68"/>
      <c r="G292" s="15"/>
      <c r="H292" s="76" t="str">
        <f aca="false">IFERROR(__xludf.dummyfunction("""COMPUTED_VALUE"""),"")</f>
        <v/>
      </c>
      <c r="I292" s="50" t="str">
        <f aca="false">IFERROR(__xludf.dummyfunction("""COMPUTED_VALUE"""),"")</f>
        <v/>
      </c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  <c r="EE292" s="15"/>
      <c r="EF292" s="15"/>
      <c r="EG292" s="15"/>
      <c r="EH292" s="15"/>
      <c r="EI292" s="15"/>
      <c r="EJ292" s="15"/>
      <c r="EK292" s="15"/>
      <c r="EL292" s="15"/>
      <c r="EM292" s="15"/>
      <c r="EN292" s="15"/>
      <c r="EO292" s="15"/>
      <c r="EP292" s="15"/>
      <c r="EQ292" s="15"/>
      <c r="ER292" s="15"/>
      <c r="ES292" s="15"/>
      <c r="ET292" s="15"/>
      <c r="EU292" s="15"/>
      <c r="EV292" s="15"/>
      <c r="EW292" s="15"/>
      <c r="EX292" s="15"/>
    </row>
    <row r="293" customFormat="false" ht="15.75" hidden="false" customHeight="false" outlineLevel="0" collapsed="false">
      <c r="A293" s="76" t="n">
        <f aca="false">A292+1</f>
        <v>292</v>
      </c>
      <c r="B293" s="70" t="str">
        <f aca="false">IFERROR(__xludf.dummyfunction("filter(Famillesid!$22:$22,(Famillesid!$16:$16=A293)+(Famillesid!$17:$17=A293)+(Famillesid!$18:$18=A293)+(Famillesid!$19:$19=A293)+(Famillesid!$20:$20=A293)+(Famillesid!$21:$21=A293))"),"#N/A")</f>
        <v>#N/A</v>
      </c>
      <c r="C293" s="77"/>
      <c r="D293" s="78" t="str">
        <f aca="false">IFERROR(__xludf.dummyfunction("filter('Réponses au formulaire 1'!T:T,'Réponses au formulaire 1'!B:B=C293)"),"#REF!")</f>
        <v>#REF!</v>
      </c>
      <c r="E293" s="72"/>
      <c r="F293" s="68"/>
      <c r="G293" s="15"/>
      <c r="H293" s="76" t="str">
        <f aca="false">IFERROR(__xludf.dummyfunction("""COMPUTED_VALUE"""),"")</f>
        <v/>
      </c>
      <c r="I293" s="50" t="str">
        <f aca="false">IFERROR(__xludf.dummyfunction("""COMPUTED_VALUE"""),"")</f>
        <v/>
      </c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  <c r="EE293" s="15"/>
      <c r="EF293" s="15"/>
      <c r="EG293" s="15"/>
      <c r="EH293" s="15"/>
      <c r="EI293" s="15"/>
      <c r="EJ293" s="15"/>
      <c r="EK293" s="15"/>
      <c r="EL293" s="15"/>
      <c r="EM293" s="15"/>
      <c r="EN293" s="15"/>
      <c r="EO293" s="15"/>
      <c r="EP293" s="15"/>
      <c r="EQ293" s="15"/>
      <c r="ER293" s="15"/>
      <c r="ES293" s="15"/>
      <c r="ET293" s="15"/>
      <c r="EU293" s="15"/>
      <c r="EV293" s="15"/>
      <c r="EW293" s="15"/>
      <c r="EX293" s="15"/>
    </row>
    <row r="294" customFormat="false" ht="15.75" hidden="false" customHeight="false" outlineLevel="0" collapsed="false">
      <c r="A294" s="76" t="n">
        <f aca="false">A293+1</f>
        <v>293</v>
      </c>
      <c r="B294" s="70" t="str">
        <f aca="false">IFERROR(__xludf.dummyfunction("filter(Famillesid!$22:$22,(Famillesid!$16:$16=A294)+(Famillesid!$17:$17=A294)+(Famillesid!$18:$18=A294)+(Famillesid!$19:$19=A294)+(Famillesid!$20:$20=A294)+(Famillesid!$21:$21=A294))"),"#N/A")</f>
        <v>#N/A</v>
      </c>
      <c r="C294" s="77"/>
      <c r="D294" s="78" t="str">
        <f aca="false">IFERROR(__xludf.dummyfunction("filter('Réponses au formulaire 1'!T:T,'Réponses au formulaire 1'!B:B=C294)"),"#REF!")</f>
        <v>#REF!</v>
      </c>
      <c r="E294" s="72"/>
      <c r="F294" s="68"/>
      <c r="G294" s="15"/>
      <c r="H294" s="76" t="str">
        <f aca="false">IFERROR(__xludf.dummyfunction("""COMPUTED_VALUE"""),"")</f>
        <v/>
      </c>
      <c r="I294" s="50" t="str">
        <f aca="false">IFERROR(__xludf.dummyfunction("""COMPUTED_VALUE"""),"")</f>
        <v/>
      </c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  <c r="EE294" s="15"/>
      <c r="EF294" s="15"/>
      <c r="EG294" s="15"/>
      <c r="EH294" s="15"/>
      <c r="EI294" s="15"/>
      <c r="EJ294" s="15"/>
      <c r="EK294" s="15"/>
      <c r="EL294" s="15"/>
      <c r="EM294" s="15"/>
      <c r="EN294" s="15"/>
      <c r="EO294" s="15"/>
      <c r="EP294" s="15"/>
      <c r="EQ294" s="15"/>
      <c r="ER294" s="15"/>
      <c r="ES294" s="15"/>
      <c r="ET294" s="15"/>
      <c r="EU294" s="15"/>
      <c r="EV294" s="15"/>
      <c r="EW294" s="15"/>
      <c r="EX294" s="15"/>
    </row>
    <row r="295" customFormat="false" ht="15.75" hidden="false" customHeight="false" outlineLevel="0" collapsed="false">
      <c r="A295" s="76" t="n">
        <f aca="false">A294+1</f>
        <v>294</v>
      </c>
      <c r="B295" s="70" t="str">
        <f aca="false">IFERROR(__xludf.dummyfunction("filter(Famillesid!$22:$22,(Famillesid!$16:$16=A295)+(Famillesid!$17:$17=A295)+(Famillesid!$18:$18=A295)+(Famillesid!$19:$19=A295)+(Famillesid!$20:$20=A295)+(Famillesid!$21:$21=A295))"),"#N/A")</f>
        <v>#N/A</v>
      </c>
      <c r="C295" s="77"/>
      <c r="D295" s="78" t="str">
        <f aca="false">IFERROR(__xludf.dummyfunction("filter('Réponses au formulaire 1'!T:T,'Réponses au formulaire 1'!B:B=C295)"),"#REF!")</f>
        <v>#REF!</v>
      </c>
      <c r="E295" s="72"/>
      <c r="F295" s="68"/>
      <c r="G295" s="15"/>
      <c r="H295" s="76" t="str">
        <f aca="false">IFERROR(__xludf.dummyfunction("""COMPUTED_VALUE"""),"")</f>
        <v/>
      </c>
      <c r="I295" s="50" t="str">
        <f aca="false">IFERROR(__xludf.dummyfunction("""COMPUTED_VALUE"""),"")</f>
        <v/>
      </c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  <c r="DY295" s="15"/>
      <c r="DZ295" s="15"/>
      <c r="EA295" s="15"/>
      <c r="EB295" s="15"/>
      <c r="EC295" s="15"/>
      <c r="ED295" s="15"/>
      <c r="EE295" s="15"/>
      <c r="EF295" s="15"/>
      <c r="EG295" s="15"/>
      <c r="EH295" s="15"/>
      <c r="EI295" s="15"/>
      <c r="EJ295" s="15"/>
      <c r="EK295" s="15"/>
      <c r="EL295" s="15"/>
      <c r="EM295" s="15"/>
      <c r="EN295" s="15"/>
      <c r="EO295" s="15"/>
      <c r="EP295" s="15"/>
      <c r="EQ295" s="15"/>
      <c r="ER295" s="15"/>
      <c r="ES295" s="15"/>
      <c r="ET295" s="15"/>
      <c r="EU295" s="15"/>
      <c r="EV295" s="15"/>
      <c r="EW295" s="15"/>
      <c r="EX295" s="15"/>
    </row>
    <row r="296" customFormat="false" ht="15.75" hidden="false" customHeight="false" outlineLevel="0" collapsed="false">
      <c r="A296" s="76" t="n">
        <f aca="false">A295+1</f>
        <v>295</v>
      </c>
      <c r="B296" s="70" t="str">
        <f aca="false">IFERROR(__xludf.dummyfunction("filter(Famillesid!$22:$22,(Famillesid!$16:$16=A296)+(Famillesid!$17:$17=A296)+(Famillesid!$18:$18=A296)+(Famillesid!$19:$19=A296)+(Famillesid!$20:$20=A296)+(Famillesid!$21:$21=A296))"),"#N/A")</f>
        <v>#N/A</v>
      </c>
      <c r="C296" s="77"/>
      <c r="D296" s="78" t="str">
        <f aca="false">IFERROR(__xludf.dummyfunction("filter('Réponses au formulaire 1'!T:T,'Réponses au formulaire 1'!B:B=C296)"),"#REF!")</f>
        <v>#REF!</v>
      </c>
      <c r="E296" s="72"/>
      <c r="F296" s="68"/>
      <c r="G296" s="15"/>
      <c r="H296" s="76" t="str">
        <f aca="false">IFERROR(__xludf.dummyfunction("""COMPUTED_VALUE"""),"")</f>
        <v/>
      </c>
      <c r="I296" s="50" t="str">
        <f aca="false">IFERROR(__xludf.dummyfunction("""COMPUTED_VALUE"""),"")</f>
        <v/>
      </c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5"/>
      <c r="ED296" s="15"/>
      <c r="EE296" s="15"/>
      <c r="EF296" s="15"/>
      <c r="EG296" s="15"/>
      <c r="EH296" s="15"/>
      <c r="EI296" s="15"/>
      <c r="EJ296" s="15"/>
      <c r="EK296" s="15"/>
      <c r="EL296" s="15"/>
      <c r="EM296" s="15"/>
      <c r="EN296" s="15"/>
      <c r="EO296" s="15"/>
      <c r="EP296" s="15"/>
      <c r="EQ296" s="15"/>
      <c r="ER296" s="15"/>
      <c r="ES296" s="15"/>
      <c r="ET296" s="15"/>
      <c r="EU296" s="15"/>
      <c r="EV296" s="15"/>
      <c r="EW296" s="15"/>
      <c r="EX296" s="15"/>
    </row>
    <row r="297" customFormat="false" ht="15.75" hidden="false" customHeight="false" outlineLevel="0" collapsed="false">
      <c r="A297" s="76" t="n">
        <f aca="false">A296+1</f>
        <v>296</v>
      </c>
      <c r="B297" s="70" t="str">
        <f aca="false">IFERROR(__xludf.dummyfunction("filter(Famillesid!$22:$22,(Famillesid!$16:$16=A297)+(Famillesid!$17:$17=A297)+(Famillesid!$18:$18=A297)+(Famillesid!$19:$19=A297)+(Famillesid!$20:$20=A297)+(Famillesid!$21:$21=A297))"),"#N/A")</f>
        <v>#N/A</v>
      </c>
      <c r="C297" s="77"/>
      <c r="D297" s="78" t="str">
        <f aca="false">IFERROR(__xludf.dummyfunction("filter('Réponses au formulaire 1'!T:T,'Réponses au formulaire 1'!B:B=C297)"),"#REF!")</f>
        <v>#REF!</v>
      </c>
      <c r="E297" s="72"/>
      <c r="F297" s="68"/>
      <c r="G297" s="15"/>
      <c r="H297" s="76" t="str">
        <f aca="false">IFERROR(__xludf.dummyfunction("""COMPUTED_VALUE"""),"")</f>
        <v/>
      </c>
      <c r="I297" s="50" t="str">
        <f aca="false">IFERROR(__xludf.dummyfunction("""COMPUTED_VALUE"""),"")</f>
        <v/>
      </c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5"/>
      <c r="ED297" s="15"/>
      <c r="EE297" s="15"/>
      <c r="EF297" s="15"/>
      <c r="EG297" s="15"/>
      <c r="EH297" s="15"/>
      <c r="EI297" s="15"/>
      <c r="EJ297" s="15"/>
      <c r="EK297" s="15"/>
      <c r="EL297" s="15"/>
      <c r="EM297" s="15"/>
      <c r="EN297" s="15"/>
      <c r="EO297" s="15"/>
      <c r="EP297" s="15"/>
      <c r="EQ297" s="15"/>
      <c r="ER297" s="15"/>
      <c r="ES297" s="15"/>
      <c r="ET297" s="15"/>
      <c r="EU297" s="15"/>
      <c r="EV297" s="15"/>
      <c r="EW297" s="15"/>
      <c r="EX297" s="15"/>
    </row>
    <row r="298" customFormat="false" ht="15.75" hidden="false" customHeight="false" outlineLevel="0" collapsed="false">
      <c r="A298" s="76" t="n">
        <f aca="false">A297+1</f>
        <v>297</v>
      </c>
      <c r="B298" s="70" t="str">
        <f aca="false">IFERROR(__xludf.dummyfunction("filter(Famillesid!$22:$22,(Famillesid!$16:$16=A298)+(Famillesid!$17:$17=A298)+(Famillesid!$18:$18=A298)+(Famillesid!$19:$19=A298)+(Famillesid!$20:$20=A298)+(Famillesid!$21:$21=A298))"),"#N/A")</f>
        <v>#N/A</v>
      </c>
      <c r="C298" s="77"/>
      <c r="D298" s="78" t="str">
        <f aca="false">IFERROR(__xludf.dummyfunction("filter('Réponses au formulaire 1'!T:T,'Réponses au formulaire 1'!B:B=C298)"),"#REF!")</f>
        <v>#REF!</v>
      </c>
      <c r="E298" s="72"/>
      <c r="F298" s="68"/>
      <c r="G298" s="15"/>
      <c r="H298" s="76" t="str">
        <f aca="false">IFERROR(__xludf.dummyfunction("""COMPUTED_VALUE"""),"")</f>
        <v/>
      </c>
      <c r="I298" s="50" t="str">
        <f aca="false">IFERROR(__xludf.dummyfunction("""COMPUTED_VALUE"""),"")</f>
        <v/>
      </c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</row>
    <row r="299" customFormat="false" ht="15.75" hidden="false" customHeight="false" outlineLevel="0" collapsed="false">
      <c r="A299" s="76" t="n">
        <f aca="false">A298+1</f>
        <v>298</v>
      </c>
      <c r="B299" s="70" t="str">
        <f aca="false">IFERROR(__xludf.dummyfunction("filter(Famillesid!$22:$22,(Famillesid!$16:$16=A299)+(Famillesid!$17:$17=A299)+(Famillesid!$18:$18=A299)+(Famillesid!$19:$19=A299)+(Famillesid!$20:$20=A299)+(Famillesid!$21:$21=A299))"),"#N/A")</f>
        <v>#N/A</v>
      </c>
      <c r="C299" s="77"/>
      <c r="D299" s="78" t="str">
        <f aca="false">IFERROR(__xludf.dummyfunction("filter('Réponses au formulaire 1'!T:T,'Réponses au formulaire 1'!B:B=C299)"),"#REF!")</f>
        <v>#REF!</v>
      </c>
      <c r="E299" s="72"/>
      <c r="F299" s="68"/>
      <c r="G299" s="15"/>
      <c r="H299" s="76" t="str">
        <f aca="false">IFERROR(__xludf.dummyfunction("""COMPUTED_VALUE"""),"")</f>
        <v/>
      </c>
      <c r="I299" s="50" t="str">
        <f aca="false">IFERROR(__xludf.dummyfunction("""COMPUTED_VALUE"""),"")</f>
        <v/>
      </c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</row>
    <row r="300" customFormat="false" ht="15.75" hidden="false" customHeight="false" outlineLevel="0" collapsed="false">
      <c r="A300" s="76" t="n">
        <f aca="false">A299+1</f>
        <v>299</v>
      </c>
      <c r="B300" s="70" t="str">
        <f aca="false">IFERROR(__xludf.dummyfunction("filter(Famillesid!$22:$22,(Famillesid!$16:$16=A300)+(Famillesid!$17:$17=A300)+(Famillesid!$18:$18=A300)+(Famillesid!$19:$19=A300)+(Famillesid!$20:$20=A300)+(Famillesid!$21:$21=A300))"),"#N/A")</f>
        <v>#N/A</v>
      </c>
      <c r="C300" s="77"/>
      <c r="D300" s="78" t="str">
        <f aca="false">IFERROR(__xludf.dummyfunction("filter('Réponses au formulaire 1'!T:T,'Réponses au formulaire 1'!B:B=C300)"),"#REF!")</f>
        <v>#REF!</v>
      </c>
      <c r="E300" s="72"/>
      <c r="F300" s="68"/>
      <c r="G300" s="15"/>
      <c r="H300" s="76" t="str">
        <f aca="false">IFERROR(__xludf.dummyfunction("""COMPUTED_VALUE"""),"")</f>
        <v/>
      </c>
      <c r="I300" s="50" t="str">
        <f aca="false">IFERROR(__xludf.dummyfunction("""COMPUTED_VALUE"""),"")</f>
        <v/>
      </c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  <c r="EE300" s="15"/>
      <c r="EF300" s="15"/>
      <c r="EG300" s="15"/>
      <c r="EH300" s="15"/>
      <c r="EI300" s="15"/>
      <c r="EJ300" s="15"/>
      <c r="EK300" s="15"/>
      <c r="EL300" s="15"/>
      <c r="EM300" s="15"/>
      <c r="EN300" s="15"/>
      <c r="EO300" s="15"/>
      <c r="EP300" s="15"/>
      <c r="EQ300" s="15"/>
      <c r="ER300" s="15"/>
      <c r="ES300" s="15"/>
      <c r="ET300" s="15"/>
      <c r="EU300" s="15"/>
      <c r="EV300" s="15"/>
      <c r="EW300" s="15"/>
      <c r="EX300" s="15"/>
    </row>
    <row r="301" customFormat="false" ht="15.75" hidden="false" customHeight="false" outlineLevel="0" collapsed="false">
      <c r="A301" s="76" t="n">
        <f aca="false">A300+1</f>
        <v>300</v>
      </c>
      <c r="B301" s="70" t="str">
        <f aca="false">IFERROR(__xludf.dummyfunction("filter(Famillesid!$22:$22,(Famillesid!$16:$16=A301)+(Famillesid!$17:$17=A301)+(Famillesid!$18:$18=A301)+(Famillesid!$19:$19=A301)+(Famillesid!$20:$20=A301)+(Famillesid!$21:$21=A301))"),"#N/A")</f>
        <v>#N/A</v>
      </c>
      <c r="C301" s="77"/>
      <c r="D301" s="78" t="str">
        <f aca="false">IFERROR(__xludf.dummyfunction("filter('Réponses au formulaire 1'!T:T,'Réponses au formulaire 1'!B:B=C301)"),"#REF!")</f>
        <v>#REF!</v>
      </c>
      <c r="E301" s="72"/>
      <c r="F301" s="68"/>
      <c r="G301" s="15"/>
      <c r="H301" s="76" t="str">
        <f aca="false">IFERROR(__xludf.dummyfunction("""COMPUTED_VALUE"""),"")</f>
        <v/>
      </c>
      <c r="I301" s="50" t="str">
        <f aca="false">IFERROR(__xludf.dummyfunction("""COMPUTED_VALUE"""),"")</f>
        <v/>
      </c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  <c r="EE301" s="15"/>
      <c r="EF301" s="15"/>
      <c r="EG301" s="15"/>
      <c r="EH301" s="15"/>
      <c r="EI301" s="15"/>
      <c r="EJ301" s="15"/>
      <c r="EK301" s="15"/>
      <c r="EL301" s="15"/>
      <c r="EM301" s="15"/>
      <c r="EN301" s="15"/>
      <c r="EO301" s="15"/>
      <c r="EP301" s="15"/>
      <c r="EQ301" s="15"/>
      <c r="ER301" s="15"/>
      <c r="ES301" s="15"/>
      <c r="ET301" s="15"/>
      <c r="EU301" s="15"/>
      <c r="EV301" s="15"/>
      <c r="EW301" s="15"/>
      <c r="EX301" s="15"/>
    </row>
    <row r="302" customFormat="false" ht="15.75" hidden="false" customHeight="false" outlineLevel="0" collapsed="false">
      <c r="A302" s="76" t="n">
        <f aca="false">A301+1</f>
        <v>301</v>
      </c>
      <c r="B302" s="70" t="str">
        <f aca="false">IFERROR(__xludf.dummyfunction("filter(Famillesid!$22:$22,(Famillesid!$16:$16=A302)+(Famillesid!$17:$17=A302)+(Famillesid!$18:$18=A302)+(Famillesid!$19:$19=A302)+(Famillesid!$20:$20=A302)+(Famillesid!$21:$21=A302))"),"#N/A")</f>
        <v>#N/A</v>
      </c>
      <c r="C302" s="77"/>
      <c r="D302" s="78" t="str">
        <f aca="false">IFERROR(__xludf.dummyfunction("filter('Réponses au formulaire 1'!T:T,'Réponses au formulaire 1'!B:B=C302)"),"#REF!")</f>
        <v>#REF!</v>
      </c>
      <c r="E302" s="72"/>
      <c r="F302" s="68"/>
      <c r="G302" s="15"/>
      <c r="H302" s="76" t="str">
        <f aca="false">IFERROR(__xludf.dummyfunction("""COMPUTED_VALUE"""),"")</f>
        <v/>
      </c>
      <c r="I302" s="50" t="str">
        <f aca="false">IFERROR(__xludf.dummyfunction("""COMPUTED_VALUE"""),"")</f>
        <v/>
      </c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/>
      <c r="EC302" s="15"/>
      <c r="ED302" s="15"/>
      <c r="EE302" s="15"/>
      <c r="EF302" s="15"/>
      <c r="EG302" s="15"/>
      <c r="EH302" s="15"/>
      <c r="EI302" s="15"/>
      <c r="EJ302" s="15"/>
      <c r="EK302" s="15"/>
      <c r="EL302" s="15"/>
      <c r="EM302" s="15"/>
      <c r="EN302" s="15"/>
      <c r="EO302" s="15"/>
      <c r="EP302" s="15"/>
      <c r="EQ302" s="15"/>
      <c r="ER302" s="15"/>
      <c r="ES302" s="15"/>
      <c r="ET302" s="15"/>
      <c r="EU302" s="15"/>
      <c r="EV302" s="15"/>
      <c r="EW302" s="15"/>
      <c r="EX302" s="15"/>
    </row>
    <row r="303" customFormat="false" ht="15.75" hidden="false" customHeight="false" outlineLevel="0" collapsed="false">
      <c r="A303" s="76" t="n">
        <f aca="false">A302+1</f>
        <v>302</v>
      </c>
      <c r="B303" s="70" t="str">
        <f aca="false">IFERROR(__xludf.dummyfunction("filter(Famillesid!$22:$22,(Famillesid!$16:$16=A303)+(Famillesid!$17:$17=A303)+(Famillesid!$18:$18=A303)+(Famillesid!$19:$19=A303)+(Famillesid!$20:$20=A303)+(Famillesid!$21:$21=A303))"),"#N/A")</f>
        <v>#N/A</v>
      </c>
      <c r="C303" s="77"/>
      <c r="D303" s="78" t="str">
        <f aca="false">IFERROR(__xludf.dummyfunction("filter('Réponses au formulaire 1'!T:T,'Réponses au formulaire 1'!B:B=C303)"),"#REF!")</f>
        <v>#REF!</v>
      </c>
      <c r="E303" s="72"/>
      <c r="F303" s="68"/>
      <c r="G303" s="15"/>
      <c r="H303" s="76" t="str">
        <f aca="false">IFERROR(__xludf.dummyfunction("""COMPUTED_VALUE"""),"")</f>
        <v/>
      </c>
      <c r="I303" s="50" t="str">
        <f aca="false">IFERROR(__xludf.dummyfunction("""COMPUTED_VALUE"""),"")</f>
        <v/>
      </c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  <c r="DY303" s="15"/>
      <c r="DZ303" s="15"/>
      <c r="EA303" s="15"/>
      <c r="EB303" s="15"/>
      <c r="EC303" s="15"/>
      <c r="ED303" s="15"/>
      <c r="EE303" s="15"/>
      <c r="EF303" s="15"/>
      <c r="EG303" s="15"/>
      <c r="EH303" s="15"/>
      <c r="EI303" s="15"/>
      <c r="EJ303" s="15"/>
      <c r="EK303" s="15"/>
      <c r="EL303" s="15"/>
      <c r="EM303" s="15"/>
      <c r="EN303" s="15"/>
      <c r="EO303" s="15"/>
      <c r="EP303" s="15"/>
      <c r="EQ303" s="15"/>
      <c r="ER303" s="15"/>
      <c r="ES303" s="15"/>
      <c r="ET303" s="15"/>
      <c r="EU303" s="15"/>
      <c r="EV303" s="15"/>
      <c r="EW303" s="15"/>
      <c r="EX303" s="15"/>
    </row>
    <row r="304" customFormat="false" ht="15.75" hidden="false" customHeight="false" outlineLevel="0" collapsed="false">
      <c r="A304" s="76" t="n">
        <f aca="false">A303+1</f>
        <v>303</v>
      </c>
      <c r="B304" s="70" t="str">
        <f aca="false">IFERROR(__xludf.dummyfunction("filter(Famillesid!$22:$22,(Famillesid!$16:$16=A304)+(Famillesid!$17:$17=A304)+(Famillesid!$18:$18=A304)+(Famillesid!$19:$19=A304)+(Famillesid!$20:$20=A304)+(Famillesid!$21:$21=A304))"),"#N/A")</f>
        <v>#N/A</v>
      </c>
      <c r="C304" s="77"/>
      <c r="D304" s="78" t="str">
        <f aca="false">IFERROR(__xludf.dummyfunction("filter('Réponses au formulaire 1'!T:T,'Réponses au formulaire 1'!B:B=C304)"),"#REF!")</f>
        <v>#REF!</v>
      </c>
      <c r="E304" s="72"/>
      <c r="F304" s="68"/>
      <c r="G304" s="15"/>
      <c r="H304" s="76" t="str">
        <f aca="false">IFERROR(__xludf.dummyfunction("""COMPUTED_VALUE"""),"")</f>
        <v/>
      </c>
      <c r="I304" s="50" t="str">
        <f aca="false">IFERROR(__xludf.dummyfunction("""COMPUTED_VALUE"""),"")</f>
        <v/>
      </c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  <c r="DY304" s="15"/>
      <c r="DZ304" s="15"/>
      <c r="EA304" s="15"/>
      <c r="EB304" s="15"/>
      <c r="EC304" s="15"/>
      <c r="ED304" s="15"/>
      <c r="EE304" s="15"/>
      <c r="EF304" s="15"/>
      <c r="EG304" s="15"/>
      <c r="EH304" s="15"/>
      <c r="EI304" s="15"/>
      <c r="EJ304" s="15"/>
      <c r="EK304" s="15"/>
      <c r="EL304" s="15"/>
      <c r="EM304" s="15"/>
      <c r="EN304" s="15"/>
      <c r="EO304" s="15"/>
      <c r="EP304" s="15"/>
      <c r="EQ304" s="15"/>
      <c r="ER304" s="15"/>
      <c r="ES304" s="15"/>
      <c r="ET304" s="15"/>
      <c r="EU304" s="15"/>
      <c r="EV304" s="15"/>
      <c r="EW304" s="15"/>
      <c r="EX304" s="15"/>
    </row>
    <row r="305" customFormat="false" ht="15.75" hidden="false" customHeight="false" outlineLevel="0" collapsed="false">
      <c r="A305" s="76" t="n">
        <f aca="false">A304+1</f>
        <v>304</v>
      </c>
      <c r="B305" s="70" t="str">
        <f aca="false">IFERROR(__xludf.dummyfunction("filter(Famillesid!$22:$22,(Famillesid!$16:$16=A305)+(Famillesid!$17:$17=A305)+(Famillesid!$18:$18=A305)+(Famillesid!$19:$19=A305)+(Famillesid!$20:$20=A305)+(Famillesid!$21:$21=A305))"),"#N/A")</f>
        <v>#N/A</v>
      </c>
      <c r="C305" s="77"/>
      <c r="D305" s="78" t="str">
        <f aca="false">IFERROR(__xludf.dummyfunction("filter('Réponses au formulaire 1'!T:T,'Réponses au formulaire 1'!B:B=C305)"),"")</f>
        <v/>
      </c>
      <c r="E305" s="72"/>
      <c r="F305" s="68"/>
      <c r="G305" s="15"/>
      <c r="H305" s="76" t="str">
        <f aca="false">IFERROR(__xludf.dummyfunction("""COMPUTED_VALUE"""),"")</f>
        <v/>
      </c>
      <c r="I305" s="50" t="str">
        <f aca="false">IFERROR(__xludf.dummyfunction("""COMPUTED_VALUE"""),"")</f>
        <v/>
      </c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  <c r="DY305" s="15"/>
      <c r="DZ305" s="15"/>
      <c r="EA305" s="15"/>
      <c r="EB305" s="15"/>
      <c r="EC305" s="15"/>
      <c r="ED305" s="15"/>
      <c r="EE305" s="15"/>
      <c r="EF305" s="15"/>
      <c r="EG305" s="15"/>
      <c r="EH305" s="15"/>
      <c r="EI305" s="15"/>
      <c r="EJ305" s="15"/>
      <c r="EK305" s="15"/>
      <c r="EL305" s="15"/>
      <c r="EM305" s="15"/>
      <c r="EN305" s="15"/>
      <c r="EO305" s="15"/>
      <c r="EP305" s="15"/>
      <c r="EQ305" s="15"/>
      <c r="ER305" s="15"/>
      <c r="ES305" s="15"/>
      <c r="ET305" s="15"/>
      <c r="EU305" s="15"/>
      <c r="EV305" s="15"/>
      <c r="EW305" s="15"/>
      <c r="EX305" s="15"/>
    </row>
    <row r="306" customFormat="false" ht="15.75" hidden="false" customHeight="false" outlineLevel="0" collapsed="false">
      <c r="A306" s="76" t="n">
        <f aca="false">A305+1</f>
        <v>305</v>
      </c>
      <c r="B306" s="70" t="str">
        <f aca="false">IFERROR(__xludf.dummyfunction("filter(Famillesid!$22:$22,(Famillesid!$16:$16=A306)+(Famillesid!$17:$17=A306)+(Famillesid!$18:$18=A306)+(Famillesid!$19:$19=A306)+(Famillesid!$20:$20=A306)+(Famillesid!$21:$21=A306))"),"#N/A")</f>
        <v>#N/A</v>
      </c>
      <c r="C306" s="77"/>
      <c r="D306" s="78" t="str">
        <f aca="false">IFERROR(__xludf.dummyfunction("""COMPUTED_VALUE"""),"")</f>
        <v/>
      </c>
      <c r="E306" s="72"/>
      <c r="F306" s="68"/>
      <c r="G306" s="15"/>
      <c r="H306" s="76" t="str">
        <f aca="false">IFERROR(__xludf.dummyfunction("""COMPUTED_VALUE"""),"")</f>
        <v/>
      </c>
      <c r="I306" s="50" t="str">
        <f aca="false">IFERROR(__xludf.dummyfunction("""COMPUTED_VALUE"""),"")</f>
        <v/>
      </c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</row>
    <row r="307" customFormat="false" ht="15.75" hidden="false" customHeight="false" outlineLevel="0" collapsed="false">
      <c r="A307" s="76" t="n">
        <f aca="false">A306+1</f>
        <v>306</v>
      </c>
      <c r="B307" s="70" t="str">
        <f aca="false">IFERROR(__xludf.dummyfunction("filter(Famillesid!$22:$22,(Famillesid!$16:$16=A307)+(Famillesid!$17:$17=A307)+(Famillesid!$18:$18=A307)+(Famillesid!$19:$19=A307)+(Famillesid!$20:$20=A307)+(Famillesid!$21:$21=A307))"),"#N/A")</f>
        <v>#N/A</v>
      </c>
      <c r="C307" s="77"/>
      <c r="D307" s="78" t="str">
        <f aca="false">IFERROR(__xludf.dummyfunction("""COMPUTED_VALUE"""),"")</f>
        <v/>
      </c>
      <c r="E307" s="72"/>
      <c r="F307" s="68"/>
      <c r="G307" s="15"/>
      <c r="H307" s="76" t="str">
        <f aca="false">IFERROR(__xludf.dummyfunction("""COMPUTED_VALUE"""),"")</f>
        <v/>
      </c>
      <c r="I307" s="50" t="str">
        <f aca="false">IFERROR(__xludf.dummyfunction("""COMPUTED_VALUE"""),"")</f>
        <v/>
      </c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  <c r="EE307" s="15"/>
      <c r="EF307" s="15"/>
      <c r="EG307" s="15"/>
      <c r="EH307" s="15"/>
      <c r="EI307" s="15"/>
      <c r="EJ307" s="15"/>
      <c r="EK307" s="15"/>
      <c r="EL307" s="15"/>
      <c r="EM307" s="15"/>
      <c r="EN307" s="15"/>
      <c r="EO307" s="15"/>
      <c r="EP307" s="15"/>
      <c r="EQ307" s="15"/>
      <c r="ER307" s="15"/>
      <c r="ES307" s="15"/>
      <c r="ET307" s="15"/>
      <c r="EU307" s="15"/>
      <c r="EV307" s="15"/>
      <c r="EW307" s="15"/>
      <c r="EX307" s="15"/>
    </row>
    <row r="308" customFormat="false" ht="15.75" hidden="false" customHeight="false" outlineLevel="0" collapsed="false">
      <c r="A308" s="76" t="n">
        <f aca="false">A307+1</f>
        <v>307</v>
      </c>
      <c r="B308" s="70" t="str">
        <f aca="false">IFERROR(__xludf.dummyfunction("filter(Famillesid!$22:$22,(Famillesid!$16:$16=A308)+(Famillesid!$17:$17=A308)+(Famillesid!$18:$18=A308)+(Famillesid!$19:$19=A308)+(Famillesid!$20:$20=A308)+(Famillesid!$21:$21=A308))"),"#N/A")</f>
        <v>#N/A</v>
      </c>
      <c r="C308" s="77"/>
      <c r="D308" s="78" t="str">
        <f aca="false">IFERROR(__xludf.dummyfunction("""COMPUTED_VALUE"""),"")</f>
        <v/>
      </c>
      <c r="E308" s="72"/>
      <c r="F308" s="68"/>
      <c r="G308" s="15"/>
      <c r="H308" s="76" t="str">
        <f aca="false">IFERROR(__xludf.dummyfunction("""COMPUTED_VALUE"""),"")</f>
        <v/>
      </c>
      <c r="I308" s="50" t="str">
        <f aca="false">IFERROR(__xludf.dummyfunction("""COMPUTED_VALUE"""),"")</f>
        <v/>
      </c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  <c r="DY308" s="15"/>
      <c r="DZ308" s="15"/>
      <c r="EA308" s="15"/>
      <c r="EB308" s="15"/>
      <c r="EC308" s="15"/>
      <c r="ED308" s="15"/>
      <c r="EE308" s="15"/>
      <c r="EF308" s="15"/>
      <c r="EG308" s="15"/>
      <c r="EH308" s="15"/>
      <c r="EI308" s="15"/>
      <c r="EJ308" s="15"/>
      <c r="EK308" s="15"/>
      <c r="EL308" s="15"/>
      <c r="EM308" s="15"/>
      <c r="EN308" s="15"/>
      <c r="EO308" s="15"/>
      <c r="EP308" s="15"/>
      <c r="EQ308" s="15"/>
      <c r="ER308" s="15"/>
      <c r="ES308" s="15"/>
      <c r="ET308" s="15"/>
      <c r="EU308" s="15"/>
      <c r="EV308" s="15"/>
      <c r="EW308" s="15"/>
      <c r="EX308" s="15"/>
    </row>
    <row r="309" customFormat="false" ht="15.75" hidden="false" customHeight="false" outlineLevel="0" collapsed="false">
      <c r="A309" s="76" t="n">
        <f aca="false">A308+1</f>
        <v>308</v>
      </c>
      <c r="B309" s="70" t="str">
        <f aca="false">IFERROR(__xludf.dummyfunction("filter(Famillesid!$22:$22,(Famillesid!$16:$16=A309)+(Famillesid!$17:$17=A309)+(Famillesid!$18:$18=A309)+(Famillesid!$19:$19=A309)+(Famillesid!$20:$20=A309)+(Famillesid!$21:$21=A309))"),"#N/A")</f>
        <v>#N/A</v>
      </c>
      <c r="C309" s="77"/>
      <c r="D309" s="78" t="str">
        <f aca="false">IFERROR(__xludf.dummyfunction("""COMPUTED_VALUE"""),"")</f>
        <v/>
      </c>
      <c r="E309" s="72"/>
      <c r="F309" s="68"/>
      <c r="G309" s="15"/>
      <c r="H309" s="76" t="str">
        <f aca="false">IFERROR(__xludf.dummyfunction("""COMPUTED_VALUE"""),"")</f>
        <v/>
      </c>
      <c r="I309" s="50" t="str">
        <f aca="false">IFERROR(__xludf.dummyfunction("""COMPUTED_VALUE"""),"")</f>
        <v/>
      </c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5"/>
      <c r="ED309" s="15"/>
      <c r="EE309" s="15"/>
      <c r="EF309" s="15"/>
      <c r="EG309" s="15"/>
      <c r="EH309" s="15"/>
      <c r="EI309" s="15"/>
      <c r="EJ309" s="15"/>
      <c r="EK309" s="15"/>
      <c r="EL309" s="15"/>
      <c r="EM309" s="15"/>
      <c r="EN309" s="15"/>
      <c r="EO309" s="15"/>
      <c r="EP309" s="15"/>
      <c r="EQ309" s="15"/>
      <c r="ER309" s="15"/>
      <c r="ES309" s="15"/>
      <c r="ET309" s="15"/>
      <c r="EU309" s="15"/>
      <c r="EV309" s="15"/>
      <c r="EW309" s="15"/>
      <c r="EX309" s="15"/>
    </row>
    <row r="310" customFormat="false" ht="15.75" hidden="false" customHeight="false" outlineLevel="0" collapsed="false">
      <c r="A310" s="76"/>
      <c r="B310" s="77"/>
      <c r="C310" s="77"/>
      <c r="D310" s="78" t="str">
        <f aca="false">IFERROR(__xludf.dummyfunction("""COMPUTED_VALUE"""),"")</f>
        <v/>
      </c>
      <c r="E310" s="72"/>
      <c r="F310" s="68"/>
      <c r="G310" s="15"/>
      <c r="H310" s="76" t="str">
        <f aca="false">IFERROR(__xludf.dummyfunction("""COMPUTED_VALUE"""),"")</f>
        <v/>
      </c>
      <c r="I310" s="50" t="str">
        <f aca="false">IFERROR(__xludf.dummyfunction("""COMPUTED_VALUE"""),"")</f>
        <v/>
      </c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  <c r="DY310" s="15"/>
      <c r="DZ310" s="15"/>
      <c r="EA310" s="15"/>
      <c r="EB310" s="15"/>
      <c r="EC310" s="15"/>
      <c r="ED310" s="15"/>
      <c r="EE310" s="15"/>
      <c r="EF310" s="15"/>
      <c r="EG310" s="15"/>
      <c r="EH310" s="15"/>
      <c r="EI310" s="15"/>
      <c r="EJ310" s="15"/>
      <c r="EK310" s="15"/>
      <c r="EL310" s="15"/>
      <c r="EM310" s="15"/>
      <c r="EN310" s="15"/>
      <c r="EO310" s="15"/>
      <c r="EP310" s="15"/>
      <c r="EQ310" s="15"/>
      <c r="ER310" s="15"/>
      <c r="ES310" s="15"/>
      <c r="ET310" s="15"/>
      <c r="EU310" s="15"/>
      <c r="EV310" s="15"/>
      <c r="EW310" s="15"/>
      <c r="EX310" s="15"/>
    </row>
    <row r="311" customFormat="false" ht="15.75" hidden="false" customHeight="false" outlineLevel="0" collapsed="false">
      <c r="A311" s="76"/>
      <c r="B311" s="77"/>
      <c r="C311" s="77"/>
      <c r="D311" s="78" t="str">
        <f aca="false">IFERROR(__xludf.dummyfunction("""COMPUTED_VALUE"""),"")</f>
        <v/>
      </c>
      <c r="E311" s="72"/>
      <c r="F311" s="68"/>
      <c r="G311" s="15"/>
      <c r="H311" s="76" t="str">
        <f aca="false">IFERROR(__xludf.dummyfunction("""COMPUTED_VALUE"""),"")</f>
        <v/>
      </c>
      <c r="I311" s="50" t="str">
        <f aca="false">IFERROR(__xludf.dummyfunction("""COMPUTED_VALUE"""),"")</f>
        <v/>
      </c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  <c r="DY311" s="15"/>
      <c r="DZ311" s="15"/>
      <c r="EA311" s="15"/>
      <c r="EB311" s="15"/>
      <c r="EC311" s="15"/>
      <c r="ED311" s="15"/>
      <c r="EE311" s="15"/>
      <c r="EF311" s="15"/>
      <c r="EG311" s="15"/>
      <c r="EH311" s="15"/>
      <c r="EI311" s="15"/>
      <c r="EJ311" s="15"/>
      <c r="EK311" s="15"/>
      <c r="EL311" s="15"/>
      <c r="EM311" s="15"/>
      <c r="EN311" s="15"/>
      <c r="EO311" s="15"/>
      <c r="EP311" s="15"/>
      <c r="EQ311" s="15"/>
      <c r="ER311" s="15"/>
      <c r="ES311" s="15"/>
      <c r="ET311" s="15"/>
      <c r="EU311" s="15"/>
      <c r="EV311" s="15"/>
      <c r="EW311" s="15"/>
      <c r="EX311" s="15"/>
    </row>
    <row r="312" customFormat="false" ht="15.75" hidden="false" customHeight="false" outlineLevel="0" collapsed="false">
      <c r="A312" s="76"/>
      <c r="B312" s="77"/>
      <c r="C312" s="77"/>
      <c r="D312" s="78" t="str">
        <f aca="false">IFERROR(__xludf.dummyfunction("""COMPUTED_VALUE"""),"")</f>
        <v/>
      </c>
      <c r="E312" s="72"/>
      <c r="F312" s="68"/>
      <c r="G312" s="15"/>
      <c r="H312" s="76" t="str">
        <f aca="false">IFERROR(__xludf.dummyfunction("""COMPUTED_VALUE"""),"")</f>
        <v/>
      </c>
      <c r="I312" s="50" t="str">
        <f aca="false">IFERROR(__xludf.dummyfunction("""COMPUTED_VALUE"""),"")</f>
        <v/>
      </c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  <c r="DY312" s="15"/>
      <c r="DZ312" s="15"/>
      <c r="EA312" s="15"/>
      <c r="EB312" s="15"/>
      <c r="EC312" s="15"/>
      <c r="ED312" s="15"/>
      <c r="EE312" s="15"/>
      <c r="EF312" s="15"/>
      <c r="EG312" s="15"/>
      <c r="EH312" s="15"/>
      <c r="EI312" s="15"/>
      <c r="EJ312" s="15"/>
      <c r="EK312" s="15"/>
      <c r="EL312" s="15"/>
      <c r="EM312" s="15"/>
      <c r="EN312" s="15"/>
      <c r="EO312" s="15"/>
      <c r="EP312" s="15"/>
      <c r="EQ312" s="15"/>
      <c r="ER312" s="15"/>
      <c r="ES312" s="15"/>
      <c r="ET312" s="15"/>
      <c r="EU312" s="15"/>
      <c r="EV312" s="15"/>
      <c r="EW312" s="15"/>
      <c r="EX312" s="15"/>
    </row>
    <row r="313" customFormat="false" ht="15.75" hidden="false" customHeight="false" outlineLevel="0" collapsed="false">
      <c r="A313" s="76"/>
      <c r="B313" s="77"/>
      <c r="C313" s="77"/>
      <c r="D313" s="78" t="str">
        <f aca="false">IFERROR(__xludf.dummyfunction("""COMPUTED_VALUE"""),"")</f>
        <v/>
      </c>
      <c r="E313" s="72"/>
      <c r="F313" s="68"/>
      <c r="G313" s="15"/>
      <c r="H313" s="76" t="str">
        <f aca="false">IFERROR(__xludf.dummyfunction("""COMPUTED_VALUE"""),"")</f>
        <v/>
      </c>
      <c r="I313" s="50" t="str">
        <f aca="false">IFERROR(__xludf.dummyfunction("""COMPUTED_VALUE"""),"")</f>
        <v/>
      </c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  <c r="DY313" s="15"/>
      <c r="DZ313" s="15"/>
      <c r="EA313" s="15"/>
      <c r="EB313" s="15"/>
      <c r="EC313" s="15"/>
      <c r="ED313" s="15"/>
      <c r="EE313" s="15"/>
      <c r="EF313" s="15"/>
      <c r="EG313" s="15"/>
      <c r="EH313" s="15"/>
      <c r="EI313" s="15"/>
      <c r="EJ313" s="15"/>
      <c r="EK313" s="15"/>
      <c r="EL313" s="15"/>
      <c r="EM313" s="15"/>
      <c r="EN313" s="15"/>
      <c r="EO313" s="15"/>
      <c r="EP313" s="15"/>
      <c r="EQ313" s="15"/>
      <c r="ER313" s="15"/>
      <c r="ES313" s="15"/>
      <c r="ET313" s="15"/>
      <c r="EU313" s="15"/>
      <c r="EV313" s="15"/>
      <c r="EW313" s="15"/>
      <c r="EX313" s="15"/>
    </row>
    <row r="314" customFormat="false" ht="15.75" hidden="false" customHeight="false" outlineLevel="0" collapsed="false">
      <c r="A314" s="76"/>
      <c r="B314" s="77"/>
      <c r="C314" s="77"/>
      <c r="D314" s="78" t="str">
        <f aca="false">IFERROR(__xludf.dummyfunction("""COMPUTED_VALUE"""),"")</f>
        <v/>
      </c>
      <c r="E314" s="72"/>
      <c r="F314" s="68"/>
      <c r="G314" s="15"/>
      <c r="H314" s="76" t="str">
        <f aca="false">IFERROR(__xludf.dummyfunction("""COMPUTED_VALUE"""),"")</f>
        <v/>
      </c>
      <c r="I314" s="50" t="str">
        <f aca="false">IFERROR(__xludf.dummyfunction("""COMPUTED_VALUE"""),"")</f>
        <v/>
      </c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  <c r="DY314" s="15"/>
      <c r="DZ314" s="15"/>
      <c r="EA314" s="15"/>
      <c r="EB314" s="15"/>
      <c r="EC314" s="15"/>
      <c r="ED314" s="15"/>
      <c r="EE314" s="15"/>
      <c r="EF314" s="15"/>
      <c r="EG314" s="15"/>
      <c r="EH314" s="15"/>
      <c r="EI314" s="15"/>
      <c r="EJ314" s="15"/>
      <c r="EK314" s="15"/>
      <c r="EL314" s="15"/>
      <c r="EM314" s="15"/>
      <c r="EN314" s="15"/>
      <c r="EO314" s="15"/>
      <c r="EP314" s="15"/>
      <c r="EQ314" s="15"/>
      <c r="ER314" s="15"/>
      <c r="ES314" s="15"/>
      <c r="ET314" s="15"/>
      <c r="EU314" s="15"/>
      <c r="EV314" s="15"/>
      <c r="EW314" s="15"/>
      <c r="EX314" s="15"/>
    </row>
    <row r="315" customFormat="false" ht="15.75" hidden="false" customHeight="false" outlineLevel="0" collapsed="false">
      <c r="A315" s="76"/>
      <c r="B315" s="77"/>
      <c r="C315" s="77"/>
      <c r="D315" s="78" t="str">
        <f aca="false">IFERROR(__xludf.dummyfunction("""COMPUTED_VALUE"""),"")</f>
        <v/>
      </c>
      <c r="E315" s="72"/>
      <c r="F315" s="68"/>
      <c r="G315" s="15"/>
      <c r="H315" s="76" t="str">
        <f aca="false">IFERROR(__xludf.dummyfunction("""COMPUTED_VALUE"""),"")</f>
        <v/>
      </c>
      <c r="I315" s="50" t="str">
        <f aca="false">IFERROR(__xludf.dummyfunction("""COMPUTED_VALUE"""),"")</f>
        <v/>
      </c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  <c r="DY315" s="15"/>
      <c r="DZ315" s="15"/>
      <c r="EA315" s="15"/>
      <c r="EB315" s="15"/>
      <c r="EC315" s="15"/>
      <c r="ED315" s="15"/>
      <c r="EE315" s="15"/>
      <c r="EF315" s="15"/>
      <c r="EG315" s="15"/>
      <c r="EH315" s="15"/>
      <c r="EI315" s="15"/>
      <c r="EJ315" s="15"/>
      <c r="EK315" s="15"/>
      <c r="EL315" s="15"/>
      <c r="EM315" s="15"/>
      <c r="EN315" s="15"/>
      <c r="EO315" s="15"/>
      <c r="EP315" s="15"/>
      <c r="EQ315" s="15"/>
      <c r="ER315" s="15"/>
      <c r="ES315" s="15"/>
      <c r="ET315" s="15"/>
      <c r="EU315" s="15"/>
      <c r="EV315" s="15"/>
      <c r="EW315" s="15"/>
      <c r="EX315" s="15"/>
    </row>
    <row r="316" customFormat="false" ht="15.75" hidden="false" customHeight="false" outlineLevel="0" collapsed="false">
      <c r="A316" s="76"/>
      <c r="B316" s="77"/>
      <c r="C316" s="77"/>
      <c r="D316" s="78" t="str">
        <f aca="false">IFERROR(__xludf.dummyfunction("""COMPUTED_VALUE"""),"")</f>
        <v/>
      </c>
      <c r="E316" s="72"/>
      <c r="F316" s="68"/>
      <c r="G316" s="15"/>
      <c r="H316" s="76" t="str">
        <f aca="false">IFERROR(__xludf.dummyfunction("""COMPUTED_VALUE"""),"")</f>
        <v/>
      </c>
      <c r="I316" s="50" t="str">
        <f aca="false">IFERROR(__xludf.dummyfunction("""COMPUTED_VALUE"""),"")</f>
        <v/>
      </c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  <c r="DY316" s="15"/>
      <c r="DZ316" s="15"/>
      <c r="EA316" s="15"/>
      <c r="EB316" s="15"/>
      <c r="EC316" s="15"/>
      <c r="ED316" s="15"/>
      <c r="EE316" s="15"/>
      <c r="EF316" s="15"/>
      <c r="EG316" s="15"/>
      <c r="EH316" s="15"/>
      <c r="EI316" s="15"/>
      <c r="EJ316" s="15"/>
      <c r="EK316" s="15"/>
      <c r="EL316" s="15"/>
      <c r="EM316" s="15"/>
      <c r="EN316" s="15"/>
      <c r="EO316" s="15"/>
      <c r="EP316" s="15"/>
      <c r="EQ316" s="15"/>
      <c r="ER316" s="15"/>
      <c r="ES316" s="15"/>
      <c r="ET316" s="15"/>
      <c r="EU316" s="15"/>
      <c r="EV316" s="15"/>
      <c r="EW316" s="15"/>
      <c r="EX316" s="15"/>
    </row>
    <row r="317" customFormat="false" ht="15.75" hidden="false" customHeight="false" outlineLevel="0" collapsed="false">
      <c r="A317" s="76"/>
      <c r="B317" s="77"/>
      <c r="C317" s="77"/>
      <c r="D317" s="78" t="str">
        <f aca="false">IFERROR(__xludf.dummyfunction("""COMPUTED_VALUE"""),"")</f>
        <v/>
      </c>
      <c r="E317" s="72"/>
      <c r="F317" s="68"/>
      <c r="G317" s="15"/>
      <c r="H317" s="76" t="str">
        <f aca="false">IFERROR(__xludf.dummyfunction("""COMPUTED_VALUE"""),"")</f>
        <v/>
      </c>
      <c r="I317" s="50" t="str">
        <f aca="false">IFERROR(__xludf.dummyfunction("""COMPUTED_VALUE"""),"")</f>
        <v/>
      </c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  <c r="DY317" s="15"/>
      <c r="DZ317" s="15"/>
      <c r="EA317" s="15"/>
      <c r="EB317" s="15"/>
      <c r="EC317" s="15"/>
      <c r="ED317" s="15"/>
      <c r="EE317" s="15"/>
      <c r="EF317" s="15"/>
      <c r="EG317" s="15"/>
      <c r="EH317" s="15"/>
      <c r="EI317" s="15"/>
      <c r="EJ317" s="15"/>
      <c r="EK317" s="15"/>
      <c r="EL317" s="15"/>
      <c r="EM317" s="15"/>
      <c r="EN317" s="15"/>
      <c r="EO317" s="15"/>
      <c r="EP317" s="15"/>
      <c r="EQ317" s="15"/>
      <c r="ER317" s="15"/>
      <c r="ES317" s="15"/>
      <c r="ET317" s="15"/>
      <c r="EU317" s="15"/>
      <c r="EV317" s="15"/>
      <c r="EW317" s="15"/>
      <c r="EX317" s="15"/>
    </row>
    <row r="318" customFormat="false" ht="15.75" hidden="false" customHeight="false" outlineLevel="0" collapsed="false">
      <c r="A318" s="76"/>
      <c r="B318" s="77"/>
      <c r="C318" s="77"/>
      <c r="D318" s="78" t="str">
        <f aca="false">IFERROR(__xludf.dummyfunction("""COMPUTED_VALUE"""),"")</f>
        <v/>
      </c>
      <c r="E318" s="72"/>
      <c r="F318" s="68"/>
      <c r="G318" s="15"/>
      <c r="H318" s="76" t="str">
        <f aca="false">IFERROR(__xludf.dummyfunction("""COMPUTED_VALUE"""),"")</f>
        <v/>
      </c>
      <c r="I318" s="50" t="str">
        <f aca="false">IFERROR(__xludf.dummyfunction("""COMPUTED_VALUE"""),"")</f>
        <v/>
      </c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  <c r="DY318" s="15"/>
      <c r="DZ318" s="15"/>
      <c r="EA318" s="15"/>
      <c r="EB318" s="15"/>
      <c r="EC318" s="15"/>
      <c r="ED318" s="15"/>
      <c r="EE318" s="15"/>
      <c r="EF318" s="15"/>
      <c r="EG318" s="15"/>
      <c r="EH318" s="15"/>
      <c r="EI318" s="15"/>
      <c r="EJ318" s="15"/>
      <c r="EK318" s="15"/>
      <c r="EL318" s="15"/>
      <c r="EM318" s="15"/>
      <c r="EN318" s="15"/>
      <c r="EO318" s="15"/>
      <c r="EP318" s="15"/>
      <c r="EQ318" s="15"/>
      <c r="ER318" s="15"/>
      <c r="ES318" s="15"/>
      <c r="ET318" s="15"/>
      <c r="EU318" s="15"/>
      <c r="EV318" s="15"/>
      <c r="EW318" s="15"/>
      <c r="EX318" s="15"/>
    </row>
    <row r="319" customFormat="false" ht="15.75" hidden="false" customHeight="false" outlineLevel="0" collapsed="false">
      <c r="A319" s="76"/>
      <c r="B319" s="77"/>
      <c r="C319" s="77"/>
      <c r="D319" s="78" t="str">
        <f aca="false">IFERROR(__xludf.dummyfunction("""COMPUTED_VALUE"""),"")</f>
        <v/>
      </c>
      <c r="E319" s="72"/>
      <c r="F319" s="68"/>
      <c r="G319" s="15"/>
      <c r="H319" s="76" t="str">
        <f aca="false">IFERROR(__xludf.dummyfunction("""COMPUTED_VALUE"""),"")</f>
        <v/>
      </c>
      <c r="I319" s="50" t="str">
        <f aca="false">IFERROR(__xludf.dummyfunction("""COMPUTED_VALUE"""),"")</f>
        <v/>
      </c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  <c r="DY319" s="15"/>
      <c r="DZ319" s="15"/>
      <c r="EA319" s="15"/>
      <c r="EB319" s="15"/>
      <c r="EC319" s="15"/>
      <c r="ED319" s="15"/>
      <c r="EE319" s="15"/>
      <c r="EF319" s="15"/>
      <c r="EG319" s="15"/>
      <c r="EH319" s="15"/>
      <c r="EI319" s="15"/>
      <c r="EJ319" s="15"/>
      <c r="EK319" s="15"/>
      <c r="EL319" s="15"/>
      <c r="EM319" s="15"/>
      <c r="EN319" s="15"/>
      <c r="EO319" s="15"/>
      <c r="EP319" s="15"/>
      <c r="EQ319" s="15"/>
      <c r="ER319" s="15"/>
      <c r="ES319" s="15"/>
      <c r="ET319" s="15"/>
      <c r="EU319" s="15"/>
      <c r="EV319" s="15"/>
      <c r="EW319" s="15"/>
      <c r="EX319" s="15"/>
    </row>
    <row r="320" customFormat="false" ht="15.75" hidden="false" customHeight="false" outlineLevel="0" collapsed="false">
      <c r="A320" s="76"/>
      <c r="B320" s="77"/>
      <c r="C320" s="77"/>
      <c r="D320" s="78" t="str">
        <f aca="false">IFERROR(__xludf.dummyfunction("""COMPUTED_VALUE"""),"")</f>
        <v/>
      </c>
      <c r="E320" s="72"/>
      <c r="F320" s="68"/>
      <c r="G320" s="15"/>
      <c r="H320" s="76" t="str">
        <f aca="false">IFERROR(__xludf.dummyfunction("""COMPUTED_VALUE"""),"")</f>
        <v/>
      </c>
      <c r="I320" s="50" t="str">
        <f aca="false">IFERROR(__xludf.dummyfunction("""COMPUTED_VALUE"""),"")</f>
        <v/>
      </c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  <c r="DY320" s="15"/>
      <c r="DZ320" s="15"/>
      <c r="EA320" s="15"/>
      <c r="EB320" s="15"/>
      <c r="EC320" s="15"/>
      <c r="ED320" s="15"/>
      <c r="EE320" s="15"/>
      <c r="EF320" s="15"/>
      <c r="EG320" s="15"/>
      <c r="EH320" s="15"/>
      <c r="EI320" s="15"/>
      <c r="EJ320" s="15"/>
      <c r="EK320" s="15"/>
      <c r="EL320" s="15"/>
      <c r="EM320" s="15"/>
      <c r="EN320" s="15"/>
      <c r="EO320" s="15"/>
      <c r="EP320" s="15"/>
      <c r="EQ320" s="15"/>
      <c r="ER320" s="15"/>
      <c r="ES320" s="15"/>
      <c r="ET320" s="15"/>
      <c r="EU320" s="15"/>
      <c r="EV320" s="15"/>
      <c r="EW320" s="15"/>
      <c r="EX320" s="15"/>
    </row>
    <row r="321" customFormat="false" ht="15.75" hidden="false" customHeight="false" outlineLevel="0" collapsed="false">
      <c r="A321" s="76"/>
      <c r="B321" s="77"/>
      <c r="C321" s="77"/>
      <c r="D321" s="78" t="str">
        <f aca="false">IFERROR(__xludf.dummyfunction("""COMPUTED_VALUE"""),"")</f>
        <v/>
      </c>
      <c r="E321" s="72"/>
      <c r="F321" s="68"/>
      <c r="G321" s="15"/>
      <c r="H321" s="76" t="str">
        <f aca="false">IFERROR(__xludf.dummyfunction("""COMPUTED_VALUE"""),"")</f>
        <v/>
      </c>
      <c r="I321" s="50" t="str">
        <f aca="false">IFERROR(__xludf.dummyfunction("""COMPUTED_VALUE"""),"")</f>
        <v/>
      </c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  <c r="DY321" s="15"/>
      <c r="DZ321" s="15"/>
      <c r="EA321" s="15"/>
      <c r="EB321" s="15"/>
      <c r="EC321" s="15"/>
      <c r="ED321" s="15"/>
      <c r="EE321" s="15"/>
      <c r="EF321" s="15"/>
      <c r="EG321" s="15"/>
      <c r="EH321" s="15"/>
      <c r="EI321" s="15"/>
      <c r="EJ321" s="15"/>
      <c r="EK321" s="15"/>
      <c r="EL321" s="15"/>
      <c r="EM321" s="15"/>
      <c r="EN321" s="15"/>
      <c r="EO321" s="15"/>
      <c r="EP321" s="15"/>
      <c r="EQ321" s="15"/>
      <c r="ER321" s="15"/>
      <c r="ES321" s="15"/>
      <c r="ET321" s="15"/>
      <c r="EU321" s="15"/>
      <c r="EV321" s="15"/>
      <c r="EW321" s="15"/>
      <c r="EX321" s="15"/>
    </row>
    <row r="322" customFormat="false" ht="15.75" hidden="false" customHeight="false" outlineLevel="0" collapsed="false">
      <c r="A322" s="76"/>
      <c r="B322" s="77"/>
      <c r="C322" s="77"/>
      <c r="D322" s="78" t="str">
        <f aca="false">IFERROR(__xludf.dummyfunction("""COMPUTED_VALUE"""),"")</f>
        <v/>
      </c>
      <c r="E322" s="72"/>
      <c r="F322" s="68"/>
      <c r="G322" s="15"/>
      <c r="H322" s="76" t="str">
        <f aca="false">IFERROR(__xludf.dummyfunction("""COMPUTED_VALUE"""),"")</f>
        <v/>
      </c>
      <c r="I322" s="50" t="str">
        <f aca="false">IFERROR(__xludf.dummyfunction("""COMPUTED_VALUE"""),"")</f>
        <v/>
      </c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</row>
    <row r="323" customFormat="false" ht="15.75" hidden="false" customHeight="false" outlineLevel="0" collapsed="false">
      <c r="A323" s="76"/>
      <c r="B323" s="77"/>
      <c r="C323" s="77"/>
      <c r="D323" s="78" t="str">
        <f aca="false">IFERROR(__xludf.dummyfunction("""COMPUTED_VALUE"""),"")</f>
        <v/>
      </c>
      <c r="E323" s="72"/>
      <c r="F323" s="68"/>
      <c r="G323" s="15"/>
      <c r="H323" s="76" t="str">
        <f aca="false">IFERROR(__xludf.dummyfunction("""COMPUTED_VALUE"""),"")</f>
        <v/>
      </c>
      <c r="I323" s="50" t="str">
        <f aca="false">IFERROR(__xludf.dummyfunction("""COMPUTED_VALUE"""),"")</f>
        <v/>
      </c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  <c r="DY323" s="15"/>
      <c r="DZ323" s="15"/>
      <c r="EA323" s="15"/>
      <c r="EB323" s="15"/>
      <c r="EC323" s="15"/>
      <c r="ED323" s="15"/>
      <c r="EE323" s="15"/>
      <c r="EF323" s="15"/>
      <c r="EG323" s="15"/>
      <c r="EH323" s="15"/>
      <c r="EI323" s="15"/>
      <c r="EJ323" s="15"/>
      <c r="EK323" s="15"/>
      <c r="EL323" s="15"/>
      <c r="EM323" s="15"/>
      <c r="EN323" s="15"/>
      <c r="EO323" s="15"/>
      <c r="EP323" s="15"/>
      <c r="EQ323" s="15"/>
      <c r="ER323" s="15"/>
      <c r="ES323" s="15"/>
      <c r="ET323" s="15"/>
      <c r="EU323" s="15"/>
      <c r="EV323" s="15"/>
      <c r="EW323" s="15"/>
      <c r="EX323" s="15"/>
    </row>
    <row r="324" customFormat="false" ht="15.75" hidden="false" customHeight="false" outlineLevel="0" collapsed="false">
      <c r="A324" s="76"/>
      <c r="B324" s="77"/>
      <c r="C324" s="77"/>
      <c r="D324" s="78" t="str">
        <f aca="false">IFERROR(__xludf.dummyfunction("""COMPUTED_VALUE"""),"")</f>
        <v/>
      </c>
      <c r="E324" s="72"/>
      <c r="F324" s="68"/>
      <c r="G324" s="15"/>
      <c r="H324" s="76" t="str">
        <f aca="false">IFERROR(__xludf.dummyfunction("""COMPUTED_VALUE"""),"")</f>
        <v/>
      </c>
      <c r="I324" s="50" t="str">
        <f aca="false">IFERROR(__xludf.dummyfunction("""COMPUTED_VALUE"""),"")</f>
        <v/>
      </c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  <c r="DY324" s="15"/>
      <c r="DZ324" s="15"/>
      <c r="EA324" s="15"/>
      <c r="EB324" s="15"/>
      <c r="EC324" s="15"/>
      <c r="ED324" s="15"/>
      <c r="EE324" s="15"/>
      <c r="EF324" s="15"/>
      <c r="EG324" s="15"/>
      <c r="EH324" s="15"/>
      <c r="EI324" s="15"/>
      <c r="EJ324" s="15"/>
      <c r="EK324" s="15"/>
      <c r="EL324" s="15"/>
      <c r="EM324" s="15"/>
      <c r="EN324" s="15"/>
      <c r="EO324" s="15"/>
      <c r="EP324" s="15"/>
      <c r="EQ324" s="15"/>
      <c r="ER324" s="15"/>
      <c r="ES324" s="15"/>
      <c r="ET324" s="15"/>
      <c r="EU324" s="15"/>
      <c r="EV324" s="15"/>
      <c r="EW324" s="15"/>
      <c r="EX324" s="15"/>
    </row>
    <row r="325" customFormat="false" ht="15.75" hidden="false" customHeight="false" outlineLevel="0" collapsed="false">
      <c r="A325" s="76"/>
      <c r="B325" s="77"/>
      <c r="C325" s="77"/>
      <c r="D325" s="78" t="str">
        <f aca="false">IFERROR(__xludf.dummyfunction("""COMPUTED_VALUE"""),"")</f>
        <v/>
      </c>
      <c r="E325" s="72"/>
      <c r="F325" s="68"/>
      <c r="G325" s="15"/>
      <c r="H325" s="76" t="str">
        <f aca="false">IFERROR(__xludf.dummyfunction("""COMPUTED_VALUE"""),"")</f>
        <v/>
      </c>
      <c r="I325" s="50" t="str">
        <f aca="false">IFERROR(__xludf.dummyfunction("""COMPUTED_VALUE"""),"")</f>
        <v/>
      </c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  <c r="DY325" s="15"/>
      <c r="DZ325" s="15"/>
      <c r="EA325" s="15"/>
      <c r="EB325" s="15"/>
      <c r="EC325" s="15"/>
      <c r="ED325" s="15"/>
      <c r="EE325" s="15"/>
      <c r="EF325" s="15"/>
      <c r="EG325" s="15"/>
      <c r="EH325" s="15"/>
      <c r="EI325" s="15"/>
      <c r="EJ325" s="15"/>
      <c r="EK325" s="15"/>
      <c r="EL325" s="15"/>
      <c r="EM325" s="15"/>
      <c r="EN325" s="15"/>
      <c r="EO325" s="15"/>
      <c r="EP325" s="15"/>
      <c r="EQ325" s="15"/>
      <c r="ER325" s="15"/>
      <c r="ES325" s="15"/>
      <c r="ET325" s="15"/>
      <c r="EU325" s="15"/>
      <c r="EV325" s="15"/>
      <c r="EW325" s="15"/>
      <c r="EX325" s="15"/>
    </row>
    <row r="326" customFormat="false" ht="15.75" hidden="false" customHeight="false" outlineLevel="0" collapsed="false">
      <c r="A326" s="76"/>
      <c r="B326" s="77"/>
      <c r="C326" s="77"/>
      <c r="D326" s="78" t="str">
        <f aca="false">IFERROR(__xludf.dummyfunction("""COMPUTED_VALUE"""),"")</f>
        <v/>
      </c>
      <c r="E326" s="72"/>
      <c r="F326" s="68"/>
      <c r="G326" s="15"/>
      <c r="H326" s="76" t="str">
        <f aca="false">IFERROR(__xludf.dummyfunction("""COMPUTED_VALUE"""),"")</f>
        <v/>
      </c>
      <c r="I326" s="50" t="str">
        <f aca="false">IFERROR(__xludf.dummyfunction("""COMPUTED_VALUE"""),"")</f>
        <v/>
      </c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  <c r="DY326" s="15"/>
      <c r="DZ326" s="15"/>
      <c r="EA326" s="15"/>
      <c r="EB326" s="15"/>
      <c r="EC326" s="15"/>
      <c r="ED326" s="15"/>
      <c r="EE326" s="15"/>
      <c r="EF326" s="15"/>
      <c r="EG326" s="15"/>
      <c r="EH326" s="15"/>
      <c r="EI326" s="15"/>
      <c r="EJ326" s="15"/>
      <c r="EK326" s="15"/>
      <c r="EL326" s="15"/>
      <c r="EM326" s="15"/>
      <c r="EN326" s="15"/>
      <c r="EO326" s="15"/>
      <c r="EP326" s="15"/>
      <c r="EQ326" s="15"/>
      <c r="ER326" s="15"/>
      <c r="ES326" s="15"/>
      <c r="ET326" s="15"/>
      <c r="EU326" s="15"/>
      <c r="EV326" s="15"/>
      <c r="EW326" s="15"/>
      <c r="EX326" s="15"/>
    </row>
    <row r="327" customFormat="false" ht="15.75" hidden="false" customHeight="false" outlineLevel="0" collapsed="false">
      <c r="A327" s="76"/>
      <c r="B327" s="77"/>
      <c r="C327" s="77"/>
      <c r="D327" s="78" t="str">
        <f aca="false">IFERROR(__xludf.dummyfunction("""COMPUTED_VALUE"""),"")</f>
        <v/>
      </c>
      <c r="E327" s="72"/>
      <c r="F327" s="68"/>
      <c r="G327" s="15"/>
      <c r="H327" s="76" t="str">
        <f aca="false">IFERROR(__xludf.dummyfunction("""COMPUTED_VALUE"""),"")</f>
        <v/>
      </c>
      <c r="I327" s="50" t="str">
        <f aca="false">IFERROR(__xludf.dummyfunction("""COMPUTED_VALUE"""),"")</f>
        <v/>
      </c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  <c r="DY327" s="15"/>
      <c r="DZ327" s="15"/>
      <c r="EA327" s="15"/>
      <c r="EB327" s="15"/>
      <c r="EC327" s="15"/>
      <c r="ED327" s="15"/>
      <c r="EE327" s="15"/>
      <c r="EF327" s="15"/>
      <c r="EG327" s="15"/>
      <c r="EH327" s="15"/>
      <c r="EI327" s="15"/>
      <c r="EJ327" s="15"/>
      <c r="EK327" s="15"/>
      <c r="EL327" s="15"/>
      <c r="EM327" s="15"/>
      <c r="EN327" s="15"/>
      <c r="EO327" s="15"/>
      <c r="EP327" s="15"/>
      <c r="EQ327" s="15"/>
      <c r="ER327" s="15"/>
      <c r="ES327" s="15"/>
      <c r="ET327" s="15"/>
      <c r="EU327" s="15"/>
      <c r="EV327" s="15"/>
      <c r="EW327" s="15"/>
      <c r="EX327" s="15"/>
    </row>
    <row r="328" customFormat="false" ht="15.75" hidden="false" customHeight="false" outlineLevel="0" collapsed="false">
      <c r="A328" s="76"/>
      <c r="B328" s="77"/>
      <c r="C328" s="77"/>
      <c r="D328" s="78" t="str">
        <f aca="false">IFERROR(__xludf.dummyfunction("""COMPUTED_VALUE"""),"")</f>
        <v/>
      </c>
      <c r="E328" s="72"/>
      <c r="F328" s="68"/>
      <c r="G328" s="15"/>
      <c r="H328" s="76" t="str">
        <f aca="false">IFERROR(__xludf.dummyfunction("""COMPUTED_VALUE"""),"")</f>
        <v/>
      </c>
      <c r="I328" s="50" t="str">
        <f aca="false">IFERROR(__xludf.dummyfunction("""COMPUTED_VALUE"""),"")</f>
        <v/>
      </c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  <c r="DY328" s="15"/>
      <c r="DZ328" s="15"/>
      <c r="EA328" s="15"/>
      <c r="EB328" s="15"/>
      <c r="EC328" s="15"/>
      <c r="ED328" s="15"/>
      <c r="EE328" s="15"/>
      <c r="EF328" s="15"/>
      <c r="EG328" s="15"/>
      <c r="EH328" s="15"/>
      <c r="EI328" s="15"/>
      <c r="EJ328" s="15"/>
      <c r="EK328" s="15"/>
      <c r="EL328" s="15"/>
      <c r="EM328" s="15"/>
      <c r="EN328" s="15"/>
      <c r="EO328" s="15"/>
      <c r="EP328" s="15"/>
      <c r="EQ328" s="15"/>
      <c r="ER328" s="15"/>
      <c r="ES328" s="15"/>
      <c r="ET328" s="15"/>
      <c r="EU328" s="15"/>
      <c r="EV328" s="15"/>
      <c r="EW328" s="15"/>
      <c r="EX328" s="15"/>
    </row>
    <row r="329" customFormat="false" ht="15.75" hidden="false" customHeight="false" outlineLevel="0" collapsed="false">
      <c r="A329" s="76"/>
      <c r="B329" s="77"/>
      <c r="C329" s="77"/>
      <c r="D329" s="78" t="str">
        <f aca="false">IFERROR(__xludf.dummyfunction("""COMPUTED_VALUE"""),"")</f>
        <v/>
      </c>
      <c r="E329" s="72"/>
      <c r="F329" s="68"/>
      <c r="G329" s="15"/>
      <c r="H329" s="76" t="str">
        <f aca="false">IFERROR(__xludf.dummyfunction("""COMPUTED_VALUE"""),"")</f>
        <v/>
      </c>
      <c r="I329" s="50" t="str">
        <f aca="false">IFERROR(__xludf.dummyfunction("""COMPUTED_VALUE"""),"")</f>
        <v/>
      </c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  <c r="DY329" s="15"/>
      <c r="DZ329" s="15"/>
      <c r="EA329" s="15"/>
      <c r="EB329" s="15"/>
      <c r="EC329" s="15"/>
      <c r="ED329" s="15"/>
      <c r="EE329" s="15"/>
      <c r="EF329" s="15"/>
      <c r="EG329" s="15"/>
      <c r="EH329" s="15"/>
      <c r="EI329" s="15"/>
      <c r="EJ329" s="15"/>
      <c r="EK329" s="15"/>
      <c r="EL329" s="15"/>
      <c r="EM329" s="15"/>
      <c r="EN329" s="15"/>
      <c r="EO329" s="15"/>
      <c r="EP329" s="15"/>
      <c r="EQ329" s="15"/>
      <c r="ER329" s="15"/>
      <c r="ES329" s="15"/>
      <c r="ET329" s="15"/>
      <c r="EU329" s="15"/>
      <c r="EV329" s="15"/>
      <c r="EW329" s="15"/>
      <c r="EX329" s="15"/>
    </row>
    <row r="330" customFormat="false" ht="15.75" hidden="false" customHeight="false" outlineLevel="0" collapsed="false">
      <c r="A330" s="76"/>
      <c r="B330" s="77"/>
      <c r="C330" s="77"/>
      <c r="D330" s="78" t="str">
        <f aca="false">IFERROR(__xludf.dummyfunction("""COMPUTED_VALUE"""),"")</f>
        <v/>
      </c>
      <c r="E330" s="72"/>
      <c r="F330" s="68"/>
      <c r="G330" s="15"/>
      <c r="H330" s="76" t="str">
        <f aca="false">IFERROR(__xludf.dummyfunction("""COMPUTED_VALUE"""),"")</f>
        <v/>
      </c>
      <c r="I330" s="50" t="str">
        <f aca="false">IFERROR(__xludf.dummyfunction("""COMPUTED_VALUE"""),"")</f>
        <v/>
      </c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</row>
    <row r="331" customFormat="false" ht="15.75" hidden="false" customHeight="false" outlineLevel="0" collapsed="false">
      <c r="A331" s="76"/>
      <c r="B331" s="77"/>
      <c r="C331" s="77"/>
      <c r="D331" s="78" t="str">
        <f aca="false">IFERROR(__xludf.dummyfunction("""COMPUTED_VALUE"""),"")</f>
        <v/>
      </c>
      <c r="E331" s="72"/>
      <c r="F331" s="68"/>
      <c r="G331" s="15"/>
      <c r="H331" s="76" t="str">
        <f aca="false">IFERROR(__xludf.dummyfunction("""COMPUTED_VALUE"""),"")</f>
        <v/>
      </c>
      <c r="I331" s="50" t="str">
        <f aca="false">IFERROR(__xludf.dummyfunction("""COMPUTED_VALUE"""),"")</f>
        <v/>
      </c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  <c r="DY331" s="15"/>
      <c r="DZ331" s="15"/>
      <c r="EA331" s="15"/>
      <c r="EB331" s="15"/>
      <c r="EC331" s="15"/>
      <c r="ED331" s="15"/>
      <c r="EE331" s="15"/>
      <c r="EF331" s="15"/>
      <c r="EG331" s="15"/>
      <c r="EH331" s="15"/>
      <c r="EI331" s="15"/>
      <c r="EJ331" s="15"/>
      <c r="EK331" s="15"/>
      <c r="EL331" s="15"/>
      <c r="EM331" s="15"/>
      <c r="EN331" s="15"/>
      <c r="EO331" s="15"/>
      <c r="EP331" s="15"/>
      <c r="EQ331" s="15"/>
      <c r="ER331" s="15"/>
      <c r="ES331" s="15"/>
      <c r="ET331" s="15"/>
      <c r="EU331" s="15"/>
      <c r="EV331" s="15"/>
      <c r="EW331" s="15"/>
      <c r="EX331" s="15"/>
    </row>
    <row r="332" customFormat="false" ht="15.75" hidden="false" customHeight="false" outlineLevel="0" collapsed="false">
      <c r="A332" s="76"/>
      <c r="B332" s="77"/>
      <c r="C332" s="77"/>
      <c r="D332" s="78" t="str">
        <f aca="false">IFERROR(__xludf.dummyfunction("""COMPUTED_VALUE"""),"")</f>
        <v/>
      </c>
      <c r="E332" s="72"/>
      <c r="F332" s="68"/>
      <c r="G332" s="15"/>
      <c r="H332" s="76" t="str">
        <f aca="false">IFERROR(__xludf.dummyfunction("""COMPUTED_VALUE"""),"")</f>
        <v/>
      </c>
      <c r="I332" s="50" t="str">
        <f aca="false">IFERROR(__xludf.dummyfunction("""COMPUTED_VALUE"""),"")</f>
        <v/>
      </c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  <c r="DY332" s="15"/>
      <c r="DZ332" s="15"/>
      <c r="EA332" s="15"/>
      <c r="EB332" s="15"/>
      <c r="EC332" s="15"/>
      <c r="ED332" s="15"/>
      <c r="EE332" s="15"/>
      <c r="EF332" s="15"/>
      <c r="EG332" s="15"/>
      <c r="EH332" s="15"/>
      <c r="EI332" s="15"/>
      <c r="EJ332" s="15"/>
      <c r="EK332" s="15"/>
      <c r="EL332" s="15"/>
      <c r="EM332" s="15"/>
      <c r="EN332" s="15"/>
      <c r="EO332" s="15"/>
      <c r="EP332" s="15"/>
      <c r="EQ332" s="15"/>
      <c r="ER332" s="15"/>
      <c r="ES332" s="15"/>
      <c r="ET332" s="15"/>
      <c r="EU332" s="15"/>
      <c r="EV332" s="15"/>
      <c r="EW332" s="15"/>
      <c r="EX332" s="15"/>
    </row>
    <row r="333" customFormat="false" ht="15.75" hidden="false" customHeight="false" outlineLevel="0" collapsed="false">
      <c r="A333" s="76"/>
      <c r="B333" s="77"/>
      <c r="C333" s="77"/>
      <c r="D333" s="78" t="str">
        <f aca="false">IFERROR(__xludf.dummyfunction("""COMPUTED_VALUE"""),"")</f>
        <v/>
      </c>
      <c r="E333" s="72"/>
      <c r="F333" s="68"/>
      <c r="G333" s="15"/>
      <c r="H333" s="76" t="str">
        <f aca="false">IFERROR(__xludf.dummyfunction("""COMPUTED_VALUE"""),"")</f>
        <v/>
      </c>
      <c r="I333" s="50" t="str">
        <f aca="false">IFERROR(__xludf.dummyfunction("""COMPUTED_VALUE"""),"")</f>
        <v/>
      </c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  <c r="DY333" s="15"/>
      <c r="DZ333" s="15"/>
      <c r="EA333" s="15"/>
      <c r="EB333" s="15"/>
      <c r="EC333" s="15"/>
      <c r="ED333" s="15"/>
      <c r="EE333" s="15"/>
      <c r="EF333" s="15"/>
      <c r="EG333" s="15"/>
      <c r="EH333" s="15"/>
      <c r="EI333" s="15"/>
      <c r="EJ333" s="15"/>
      <c r="EK333" s="15"/>
      <c r="EL333" s="15"/>
      <c r="EM333" s="15"/>
      <c r="EN333" s="15"/>
      <c r="EO333" s="15"/>
      <c r="EP333" s="15"/>
      <c r="EQ333" s="15"/>
      <c r="ER333" s="15"/>
      <c r="ES333" s="15"/>
      <c r="ET333" s="15"/>
      <c r="EU333" s="15"/>
      <c r="EV333" s="15"/>
      <c r="EW333" s="15"/>
      <c r="EX333" s="15"/>
    </row>
    <row r="334" customFormat="false" ht="15.75" hidden="false" customHeight="false" outlineLevel="0" collapsed="false">
      <c r="A334" s="76"/>
      <c r="B334" s="77"/>
      <c r="C334" s="77"/>
      <c r="D334" s="78" t="str">
        <f aca="false">IFERROR(__xludf.dummyfunction("""COMPUTED_VALUE"""),"")</f>
        <v/>
      </c>
      <c r="E334" s="72"/>
      <c r="F334" s="68"/>
      <c r="G334" s="15"/>
      <c r="H334" s="76" t="str">
        <f aca="false">IFERROR(__xludf.dummyfunction("""COMPUTED_VALUE"""),"")</f>
        <v/>
      </c>
      <c r="I334" s="50" t="str">
        <f aca="false">IFERROR(__xludf.dummyfunction("""COMPUTED_VALUE"""),"")</f>
        <v/>
      </c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  <c r="DY334" s="15"/>
      <c r="DZ334" s="15"/>
      <c r="EA334" s="15"/>
      <c r="EB334" s="15"/>
      <c r="EC334" s="15"/>
      <c r="ED334" s="15"/>
      <c r="EE334" s="15"/>
      <c r="EF334" s="15"/>
      <c r="EG334" s="15"/>
      <c r="EH334" s="15"/>
      <c r="EI334" s="15"/>
      <c r="EJ334" s="15"/>
      <c r="EK334" s="15"/>
      <c r="EL334" s="15"/>
      <c r="EM334" s="15"/>
      <c r="EN334" s="15"/>
      <c r="EO334" s="15"/>
      <c r="EP334" s="15"/>
      <c r="EQ334" s="15"/>
      <c r="ER334" s="15"/>
      <c r="ES334" s="15"/>
      <c r="ET334" s="15"/>
      <c r="EU334" s="15"/>
      <c r="EV334" s="15"/>
      <c r="EW334" s="15"/>
      <c r="EX334" s="15"/>
    </row>
    <row r="335" customFormat="false" ht="15.75" hidden="false" customHeight="false" outlineLevel="0" collapsed="false">
      <c r="A335" s="76"/>
      <c r="B335" s="77"/>
      <c r="C335" s="77"/>
      <c r="D335" s="78" t="str">
        <f aca="false">IFERROR(__xludf.dummyfunction("""COMPUTED_VALUE"""),"")</f>
        <v/>
      </c>
      <c r="E335" s="72"/>
      <c r="F335" s="68"/>
      <c r="G335" s="15"/>
      <c r="H335" s="76" t="str">
        <f aca="false">IFERROR(__xludf.dummyfunction("""COMPUTED_VALUE"""),"")</f>
        <v/>
      </c>
      <c r="I335" s="50" t="str">
        <f aca="false">IFERROR(__xludf.dummyfunction("""COMPUTED_VALUE"""),"")</f>
        <v/>
      </c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  <c r="DY335" s="15"/>
      <c r="DZ335" s="15"/>
      <c r="EA335" s="15"/>
      <c r="EB335" s="15"/>
      <c r="EC335" s="15"/>
      <c r="ED335" s="15"/>
      <c r="EE335" s="15"/>
      <c r="EF335" s="15"/>
      <c r="EG335" s="15"/>
      <c r="EH335" s="15"/>
      <c r="EI335" s="15"/>
      <c r="EJ335" s="15"/>
      <c r="EK335" s="15"/>
      <c r="EL335" s="15"/>
      <c r="EM335" s="15"/>
      <c r="EN335" s="15"/>
      <c r="EO335" s="15"/>
      <c r="EP335" s="15"/>
      <c r="EQ335" s="15"/>
      <c r="ER335" s="15"/>
      <c r="ES335" s="15"/>
      <c r="ET335" s="15"/>
      <c r="EU335" s="15"/>
      <c r="EV335" s="15"/>
      <c r="EW335" s="15"/>
      <c r="EX335" s="15"/>
    </row>
    <row r="336" customFormat="false" ht="15.75" hidden="false" customHeight="false" outlineLevel="0" collapsed="false">
      <c r="A336" s="76"/>
      <c r="B336" s="77"/>
      <c r="C336" s="77"/>
      <c r="D336" s="78" t="str">
        <f aca="false">IFERROR(__xludf.dummyfunction("""COMPUTED_VALUE"""),"")</f>
        <v/>
      </c>
      <c r="E336" s="72"/>
      <c r="F336" s="68"/>
      <c r="G336" s="15"/>
      <c r="H336" s="76" t="str">
        <f aca="false">IFERROR(__xludf.dummyfunction("""COMPUTED_VALUE"""),"")</f>
        <v/>
      </c>
      <c r="I336" s="50" t="str">
        <f aca="false">IFERROR(__xludf.dummyfunction("""COMPUTED_VALUE"""),"")</f>
        <v/>
      </c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  <c r="DY336" s="15"/>
      <c r="DZ336" s="15"/>
      <c r="EA336" s="15"/>
      <c r="EB336" s="15"/>
      <c r="EC336" s="15"/>
      <c r="ED336" s="15"/>
      <c r="EE336" s="15"/>
      <c r="EF336" s="15"/>
      <c r="EG336" s="15"/>
      <c r="EH336" s="15"/>
      <c r="EI336" s="15"/>
      <c r="EJ336" s="15"/>
      <c r="EK336" s="15"/>
      <c r="EL336" s="15"/>
      <c r="EM336" s="15"/>
      <c r="EN336" s="15"/>
      <c r="EO336" s="15"/>
      <c r="EP336" s="15"/>
      <c r="EQ336" s="15"/>
      <c r="ER336" s="15"/>
      <c r="ES336" s="15"/>
      <c r="ET336" s="15"/>
      <c r="EU336" s="15"/>
      <c r="EV336" s="15"/>
      <c r="EW336" s="15"/>
      <c r="EX336" s="15"/>
    </row>
    <row r="337" customFormat="false" ht="15.75" hidden="false" customHeight="false" outlineLevel="0" collapsed="false">
      <c r="A337" s="76"/>
      <c r="B337" s="77"/>
      <c r="C337" s="77"/>
      <c r="D337" s="78" t="str">
        <f aca="false">IFERROR(__xludf.dummyfunction("""COMPUTED_VALUE"""),"")</f>
        <v/>
      </c>
      <c r="E337" s="72"/>
      <c r="F337" s="68"/>
      <c r="G337" s="15"/>
      <c r="H337" s="76" t="str">
        <f aca="false">IFERROR(__xludf.dummyfunction("""COMPUTED_VALUE"""),"")</f>
        <v/>
      </c>
      <c r="I337" s="50" t="str">
        <f aca="false">IFERROR(__xludf.dummyfunction("""COMPUTED_VALUE"""),"")</f>
        <v/>
      </c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  <c r="DY337" s="15"/>
      <c r="DZ337" s="15"/>
      <c r="EA337" s="15"/>
      <c r="EB337" s="15"/>
      <c r="EC337" s="15"/>
      <c r="ED337" s="15"/>
      <c r="EE337" s="15"/>
      <c r="EF337" s="15"/>
      <c r="EG337" s="15"/>
      <c r="EH337" s="15"/>
      <c r="EI337" s="15"/>
      <c r="EJ337" s="15"/>
      <c r="EK337" s="15"/>
      <c r="EL337" s="15"/>
      <c r="EM337" s="15"/>
      <c r="EN337" s="15"/>
      <c r="EO337" s="15"/>
      <c r="EP337" s="15"/>
      <c r="EQ337" s="15"/>
      <c r="ER337" s="15"/>
      <c r="ES337" s="15"/>
      <c r="ET337" s="15"/>
      <c r="EU337" s="15"/>
      <c r="EV337" s="15"/>
      <c r="EW337" s="15"/>
      <c r="EX337" s="15"/>
    </row>
    <row r="338" customFormat="false" ht="15.75" hidden="false" customHeight="false" outlineLevel="0" collapsed="false">
      <c r="A338" s="76"/>
      <c r="B338" s="77"/>
      <c r="C338" s="77"/>
      <c r="D338" s="78" t="str">
        <f aca="false">IFERROR(__xludf.dummyfunction("""COMPUTED_VALUE"""),"")</f>
        <v/>
      </c>
      <c r="E338" s="72"/>
      <c r="F338" s="68"/>
      <c r="G338" s="15"/>
      <c r="H338" s="76" t="str">
        <f aca="false">IFERROR(__xludf.dummyfunction("""COMPUTED_VALUE"""),"")</f>
        <v/>
      </c>
      <c r="I338" s="50" t="str">
        <f aca="false">IFERROR(__xludf.dummyfunction("""COMPUTED_VALUE"""),"")</f>
        <v/>
      </c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</row>
    <row r="339" customFormat="false" ht="15.75" hidden="false" customHeight="false" outlineLevel="0" collapsed="false">
      <c r="A339" s="76"/>
      <c r="B339" s="77"/>
      <c r="C339" s="77"/>
      <c r="D339" s="78" t="str">
        <f aca="false">IFERROR(__xludf.dummyfunction("""COMPUTED_VALUE"""),"")</f>
        <v/>
      </c>
      <c r="E339" s="72"/>
      <c r="F339" s="68"/>
      <c r="G339" s="15"/>
      <c r="H339" s="76" t="str">
        <f aca="false">IFERROR(__xludf.dummyfunction("""COMPUTED_VALUE"""),"")</f>
        <v/>
      </c>
      <c r="I339" s="50" t="str">
        <f aca="false">IFERROR(__xludf.dummyfunction("""COMPUTED_VALUE"""),"")</f>
        <v/>
      </c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  <c r="DY339" s="15"/>
      <c r="DZ339" s="15"/>
      <c r="EA339" s="15"/>
      <c r="EB339" s="15"/>
      <c r="EC339" s="15"/>
      <c r="ED339" s="15"/>
      <c r="EE339" s="15"/>
      <c r="EF339" s="15"/>
      <c r="EG339" s="15"/>
      <c r="EH339" s="15"/>
      <c r="EI339" s="15"/>
      <c r="EJ339" s="15"/>
      <c r="EK339" s="15"/>
      <c r="EL339" s="15"/>
      <c r="EM339" s="15"/>
      <c r="EN339" s="15"/>
      <c r="EO339" s="15"/>
      <c r="EP339" s="15"/>
      <c r="EQ339" s="15"/>
      <c r="ER339" s="15"/>
      <c r="ES339" s="15"/>
      <c r="ET339" s="15"/>
      <c r="EU339" s="15"/>
      <c r="EV339" s="15"/>
      <c r="EW339" s="15"/>
      <c r="EX339" s="15"/>
    </row>
    <row r="340" customFormat="false" ht="15.75" hidden="false" customHeight="false" outlineLevel="0" collapsed="false">
      <c r="A340" s="76"/>
      <c r="B340" s="77"/>
      <c r="C340" s="77"/>
      <c r="D340" s="78" t="str">
        <f aca="false">IFERROR(__xludf.dummyfunction("""COMPUTED_VALUE"""),"")</f>
        <v/>
      </c>
      <c r="E340" s="72"/>
      <c r="F340" s="68"/>
      <c r="G340" s="15"/>
      <c r="H340" s="76" t="str">
        <f aca="false">IFERROR(__xludf.dummyfunction("""COMPUTED_VALUE"""),"")</f>
        <v/>
      </c>
      <c r="I340" s="50" t="str">
        <f aca="false">IFERROR(__xludf.dummyfunction("""COMPUTED_VALUE"""),"")</f>
        <v/>
      </c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  <c r="DY340" s="15"/>
      <c r="DZ340" s="15"/>
      <c r="EA340" s="15"/>
      <c r="EB340" s="15"/>
      <c r="EC340" s="15"/>
      <c r="ED340" s="15"/>
      <c r="EE340" s="15"/>
      <c r="EF340" s="15"/>
      <c r="EG340" s="15"/>
      <c r="EH340" s="15"/>
      <c r="EI340" s="15"/>
      <c r="EJ340" s="15"/>
      <c r="EK340" s="15"/>
      <c r="EL340" s="15"/>
      <c r="EM340" s="15"/>
      <c r="EN340" s="15"/>
      <c r="EO340" s="15"/>
      <c r="EP340" s="15"/>
      <c r="EQ340" s="15"/>
      <c r="ER340" s="15"/>
      <c r="ES340" s="15"/>
      <c r="ET340" s="15"/>
      <c r="EU340" s="15"/>
      <c r="EV340" s="15"/>
      <c r="EW340" s="15"/>
      <c r="EX340" s="15"/>
    </row>
    <row r="341" customFormat="false" ht="15.75" hidden="false" customHeight="false" outlineLevel="0" collapsed="false">
      <c r="A341" s="76"/>
      <c r="B341" s="77"/>
      <c r="C341" s="77"/>
      <c r="D341" s="78" t="str">
        <f aca="false">IFERROR(__xludf.dummyfunction("""COMPUTED_VALUE"""),"")</f>
        <v/>
      </c>
      <c r="E341" s="72"/>
      <c r="F341" s="68"/>
      <c r="G341" s="15"/>
      <c r="H341" s="76" t="str">
        <f aca="false">IFERROR(__xludf.dummyfunction("""COMPUTED_VALUE"""),"")</f>
        <v/>
      </c>
      <c r="I341" s="50" t="str">
        <f aca="false">IFERROR(__xludf.dummyfunction("""COMPUTED_VALUE"""),"")</f>
        <v/>
      </c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  <c r="DY341" s="15"/>
      <c r="DZ341" s="15"/>
      <c r="EA341" s="15"/>
      <c r="EB341" s="15"/>
      <c r="EC341" s="15"/>
      <c r="ED341" s="15"/>
      <c r="EE341" s="15"/>
      <c r="EF341" s="15"/>
      <c r="EG341" s="15"/>
      <c r="EH341" s="15"/>
      <c r="EI341" s="15"/>
      <c r="EJ341" s="15"/>
      <c r="EK341" s="15"/>
      <c r="EL341" s="15"/>
      <c r="EM341" s="15"/>
      <c r="EN341" s="15"/>
      <c r="EO341" s="15"/>
      <c r="EP341" s="15"/>
      <c r="EQ341" s="15"/>
      <c r="ER341" s="15"/>
      <c r="ES341" s="15"/>
      <c r="ET341" s="15"/>
      <c r="EU341" s="15"/>
      <c r="EV341" s="15"/>
      <c r="EW341" s="15"/>
      <c r="EX341" s="15"/>
    </row>
    <row r="342" customFormat="false" ht="15.75" hidden="false" customHeight="false" outlineLevel="0" collapsed="false">
      <c r="A342" s="76"/>
      <c r="B342" s="77"/>
      <c r="C342" s="77"/>
      <c r="D342" s="78" t="str">
        <f aca="false">IFERROR(__xludf.dummyfunction("""COMPUTED_VALUE"""),"")</f>
        <v/>
      </c>
      <c r="E342" s="72"/>
      <c r="F342" s="68"/>
      <c r="G342" s="15"/>
      <c r="H342" s="76" t="str">
        <f aca="false">IFERROR(__xludf.dummyfunction("""COMPUTED_VALUE"""),"")</f>
        <v/>
      </c>
      <c r="I342" s="50" t="str">
        <f aca="false">IFERROR(__xludf.dummyfunction("""COMPUTED_VALUE"""),"")</f>
        <v/>
      </c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  <c r="DY342" s="15"/>
      <c r="DZ342" s="15"/>
      <c r="EA342" s="15"/>
      <c r="EB342" s="15"/>
      <c r="EC342" s="15"/>
      <c r="ED342" s="15"/>
      <c r="EE342" s="15"/>
      <c r="EF342" s="15"/>
      <c r="EG342" s="15"/>
      <c r="EH342" s="15"/>
      <c r="EI342" s="15"/>
      <c r="EJ342" s="15"/>
      <c r="EK342" s="15"/>
      <c r="EL342" s="15"/>
      <c r="EM342" s="15"/>
      <c r="EN342" s="15"/>
      <c r="EO342" s="15"/>
      <c r="EP342" s="15"/>
      <c r="EQ342" s="15"/>
      <c r="ER342" s="15"/>
      <c r="ES342" s="15"/>
      <c r="ET342" s="15"/>
      <c r="EU342" s="15"/>
      <c r="EV342" s="15"/>
      <c r="EW342" s="15"/>
      <c r="EX342" s="15"/>
    </row>
    <row r="343" customFormat="false" ht="15.75" hidden="false" customHeight="false" outlineLevel="0" collapsed="false">
      <c r="A343" s="76"/>
      <c r="B343" s="77"/>
      <c r="C343" s="77"/>
      <c r="D343" s="78" t="str">
        <f aca="false">IFERROR(__xludf.dummyfunction("""COMPUTED_VALUE"""),"")</f>
        <v/>
      </c>
      <c r="E343" s="72"/>
      <c r="F343" s="68"/>
      <c r="G343" s="15"/>
      <c r="H343" s="76" t="str">
        <f aca="false">IFERROR(__xludf.dummyfunction("""COMPUTED_VALUE"""),"")</f>
        <v/>
      </c>
      <c r="I343" s="50" t="str">
        <f aca="false">IFERROR(__xludf.dummyfunction("""COMPUTED_VALUE"""),"")</f>
        <v/>
      </c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  <c r="DY343" s="15"/>
      <c r="DZ343" s="15"/>
      <c r="EA343" s="15"/>
      <c r="EB343" s="15"/>
      <c r="EC343" s="15"/>
      <c r="ED343" s="15"/>
      <c r="EE343" s="15"/>
      <c r="EF343" s="15"/>
      <c r="EG343" s="15"/>
      <c r="EH343" s="15"/>
      <c r="EI343" s="15"/>
      <c r="EJ343" s="15"/>
      <c r="EK343" s="15"/>
      <c r="EL343" s="15"/>
      <c r="EM343" s="15"/>
      <c r="EN343" s="15"/>
      <c r="EO343" s="15"/>
      <c r="EP343" s="15"/>
      <c r="EQ343" s="15"/>
      <c r="ER343" s="15"/>
      <c r="ES343" s="15"/>
      <c r="ET343" s="15"/>
      <c r="EU343" s="15"/>
      <c r="EV343" s="15"/>
      <c r="EW343" s="15"/>
      <c r="EX343" s="15"/>
    </row>
    <row r="344" customFormat="false" ht="15.75" hidden="false" customHeight="false" outlineLevel="0" collapsed="false">
      <c r="A344" s="76"/>
      <c r="B344" s="77"/>
      <c r="C344" s="77"/>
      <c r="D344" s="78" t="str">
        <f aca="false">IFERROR(__xludf.dummyfunction("""COMPUTED_VALUE"""),"")</f>
        <v/>
      </c>
      <c r="E344" s="72"/>
      <c r="F344" s="68"/>
      <c r="G344" s="15"/>
      <c r="H344" s="76" t="str">
        <f aca="false">IFERROR(__xludf.dummyfunction("""COMPUTED_VALUE"""),"")</f>
        <v/>
      </c>
      <c r="I344" s="50" t="str">
        <f aca="false">IFERROR(__xludf.dummyfunction("""COMPUTED_VALUE"""),"")</f>
        <v/>
      </c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  <c r="DY344" s="15"/>
      <c r="DZ344" s="15"/>
      <c r="EA344" s="15"/>
      <c r="EB344" s="15"/>
      <c r="EC344" s="15"/>
      <c r="ED344" s="15"/>
      <c r="EE344" s="15"/>
      <c r="EF344" s="15"/>
      <c r="EG344" s="15"/>
      <c r="EH344" s="15"/>
      <c r="EI344" s="15"/>
      <c r="EJ344" s="15"/>
      <c r="EK344" s="15"/>
      <c r="EL344" s="15"/>
      <c r="EM344" s="15"/>
      <c r="EN344" s="15"/>
      <c r="EO344" s="15"/>
      <c r="EP344" s="15"/>
      <c r="EQ344" s="15"/>
      <c r="ER344" s="15"/>
      <c r="ES344" s="15"/>
      <c r="ET344" s="15"/>
      <c r="EU344" s="15"/>
      <c r="EV344" s="15"/>
      <c r="EW344" s="15"/>
      <c r="EX344" s="15"/>
    </row>
    <row r="345" customFormat="false" ht="15.75" hidden="false" customHeight="false" outlineLevel="0" collapsed="false">
      <c r="A345" s="76"/>
      <c r="B345" s="77"/>
      <c r="C345" s="77"/>
      <c r="D345" s="78" t="str">
        <f aca="false">IFERROR(__xludf.dummyfunction("""COMPUTED_VALUE"""),"")</f>
        <v/>
      </c>
      <c r="E345" s="72"/>
      <c r="F345" s="68"/>
      <c r="G345" s="15"/>
      <c r="H345" s="76" t="str">
        <f aca="false">IFERROR(__xludf.dummyfunction("""COMPUTED_VALUE"""),"")</f>
        <v/>
      </c>
      <c r="I345" s="50" t="str">
        <f aca="false">IFERROR(__xludf.dummyfunction("""COMPUTED_VALUE"""),"")</f>
        <v/>
      </c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  <c r="DY345" s="15"/>
      <c r="DZ345" s="15"/>
      <c r="EA345" s="15"/>
      <c r="EB345" s="15"/>
      <c r="EC345" s="15"/>
      <c r="ED345" s="15"/>
      <c r="EE345" s="15"/>
      <c r="EF345" s="15"/>
      <c r="EG345" s="15"/>
      <c r="EH345" s="15"/>
      <c r="EI345" s="15"/>
      <c r="EJ345" s="15"/>
      <c r="EK345" s="15"/>
      <c r="EL345" s="15"/>
      <c r="EM345" s="15"/>
      <c r="EN345" s="15"/>
      <c r="EO345" s="15"/>
      <c r="EP345" s="15"/>
      <c r="EQ345" s="15"/>
      <c r="ER345" s="15"/>
      <c r="ES345" s="15"/>
      <c r="ET345" s="15"/>
      <c r="EU345" s="15"/>
      <c r="EV345" s="15"/>
      <c r="EW345" s="15"/>
      <c r="EX345" s="15"/>
    </row>
    <row r="346" customFormat="false" ht="15.75" hidden="false" customHeight="false" outlineLevel="0" collapsed="false">
      <c r="A346" s="76"/>
      <c r="B346" s="77"/>
      <c r="C346" s="77"/>
      <c r="D346" s="78" t="str">
        <f aca="false">IFERROR(__xludf.dummyfunction("""COMPUTED_VALUE"""),"")</f>
        <v/>
      </c>
      <c r="E346" s="72"/>
      <c r="F346" s="68"/>
      <c r="G346" s="15"/>
      <c r="H346" s="76" t="str">
        <f aca="false">IFERROR(__xludf.dummyfunction("""COMPUTED_VALUE"""),"")</f>
        <v/>
      </c>
      <c r="I346" s="50" t="str">
        <f aca="false">IFERROR(__xludf.dummyfunction("""COMPUTED_VALUE"""),"")</f>
        <v/>
      </c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  <c r="DY346" s="15"/>
      <c r="DZ346" s="15"/>
      <c r="EA346" s="15"/>
      <c r="EB346" s="15"/>
      <c r="EC346" s="15"/>
      <c r="ED346" s="15"/>
      <c r="EE346" s="15"/>
      <c r="EF346" s="15"/>
      <c r="EG346" s="15"/>
      <c r="EH346" s="15"/>
      <c r="EI346" s="15"/>
      <c r="EJ346" s="15"/>
      <c r="EK346" s="15"/>
      <c r="EL346" s="15"/>
      <c r="EM346" s="15"/>
      <c r="EN346" s="15"/>
      <c r="EO346" s="15"/>
      <c r="EP346" s="15"/>
      <c r="EQ346" s="15"/>
      <c r="ER346" s="15"/>
      <c r="ES346" s="15"/>
      <c r="ET346" s="15"/>
      <c r="EU346" s="15"/>
      <c r="EV346" s="15"/>
      <c r="EW346" s="15"/>
      <c r="EX346" s="15"/>
    </row>
    <row r="347" customFormat="false" ht="15.75" hidden="false" customHeight="false" outlineLevel="0" collapsed="false">
      <c r="A347" s="76"/>
      <c r="B347" s="77"/>
      <c r="C347" s="77"/>
      <c r="D347" s="78" t="str">
        <f aca="false">IFERROR(__xludf.dummyfunction("""COMPUTED_VALUE"""),"")</f>
        <v/>
      </c>
      <c r="E347" s="72"/>
      <c r="F347" s="68"/>
      <c r="G347" s="15"/>
      <c r="H347" s="76" t="str">
        <f aca="false">IFERROR(__xludf.dummyfunction("""COMPUTED_VALUE"""),"")</f>
        <v/>
      </c>
      <c r="I347" s="50" t="str">
        <f aca="false">IFERROR(__xludf.dummyfunction("""COMPUTED_VALUE"""),"")</f>
        <v/>
      </c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  <c r="DY347" s="15"/>
      <c r="DZ347" s="15"/>
      <c r="EA347" s="15"/>
      <c r="EB347" s="15"/>
      <c r="EC347" s="15"/>
      <c r="ED347" s="15"/>
      <c r="EE347" s="15"/>
      <c r="EF347" s="15"/>
      <c r="EG347" s="15"/>
      <c r="EH347" s="15"/>
      <c r="EI347" s="15"/>
      <c r="EJ347" s="15"/>
      <c r="EK347" s="15"/>
      <c r="EL347" s="15"/>
      <c r="EM347" s="15"/>
      <c r="EN347" s="15"/>
      <c r="EO347" s="15"/>
      <c r="EP347" s="15"/>
      <c r="EQ347" s="15"/>
      <c r="ER347" s="15"/>
      <c r="ES347" s="15"/>
      <c r="ET347" s="15"/>
      <c r="EU347" s="15"/>
      <c r="EV347" s="15"/>
      <c r="EW347" s="15"/>
      <c r="EX347" s="15"/>
    </row>
    <row r="348" customFormat="false" ht="15.75" hidden="false" customHeight="false" outlineLevel="0" collapsed="false">
      <c r="A348" s="76"/>
      <c r="B348" s="77"/>
      <c r="C348" s="77"/>
      <c r="D348" s="78" t="str">
        <f aca="false">IFERROR(__xludf.dummyfunction("""COMPUTED_VALUE"""),"")</f>
        <v/>
      </c>
      <c r="E348" s="72"/>
      <c r="F348" s="68"/>
      <c r="G348" s="15"/>
      <c r="H348" s="76" t="str">
        <f aca="false">IFERROR(__xludf.dummyfunction("""COMPUTED_VALUE"""),"")</f>
        <v/>
      </c>
      <c r="I348" s="50" t="str">
        <f aca="false">IFERROR(__xludf.dummyfunction("""COMPUTED_VALUE"""),"")</f>
        <v/>
      </c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  <c r="DY348" s="15"/>
      <c r="DZ348" s="15"/>
      <c r="EA348" s="15"/>
      <c r="EB348" s="15"/>
      <c r="EC348" s="15"/>
      <c r="ED348" s="15"/>
      <c r="EE348" s="15"/>
      <c r="EF348" s="15"/>
      <c r="EG348" s="15"/>
      <c r="EH348" s="15"/>
      <c r="EI348" s="15"/>
      <c r="EJ348" s="15"/>
      <c r="EK348" s="15"/>
      <c r="EL348" s="15"/>
      <c r="EM348" s="15"/>
      <c r="EN348" s="15"/>
      <c r="EO348" s="15"/>
      <c r="EP348" s="15"/>
      <c r="EQ348" s="15"/>
      <c r="ER348" s="15"/>
      <c r="ES348" s="15"/>
      <c r="ET348" s="15"/>
      <c r="EU348" s="15"/>
      <c r="EV348" s="15"/>
      <c r="EW348" s="15"/>
      <c r="EX348" s="15"/>
    </row>
    <row r="349" customFormat="false" ht="15.75" hidden="false" customHeight="false" outlineLevel="0" collapsed="false">
      <c r="A349" s="76"/>
      <c r="B349" s="77"/>
      <c r="C349" s="77"/>
      <c r="D349" s="78" t="str">
        <f aca="false">IFERROR(__xludf.dummyfunction("""COMPUTED_VALUE"""),"")</f>
        <v/>
      </c>
      <c r="E349" s="72"/>
      <c r="F349" s="68"/>
      <c r="G349" s="15"/>
      <c r="H349" s="76" t="str">
        <f aca="false">IFERROR(__xludf.dummyfunction("""COMPUTED_VALUE"""),"")</f>
        <v/>
      </c>
      <c r="I349" s="50" t="str">
        <f aca="false">IFERROR(__xludf.dummyfunction("""COMPUTED_VALUE"""),"")</f>
        <v/>
      </c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  <c r="DY349" s="15"/>
      <c r="DZ349" s="15"/>
      <c r="EA349" s="15"/>
      <c r="EB349" s="15"/>
      <c r="EC349" s="15"/>
      <c r="ED349" s="15"/>
      <c r="EE349" s="15"/>
      <c r="EF349" s="15"/>
      <c r="EG349" s="15"/>
      <c r="EH349" s="15"/>
      <c r="EI349" s="15"/>
      <c r="EJ349" s="15"/>
      <c r="EK349" s="15"/>
      <c r="EL349" s="15"/>
      <c r="EM349" s="15"/>
      <c r="EN349" s="15"/>
      <c r="EO349" s="15"/>
      <c r="EP349" s="15"/>
      <c r="EQ349" s="15"/>
      <c r="ER349" s="15"/>
      <c r="ES349" s="15"/>
      <c r="ET349" s="15"/>
      <c r="EU349" s="15"/>
      <c r="EV349" s="15"/>
      <c r="EW349" s="15"/>
      <c r="EX349" s="15"/>
    </row>
    <row r="350" customFormat="false" ht="15.75" hidden="false" customHeight="false" outlineLevel="0" collapsed="false">
      <c r="A350" s="76"/>
      <c r="B350" s="77"/>
      <c r="C350" s="77"/>
      <c r="D350" s="78" t="str">
        <f aca="false">IFERROR(__xludf.dummyfunction("""COMPUTED_VALUE"""),"")</f>
        <v/>
      </c>
      <c r="E350" s="72"/>
      <c r="F350" s="68"/>
      <c r="G350" s="15"/>
      <c r="H350" s="76" t="str">
        <f aca="false">IFERROR(__xludf.dummyfunction("""COMPUTED_VALUE"""),"")</f>
        <v/>
      </c>
      <c r="I350" s="50" t="str">
        <f aca="false">IFERROR(__xludf.dummyfunction("""COMPUTED_VALUE"""),"")</f>
        <v/>
      </c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  <c r="DY350" s="15"/>
      <c r="DZ350" s="15"/>
      <c r="EA350" s="15"/>
      <c r="EB350" s="15"/>
      <c r="EC350" s="15"/>
      <c r="ED350" s="15"/>
      <c r="EE350" s="15"/>
      <c r="EF350" s="15"/>
      <c r="EG350" s="15"/>
      <c r="EH350" s="15"/>
      <c r="EI350" s="15"/>
      <c r="EJ350" s="15"/>
      <c r="EK350" s="15"/>
      <c r="EL350" s="15"/>
      <c r="EM350" s="15"/>
      <c r="EN350" s="15"/>
      <c r="EO350" s="15"/>
      <c r="EP350" s="15"/>
      <c r="EQ350" s="15"/>
      <c r="ER350" s="15"/>
      <c r="ES350" s="15"/>
      <c r="ET350" s="15"/>
      <c r="EU350" s="15"/>
      <c r="EV350" s="15"/>
      <c r="EW350" s="15"/>
      <c r="EX350" s="15"/>
    </row>
    <row r="351" customFormat="false" ht="15.75" hidden="false" customHeight="false" outlineLevel="0" collapsed="false">
      <c r="A351" s="76"/>
      <c r="B351" s="77"/>
      <c r="C351" s="77"/>
      <c r="D351" s="78" t="str">
        <f aca="false">IFERROR(__xludf.dummyfunction("""COMPUTED_VALUE"""),"")</f>
        <v/>
      </c>
      <c r="E351" s="72"/>
      <c r="F351" s="68"/>
      <c r="G351" s="15"/>
      <c r="H351" s="76" t="str">
        <f aca="false">IFERROR(__xludf.dummyfunction("""COMPUTED_VALUE"""),"")</f>
        <v/>
      </c>
      <c r="I351" s="50" t="str">
        <f aca="false">IFERROR(__xludf.dummyfunction("""COMPUTED_VALUE"""),"")</f>
        <v/>
      </c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  <c r="DY351" s="15"/>
      <c r="DZ351" s="15"/>
      <c r="EA351" s="15"/>
      <c r="EB351" s="15"/>
      <c r="EC351" s="15"/>
      <c r="ED351" s="15"/>
      <c r="EE351" s="15"/>
      <c r="EF351" s="15"/>
      <c r="EG351" s="15"/>
      <c r="EH351" s="15"/>
      <c r="EI351" s="15"/>
      <c r="EJ351" s="15"/>
      <c r="EK351" s="15"/>
      <c r="EL351" s="15"/>
      <c r="EM351" s="15"/>
      <c r="EN351" s="15"/>
      <c r="EO351" s="15"/>
      <c r="EP351" s="15"/>
      <c r="EQ351" s="15"/>
      <c r="ER351" s="15"/>
      <c r="ES351" s="15"/>
      <c r="ET351" s="15"/>
      <c r="EU351" s="15"/>
      <c r="EV351" s="15"/>
      <c r="EW351" s="15"/>
      <c r="EX351" s="15"/>
    </row>
    <row r="352" customFormat="false" ht="15.75" hidden="false" customHeight="false" outlineLevel="0" collapsed="false">
      <c r="A352" s="76"/>
      <c r="B352" s="77"/>
      <c r="C352" s="77"/>
      <c r="D352" s="78" t="str">
        <f aca="false">IFERROR(__xludf.dummyfunction("""COMPUTED_VALUE"""),"")</f>
        <v/>
      </c>
      <c r="E352" s="72"/>
      <c r="F352" s="68"/>
      <c r="G352" s="15"/>
      <c r="H352" s="76" t="str">
        <f aca="false">IFERROR(__xludf.dummyfunction("""COMPUTED_VALUE"""),"")</f>
        <v/>
      </c>
      <c r="I352" s="50" t="str">
        <f aca="false">IFERROR(__xludf.dummyfunction("""COMPUTED_VALUE"""),"")</f>
        <v/>
      </c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  <c r="DY352" s="15"/>
      <c r="DZ352" s="15"/>
      <c r="EA352" s="15"/>
      <c r="EB352" s="15"/>
      <c r="EC352" s="15"/>
      <c r="ED352" s="15"/>
      <c r="EE352" s="15"/>
      <c r="EF352" s="15"/>
      <c r="EG352" s="15"/>
      <c r="EH352" s="15"/>
      <c r="EI352" s="15"/>
      <c r="EJ352" s="15"/>
      <c r="EK352" s="15"/>
      <c r="EL352" s="15"/>
      <c r="EM352" s="15"/>
      <c r="EN352" s="15"/>
      <c r="EO352" s="15"/>
      <c r="EP352" s="15"/>
      <c r="EQ352" s="15"/>
      <c r="ER352" s="15"/>
      <c r="ES352" s="15"/>
      <c r="ET352" s="15"/>
      <c r="EU352" s="15"/>
      <c r="EV352" s="15"/>
      <c r="EW352" s="15"/>
      <c r="EX352" s="15"/>
    </row>
    <row r="353" customFormat="false" ht="15.75" hidden="false" customHeight="false" outlineLevel="0" collapsed="false">
      <c r="A353" s="76"/>
      <c r="B353" s="77"/>
      <c r="C353" s="77"/>
      <c r="D353" s="78" t="str">
        <f aca="false">IFERROR(__xludf.dummyfunction("""COMPUTED_VALUE"""),"")</f>
        <v/>
      </c>
      <c r="E353" s="72"/>
      <c r="F353" s="68"/>
      <c r="G353" s="15"/>
      <c r="H353" s="76" t="str">
        <f aca="false">IFERROR(__xludf.dummyfunction("""COMPUTED_VALUE"""),"")</f>
        <v/>
      </c>
      <c r="I353" s="50" t="str">
        <f aca="false">IFERROR(__xludf.dummyfunction("""COMPUTED_VALUE"""),"")</f>
        <v/>
      </c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  <c r="DY353" s="15"/>
      <c r="DZ353" s="15"/>
      <c r="EA353" s="15"/>
      <c r="EB353" s="15"/>
      <c r="EC353" s="15"/>
      <c r="ED353" s="15"/>
      <c r="EE353" s="15"/>
      <c r="EF353" s="15"/>
      <c r="EG353" s="15"/>
      <c r="EH353" s="15"/>
      <c r="EI353" s="15"/>
      <c r="EJ353" s="15"/>
      <c r="EK353" s="15"/>
      <c r="EL353" s="15"/>
      <c r="EM353" s="15"/>
      <c r="EN353" s="15"/>
      <c r="EO353" s="15"/>
      <c r="EP353" s="15"/>
      <c r="EQ353" s="15"/>
      <c r="ER353" s="15"/>
      <c r="ES353" s="15"/>
      <c r="ET353" s="15"/>
      <c r="EU353" s="15"/>
      <c r="EV353" s="15"/>
      <c r="EW353" s="15"/>
      <c r="EX353" s="15"/>
    </row>
    <row r="354" customFormat="false" ht="15.75" hidden="false" customHeight="false" outlineLevel="0" collapsed="false">
      <c r="A354" s="76"/>
      <c r="B354" s="77"/>
      <c r="C354" s="77"/>
      <c r="D354" s="78" t="str">
        <f aca="false">IFERROR(__xludf.dummyfunction("""COMPUTED_VALUE"""),"")</f>
        <v/>
      </c>
      <c r="E354" s="72"/>
      <c r="F354" s="68"/>
      <c r="G354" s="15"/>
      <c r="H354" s="76" t="str">
        <f aca="false">IFERROR(__xludf.dummyfunction("""COMPUTED_VALUE"""),"")</f>
        <v/>
      </c>
      <c r="I354" s="50" t="str">
        <f aca="false">IFERROR(__xludf.dummyfunction("""COMPUTED_VALUE"""),"")</f>
        <v/>
      </c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  <c r="EI354" s="15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</row>
    <row r="355" customFormat="false" ht="15.75" hidden="false" customHeight="false" outlineLevel="0" collapsed="false">
      <c r="A355" s="76"/>
      <c r="B355" s="77"/>
      <c r="C355" s="77"/>
      <c r="D355" s="78" t="str">
        <f aca="false">IFERROR(__xludf.dummyfunction("""COMPUTED_VALUE"""),"")</f>
        <v/>
      </c>
      <c r="E355" s="72"/>
      <c r="F355" s="68"/>
      <c r="G355" s="15"/>
      <c r="H355" s="76" t="str">
        <f aca="false">IFERROR(__xludf.dummyfunction("""COMPUTED_VALUE"""),"")</f>
        <v/>
      </c>
      <c r="I355" s="50" t="str">
        <f aca="false">IFERROR(__xludf.dummyfunction("""COMPUTED_VALUE"""),"")</f>
        <v/>
      </c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  <c r="EI355" s="15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</row>
    <row r="356" customFormat="false" ht="15.75" hidden="false" customHeight="false" outlineLevel="0" collapsed="false">
      <c r="A356" s="76"/>
      <c r="B356" s="77"/>
      <c r="C356" s="77"/>
      <c r="D356" s="78" t="str">
        <f aca="false">IFERROR(__xludf.dummyfunction("""COMPUTED_VALUE"""),"")</f>
        <v/>
      </c>
      <c r="E356" s="72"/>
      <c r="F356" s="68"/>
      <c r="G356" s="15"/>
      <c r="H356" s="76" t="str">
        <f aca="false">IFERROR(__xludf.dummyfunction("""COMPUTED_VALUE"""),"")</f>
        <v/>
      </c>
      <c r="I356" s="50" t="str">
        <f aca="false">IFERROR(__xludf.dummyfunction("""COMPUTED_VALUE"""),"")</f>
        <v/>
      </c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  <c r="DY356" s="15"/>
      <c r="DZ356" s="15"/>
      <c r="EA356" s="15"/>
      <c r="EB356" s="15"/>
      <c r="EC356" s="15"/>
      <c r="ED356" s="15"/>
      <c r="EE356" s="15"/>
      <c r="EF356" s="15"/>
      <c r="EG356" s="15"/>
      <c r="EH356" s="15"/>
      <c r="EI356" s="15"/>
      <c r="EJ356" s="15"/>
      <c r="EK356" s="15"/>
      <c r="EL356" s="15"/>
      <c r="EM356" s="15"/>
      <c r="EN356" s="15"/>
      <c r="EO356" s="15"/>
      <c r="EP356" s="15"/>
      <c r="EQ356" s="15"/>
      <c r="ER356" s="15"/>
      <c r="ES356" s="15"/>
      <c r="ET356" s="15"/>
      <c r="EU356" s="15"/>
      <c r="EV356" s="15"/>
      <c r="EW356" s="15"/>
      <c r="EX356" s="15"/>
    </row>
    <row r="357" customFormat="false" ht="15.75" hidden="false" customHeight="false" outlineLevel="0" collapsed="false">
      <c r="A357" s="76"/>
      <c r="B357" s="77"/>
      <c r="C357" s="77"/>
      <c r="D357" s="78" t="str">
        <f aca="false">IFERROR(__xludf.dummyfunction("""COMPUTED_VALUE"""),"")</f>
        <v/>
      </c>
      <c r="E357" s="72"/>
      <c r="F357" s="68"/>
      <c r="G357" s="15"/>
      <c r="H357" s="76" t="str">
        <f aca="false">IFERROR(__xludf.dummyfunction("""COMPUTED_VALUE"""),"")</f>
        <v/>
      </c>
      <c r="I357" s="50" t="str">
        <f aca="false">IFERROR(__xludf.dummyfunction("""COMPUTED_VALUE"""),"")</f>
        <v/>
      </c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  <c r="DY357" s="15"/>
      <c r="DZ357" s="15"/>
      <c r="EA357" s="15"/>
      <c r="EB357" s="15"/>
      <c r="EC357" s="15"/>
      <c r="ED357" s="15"/>
      <c r="EE357" s="15"/>
      <c r="EF357" s="15"/>
      <c r="EG357" s="15"/>
      <c r="EH357" s="15"/>
      <c r="EI357" s="15"/>
      <c r="EJ357" s="15"/>
      <c r="EK357" s="15"/>
      <c r="EL357" s="15"/>
      <c r="EM357" s="15"/>
      <c r="EN357" s="15"/>
      <c r="EO357" s="15"/>
      <c r="EP357" s="15"/>
      <c r="EQ357" s="15"/>
      <c r="ER357" s="15"/>
      <c r="ES357" s="15"/>
      <c r="ET357" s="15"/>
      <c r="EU357" s="15"/>
      <c r="EV357" s="15"/>
      <c r="EW357" s="15"/>
      <c r="EX357" s="15"/>
    </row>
    <row r="358" customFormat="false" ht="15.75" hidden="false" customHeight="false" outlineLevel="0" collapsed="false">
      <c r="A358" s="76"/>
      <c r="B358" s="77"/>
      <c r="C358" s="77"/>
      <c r="D358" s="78" t="str">
        <f aca="false">IFERROR(__xludf.dummyfunction("""COMPUTED_VALUE"""),"")</f>
        <v/>
      </c>
      <c r="E358" s="72"/>
      <c r="F358" s="68"/>
      <c r="G358" s="15"/>
      <c r="H358" s="76" t="str">
        <f aca="false">IFERROR(__xludf.dummyfunction("""COMPUTED_VALUE"""),"")</f>
        <v/>
      </c>
      <c r="I358" s="50" t="str">
        <f aca="false">IFERROR(__xludf.dummyfunction("""COMPUTED_VALUE"""),"")</f>
        <v/>
      </c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  <c r="DY358" s="15"/>
      <c r="DZ358" s="15"/>
      <c r="EA358" s="15"/>
      <c r="EB358" s="15"/>
      <c r="EC358" s="15"/>
      <c r="ED358" s="15"/>
      <c r="EE358" s="15"/>
      <c r="EF358" s="15"/>
      <c r="EG358" s="15"/>
      <c r="EH358" s="15"/>
      <c r="EI358" s="15"/>
      <c r="EJ358" s="15"/>
      <c r="EK358" s="15"/>
      <c r="EL358" s="15"/>
      <c r="EM358" s="15"/>
      <c r="EN358" s="15"/>
      <c r="EO358" s="15"/>
      <c r="EP358" s="15"/>
      <c r="EQ358" s="15"/>
      <c r="ER358" s="15"/>
      <c r="ES358" s="15"/>
      <c r="ET358" s="15"/>
      <c r="EU358" s="15"/>
      <c r="EV358" s="15"/>
      <c r="EW358" s="15"/>
      <c r="EX358" s="15"/>
    </row>
    <row r="359" customFormat="false" ht="15.75" hidden="false" customHeight="false" outlineLevel="0" collapsed="false">
      <c r="A359" s="76"/>
      <c r="B359" s="77"/>
      <c r="C359" s="77"/>
      <c r="D359" s="78" t="str">
        <f aca="false">IFERROR(__xludf.dummyfunction("""COMPUTED_VALUE"""),"")</f>
        <v/>
      </c>
      <c r="E359" s="72"/>
      <c r="F359" s="68"/>
      <c r="G359" s="15"/>
      <c r="H359" s="76" t="str">
        <f aca="false">IFERROR(__xludf.dummyfunction("""COMPUTED_VALUE"""),"")</f>
        <v/>
      </c>
      <c r="I359" s="50" t="str">
        <f aca="false">IFERROR(__xludf.dummyfunction("""COMPUTED_VALUE"""),"")</f>
        <v/>
      </c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  <c r="DY359" s="15"/>
      <c r="DZ359" s="15"/>
      <c r="EA359" s="15"/>
      <c r="EB359" s="15"/>
      <c r="EC359" s="15"/>
      <c r="ED359" s="15"/>
      <c r="EE359" s="15"/>
      <c r="EF359" s="15"/>
      <c r="EG359" s="15"/>
      <c r="EH359" s="15"/>
      <c r="EI359" s="15"/>
      <c r="EJ359" s="15"/>
      <c r="EK359" s="15"/>
      <c r="EL359" s="15"/>
      <c r="EM359" s="15"/>
      <c r="EN359" s="15"/>
      <c r="EO359" s="15"/>
      <c r="EP359" s="15"/>
      <c r="EQ359" s="15"/>
      <c r="ER359" s="15"/>
      <c r="ES359" s="15"/>
      <c r="ET359" s="15"/>
      <c r="EU359" s="15"/>
      <c r="EV359" s="15"/>
      <c r="EW359" s="15"/>
      <c r="EX359" s="15"/>
    </row>
    <row r="360" customFormat="false" ht="15.75" hidden="false" customHeight="false" outlineLevel="0" collapsed="false">
      <c r="A360" s="76"/>
      <c r="B360" s="77"/>
      <c r="C360" s="77"/>
      <c r="D360" s="78" t="str">
        <f aca="false">IFERROR(__xludf.dummyfunction("""COMPUTED_VALUE"""),"")</f>
        <v/>
      </c>
      <c r="E360" s="72"/>
      <c r="F360" s="68"/>
      <c r="G360" s="15"/>
      <c r="H360" s="76" t="str">
        <f aca="false">IFERROR(__xludf.dummyfunction("""COMPUTED_VALUE"""),"")</f>
        <v/>
      </c>
      <c r="I360" s="50" t="str">
        <f aca="false">IFERROR(__xludf.dummyfunction("""COMPUTED_VALUE"""),"")</f>
        <v/>
      </c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  <c r="DY360" s="15"/>
      <c r="DZ360" s="15"/>
      <c r="EA360" s="15"/>
      <c r="EB360" s="15"/>
      <c r="EC360" s="15"/>
      <c r="ED360" s="15"/>
      <c r="EE360" s="15"/>
      <c r="EF360" s="15"/>
      <c r="EG360" s="15"/>
      <c r="EH360" s="15"/>
      <c r="EI360" s="15"/>
      <c r="EJ360" s="15"/>
      <c r="EK360" s="15"/>
      <c r="EL360" s="15"/>
      <c r="EM360" s="15"/>
      <c r="EN360" s="15"/>
      <c r="EO360" s="15"/>
      <c r="EP360" s="15"/>
      <c r="EQ360" s="15"/>
      <c r="ER360" s="15"/>
      <c r="ES360" s="15"/>
      <c r="ET360" s="15"/>
      <c r="EU360" s="15"/>
      <c r="EV360" s="15"/>
      <c r="EW360" s="15"/>
      <c r="EX360" s="15"/>
    </row>
    <row r="361" customFormat="false" ht="15.75" hidden="false" customHeight="false" outlineLevel="0" collapsed="false">
      <c r="A361" s="76"/>
      <c r="B361" s="77"/>
      <c r="C361" s="77"/>
      <c r="D361" s="78" t="str">
        <f aca="false">IFERROR(__xludf.dummyfunction("""COMPUTED_VALUE"""),"")</f>
        <v/>
      </c>
      <c r="E361" s="72"/>
      <c r="F361" s="68"/>
      <c r="G361" s="15"/>
      <c r="H361" s="76" t="str">
        <f aca="false">IFERROR(__xludf.dummyfunction("""COMPUTED_VALUE"""),"")</f>
        <v/>
      </c>
      <c r="I361" s="50" t="str">
        <f aca="false">IFERROR(__xludf.dummyfunction("""COMPUTED_VALUE"""),"")</f>
        <v/>
      </c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  <c r="DY361" s="15"/>
      <c r="DZ361" s="15"/>
      <c r="EA361" s="15"/>
      <c r="EB361" s="15"/>
      <c r="EC361" s="15"/>
      <c r="ED361" s="15"/>
      <c r="EE361" s="15"/>
      <c r="EF361" s="15"/>
      <c r="EG361" s="15"/>
      <c r="EH361" s="15"/>
      <c r="EI361" s="15"/>
      <c r="EJ361" s="15"/>
      <c r="EK361" s="15"/>
      <c r="EL361" s="15"/>
      <c r="EM361" s="15"/>
      <c r="EN361" s="15"/>
      <c r="EO361" s="15"/>
      <c r="EP361" s="15"/>
      <c r="EQ361" s="15"/>
      <c r="ER361" s="15"/>
      <c r="ES361" s="15"/>
      <c r="ET361" s="15"/>
      <c r="EU361" s="15"/>
      <c r="EV361" s="15"/>
      <c r="EW361" s="15"/>
      <c r="EX361" s="15"/>
    </row>
    <row r="362" customFormat="false" ht="15.75" hidden="false" customHeight="false" outlineLevel="0" collapsed="false">
      <c r="A362" s="76"/>
      <c r="B362" s="77"/>
      <c r="C362" s="77"/>
      <c r="D362" s="78" t="str">
        <f aca="false">IFERROR(__xludf.dummyfunction("""COMPUTED_VALUE"""),"")</f>
        <v/>
      </c>
      <c r="E362" s="72"/>
      <c r="F362" s="68"/>
      <c r="G362" s="15"/>
      <c r="H362" s="76" t="str">
        <f aca="false">IFERROR(__xludf.dummyfunction("""COMPUTED_VALUE"""),"")</f>
        <v/>
      </c>
      <c r="I362" s="50" t="str">
        <f aca="false">IFERROR(__xludf.dummyfunction("""COMPUTED_VALUE"""),"")</f>
        <v/>
      </c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</row>
    <row r="363" customFormat="false" ht="15.75" hidden="false" customHeight="false" outlineLevel="0" collapsed="false">
      <c r="A363" s="76"/>
      <c r="B363" s="77"/>
      <c r="C363" s="77"/>
      <c r="D363" s="78" t="str">
        <f aca="false">IFERROR(__xludf.dummyfunction("""COMPUTED_VALUE"""),"")</f>
        <v/>
      </c>
      <c r="E363" s="72"/>
      <c r="F363" s="68"/>
      <c r="G363" s="15"/>
      <c r="H363" s="76" t="str">
        <f aca="false">IFERROR(__xludf.dummyfunction("""COMPUTED_VALUE"""),"")</f>
        <v/>
      </c>
      <c r="I363" s="50" t="str">
        <f aca="false">IFERROR(__xludf.dummyfunction("""COMPUTED_VALUE"""),"")</f>
        <v/>
      </c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  <c r="DY363" s="15"/>
      <c r="DZ363" s="15"/>
      <c r="EA363" s="15"/>
      <c r="EB363" s="15"/>
      <c r="EC363" s="15"/>
      <c r="ED363" s="15"/>
      <c r="EE363" s="15"/>
      <c r="EF363" s="15"/>
      <c r="EG363" s="15"/>
      <c r="EH363" s="15"/>
      <c r="EI363" s="15"/>
      <c r="EJ363" s="15"/>
      <c r="EK363" s="15"/>
      <c r="EL363" s="15"/>
      <c r="EM363" s="15"/>
      <c r="EN363" s="15"/>
      <c r="EO363" s="15"/>
      <c r="EP363" s="15"/>
      <c r="EQ363" s="15"/>
      <c r="ER363" s="15"/>
      <c r="ES363" s="15"/>
      <c r="ET363" s="15"/>
      <c r="EU363" s="15"/>
      <c r="EV363" s="15"/>
      <c r="EW363" s="15"/>
      <c r="EX363" s="15"/>
    </row>
    <row r="364" customFormat="false" ht="15.75" hidden="false" customHeight="false" outlineLevel="0" collapsed="false">
      <c r="A364" s="76"/>
      <c r="B364" s="77"/>
      <c r="C364" s="77"/>
      <c r="D364" s="78" t="str">
        <f aca="false">IFERROR(__xludf.dummyfunction("""COMPUTED_VALUE"""),"")</f>
        <v/>
      </c>
      <c r="E364" s="72"/>
      <c r="F364" s="68"/>
      <c r="G364" s="15"/>
      <c r="H364" s="76" t="str">
        <f aca="false">IFERROR(__xludf.dummyfunction("""COMPUTED_VALUE"""),"")</f>
        <v/>
      </c>
      <c r="I364" s="50" t="str">
        <f aca="false">IFERROR(__xludf.dummyfunction("""COMPUTED_VALUE"""),"")</f>
        <v/>
      </c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  <c r="DY364" s="15"/>
      <c r="DZ364" s="15"/>
      <c r="EA364" s="15"/>
      <c r="EB364" s="15"/>
      <c r="EC364" s="15"/>
      <c r="ED364" s="15"/>
      <c r="EE364" s="15"/>
      <c r="EF364" s="15"/>
      <c r="EG364" s="15"/>
      <c r="EH364" s="15"/>
      <c r="EI364" s="15"/>
      <c r="EJ364" s="15"/>
      <c r="EK364" s="15"/>
      <c r="EL364" s="15"/>
      <c r="EM364" s="15"/>
      <c r="EN364" s="15"/>
      <c r="EO364" s="15"/>
      <c r="EP364" s="15"/>
      <c r="EQ364" s="15"/>
      <c r="ER364" s="15"/>
      <c r="ES364" s="15"/>
      <c r="ET364" s="15"/>
      <c r="EU364" s="15"/>
      <c r="EV364" s="15"/>
      <c r="EW364" s="15"/>
      <c r="EX364" s="15"/>
    </row>
    <row r="365" customFormat="false" ht="15.75" hidden="false" customHeight="false" outlineLevel="0" collapsed="false">
      <c r="A365" s="76"/>
      <c r="B365" s="77"/>
      <c r="C365" s="77"/>
      <c r="D365" s="78" t="str">
        <f aca="false">IFERROR(__xludf.dummyfunction("""COMPUTED_VALUE"""),"")</f>
        <v/>
      </c>
      <c r="E365" s="72"/>
      <c r="F365" s="68"/>
      <c r="G365" s="15"/>
      <c r="H365" s="76" t="str">
        <f aca="false">IFERROR(__xludf.dummyfunction("""COMPUTED_VALUE"""),"")</f>
        <v/>
      </c>
      <c r="I365" s="50" t="str">
        <f aca="false">IFERROR(__xludf.dummyfunction("""COMPUTED_VALUE"""),"")</f>
        <v/>
      </c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  <c r="DY365" s="15"/>
      <c r="DZ365" s="15"/>
      <c r="EA365" s="15"/>
      <c r="EB365" s="15"/>
      <c r="EC365" s="15"/>
      <c r="ED365" s="15"/>
      <c r="EE365" s="15"/>
      <c r="EF365" s="15"/>
      <c r="EG365" s="15"/>
      <c r="EH365" s="15"/>
      <c r="EI365" s="15"/>
      <c r="EJ365" s="15"/>
      <c r="EK365" s="15"/>
      <c r="EL365" s="15"/>
      <c r="EM365" s="15"/>
      <c r="EN365" s="15"/>
      <c r="EO365" s="15"/>
      <c r="EP365" s="15"/>
      <c r="EQ365" s="15"/>
      <c r="ER365" s="15"/>
      <c r="ES365" s="15"/>
      <c r="ET365" s="15"/>
      <c r="EU365" s="15"/>
      <c r="EV365" s="15"/>
      <c r="EW365" s="15"/>
      <c r="EX365" s="15"/>
    </row>
    <row r="366" customFormat="false" ht="15.75" hidden="false" customHeight="false" outlineLevel="0" collapsed="false">
      <c r="A366" s="76"/>
      <c r="B366" s="77"/>
      <c r="C366" s="77"/>
      <c r="D366" s="78" t="str">
        <f aca="false">IFERROR(__xludf.dummyfunction("""COMPUTED_VALUE"""),"")</f>
        <v/>
      </c>
      <c r="E366" s="72"/>
      <c r="F366" s="68"/>
      <c r="G366" s="15"/>
      <c r="H366" s="76" t="str">
        <f aca="false">IFERROR(__xludf.dummyfunction("""COMPUTED_VALUE"""),"")</f>
        <v/>
      </c>
      <c r="I366" s="50" t="str">
        <f aca="false">IFERROR(__xludf.dummyfunction("""COMPUTED_VALUE"""),"")</f>
        <v/>
      </c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  <c r="DY366" s="15"/>
      <c r="DZ366" s="15"/>
      <c r="EA366" s="15"/>
      <c r="EB366" s="15"/>
      <c r="EC366" s="15"/>
      <c r="ED366" s="15"/>
      <c r="EE366" s="15"/>
      <c r="EF366" s="15"/>
      <c r="EG366" s="15"/>
      <c r="EH366" s="15"/>
      <c r="EI366" s="15"/>
      <c r="EJ366" s="15"/>
      <c r="EK366" s="15"/>
      <c r="EL366" s="15"/>
      <c r="EM366" s="15"/>
      <c r="EN366" s="15"/>
      <c r="EO366" s="15"/>
      <c r="EP366" s="15"/>
      <c r="EQ366" s="15"/>
      <c r="ER366" s="15"/>
      <c r="ES366" s="15"/>
      <c r="ET366" s="15"/>
      <c r="EU366" s="15"/>
      <c r="EV366" s="15"/>
      <c r="EW366" s="15"/>
      <c r="EX366" s="15"/>
    </row>
    <row r="367" customFormat="false" ht="15.75" hidden="false" customHeight="false" outlineLevel="0" collapsed="false">
      <c r="A367" s="76"/>
      <c r="B367" s="77"/>
      <c r="C367" s="77"/>
      <c r="D367" s="78" t="str">
        <f aca="false">IFERROR(__xludf.dummyfunction("""COMPUTED_VALUE"""),"")</f>
        <v/>
      </c>
      <c r="E367" s="72"/>
      <c r="F367" s="68"/>
      <c r="G367" s="15"/>
      <c r="H367" s="76" t="str">
        <f aca="false">IFERROR(__xludf.dummyfunction("""COMPUTED_VALUE"""),"")</f>
        <v/>
      </c>
      <c r="I367" s="50" t="str">
        <f aca="false">IFERROR(__xludf.dummyfunction("""COMPUTED_VALUE"""),"")</f>
        <v/>
      </c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  <c r="DY367" s="15"/>
      <c r="DZ367" s="15"/>
      <c r="EA367" s="15"/>
      <c r="EB367" s="15"/>
      <c r="EC367" s="15"/>
      <c r="ED367" s="15"/>
      <c r="EE367" s="15"/>
      <c r="EF367" s="15"/>
      <c r="EG367" s="15"/>
      <c r="EH367" s="15"/>
      <c r="EI367" s="15"/>
      <c r="EJ367" s="15"/>
      <c r="EK367" s="15"/>
      <c r="EL367" s="15"/>
      <c r="EM367" s="15"/>
      <c r="EN367" s="15"/>
      <c r="EO367" s="15"/>
      <c r="EP367" s="15"/>
      <c r="EQ367" s="15"/>
      <c r="ER367" s="15"/>
      <c r="ES367" s="15"/>
      <c r="ET367" s="15"/>
      <c r="EU367" s="15"/>
      <c r="EV367" s="15"/>
      <c r="EW367" s="15"/>
      <c r="EX367" s="15"/>
    </row>
    <row r="368" customFormat="false" ht="15.75" hidden="false" customHeight="false" outlineLevel="0" collapsed="false">
      <c r="A368" s="76"/>
      <c r="B368" s="77"/>
      <c r="C368" s="77"/>
      <c r="D368" s="78" t="str">
        <f aca="false">IFERROR(__xludf.dummyfunction("""COMPUTED_VALUE"""),"")</f>
        <v/>
      </c>
      <c r="E368" s="72"/>
      <c r="F368" s="68"/>
      <c r="G368" s="15"/>
      <c r="H368" s="76" t="str">
        <f aca="false">IFERROR(__xludf.dummyfunction("""COMPUTED_VALUE"""),"")</f>
        <v/>
      </c>
      <c r="I368" s="50" t="str">
        <f aca="false">IFERROR(__xludf.dummyfunction("""COMPUTED_VALUE"""),"")</f>
        <v/>
      </c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  <c r="DY368" s="15"/>
      <c r="DZ368" s="15"/>
      <c r="EA368" s="15"/>
      <c r="EB368" s="15"/>
      <c r="EC368" s="15"/>
      <c r="ED368" s="15"/>
      <c r="EE368" s="15"/>
      <c r="EF368" s="15"/>
      <c r="EG368" s="15"/>
      <c r="EH368" s="15"/>
      <c r="EI368" s="15"/>
      <c r="EJ368" s="15"/>
      <c r="EK368" s="15"/>
      <c r="EL368" s="15"/>
      <c r="EM368" s="15"/>
      <c r="EN368" s="15"/>
      <c r="EO368" s="15"/>
      <c r="EP368" s="15"/>
      <c r="EQ368" s="15"/>
      <c r="ER368" s="15"/>
      <c r="ES368" s="15"/>
      <c r="ET368" s="15"/>
      <c r="EU368" s="15"/>
      <c r="EV368" s="15"/>
      <c r="EW368" s="15"/>
      <c r="EX368" s="15"/>
    </row>
    <row r="369" customFormat="false" ht="15.75" hidden="false" customHeight="false" outlineLevel="0" collapsed="false">
      <c r="A369" s="76"/>
      <c r="B369" s="77"/>
      <c r="C369" s="77"/>
      <c r="D369" s="78" t="str">
        <f aca="false">IFERROR(__xludf.dummyfunction("""COMPUTED_VALUE"""),"")</f>
        <v/>
      </c>
      <c r="E369" s="72"/>
      <c r="F369" s="68"/>
      <c r="G369" s="15"/>
      <c r="H369" s="76" t="str">
        <f aca="false">IFERROR(__xludf.dummyfunction("""COMPUTED_VALUE"""),"")</f>
        <v/>
      </c>
      <c r="I369" s="50" t="str">
        <f aca="false">IFERROR(__xludf.dummyfunction("""COMPUTED_VALUE"""),"")</f>
        <v/>
      </c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  <c r="DY369" s="15"/>
      <c r="DZ369" s="15"/>
      <c r="EA369" s="15"/>
      <c r="EB369" s="15"/>
      <c r="EC369" s="15"/>
      <c r="ED369" s="15"/>
      <c r="EE369" s="15"/>
      <c r="EF369" s="15"/>
      <c r="EG369" s="15"/>
      <c r="EH369" s="15"/>
      <c r="EI369" s="15"/>
      <c r="EJ369" s="15"/>
      <c r="EK369" s="15"/>
      <c r="EL369" s="15"/>
      <c r="EM369" s="15"/>
      <c r="EN369" s="15"/>
      <c r="EO369" s="15"/>
      <c r="EP369" s="15"/>
      <c r="EQ369" s="15"/>
      <c r="ER369" s="15"/>
      <c r="ES369" s="15"/>
      <c r="ET369" s="15"/>
      <c r="EU369" s="15"/>
      <c r="EV369" s="15"/>
      <c r="EW369" s="15"/>
      <c r="EX369" s="15"/>
    </row>
    <row r="370" customFormat="false" ht="15.75" hidden="false" customHeight="false" outlineLevel="0" collapsed="false">
      <c r="A370" s="76"/>
      <c r="B370" s="77"/>
      <c r="C370" s="77"/>
      <c r="D370" s="78" t="str">
        <f aca="false">IFERROR(__xludf.dummyfunction("""COMPUTED_VALUE"""),"")</f>
        <v/>
      </c>
      <c r="E370" s="72"/>
      <c r="F370" s="68"/>
      <c r="G370" s="15"/>
      <c r="H370" s="76" t="str">
        <f aca="false">IFERROR(__xludf.dummyfunction("""COMPUTED_VALUE"""),"")</f>
        <v/>
      </c>
      <c r="I370" s="50" t="str">
        <f aca="false">IFERROR(__xludf.dummyfunction("""COMPUTED_VALUE"""),"")</f>
        <v/>
      </c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5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</row>
    <row r="371" customFormat="false" ht="15.75" hidden="false" customHeight="false" outlineLevel="0" collapsed="false">
      <c r="A371" s="76"/>
      <c r="B371" s="77"/>
      <c r="C371" s="77"/>
      <c r="D371" s="78" t="str">
        <f aca="false">IFERROR(__xludf.dummyfunction("""COMPUTED_VALUE"""),"")</f>
        <v/>
      </c>
      <c r="E371" s="72"/>
      <c r="F371" s="68"/>
      <c r="G371" s="15"/>
      <c r="H371" s="76" t="str">
        <f aca="false">IFERROR(__xludf.dummyfunction("""COMPUTED_VALUE"""),"")</f>
        <v/>
      </c>
      <c r="I371" s="50" t="str">
        <f aca="false">IFERROR(__xludf.dummyfunction("""COMPUTED_VALUE"""),"")</f>
        <v/>
      </c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  <c r="DY371" s="15"/>
      <c r="DZ371" s="15"/>
      <c r="EA371" s="15"/>
      <c r="EB371" s="15"/>
      <c r="EC371" s="15"/>
      <c r="ED371" s="15"/>
      <c r="EE371" s="15"/>
      <c r="EF371" s="15"/>
      <c r="EG371" s="15"/>
      <c r="EH371" s="15"/>
      <c r="EI371" s="15"/>
      <c r="EJ371" s="15"/>
      <c r="EK371" s="15"/>
      <c r="EL371" s="15"/>
      <c r="EM371" s="15"/>
      <c r="EN371" s="15"/>
      <c r="EO371" s="15"/>
      <c r="EP371" s="15"/>
      <c r="EQ371" s="15"/>
      <c r="ER371" s="15"/>
      <c r="ES371" s="15"/>
      <c r="ET371" s="15"/>
      <c r="EU371" s="15"/>
      <c r="EV371" s="15"/>
      <c r="EW371" s="15"/>
      <c r="EX371" s="15"/>
    </row>
    <row r="372" customFormat="false" ht="15.75" hidden="false" customHeight="false" outlineLevel="0" collapsed="false">
      <c r="A372" s="76"/>
      <c r="B372" s="77"/>
      <c r="C372" s="77"/>
      <c r="D372" s="78" t="str">
        <f aca="false">IFERROR(__xludf.dummyfunction("""COMPUTED_VALUE"""),"")</f>
        <v/>
      </c>
      <c r="E372" s="72"/>
      <c r="F372" s="68"/>
      <c r="G372" s="15"/>
      <c r="H372" s="76" t="str">
        <f aca="false">IFERROR(__xludf.dummyfunction("""COMPUTED_VALUE"""),"")</f>
        <v/>
      </c>
      <c r="I372" s="50" t="str">
        <f aca="false">IFERROR(__xludf.dummyfunction("""COMPUTED_VALUE"""),"")</f>
        <v/>
      </c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  <c r="DY372" s="15"/>
      <c r="DZ372" s="15"/>
      <c r="EA372" s="15"/>
      <c r="EB372" s="15"/>
      <c r="EC372" s="15"/>
      <c r="ED372" s="15"/>
      <c r="EE372" s="15"/>
      <c r="EF372" s="15"/>
      <c r="EG372" s="15"/>
      <c r="EH372" s="15"/>
      <c r="EI372" s="15"/>
      <c r="EJ372" s="15"/>
      <c r="EK372" s="15"/>
      <c r="EL372" s="15"/>
      <c r="EM372" s="15"/>
      <c r="EN372" s="15"/>
      <c r="EO372" s="15"/>
      <c r="EP372" s="15"/>
      <c r="EQ372" s="15"/>
      <c r="ER372" s="15"/>
      <c r="ES372" s="15"/>
      <c r="ET372" s="15"/>
      <c r="EU372" s="15"/>
      <c r="EV372" s="15"/>
      <c r="EW372" s="15"/>
      <c r="EX372" s="15"/>
    </row>
    <row r="373" customFormat="false" ht="15.75" hidden="false" customHeight="false" outlineLevel="0" collapsed="false">
      <c r="A373" s="76"/>
      <c r="B373" s="77"/>
      <c r="C373" s="77"/>
      <c r="D373" s="78" t="str">
        <f aca="false">IFERROR(__xludf.dummyfunction("""COMPUTED_VALUE"""),"")</f>
        <v/>
      </c>
      <c r="E373" s="72"/>
      <c r="F373" s="68"/>
      <c r="G373" s="15"/>
      <c r="H373" s="76" t="str">
        <f aca="false">IFERROR(__xludf.dummyfunction("""COMPUTED_VALUE"""),"")</f>
        <v/>
      </c>
      <c r="I373" s="50" t="str">
        <f aca="false">IFERROR(__xludf.dummyfunction("""COMPUTED_VALUE"""),"")</f>
        <v/>
      </c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  <c r="DY373" s="15"/>
      <c r="DZ373" s="15"/>
      <c r="EA373" s="15"/>
      <c r="EB373" s="15"/>
      <c r="EC373" s="15"/>
      <c r="ED373" s="15"/>
      <c r="EE373" s="15"/>
      <c r="EF373" s="15"/>
      <c r="EG373" s="15"/>
      <c r="EH373" s="15"/>
      <c r="EI373" s="15"/>
      <c r="EJ373" s="15"/>
      <c r="EK373" s="15"/>
      <c r="EL373" s="15"/>
      <c r="EM373" s="15"/>
      <c r="EN373" s="15"/>
      <c r="EO373" s="15"/>
      <c r="EP373" s="15"/>
      <c r="EQ373" s="15"/>
      <c r="ER373" s="15"/>
      <c r="ES373" s="15"/>
      <c r="ET373" s="15"/>
      <c r="EU373" s="15"/>
      <c r="EV373" s="15"/>
      <c r="EW373" s="15"/>
      <c r="EX373" s="15"/>
    </row>
    <row r="374" customFormat="false" ht="15.75" hidden="false" customHeight="false" outlineLevel="0" collapsed="false">
      <c r="A374" s="76"/>
      <c r="B374" s="77"/>
      <c r="C374" s="77"/>
      <c r="D374" s="78" t="str">
        <f aca="false">IFERROR(__xludf.dummyfunction("""COMPUTED_VALUE"""),"")</f>
        <v/>
      </c>
      <c r="E374" s="72"/>
      <c r="F374" s="68"/>
      <c r="G374" s="15"/>
      <c r="H374" s="76" t="str">
        <f aca="false">IFERROR(__xludf.dummyfunction("""COMPUTED_VALUE"""),"")</f>
        <v/>
      </c>
      <c r="I374" s="50" t="str">
        <f aca="false">IFERROR(__xludf.dummyfunction("""COMPUTED_VALUE"""),"")</f>
        <v/>
      </c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  <c r="DY374" s="15"/>
      <c r="DZ374" s="15"/>
      <c r="EA374" s="15"/>
      <c r="EB374" s="15"/>
      <c r="EC374" s="15"/>
      <c r="ED374" s="15"/>
      <c r="EE374" s="15"/>
      <c r="EF374" s="15"/>
      <c r="EG374" s="15"/>
      <c r="EH374" s="15"/>
      <c r="EI374" s="15"/>
      <c r="EJ374" s="15"/>
      <c r="EK374" s="15"/>
      <c r="EL374" s="15"/>
      <c r="EM374" s="15"/>
      <c r="EN374" s="15"/>
      <c r="EO374" s="15"/>
      <c r="EP374" s="15"/>
      <c r="EQ374" s="15"/>
      <c r="ER374" s="15"/>
      <c r="ES374" s="15"/>
      <c r="ET374" s="15"/>
      <c r="EU374" s="15"/>
      <c r="EV374" s="15"/>
      <c r="EW374" s="15"/>
      <c r="EX374" s="15"/>
    </row>
    <row r="375" customFormat="false" ht="15.75" hidden="false" customHeight="false" outlineLevel="0" collapsed="false">
      <c r="A375" s="76"/>
      <c r="B375" s="77"/>
      <c r="C375" s="77"/>
      <c r="D375" s="78" t="str">
        <f aca="false">IFERROR(__xludf.dummyfunction("""COMPUTED_VALUE"""),"")</f>
        <v/>
      </c>
      <c r="E375" s="72"/>
      <c r="F375" s="68"/>
      <c r="G375" s="15"/>
      <c r="H375" s="76" t="str">
        <f aca="false">IFERROR(__xludf.dummyfunction("""COMPUTED_VALUE"""),"")</f>
        <v/>
      </c>
      <c r="I375" s="50" t="str">
        <f aca="false">IFERROR(__xludf.dummyfunction("""COMPUTED_VALUE"""),"")</f>
        <v/>
      </c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  <c r="DY375" s="15"/>
      <c r="DZ375" s="15"/>
      <c r="EA375" s="15"/>
      <c r="EB375" s="15"/>
      <c r="EC375" s="15"/>
      <c r="ED375" s="15"/>
      <c r="EE375" s="15"/>
      <c r="EF375" s="15"/>
      <c r="EG375" s="15"/>
      <c r="EH375" s="15"/>
      <c r="EI375" s="15"/>
      <c r="EJ375" s="15"/>
      <c r="EK375" s="15"/>
      <c r="EL375" s="15"/>
      <c r="EM375" s="15"/>
      <c r="EN375" s="15"/>
      <c r="EO375" s="15"/>
      <c r="EP375" s="15"/>
      <c r="EQ375" s="15"/>
      <c r="ER375" s="15"/>
      <c r="ES375" s="15"/>
      <c r="ET375" s="15"/>
      <c r="EU375" s="15"/>
      <c r="EV375" s="15"/>
      <c r="EW375" s="15"/>
      <c r="EX375" s="15"/>
    </row>
    <row r="376" customFormat="false" ht="15.75" hidden="false" customHeight="false" outlineLevel="0" collapsed="false">
      <c r="A376" s="76"/>
      <c r="B376" s="77"/>
      <c r="C376" s="77"/>
      <c r="D376" s="78" t="str">
        <f aca="false">IFERROR(__xludf.dummyfunction("""COMPUTED_VALUE"""),"")</f>
        <v/>
      </c>
      <c r="E376" s="72"/>
      <c r="F376" s="68"/>
      <c r="G376" s="15"/>
      <c r="H376" s="76" t="str">
        <f aca="false">IFERROR(__xludf.dummyfunction("""COMPUTED_VALUE"""),"")</f>
        <v/>
      </c>
      <c r="I376" s="50" t="str">
        <f aca="false">IFERROR(__xludf.dummyfunction("""COMPUTED_VALUE"""),"")</f>
        <v/>
      </c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  <c r="DY376" s="15"/>
      <c r="DZ376" s="15"/>
      <c r="EA376" s="15"/>
      <c r="EB376" s="15"/>
      <c r="EC376" s="15"/>
      <c r="ED376" s="15"/>
      <c r="EE376" s="15"/>
      <c r="EF376" s="15"/>
      <c r="EG376" s="15"/>
      <c r="EH376" s="15"/>
      <c r="EI376" s="15"/>
      <c r="EJ376" s="15"/>
      <c r="EK376" s="15"/>
      <c r="EL376" s="15"/>
      <c r="EM376" s="15"/>
      <c r="EN376" s="15"/>
      <c r="EO376" s="15"/>
      <c r="EP376" s="15"/>
      <c r="EQ376" s="15"/>
      <c r="ER376" s="15"/>
      <c r="ES376" s="15"/>
      <c r="ET376" s="15"/>
      <c r="EU376" s="15"/>
      <c r="EV376" s="15"/>
      <c r="EW376" s="15"/>
      <c r="EX376" s="15"/>
    </row>
    <row r="377" customFormat="false" ht="15.75" hidden="false" customHeight="false" outlineLevel="0" collapsed="false">
      <c r="A377" s="76"/>
      <c r="B377" s="77"/>
      <c r="C377" s="77"/>
      <c r="D377" s="78" t="str">
        <f aca="false">IFERROR(__xludf.dummyfunction("""COMPUTED_VALUE"""),"")</f>
        <v/>
      </c>
      <c r="E377" s="72"/>
      <c r="F377" s="68"/>
      <c r="G377" s="15"/>
      <c r="H377" s="76" t="str">
        <f aca="false">IFERROR(__xludf.dummyfunction("""COMPUTED_VALUE"""),"")</f>
        <v/>
      </c>
      <c r="I377" s="50" t="str">
        <f aca="false">IFERROR(__xludf.dummyfunction("""COMPUTED_VALUE"""),"")</f>
        <v/>
      </c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  <c r="DY377" s="15"/>
      <c r="DZ377" s="15"/>
      <c r="EA377" s="15"/>
      <c r="EB377" s="15"/>
      <c r="EC377" s="15"/>
      <c r="ED377" s="15"/>
      <c r="EE377" s="15"/>
      <c r="EF377" s="15"/>
      <c r="EG377" s="15"/>
      <c r="EH377" s="15"/>
      <c r="EI377" s="15"/>
      <c r="EJ377" s="15"/>
      <c r="EK377" s="15"/>
      <c r="EL377" s="15"/>
      <c r="EM377" s="15"/>
      <c r="EN377" s="15"/>
      <c r="EO377" s="15"/>
      <c r="EP377" s="15"/>
      <c r="EQ377" s="15"/>
      <c r="ER377" s="15"/>
      <c r="ES377" s="15"/>
      <c r="ET377" s="15"/>
      <c r="EU377" s="15"/>
      <c r="EV377" s="15"/>
      <c r="EW377" s="15"/>
      <c r="EX377" s="15"/>
    </row>
    <row r="378" customFormat="false" ht="15.75" hidden="false" customHeight="false" outlineLevel="0" collapsed="false">
      <c r="A378" s="76"/>
      <c r="B378" s="77"/>
      <c r="C378" s="77"/>
      <c r="D378" s="78" t="str">
        <f aca="false">IFERROR(__xludf.dummyfunction("""COMPUTED_VALUE"""),"")</f>
        <v/>
      </c>
      <c r="E378" s="72"/>
      <c r="F378" s="68"/>
      <c r="G378" s="15"/>
      <c r="H378" s="76" t="str">
        <f aca="false">IFERROR(__xludf.dummyfunction("""COMPUTED_VALUE"""),"")</f>
        <v/>
      </c>
      <c r="I378" s="50" t="str">
        <f aca="false">IFERROR(__xludf.dummyfunction("""COMPUTED_VALUE"""),"")</f>
        <v/>
      </c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  <c r="DY378" s="15"/>
      <c r="DZ378" s="15"/>
      <c r="EA378" s="15"/>
      <c r="EB378" s="15"/>
      <c r="EC378" s="15"/>
      <c r="ED378" s="15"/>
      <c r="EE378" s="15"/>
      <c r="EF378" s="15"/>
      <c r="EG378" s="15"/>
      <c r="EH378" s="15"/>
      <c r="EI378" s="15"/>
      <c r="EJ378" s="15"/>
      <c r="EK378" s="15"/>
      <c r="EL378" s="15"/>
      <c r="EM378" s="15"/>
      <c r="EN378" s="15"/>
      <c r="EO378" s="15"/>
      <c r="EP378" s="15"/>
      <c r="EQ378" s="15"/>
      <c r="ER378" s="15"/>
      <c r="ES378" s="15"/>
      <c r="ET378" s="15"/>
      <c r="EU378" s="15"/>
      <c r="EV378" s="15"/>
      <c r="EW378" s="15"/>
      <c r="EX378" s="15"/>
    </row>
    <row r="379" customFormat="false" ht="15.75" hidden="false" customHeight="false" outlineLevel="0" collapsed="false">
      <c r="A379" s="76"/>
      <c r="B379" s="77"/>
      <c r="C379" s="77"/>
      <c r="D379" s="78" t="str">
        <f aca="false">IFERROR(__xludf.dummyfunction("""COMPUTED_VALUE"""),"")</f>
        <v/>
      </c>
      <c r="E379" s="72"/>
      <c r="F379" s="68"/>
      <c r="G379" s="15"/>
      <c r="H379" s="76" t="str">
        <f aca="false">IFERROR(__xludf.dummyfunction("""COMPUTED_VALUE"""),"")</f>
        <v/>
      </c>
      <c r="I379" s="50" t="str">
        <f aca="false">IFERROR(__xludf.dummyfunction("""COMPUTED_VALUE"""),"")</f>
        <v/>
      </c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  <c r="DY379" s="15"/>
      <c r="DZ379" s="15"/>
      <c r="EA379" s="15"/>
      <c r="EB379" s="15"/>
      <c r="EC379" s="15"/>
      <c r="ED379" s="15"/>
      <c r="EE379" s="15"/>
      <c r="EF379" s="15"/>
      <c r="EG379" s="15"/>
      <c r="EH379" s="15"/>
      <c r="EI379" s="15"/>
      <c r="EJ379" s="15"/>
      <c r="EK379" s="15"/>
      <c r="EL379" s="15"/>
      <c r="EM379" s="15"/>
      <c r="EN379" s="15"/>
      <c r="EO379" s="15"/>
      <c r="EP379" s="15"/>
      <c r="EQ379" s="15"/>
      <c r="ER379" s="15"/>
      <c r="ES379" s="15"/>
      <c r="ET379" s="15"/>
      <c r="EU379" s="15"/>
      <c r="EV379" s="15"/>
      <c r="EW379" s="15"/>
      <c r="EX379" s="15"/>
    </row>
    <row r="380" customFormat="false" ht="15.75" hidden="false" customHeight="false" outlineLevel="0" collapsed="false">
      <c r="A380" s="76"/>
      <c r="B380" s="77"/>
      <c r="C380" s="77"/>
      <c r="D380" s="78" t="str">
        <f aca="false">IFERROR(__xludf.dummyfunction("""COMPUTED_VALUE"""),"")</f>
        <v/>
      </c>
      <c r="E380" s="72"/>
      <c r="F380" s="68"/>
      <c r="G380" s="15"/>
      <c r="H380" s="76" t="str">
        <f aca="false">IFERROR(__xludf.dummyfunction("""COMPUTED_VALUE"""),"")</f>
        <v/>
      </c>
      <c r="I380" s="50" t="str">
        <f aca="false">IFERROR(__xludf.dummyfunction("""COMPUTED_VALUE"""),"")</f>
        <v/>
      </c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  <c r="DY380" s="15"/>
      <c r="DZ380" s="15"/>
      <c r="EA380" s="15"/>
      <c r="EB380" s="15"/>
      <c r="EC380" s="15"/>
      <c r="ED380" s="15"/>
      <c r="EE380" s="15"/>
      <c r="EF380" s="15"/>
      <c r="EG380" s="15"/>
      <c r="EH380" s="15"/>
      <c r="EI380" s="15"/>
      <c r="EJ380" s="15"/>
      <c r="EK380" s="15"/>
      <c r="EL380" s="15"/>
      <c r="EM380" s="15"/>
      <c r="EN380" s="15"/>
      <c r="EO380" s="15"/>
      <c r="EP380" s="15"/>
      <c r="EQ380" s="15"/>
      <c r="ER380" s="15"/>
      <c r="ES380" s="15"/>
      <c r="ET380" s="15"/>
      <c r="EU380" s="15"/>
      <c r="EV380" s="15"/>
      <c r="EW380" s="15"/>
      <c r="EX380" s="15"/>
    </row>
    <row r="381" customFormat="false" ht="15.75" hidden="false" customHeight="false" outlineLevel="0" collapsed="false">
      <c r="A381" s="76"/>
      <c r="B381" s="77"/>
      <c r="C381" s="77"/>
      <c r="D381" s="78" t="str">
        <f aca="false">IFERROR(__xludf.dummyfunction("""COMPUTED_VALUE"""),"")</f>
        <v/>
      </c>
      <c r="E381" s="72"/>
      <c r="F381" s="68"/>
      <c r="G381" s="15"/>
      <c r="H381" s="76" t="str">
        <f aca="false">IFERROR(__xludf.dummyfunction("""COMPUTED_VALUE"""),"")</f>
        <v/>
      </c>
      <c r="I381" s="50" t="str">
        <f aca="false">IFERROR(__xludf.dummyfunction("""COMPUTED_VALUE"""),"")</f>
        <v/>
      </c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  <c r="DY381" s="15"/>
      <c r="DZ381" s="15"/>
      <c r="EA381" s="15"/>
      <c r="EB381" s="15"/>
      <c r="EC381" s="15"/>
      <c r="ED381" s="15"/>
      <c r="EE381" s="15"/>
      <c r="EF381" s="15"/>
      <c r="EG381" s="15"/>
      <c r="EH381" s="15"/>
      <c r="EI381" s="15"/>
      <c r="EJ381" s="15"/>
      <c r="EK381" s="15"/>
      <c r="EL381" s="15"/>
      <c r="EM381" s="15"/>
      <c r="EN381" s="15"/>
      <c r="EO381" s="15"/>
      <c r="EP381" s="15"/>
      <c r="EQ381" s="15"/>
      <c r="ER381" s="15"/>
      <c r="ES381" s="15"/>
      <c r="ET381" s="15"/>
      <c r="EU381" s="15"/>
      <c r="EV381" s="15"/>
      <c r="EW381" s="15"/>
      <c r="EX381" s="15"/>
    </row>
    <row r="382" customFormat="false" ht="15.75" hidden="false" customHeight="false" outlineLevel="0" collapsed="false">
      <c r="A382" s="76"/>
      <c r="B382" s="77"/>
      <c r="C382" s="77"/>
      <c r="D382" s="78" t="str">
        <f aca="false">IFERROR(__xludf.dummyfunction("""COMPUTED_VALUE"""),"")</f>
        <v/>
      </c>
      <c r="E382" s="72"/>
      <c r="F382" s="68"/>
      <c r="G382" s="15"/>
      <c r="H382" s="76" t="str">
        <f aca="false">IFERROR(__xludf.dummyfunction("""COMPUTED_VALUE"""),"")</f>
        <v/>
      </c>
      <c r="I382" s="50" t="str">
        <f aca="false">IFERROR(__xludf.dummyfunction("""COMPUTED_VALUE"""),"")</f>
        <v/>
      </c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  <c r="DY382" s="15"/>
      <c r="DZ382" s="15"/>
      <c r="EA382" s="15"/>
      <c r="EB382" s="15"/>
      <c r="EC382" s="15"/>
      <c r="ED382" s="15"/>
      <c r="EE382" s="15"/>
      <c r="EF382" s="15"/>
      <c r="EG382" s="15"/>
      <c r="EH382" s="15"/>
      <c r="EI382" s="15"/>
      <c r="EJ382" s="15"/>
      <c r="EK382" s="15"/>
      <c r="EL382" s="15"/>
      <c r="EM382" s="15"/>
      <c r="EN382" s="15"/>
      <c r="EO382" s="15"/>
      <c r="EP382" s="15"/>
      <c r="EQ382" s="15"/>
      <c r="ER382" s="15"/>
      <c r="ES382" s="15"/>
      <c r="ET382" s="15"/>
      <c r="EU382" s="15"/>
      <c r="EV382" s="15"/>
      <c r="EW382" s="15"/>
      <c r="EX382" s="15"/>
    </row>
    <row r="383" customFormat="false" ht="15.75" hidden="false" customHeight="false" outlineLevel="0" collapsed="false">
      <c r="A383" s="76"/>
      <c r="B383" s="77"/>
      <c r="C383" s="77"/>
      <c r="D383" s="78" t="str">
        <f aca="false">IFERROR(__xludf.dummyfunction("""COMPUTED_VALUE"""),"")</f>
        <v/>
      </c>
      <c r="E383" s="72"/>
      <c r="F383" s="68"/>
      <c r="G383" s="15"/>
      <c r="H383" s="76" t="str">
        <f aca="false">IFERROR(__xludf.dummyfunction("""COMPUTED_VALUE"""),"")</f>
        <v/>
      </c>
      <c r="I383" s="50" t="str">
        <f aca="false">IFERROR(__xludf.dummyfunction("""COMPUTED_VALUE"""),"")</f>
        <v/>
      </c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  <c r="DY383" s="15"/>
      <c r="DZ383" s="15"/>
      <c r="EA383" s="15"/>
      <c r="EB383" s="15"/>
      <c r="EC383" s="15"/>
      <c r="ED383" s="15"/>
      <c r="EE383" s="15"/>
      <c r="EF383" s="15"/>
      <c r="EG383" s="15"/>
      <c r="EH383" s="15"/>
      <c r="EI383" s="15"/>
      <c r="EJ383" s="15"/>
      <c r="EK383" s="15"/>
      <c r="EL383" s="15"/>
      <c r="EM383" s="15"/>
      <c r="EN383" s="15"/>
      <c r="EO383" s="15"/>
      <c r="EP383" s="15"/>
      <c r="EQ383" s="15"/>
      <c r="ER383" s="15"/>
      <c r="ES383" s="15"/>
      <c r="ET383" s="15"/>
      <c r="EU383" s="15"/>
      <c r="EV383" s="15"/>
      <c r="EW383" s="15"/>
      <c r="EX383" s="15"/>
    </row>
    <row r="384" customFormat="false" ht="15.75" hidden="false" customHeight="false" outlineLevel="0" collapsed="false">
      <c r="A384" s="76"/>
      <c r="B384" s="77"/>
      <c r="C384" s="77"/>
      <c r="D384" s="78" t="str">
        <f aca="false">IFERROR(__xludf.dummyfunction("""COMPUTED_VALUE"""),"")</f>
        <v/>
      </c>
      <c r="E384" s="72"/>
      <c r="F384" s="68"/>
      <c r="G384" s="15"/>
      <c r="H384" s="76" t="str">
        <f aca="false">IFERROR(__xludf.dummyfunction("""COMPUTED_VALUE"""),"")</f>
        <v/>
      </c>
      <c r="I384" s="50" t="str">
        <f aca="false">IFERROR(__xludf.dummyfunction("""COMPUTED_VALUE"""),"")</f>
        <v/>
      </c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  <c r="DY384" s="15"/>
      <c r="DZ384" s="15"/>
      <c r="EA384" s="15"/>
      <c r="EB384" s="15"/>
      <c r="EC384" s="15"/>
      <c r="ED384" s="15"/>
      <c r="EE384" s="15"/>
      <c r="EF384" s="15"/>
      <c r="EG384" s="15"/>
      <c r="EH384" s="15"/>
      <c r="EI384" s="15"/>
      <c r="EJ384" s="15"/>
      <c r="EK384" s="15"/>
      <c r="EL384" s="15"/>
      <c r="EM384" s="15"/>
      <c r="EN384" s="15"/>
      <c r="EO384" s="15"/>
      <c r="EP384" s="15"/>
      <c r="EQ384" s="15"/>
      <c r="ER384" s="15"/>
      <c r="ES384" s="15"/>
      <c r="ET384" s="15"/>
      <c r="EU384" s="15"/>
      <c r="EV384" s="15"/>
      <c r="EW384" s="15"/>
      <c r="EX384" s="15"/>
    </row>
    <row r="385" customFormat="false" ht="15.75" hidden="false" customHeight="false" outlineLevel="0" collapsed="false">
      <c r="A385" s="76"/>
      <c r="B385" s="77"/>
      <c r="C385" s="77"/>
      <c r="D385" s="78" t="str">
        <f aca="false">IFERROR(__xludf.dummyfunction("""COMPUTED_VALUE"""),"")</f>
        <v/>
      </c>
      <c r="E385" s="72"/>
      <c r="F385" s="68"/>
      <c r="G385" s="15"/>
      <c r="H385" s="76" t="str">
        <f aca="false">IFERROR(__xludf.dummyfunction("""COMPUTED_VALUE"""),"")</f>
        <v/>
      </c>
      <c r="I385" s="50" t="str">
        <f aca="false">IFERROR(__xludf.dummyfunction("""COMPUTED_VALUE"""),"")</f>
        <v/>
      </c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  <c r="EE385" s="15"/>
      <c r="EF385" s="15"/>
      <c r="EG385" s="15"/>
      <c r="EH385" s="15"/>
      <c r="EI385" s="15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T385" s="15"/>
      <c r="EU385" s="15"/>
      <c r="EV385" s="15"/>
      <c r="EW385" s="15"/>
      <c r="EX385" s="15"/>
    </row>
    <row r="386" customFormat="false" ht="15.75" hidden="false" customHeight="false" outlineLevel="0" collapsed="false">
      <c r="A386" s="76"/>
      <c r="B386" s="77"/>
      <c r="C386" s="77"/>
      <c r="D386" s="78" t="str">
        <f aca="false">IFERROR(__xludf.dummyfunction("""COMPUTED_VALUE"""),"")</f>
        <v/>
      </c>
      <c r="E386" s="72"/>
      <c r="F386" s="68"/>
      <c r="G386" s="15"/>
      <c r="H386" s="76" t="str">
        <f aca="false">IFERROR(__xludf.dummyfunction("""COMPUTED_VALUE"""),"")</f>
        <v/>
      </c>
      <c r="I386" s="50" t="str">
        <f aca="false">IFERROR(__xludf.dummyfunction("""COMPUTED_VALUE"""),"")</f>
        <v/>
      </c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  <c r="DY386" s="15"/>
      <c r="DZ386" s="15"/>
      <c r="EA386" s="15"/>
      <c r="EB386" s="15"/>
      <c r="EC386" s="15"/>
      <c r="ED386" s="15"/>
      <c r="EE386" s="15"/>
      <c r="EF386" s="15"/>
      <c r="EG386" s="15"/>
      <c r="EH386" s="15"/>
      <c r="EI386" s="15"/>
      <c r="EJ386" s="15"/>
      <c r="EK386" s="15"/>
      <c r="EL386" s="15"/>
      <c r="EM386" s="15"/>
      <c r="EN386" s="15"/>
      <c r="EO386" s="15"/>
      <c r="EP386" s="15"/>
      <c r="EQ386" s="15"/>
      <c r="ER386" s="15"/>
      <c r="ES386" s="15"/>
      <c r="ET386" s="15"/>
      <c r="EU386" s="15"/>
      <c r="EV386" s="15"/>
      <c r="EW386" s="15"/>
      <c r="EX386" s="15"/>
    </row>
    <row r="387" customFormat="false" ht="15.75" hidden="false" customHeight="false" outlineLevel="0" collapsed="false">
      <c r="A387" s="76"/>
      <c r="B387" s="77"/>
      <c r="C387" s="77"/>
      <c r="D387" s="78" t="str">
        <f aca="false">IFERROR(__xludf.dummyfunction("""COMPUTED_VALUE"""),"")</f>
        <v/>
      </c>
      <c r="E387" s="72"/>
      <c r="F387" s="68"/>
      <c r="G387" s="15"/>
      <c r="H387" s="76" t="str">
        <f aca="false">IFERROR(__xludf.dummyfunction("""COMPUTED_VALUE"""),"")</f>
        <v/>
      </c>
      <c r="I387" s="50" t="str">
        <f aca="false">IFERROR(__xludf.dummyfunction("""COMPUTED_VALUE"""),"")</f>
        <v/>
      </c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  <c r="DY387" s="15"/>
      <c r="DZ387" s="15"/>
      <c r="EA387" s="15"/>
      <c r="EB387" s="15"/>
      <c r="EC387" s="15"/>
      <c r="ED387" s="15"/>
      <c r="EE387" s="15"/>
      <c r="EF387" s="15"/>
      <c r="EG387" s="15"/>
      <c r="EH387" s="15"/>
      <c r="EI387" s="15"/>
      <c r="EJ387" s="15"/>
      <c r="EK387" s="15"/>
      <c r="EL387" s="15"/>
      <c r="EM387" s="15"/>
      <c r="EN387" s="15"/>
      <c r="EO387" s="15"/>
      <c r="EP387" s="15"/>
      <c r="EQ387" s="15"/>
      <c r="ER387" s="15"/>
      <c r="ES387" s="15"/>
      <c r="ET387" s="15"/>
      <c r="EU387" s="15"/>
      <c r="EV387" s="15"/>
      <c r="EW387" s="15"/>
      <c r="EX387" s="15"/>
    </row>
    <row r="388" customFormat="false" ht="15.75" hidden="false" customHeight="false" outlineLevel="0" collapsed="false">
      <c r="A388" s="76"/>
      <c r="B388" s="77"/>
      <c r="C388" s="77"/>
      <c r="D388" s="78" t="str">
        <f aca="false">IFERROR(__xludf.dummyfunction("""COMPUTED_VALUE"""),"")</f>
        <v/>
      </c>
      <c r="E388" s="72"/>
      <c r="F388" s="68"/>
      <c r="G388" s="15"/>
      <c r="H388" s="76" t="str">
        <f aca="false">IFERROR(__xludf.dummyfunction("""COMPUTED_VALUE"""),"")</f>
        <v/>
      </c>
      <c r="I388" s="50" t="str">
        <f aca="false">IFERROR(__xludf.dummyfunction("""COMPUTED_VALUE"""),"")</f>
        <v/>
      </c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  <c r="DY388" s="15"/>
      <c r="DZ388" s="15"/>
      <c r="EA388" s="15"/>
      <c r="EB388" s="15"/>
      <c r="EC388" s="15"/>
      <c r="ED388" s="15"/>
      <c r="EE388" s="15"/>
      <c r="EF388" s="15"/>
      <c r="EG388" s="15"/>
      <c r="EH388" s="15"/>
      <c r="EI388" s="15"/>
      <c r="EJ388" s="15"/>
      <c r="EK388" s="15"/>
      <c r="EL388" s="15"/>
      <c r="EM388" s="15"/>
      <c r="EN388" s="15"/>
      <c r="EO388" s="15"/>
      <c r="EP388" s="15"/>
      <c r="EQ388" s="15"/>
      <c r="ER388" s="15"/>
      <c r="ES388" s="15"/>
      <c r="ET388" s="15"/>
      <c r="EU388" s="15"/>
      <c r="EV388" s="15"/>
      <c r="EW388" s="15"/>
      <c r="EX388" s="15"/>
    </row>
    <row r="389" customFormat="false" ht="15.75" hidden="false" customHeight="false" outlineLevel="0" collapsed="false">
      <c r="A389" s="76"/>
      <c r="B389" s="77"/>
      <c r="C389" s="77"/>
      <c r="D389" s="78" t="str">
        <f aca="false">IFERROR(__xludf.dummyfunction("""COMPUTED_VALUE"""),"")</f>
        <v/>
      </c>
      <c r="E389" s="72"/>
      <c r="F389" s="68"/>
      <c r="G389" s="15"/>
      <c r="H389" s="76" t="str">
        <f aca="false">IFERROR(__xludf.dummyfunction("""COMPUTED_VALUE"""),"")</f>
        <v/>
      </c>
      <c r="I389" s="50" t="str">
        <f aca="false">IFERROR(__xludf.dummyfunction("""COMPUTED_VALUE"""),"")</f>
        <v/>
      </c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  <c r="DY389" s="15"/>
      <c r="DZ389" s="15"/>
      <c r="EA389" s="15"/>
      <c r="EB389" s="15"/>
      <c r="EC389" s="15"/>
      <c r="ED389" s="15"/>
      <c r="EE389" s="15"/>
      <c r="EF389" s="15"/>
      <c r="EG389" s="15"/>
      <c r="EH389" s="15"/>
      <c r="EI389" s="15"/>
      <c r="EJ389" s="15"/>
      <c r="EK389" s="15"/>
      <c r="EL389" s="15"/>
      <c r="EM389" s="15"/>
      <c r="EN389" s="15"/>
      <c r="EO389" s="15"/>
      <c r="EP389" s="15"/>
      <c r="EQ389" s="15"/>
      <c r="ER389" s="15"/>
      <c r="ES389" s="15"/>
      <c r="ET389" s="15"/>
      <c r="EU389" s="15"/>
      <c r="EV389" s="15"/>
      <c r="EW389" s="15"/>
      <c r="EX389" s="15"/>
    </row>
    <row r="390" customFormat="false" ht="15.75" hidden="false" customHeight="false" outlineLevel="0" collapsed="false">
      <c r="A390" s="76"/>
      <c r="B390" s="77"/>
      <c r="C390" s="77"/>
      <c r="D390" s="78" t="str">
        <f aca="false">IFERROR(__xludf.dummyfunction("""COMPUTED_VALUE"""),"")</f>
        <v/>
      </c>
      <c r="E390" s="72"/>
      <c r="F390" s="68"/>
      <c r="G390" s="15"/>
      <c r="H390" s="76" t="str">
        <f aca="false">IFERROR(__xludf.dummyfunction("""COMPUTED_VALUE"""),"")</f>
        <v/>
      </c>
      <c r="I390" s="50" t="str">
        <f aca="false">IFERROR(__xludf.dummyfunction("""COMPUTED_VALUE"""),"")</f>
        <v/>
      </c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  <c r="DY390" s="15"/>
      <c r="DZ390" s="15"/>
      <c r="EA390" s="15"/>
      <c r="EB390" s="15"/>
      <c r="EC390" s="15"/>
      <c r="ED390" s="15"/>
      <c r="EE390" s="15"/>
      <c r="EF390" s="15"/>
      <c r="EG390" s="15"/>
      <c r="EH390" s="15"/>
      <c r="EI390" s="15"/>
      <c r="EJ390" s="15"/>
      <c r="EK390" s="15"/>
      <c r="EL390" s="15"/>
      <c r="EM390" s="15"/>
      <c r="EN390" s="15"/>
      <c r="EO390" s="15"/>
      <c r="EP390" s="15"/>
      <c r="EQ390" s="15"/>
      <c r="ER390" s="15"/>
      <c r="ES390" s="15"/>
      <c r="ET390" s="15"/>
      <c r="EU390" s="15"/>
      <c r="EV390" s="15"/>
      <c r="EW390" s="15"/>
      <c r="EX390" s="15"/>
    </row>
    <row r="391" customFormat="false" ht="15.75" hidden="false" customHeight="false" outlineLevel="0" collapsed="false">
      <c r="A391" s="76"/>
      <c r="B391" s="77"/>
      <c r="C391" s="77"/>
      <c r="D391" s="78" t="str">
        <f aca="false">IFERROR(__xludf.dummyfunction("""COMPUTED_VALUE"""),"")</f>
        <v/>
      </c>
      <c r="E391" s="72"/>
      <c r="F391" s="68"/>
      <c r="G391" s="15"/>
      <c r="H391" s="76" t="str">
        <f aca="false">IFERROR(__xludf.dummyfunction("""COMPUTED_VALUE"""),"")</f>
        <v/>
      </c>
      <c r="I391" s="50" t="str">
        <f aca="false">IFERROR(__xludf.dummyfunction("""COMPUTED_VALUE"""),"")</f>
        <v/>
      </c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  <c r="DY391" s="15"/>
      <c r="DZ391" s="15"/>
      <c r="EA391" s="15"/>
      <c r="EB391" s="15"/>
      <c r="EC391" s="15"/>
      <c r="ED391" s="15"/>
      <c r="EE391" s="15"/>
      <c r="EF391" s="15"/>
      <c r="EG391" s="15"/>
      <c r="EH391" s="15"/>
      <c r="EI391" s="15"/>
      <c r="EJ391" s="15"/>
      <c r="EK391" s="15"/>
      <c r="EL391" s="15"/>
      <c r="EM391" s="15"/>
      <c r="EN391" s="15"/>
      <c r="EO391" s="15"/>
      <c r="EP391" s="15"/>
      <c r="EQ391" s="15"/>
      <c r="ER391" s="15"/>
      <c r="ES391" s="15"/>
      <c r="ET391" s="15"/>
      <c r="EU391" s="15"/>
      <c r="EV391" s="15"/>
      <c r="EW391" s="15"/>
      <c r="EX391" s="15"/>
    </row>
    <row r="392" customFormat="false" ht="15.75" hidden="false" customHeight="false" outlineLevel="0" collapsed="false">
      <c r="A392" s="76"/>
      <c r="B392" s="77"/>
      <c r="C392" s="77"/>
      <c r="D392" s="78" t="str">
        <f aca="false">IFERROR(__xludf.dummyfunction("""COMPUTED_VALUE"""),"")</f>
        <v/>
      </c>
      <c r="E392" s="72"/>
      <c r="F392" s="68"/>
      <c r="G392" s="15"/>
      <c r="H392" s="76" t="str">
        <f aca="false">IFERROR(__xludf.dummyfunction("""COMPUTED_VALUE"""),"")</f>
        <v/>
      </c>
      <c r="I392" s="50" t="str">
        <f aca="false">IFERROR(__xludf.dummyfunction("""COMPUTED_VALUE"""),"")</f>
        <v/>
      </c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  <c r="DY392" s="15"/>
      <c r="DZ392" s="15"/>
      <c r="EA392" s="15"/>
      <c r="EB392" s="15"/>
      <c r="EC392" s="15"/>
      <c r="ED392" s="15"/>
      <c r="EE392" s="15"/>
      <c r="EF392" s="15"/>
      <c r="EG392" s="15"/>
      <c r="EH392" s="15"/>
      <c r="EI392" s="15"/>
      <c r="EJ392" s="15"/>
      <c r="EK392" s="15"/>
      <c r="EL392" s="15"/>
      <c r="EM392" s="15"/>
      <c r="EN392" s="15"/>
      <c r="EO392" s="15"/>
      <c r="EP392" s="15"/>
      <c r="EQ392" s="15"/>
      <c r="ER392" s="15"/>
      <c r="ES392" s="15"/>
      <c r="ET392" s="15"/>
      <c r="EU392" s="15"/>
      <c r="EV392" s="15"/>
      <c r="EW392" s="15"/>
      <c r="EX392" s="15"/>
    </row>
    <row r="393" customFormat="false" ht="15.75" hidden="false" customHeight="false" outlineLevel="0" collapsed="false">
      <c r="A393" s="76"/>
      <c r="B393" s="77"/>
      <c r="C393" s="77"/>
      <c r="D393" s="78" t="str">
        <f aca="false">IFERROR(__xludf.dummyfunction("""COMPUTED_VALUE"""),"")</f>
        <v/>
      </c>
      <c r="E393" s="72"/>
      <c r="F393" s="68"/>
      <c r="G393" s="15"/>
      <c r="H393" s="76" t="str">
        <f aca="false">IFERROR(__xludf.dummyfunction("""COMPUTED_VALUE"""),"")</f>
        <v/>
      </c>
      <c r="I393" s="50" t="str">
        <f aca="false">IFERROR(__xludf.dummyfunction("""COMPUTED_VALUE"""),"")</f>
        <v/>
      </c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  <c r="DY393" s="15"/>
      <c r="DZ393" s="15"/>
      <c r="EA393" s="15"/>
      <c r="EB393" s="15"/>
      <c r="EC393" s="15"/>
      <c r="ED393" s="15"/>
      <c r="EE393" s="15"/>
      <c r="EF393" s="15"/>
      <c r="EG393" s="15"/>
      <c r="EH393" s="15"/>
      <c r="EI393" s="15"/>
      <c r="EJ393" s="15"/>
      <c r="EK393" s="15"/>
      <c r="EL393" s="15"/>
      <c r="EM393" s="15"/>
      <c r="EN393" s="15"/>
      <c r="EO393" s="15"/>
      <c r="EP393" s="15"/>
      <c r="EQ393" s="15"/>
      <c r="ER393" s="15"/>
      <c r="ES393" s="15"/>
      <c r="ET393" s="15"/>
      <c r="EU393" s="15"/>
      <c r="EV393" s="15"/>
      <c r="EW393" s="15"/>
      <c r="EX393" s="15"/>
    </row>
    <row r="394" customFormat="false" ht="15.75" hidden="false" customHeight="false" outlineLevel="0" collapsed="false">
      <c r="A394" s="76"/>
      <c r="B394" s="77"/>
      <c r="C394" s="77"/>
      <c r="D394" s="78" t="str">
        <f aca="false">IFERROR(__xludf.dummyfunction("""COMPUTED_VALUE"""),"")</f>
        <v/>
      </c>
      <c r="E394" s="72"/>
      <c r="F394" s="68"/>
      <c r="G394" s="15"/>
      <c r="H394" s="76" t="str">
        <f aca="false">IFERROR(__xludf.dummyfunction("""COMPUTED_VALUE"""),"")</f>
        <v/>
      </c>
      <c r="I394" s="50" t="str">
        <f aca="false">IFERROR(__xludf.dummyfunction("""COMPUTED_VALUE"""),"")</f>
        <v/>
      </c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  <c r="DY394" s="15"/>
      <c r="DZ394" s="15"/>
      <c r="EA394" s="15"/>
      <c r="EB394" s="15"/>
      <c r="EC394" s="15"/>
      <c r="ED394" s="15"/>
      <c r="EE394" s="15"/>
      <c r="EF394" s="15"/>
      <c r="EG394" s="15"/>
      <c r="EH394" s="15"/>
      <c r="EI394" s="15"/>
      <c r="EJ394" s="15"/>
      <c r="EK394" s="15"/>
      <c r="EL394" s="15"/>
      <c r="EM394" s="15"/>
      <c r="EN394" s="15"/>
      <c r="EO394" s="15"/>
      <c r="EP394" s="15"/>
      <c r="EQ394" s="15"/>
      <c r="ER394" s="15"/>
      <c r="ES394" s="15"/>
      <c r="ET394" s="15"/>
      <c r="EU394" s="15"/>
      <c r="EV394" s="15"/>
      <c r="EW394" s="15"/>
      <c r="EX394" s="15"/>
    </row>
    <row r="395" customFormat="false" ht="15.75" hidden="false" customHeight="false" outlineLevel="0" collapsed="false">
      <c r="A395" s="76"/>
      <c r="B395" s="77"/>
      <c r="C395" s="77"/>
      <c r="D395" s="78" t="str">
        <f aca="false">IFERROR(__xludf.dummyfunction("""COMPUTED_VALUE"""),"")</f>
        <v/>
      </c>
      <c r="E395" s="72"/>
      <c r="F395" s="68"/>
      <c r="G395" s="15"/>
      <c r="H395" s="76" t="str">
        <f aca="false">IFERROR(__xludf.dummyfunction("""COMPUTED_VALUE"""),"")</f>
        <v/>
      </c>
      <c r="I395" s="50" t="str">
        <f aca="false">IFERROR(__xludf.dummyfunction("""COMPUTED_VALUE"""),"")</f>
        <v/>
      </c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  <c r="DY395" s="15"/>
      <c r="DZ395" s="15"/>
      <c r="EA395" s="15"/>
      <c r="EB395" s="15"/>
      <c r="EC395" s="15"/>
      <c r="ED395" s="15"/>
      <c r="EE395" s="15"/>
      <c r="EF395" s="15"/>
      <c r="EG395" s="15"/>
      <c r="EH395" s="15"/>
      <c r="EI395" s="15"/>
      <c r="EJ395" s="15"/>
      <c r="EK395" s="15"/>
      <c r="EL395" s="15"/>
      <c r="EM395" s="15"/>
      <c r="EN395" s="15"/>
      <c r="EO395" s="15"/>
      <c r="EP395" s="15"/>
      <c r="EQ395" s="15"/>
      <c r="ER395" s="15"/>
      <c r="ES395" s="15"/>
      <c r="ET395" s="15"/>
      <c r="EU395" s="15"/>
      <c r="EV395" s="15"/>
      <c r="EW395" s="15"/>
      <c r="EX395" s="15"/>
    </row>
    <row r="396" customFormat="false" ht="15.75" hidden="false" customHeight="false" outlineLevel="0" collapsed="false">
      <c r="A396" s="76"/>
      <c r="B396" s="77"/>
      <c r="C396" s="77"/>
      <c r="D396" s="78" t="str">
        <f aca="false">IFERROR(__xludf.dummyfunction("""COMPUTED_VALUE"""),"")</f>
        <v/>
      </c>
      <c r="E396" s="72"/>
      <c r="F396" s="68"/>
      <c r="G396" s="15"/>
      <c r="H396" s="76" t="str">
        <f aca="false">IFERROR(__xludf.dummyfunction("""COMPUTED_VALUE"""),"")</f>
        <v/>
      </c>
      <c r="I396" s="50" t="str">
        <f aca="false">IFERROR(__xludf.dummyfunction("""COMPUTED_VALUE"""),"")</f>
        <v/>
      </c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  <c r="DY396" s="15"/>
      <c r="DZ396" s="15"/>
      <c r="EA396" s="15"/>
      <c r="EB396" s="15"/>
      <c r="EC396" s="15"/>
      <c r="ED396" s="15"/>
      <c r="EE396" s="15"/>
      <c r="EF396" s="15"/>
      <c r="EG396" s="15"/>
      <c r="EH396" s="15"/>
      <c r="EI396" s="15"/>
      <c r="EJ396" s="15"/>
      <c r="EK396" s="15"/>
      <c r="EL396" s="15"/>
      <c r="EM396" s="15"/>
      <c r="EN396" s="15"/>
      <c r="EO396" s="15"/>
      <c r="EP396" s="15"/>
      <c r="EQ396" s="15"/>
      <c r="ER396" s="15"/>
      <c r="ES396" s="15"/>
      <c r="ET396" s="15"/>
      <c r="EU396" s="15"/>
      <c r="EV396" s="15"/>
      <c r="EW396" s="15"/>
      <c r="EX396" s="15"/>
    </row>
    <row r="397" customFormat="false" ht="15.75" hidden="false" customHeight="false" outlineLevel="0" collapsed="false">
      <c r="A397" s="76"/>
      <c r="B397" s="77"/>
      <c r="C397" s="77"/>
      <c r="D397" s="78" t="str">
        <f aca="false">IFERROR(__xludf.dummyfunction("""COMPUTED_VALUE"""),"")</f>
        <v/>
      </c>
      <c r="E397" s="72"/>
      <c r="F397" s="68"/>
      <c r="G397" s="15"/>
      <c r="H397" s="76" t="str">
        <f aca="false">IFERROR(__xludf.dummyfunction("""COMPUTED_VALUE"""),"")</f>
        <v/>
      </c>
      <c r="I397" s="50" t="str">
        <f aca="false">IFERROR(__xludf.dummyfunction("""COMPUTED_VALUE"""),"")</f>
        <v/>
      </c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  <c r="DY397" s="15"/>
      <c r="DZ397" s="15"/>
      <c r="EA397" s="15"/>
      <c r="EB397" s="15"/>
      <c r="EC397" s="15"/>
      <c r="ED397" s="15"/>
      <c r="EE397" s="15"/>
      <c r="EF397" s="15"/>
      <c r="EG397" s="15"/>
      <c r="EH397" s="15"/>
      <c r="EI397" s="15"/>
      <c r="EJ397" s="15"/>
      <c r="EK397" s="15"/>
      <c r="EL397" s="15"/>
      <c r="EM397" s="15"/>
      <c r="EN397" s="15"/>
      <c r="EO397" s="15"/>
      <c r="EP397" s="15"/>
      <c r="EQ397" s="15"/>
      <c r="ER397" s="15"/>
      <c r="ES397" s="15"/>
      <c r="ET397" s="15"/>
      <c r="EU397" s="15"/>
      <c r="EV397" s="15"/>
      <c r="EW397" s="15"/>
      <c r="EX397" s="15"/>
    </row>
    <row r="398" customFormat="false" ht="15.75" hidden="false" customHeight="false" outlineLevel="0" collapsed="false">
      <c r="A398" s="76"/>
      <c r="B398" s="77"/>
      <c r="C398" s="77"/>
      <c r="D398" s="78" t="str">
        <f aca="false">IFERROR(__xludf.dummyfunction("""COMPUTED_VALUE"""),"")</f>
        <v/>
      </c>
      <c r="E398" s="72"/>
      <c r="F398" s="68"/>
      <c r="G398" s="15"/>
      <c r="H398" s="76" t="str">
        <f aca="false">IFERROR(__xludf.dummyfunction("""COMPUTED_VALUE"""),"")</f>
        <v/>
      </c>
      <c r="I398" s="50" t="str">
        <f aca="false">IFERROR(__xludf.dummyfunction("""COMPUTED_VALUE"""),"")</f>
        <v/>
      </c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  <c r="DY398" s="15"/>
      <c r="DZ398" s="15"/>
      <c r="EA398" s="15"/>
      <c r="EB398" s="15"/>
      <c r="EC398" s="15"/>
      <c r="ED398" s="15"/>
      <c r="EE398" s="15"/>
      <c r="EF398" s="15"/>
      <c r="EG398" s="15"/>
      <c r="EH398" s="15"/>
      <c r="EI398" s="15"/>
      <c r="EJ398" s="15"/>
      <c r="EK398" s="15"/>
      <c r="EL398" s="15"/>
      <c r="EM398" s="15"/>
      <c r="EN398" s="15"/>
      <c r="EO398" s="15"/>
      <c r="EP398" s="15"/>
      <c r="EQ398" s="15"/>
      <c r="ER398" s="15"/>
      <c r="ES398" s="15"/>
      <c r="ET398" s="15"/>
      <c r="EU398" s="15"/>
      <c r="EV398" s="15"/>
      <c r="EW398" s="15"/>
      <c r="EX398" s="15"/>
    </row>
    <row r="399" customFormat="false" ht="15.75" hidden="false" customHeight="false" outlineLevel="0" collapsed="false">
      <c r="A399" s="76"/>
      <c r="B399" s="77"/>
      <c r="C399" s="77"/>
      <c r="D399" s="78" t="str">
        <f aca="false">IFERROR(__xludf.dummyfunction("""COMPUTED_VALUE"""),"")</f>
        <v/>
      </c>
      <c r="E399" s="72"/>
      <c r="F399" s="68"/>
      <c r="G399" s="15"/>
      <c r="H399" s="76" t="str">
        <f aca="false">IFERROR(__xludf.dummyfunction("""COMPUTED_VALUE"""),"")</f>
        <v/>
      </c>
      <c r="I399" s="50" t="str">
        <f aca="false">IFERROR(__xludf.dummyfunction("""COMPUTED_VALUE"""),"")</f>
        <v/>
      </c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  <c r="DY399" s="15"/>
      <c r="DZ399" s="15"/>
      <c r="EA399" s="15"/>
      <c r="EB399" s="15"/>
      <c r="EC399" s="15"/>
      <c r="ED399" s="15"/>
      <c r="EE399" s="15"/>
      <c r="EF399" s="15"/>
      <c r="EG399" s="15"/>
      <c r="EH399" s="15"/>
      <c r="EI399" s="15"/>
      <c r="EJ399" s="15"/>
      <c r="EK399" s="15"/>
      <c r="EL399" s="15"/>
      <c r="EM399" s="15"/>
      <c r="EN399" s="15"/>
      <c r="EO399" s="15"/>
      <c r="EP399" s="15"/>
      <c r="EQ399" s="15"/>
      <c r="ER399" s="15"/>
      <c r="ES399" s="15"/>
      <c r="ET399" s="15"/>
      <c r="EU399" s="15"/>
      <c r="EV399" s="15"/>
      <c r="EW399" s="15"/>
      <c r="EX399" s="15"/>
    </row>
    <row r="400" customFormat="false" ht="15.75" hidden="false" customHeight="false" outlineLevel="0" collapsed="false">
      <c r="A400" s="76"/>
      <c r="B400" s="77"/>
      <c r="C400" s="77"/>
      <c r="D400" s="78" t="str">
        <f aca="false">IFERROR(__xludf.dummyfunction("""COMPUTED_VALUE"""),"")</f>
        <v/>
      </c>
      <c r="E400" s="72"/>
      <c r="F400" s="68"/>
      <c r="G400" s="15"/>
      <c r="H400" s="76" t="str">
        <f aca="false">IFERROR(__xludf.dummyfunction("""COMPUTED_VALUE"""),"")</f>
        <v/>
      </c>
      <c r="I400" s="50" t="str">
        <f aca="false">IFERROR(__xludf.dummyfunction("""COMPUTED_VALUE"""),"")</f>
        <v/>
      </c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  <c r="DY400" s="15"/>
      <c r="DZ400" s="15"/>
      <c r="EA400" s="15"/>
      <c r="EB400" s="15"/>
      <c r="EC400" s="15"/>
      <c r="ED400" s="15"/>
      <c r="EE400" s="15"/>
      <c r="EF400" s="15"/>
      <c r="EG400" s="15"/>
      <c r="EH400" s="15"/>
      <c r="EI400" s="15"/>
      <c r="EJ400" s="15"/>
      <c r="EK400" s="15"/>
      <c r="EL400" s="15"/>
      <c r="EM400" s="15"/>
      <c r="EN400" s="15"/>
      <c r="EO400" s="15"/>
      <c r="EP400" s="15"/>
      <c r="EQ400" s="15"/>
      <c r="ER400" s="15"/>
      <c r="ES400" s="15"/>
      <c r="ET400" s="15"/>
      <c r="EU400" s="15"/>
      <c r="EV400" s="15"/>
      <c r="EW400" s="15"/>
      <c r="EX400" s="15"/>
    </row>
    <row r="401" customFormat="false" ht="15.75" hidden="false" customHeight="false" outlineLevel="0" collapsed="false">
      <c r="A401" s="76"/>
      <c r="B401" s="77"/>
      <c r="C401" s="77"/>
      <c r="D401" s="78" t="str">
        <f aca="false">IFERROR(__xludf.dummyfunction("""COMPUTED_VALUE"""),"")</f>
        <v/>
      </c>
      <c r="E401" s="72"/>
      <c r="F401" s="68"/>
      <c r="G401" s="15"/>
      <c r="H401" s="76" t="str">
        <f aca="false">IFERROR(__xludf.dummyfunction("""COMPUTED_VALUE"""),"")</f>
        <v/>
      </c>
      <c r="I401" s="50" t="str">
        <f aca="false">IFERROR(__xludf.dummyfunction("""COMPUTED_VALUE"""),"")</f>
        <v/>
      </c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  <c r="DY401" s="15"/>
      <c r="DZ401" s="15"/>
      <c r="EA401" s="15"/>
      <c r="EB401" s="15"/>
      <c r="EC401" s="15"/>
      <c r="ED401" s="15"/>
      <c r="EE401" s="15"/>
      <c r="EF401" s="15"/>
      <c r="EG401" s="15"/>
      <c r="EH401" s="15"/>
      <c r="EI401" s="15"/>
      <c r="EJ401" s="15"/>
      <c r="EK401" s="15"/>
      <c r="EL401" s="15"/>
      <c r="EM401" s="15"/>
      <c r="EN401" s="15"/>
      <c r="EO401" s="15"/>
      <c r="EP401" s="15"/>
      <c r="EQ401" s="15"/>
      <c r="ER401" s="15"/>
      <c r="ES401" s="15"/>
      <c r="ET401" s="15"/>
      <c r="EU401" s="15"/>
      <c r="EV401" s="15"/>
      <c r="EW401" s="15"/>
      <c r="EX401" s="15"/>
    </row>
    <row r="402" customFormat="false" ht="15.75" hidden="false" customHeight="false" outlineLevel="0" collapsed="false">
      <c r="A402" s="76"/>
      <c r="B402" s="77"/>
      <c r="C402" s="77"/>
      <c r="D402" s="78" t="str">
        <f aca="false">IFERROR(__xludf.dummyfunction("""COMPUTED_VALUE"""),"")</f>
        <v/>
      </c>
      <c r="E402" s="72"/>
      <c r="F402" s="68"/>
      <c r="G402" s="15"/>
      <c r="H402" s="76" t="str">
        <f aca="false">IFERROR(__xludf.dummyfunction("""COMPUTED_VALUE"""),"")</f>
        <v/>
      </c>
      <c r="I402" s="50" t="str">
        <f aca="false">IFERROR(__xludf.dummyfunction("""COMPUTED_VALUE"""),"")</f>
        <v/>
      </c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  <c r="DY402" s="15"/>
      <c r="DZ402" s="15"/>
      <c r="EA402" s="15"/>
      <c r="EB402" s="15"/>
      <c r="EC402" s="15"/>
      <c r="ED402" s="15"/>
      <c r="EE402" s="15"/>
      <c r="EF402" s="15"/>
      <c r="EG402" s="15"/>
      <c r="EH402" s="15"/>
      <c r="EI402" s="15"/>
      <c r="EJ402" s="15"/>
      <c r="EK402" s="15"/>
      <c r="EL402" s="15"/>
      <c r="EM402" s="15"/>
      <c r="EN402" s="15"/>
      <c r="EO402" s="15"/>
      <c r="EP402" s="15"/>
      <c r="EQ402" s="15"/>
      <c r="ER402" s="15"/>
      <c r="ES402" s="15"/>
      <c r="ET402" s="15"/>
      <c r="EU402" s="15"/>
      <c r="EV402" s="15"/>
      <c r="EW402" s="15"/>
      <c r="EX402" s="15"/>
    </row>
    <row r="403" customFormat="false" ht="15.75" hidden="false" customHeight="false" outlineLevel="0" collapsed="false">
      <c r="A403" s="76"/>
      <c r="B403" s="77"/>
      <c r="C403" s="77"/>
      <c r="D403" s="78" t="str">
        <f aca="false">IFERROR(__xludf.dummyfunction("""COMPUTED_VALUE"""),"")</f>
        <v/>
      </c>
      <c r="E403" s="72"/>
      <c r="F403" s="68"/>
      <c r="G403" s="15"/>
      <c r="H403" s="76" t="str">
        <f aca="false">IFERROR(__xludf.dummyfunction("""COMPUTED_VALUE"""),"")</f>
        <v/>
      </c>
      <c r="I403" s="50" t="str">
        <f aca="false">IFERROR(__xludf.dummyfunction("""COMPUTED_VALUE"""),"")</f>
        <v/>
      </c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  <c r="DY403" s="15"/>
      <c r="DZ403" s="15"/>
      <c r="EA403" s="15"/>
      <c r="EB403" s="15"/>
      <c r="EC403" s="15"/>
      <c r="ED403" s="15"/>
      <c r="EE403" s="15"/>
      <c r="EF403" s="15"/>
      <c r="EG403" s="15"/>
      <c r="EH403" s="15"/>
      <c r="EI403" s="15"/>
      <c r="EJ403" s="15"/>
      <c r="EK403" s="15"/>
      <c r="EL403" s="15"/>
      <c r="EM403" s="15"/>
      <c r="EN403" s="15"/>
      <c r="EO403" s="15"/>
      <c r="EP403" s="15"/>
      <c r="EQ403" s="15"/>
      <c r="ER403" s="15"/>
      <c r="ES403" s="15"/>
      <c r="ET403" s="15"/>
      <c r="EU403" s="15"/>
      <c r="EV403" s="15"/>
      <c r="EW403" s="15"/>
      <c r="EX403" s="15"/>
    </row>
    <row r="404" customFormat="false" ht="15.75" hidden="false" customHeight="false" outlineLevel="0" collapsed="false">
      <c r="A404" s="76"/>
      <c r="B404" s="77"/>
      <c r="C404" s="77"/>
      <c r="D404" s="78" t="str">
        <f aca="false">IFERROR(__xludf.dummyfunction("""COMPUTED_VALUE"""),"")</f>
        <v/>
      </c>
      <c r="E404" s="72"/>
      <c r="F404" s="68"/>
      <c r="G404" s="15"/>
      <c r="H404" s="76" t="str">
        <f aca="false">IFERROR(__xludf.dummyfunction("""COMPUTED_VALUE"""),"")</f>
        <v/>
      </c>
      <c r="I404" s="50" t="str">
        <f aca="false">IFERROR(__xludf.dummyfunction("""COMPUTED_VALUE"""),"")</f>
        <v/>
      </c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  <c r="DY404" s="15"/>
      <c r="DZ404" s="15"/>
      <c r="EA404" s="15"/>
      <c r="EB404" s="15"/>
      <c r="EC404" s="15"/>
      <c r="ED404" s="15"/>
      <c r="EE404" s="15"/>
      <c r="EF404" s="15"/>
      <c r="EG404" s="15"/>
      <c r="EH404" s="15"/>
      <c r="EI404" s="15"/>
      <c r="EJ404" s="15"/>
      <c r="EK404" s="15"/>
      <c r="EL404" s="15"/>
      <c r="EM404" s="15"/>
      <c r="EN404" s="15"/>
      <c r="EO404" s="15"/>
      <c r="EP404" s="15"/>
      <c r="EQ404" s="15"/>
      <c r="ER404" s="15"/>
      <c r="ES404" s="15"/>
      <c r="ET404" s="15"/>
      <c r="EU404" s="15"/>
      <c r="EV404" s="15"/>
      <c r="EW404" s="15"/>
      <c r="EX404" s="15"/>
    </row>
    <row r="405" customFormat="false" ht="15.75" hidden="false" customHeight="false" outlineLevel="0" collapsed="false">
      <c r="A405" s="76"/>
      <c r="B405" s="77"/>
      <c r="C405" s="77"/>
      <c r="D405" s="78" t="str">
        <f aca="false">IFERROR(__xludf.dummyfunction("""COMPUTED_VALUE"""),"")</f>
        <v/>
      </c>
      <c r="E405" s="72"/>
      <c r="F405" s="68"/>
      <c r="G405" s="15"/>
      <c r="H405" s="76" t="str">
        <f aca="false">IFERROR(__xludf.dummyfunction("""COMPUTED_VALUE"""),"")</f>
        <v/>
      </c>
      <c r="I405" s="50" t="str">
        <f aca="false">IFERROR(__xludf.dummyfunction("""COMPUTED_VALUE"""),"")</f>
        <v/>
      </c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  <c r="DY405" s="15"/>
      <c r="DZ405" s="15"/>
      <c r="EA405" s="15"/>
      <c r="EB405" s="15"/>
      <c r="EC405" s="15"/>
      <c r="ED405" s="15"/>
      <c r="EE405" s="15"/>
      <c r="EF405" s="15"/>
      <c r="EG405" s="15"/>
      <c r="EH405" s="15"/>
      <c r="EI405" s="15"/>
      <c r="EJ405" s="15"/>
      <c r="EK405" s="15"/>
      <c r="EL405" s="15"/>
      <c r="EM405" s="15"/>
      <c r="EN405" s="15"/>
      <c r="EO405" s="15"/>
      <c r="EP405" s="15"/>
      <c r="EQ405" s="15"/>
      <c r="ER405" s="15"/>
      <c r="ES405" s="15"/>
      <c r="ET405" s="15"/>
      <c r="EU405" s="15"/>
      <c r="EV405" s="15"/>
      <c r="EW405" s="15"/>
      <c r="EX405" s="15"/>
    </row>
    <row r="406" customFormat="false" ht="15.75" hidden="false" customHeight="false" outlineLevel="0" collapsed="false">
      <c r="A406" s="76"/>
      <c r="B406" s="77"/>
      <c r="C406" s="77"/>
      <c r="D406" s="78" t="str">
        <f aca="false">IFERROR(__xludf.dummyfunction("""COMPUTED_VALUE"""),"")</f>
        <v/>
      </c>
      <c r="E406" s="72"/>
      <c r="F406" s="68"/>
      <c r="G406" s="15"/>
      <c r="H406" s="76" t="str">
        <f aca="false">IFERROR(__xludf.dummyfunction("""COMPUTED_VALUE"""),"")</f>
        <v/>
      </c>
      <c r="I406" s="50" t="str">
        <f aca="false">IFERROR(__xludf.dummyfunction("""COMPUTED_VALUE"""),"")</f>
        <v/>
      </c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  <c r="DY406" s="15"/>
      <c r="DZ406" s="15"/>
      <c r="EA406" s="15"/>
      <c r="EB406" s="15"/>
      <c r="EC406" s="15"/>
      <c r="ED406" s="15"/>
      <c r="EE406" s="15"/>
      <c r="EF406" s="15"/>
      <c r="EG406" s="15"/>
      <c r="EH406" s="15"/>
      <c r="EI406" s="15"/>
      <c r="EJ406" s="15"/>
      <c r="EK406" s="15"/>
      <c r="EL406" s="15"/>
      <c r="EM406" s="15"/>
      <c r="EN406" s="15"/>
      <c r="EO406" s="15"/>
      <c r="EP406" s="15"/>
      <c r="EQ406" s="15"/>
      <c r="ER406" s="15"/>
      <c r="ES406" s="15"/>
      <c r="ET406" s="15"/>
      <c r="EU406" s="15"/>
      <c r="EV406" s="15"/>
      <c r="EW406" s="15"/>
      <c r="EX406" s="15"/>
    </row>
    <row r="407" customFormat="false" ht="15.75" hidden="false" customHeight="false" outlineLevel="0" collapsed="false">
      <c r="A407" s="76"/>
      <c r="B407" s="77"/>
      <c r="C407" s="77"/>
      <c r="D407" s="78" t="str">
        <f aca="false">IFERROR(__xludf.dummyfunction("""COMPUTED_VALUE"""),"")</f>
        <v/>
      </c>
      <c r="E407" s="72"/>
      <c r="F407" s="68"/>
      <c r="G407" s="15"/>
      <c r="H407" s="76" t="str">
        <f aca="false">IFERROR(__xludf.dummyfunction("""COMPUTED_VALUE"""),"")</f>
        <v/>
      </c>
      <c r="I407" s="50" t="str">
        <f aca="false">IFERROR(__xludf.dummyfunction("""COMPUTED_VALUE"""),"")</f>
        <v/>
      </c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  <c r="DY407" s="15"/>
      <c r="DZ407" s="15"/>
      <c r="EA407" s="15"/>
      <c r="EB407" s="15"/>
      <c r="EC407" s="15"/>
      <c r="ED407" s="15"/>
      <c r="EE407" s="15"/>
      <c r="EF407" s="15"/>
      <c r="EG407" s="15"/>
      <c r="EH407" s="15"/>
      <c r="EI407" s="15"/>
      <c r="EJ407" s="15"/>
      <c r="EK407" s="15"/>
      <c r="EL407" s="15"/>
      <c r="EM407" s="15"/>
      <c r="EN407" s="15"/>
      <c r="EO407" s="15"/>
      <c r="EP407" s="15"/>
      <c r="EQ407" s="15"/>
      <c r="ER407" s="15"/>
      <c r="ES407" s="15"/>
      <c r="ET407" s="15"/>
      <c r="EU407" s="15"/>
      <c r="EV407" s="15"/>
      <c r="EW407" s="15"/>
      <c r="EX407" s="15"/>
    </row>
    <row r="408" customFormat="false" ht="15.75" hidden="false" customHeight="false" outlineLevel="0" collapsed="false">
      <c r="A408" s="76"/>
      <c r="B408" s="77"/>
      <c r="C408" s="77"/>
      <c r="D408" s="78" t="str">
        <f aca="false">IFERROR(__xludf.dummyfunction("""COMPUTED_VALUE"""),"")</f>
        <v/>
      </c>
      <c r="E408" s="72"/>
      <c r="F408" s="68"/>
      <c r="G408" s="15"/>
      <c r="H408" s="76" t="str">
        <f aca="false">IFERROR(__xludf.dummyfunction("""COMPUTED_VALUE"""),"")</f>
        <v/>
      </c>
      <c r="I408" s="50" t="str">
        <f aca="false">IFERROR(__xludf.dummyfunction("""COMPUTED_VALUE"""),"")</f>
        <v/>
      </c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  <c r="DY408" s="15"/>
      <c r="DZ408" s="15"/>
      <c r="EA408" s="15"/>
      <c r="EB408" s="15"/>
      <c r="EC408" s="15"/>
      <c r="ED408" s="15"/>
      <c r="EE408" s="15"/>
      <c r="EF408" s="15"/>
      <c r="EG408" s="15"/>
      <c r="EH408" s="15"/>
      <c r="EI408" s="15"/>
      <c r="EJ408" s="15"/>
      <c r="EK408" s="15"/>
      <c r="EL408" s="15"/>
      <c r="EM408" s="15"/>
      <c r="EN408" s="15"/>
      <c r="EO408" s="15"/>
      <c r="EP408" s="15"/>
      <c r="EQ408" s="15"/>
      <c r="ER408" s="15"/>
      <c r="ES408" s="15"/>
      <c r="ET408" s="15"/>
      <c r="EU408" s="15"/>
      <c r="EV408" s="15"/>
      <c r="EW408" s="15"/>
      <c r="EX408" s="15"/>
    </row>
    <row r="409" customFormat="false" ht="15.75" hidden="false" customHeight="false" outlineLevel="0" collapsed="false">
      <c r="A409" s="76"/>
      <c r="B409" s="77"/>
      <c r="C409" s="77"/>
      <c r="D409" s="78" t="str">
        <f aca="false">IFERROR(__xludf.dummyfunction("""COMPUTED_VALUE"""),"")</f>
        <v/>
      </c>
      <c r="E409" s="72"/>
      <c r="F409" s="68"/>
      <c r="G409" s="15"/>
      <c r="H409" s="76" t="str">
        <f aca="false">IFERROR(__xludf.dummyfunction("""COMPUTED_VALUE"""),"")</f>
        <v/>
      </c>
      <c r="I409" s="50" t="str">
        <f aca="false">IFERROR(__xludf.dummyfunction("""COMPUTED_VALUE"""),"")</f>
        <v/>
      </c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  <c r="DY409" s="15"/>
      <c r="DZ409" s="15"/>
      <c r="EA409" s="15"/>
      <c r="EB409" s="15"/>
      <c r="EC409" s="15"/>
      <c r="ED409" s="15"/>
      <c r="EE409" s="15"/>
      <c r="EF409" s="15"/>
      <c r="EG409" s="15"/>
      <c r="EH409" s="15"/>
      <c r="EI409" s="15"/>
      <c r="EJ409" s="15"/>
      <c r="EK409" s="15"/>
      <c r="EL409" s="15"/>
      <c r="EM409" s="15"/>
      <c r="EN409" s="15"/>
      <c r="EO409" s="15"/>
      <c r="EP409" s="15"/>
      <c r="EQ409" s="15"/>
      <c r="ER409" s="15"/>
      <c r="ES409" s="15"/>
      <c r="ET409" s="15"/>
      <c r="EU409" s="15"/>
      <c r="EV409" s="15"/>
      <c r="EW409" s="15"/>
      <c r="EX409" s="15"/>
    </row>
    <row r="410" customFormat="false" ht="15.75" hidden="false" customHeight="false" outlineLevel="0" collapsed="false">
      <c r="A410" s="76"/>
      <c r="B410" s="77"/>
      <c r="C410" s="77"/>
      <c r="D410" s="78" t="str">
        <f aca="false">IFERROR(__xludf.dummyfunction("""COMPUTED_VALUE"""),"")</f>
        <v/>
      </c>
      <c r="E410" s="72"/>
      <c r="F410" s="68"/>
      <c r="G410" s="15"/>
      <c r="H410" s="76" t="str">
        <f aca="false">IFERROR(__xludf.dummyfunction("""COMPUTED_VALUE"""),"")</f>
        <v/>
      </c>
      <c r="I410" s="50" t="str">
        <f aca="false">IFERROR(__xludf.dummyfunction("""COMPUTED_VALUE"""),"")</f>
        <v/>
      </c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  <c r="DY410" s="15"/>
      <c r="DZ410" s="15"/>
      <c r="EA410" s="15"/>
      <c r="EB410" s="15"/>
      <c r="EC410" s="15"/>
      <c r="ED410" s="15"/>
      <c r="EE410" s="15"/>
      <c r="EF410" s="15"/>
      <c r="EG410" s="15"/>
      <c r="EH410" s="15"/>
      <c r="EI410" s="15"/>
      <c r="EJ410" s="15"/>
      <c r="EK410" s="15"/>
      <c r="EL410" s="15"/>
      <c r="EM410" s="15"/>
      <c r="EN410" s="15"/>
      <c r="EO410" s="15"/>
      <c r="EP410" s="15"/>
      <c r="EQ410" s="15"/>
      <c r="ER410" s="15"/>
      <c r="ES410" s="15"/>
      <c r="ET410" s="15"/>
      <c r="EU410" s="15"/>
      <c r="EV410" s="15"/>
      <c r="EW410" s="15"/>
      <c r="EX410" s="15"/>
    </row>
    <row r="411" customFormat="false" ht="15.75" hidden="false" customHeight="false" outlineLevel="0" collapsed="false">
      <c r="A411" s="76"/>
      <c r="B411" s="77"/>
      <c r="C411" s="77"/>
      <c r="D411" s="78" t="str">
        <f aca="false">IFERROR(__xludf.dummyfunction("""COMPUTED_VALUE"""),"")</f>
        <v/>
      </c>
      <c r="E411" s="72"/>
      <c r="F411" s="68"/>
      <c r="G411" s="15"/>
      <c r="H411" s="76" t="str">
        <f aca="false">IFERROR(__xludf.dummyfunction("""COMPUTED_VALUE"""),"")</f>
        <v/>
      </c>
      <c r="I411" s="50" t="str">
        <f aca="false">IFERROR(__xludf.dummyfunction("""COMPUTED_VALUE"""),"")</f>
        <v/>
      </c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  <c r="DY411" s="15"/>
      <c r="DZ411" s="15"/>
      <c r="EA411" s="15"/>
      <c r="EB411" s="15"/>
      <c r="EC411" s="15"/>
      <c r="ED411" s="15"/>
      <c r="EE411" s="15"/>
      <c r="EF411" s="15"/>
      <c r="EG411" s="15"/>
      <c r="EH411" s="15"/>
      <c r="EI411" s="15"/>
      <c r="EJ411" s="15"/>
      <c r="EK411" s="15"/>
      <c r="EL411" s="15"/>
      <c r="EM411" s="15"/>
      <c r="EN411" s="15"/>
      <c r="EO411" s="15"/>
      <c r="EP411" s="15"/>
      <c r="EQ411" s="15"/>
      <c r="ER411" s="15"/>
      <c r="ES411" s="15"/>
      <c r="ET411" s="15"/>
      <c r="EU411" s="15"/>
      <c r="EV411" s="15"/>
      <c r="EW411" s="15"/>
      <c r="EX411" s="15"/>
    </row>
    <row r="412" customFormat="false" ht="15.75" hidden="false" customHeight="false" outlineLevel="0" collapsed="false">
      <c r="A412" s="76"/>
      <c r="B412" s="77"/>
      <c r="C412" s="77"/>
      <c r="D412" s="78" t="str">
        <f aca="false">IFERROR(__xludf.dummyfunction("""COMPUTED_VALUE"""),"")</f>
        <v/>
      </c>
      <c r="E412" s="72"/>
      <c r="F412" s="68"/>
      <c r="G412" s="15"/>
      <c r="H412" s="76" t="str">
        <f aca="false">IFERROR(__xludf.dummyfunction("""COMPUTED_VALUE"""),"")</f>
        <v/>
      </c>
      <c r="I412" s="50" t="str">
        <f aca="false">IFERROR(__xludf.dummyfunction("""COMPUTED_VALUE"""),"")</f>
        <v/>
      </c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  <c r="DY412" s="15"/>
      <c r="DZ412" s="15"/>
      <c r="EA412" s="15"/>
      <c r="EB412" s="15"/>
      <c r="EC412" s="15"/>
      <c r="ED412" s="15"/>
      <c r="EE412" s="15"/>
      <c r="EF412" s="15"/>
      <c r="EG412" s="15"/>
      <c r="EH412" s="15"/>
      <c r="EI412" s="15"/>
      <c r="EJ412" s="15"/>
      <c r="EK412" s="15"/>
      <c r="EL412" s="15"/>
      <c r="EM412" s="15"/>
      <c r="EN412" s="15"/>
      <c r="EO412" s="15"/>
      <c r="EP412" s="15"/>
      <c r="EQ412" s="15"/>
      <c r="ER412" s="15"/>
      <c r="ES412" s="15"/>
      <c r="ET412" s="15"/>
      <c r="EU412" s="15"/>
      <c r="EV412" s="15"/>
      <c r="EW412" s="15"/>
      <c r="EX412" s="15"/>
    </row>
    <row r="413" customFormat="false" ht="15.75" hidden="false" customHeight="false" outlineLevel="0" collapsed="false">
      <c r="A413" s="76"/>
      <c r="B413" s="77"/>
      <c r="C413" s="77"/>
      <c r="D413" s="78" t="str">
        <f aca="false">IFERROR(__xludf.dummyfunction("""COMPUTED_VALUE"""),"")</f>
        <v/>
      </c>
      <c r="E413" s="72"/>
      <c r="F413" s="68"/>
      <c r="G413" s="15"/>
      <c r="H413" s="76" t="str">
        <f aca="false">IFERROR(__xludf.dummyfunction("""COMPUTED_VALUE"""),"")</f>
        <v/>
      </c>
      <c r="I413" s="50" t="str">
        <f aca="false">IFERROR(__xludf.dummyfunction("""COMPUTED_VALUE"""),"")</f>
        <v/>
      </c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  <c r="DY413" s="15"/>
      <c r="DZ413" s="15"/>
      <c r="EA413" s="15"/>
      <c r="EB413" s="15"/>
      <c r="EC413" s="15"/>
      <c r="ED413" s="15"/>
      <c r="EE413" s="15"/>
      <c r="EF413" s="15"/>
      <c r="EG413" s="15"/>
      <c r="EH413" s="15"/>
      <c r="EI413" s="15"/>
      <c r="EJ413" s="15"/>
      <c r="EK413" s="15"/>
      <c r="EL413" s="15"/>
      <c r="EM413" s="15"/>
      <c r="EN413" s="15"/>
      <c r="EO413" s="15"/>
      <c r="EP413" s="15"/>
      <c r="EQ413" s="15"/>
      <c r="ER413" s="15"/>
      <c r="ES413" s="15"/>
      <c r="ET413" s="15"/>
      <c r="EU413" s="15"/>
      <c r="EV413" s="15"/>
      <c r="EW413" s="15"/>
      <c r="EX413" s="15"/>
    </row>
    <row r="414" customFormat="false" ht="15.75" hidden="false" customHeight="false" outlineLevel="0" collapsed="false">
      <c r="A414" s="76"/>
      <c r="B414" s="77"/>
      <c r="C414" s="77"/>
      <c r="D414" s="78" t="str">
        <f aca="false">IFERROR(__xludf.dummyfunction("""COMPUTED_VALUE"""),"")</f>
        <v/>
      </c>
      <c r="E414" s="72"/>
      <c r="F414" s="68"/>
      <c r="G414" s="15"/>
      <c r="H414" s="76" t="str">
        <f aca="false">IFERROR(__xludf.dummyfunction("""COMPUTED_VALUE"""),"")</f>
        <v/>
      </c>
      <c r="I414" s="50" t="str">
        <f aca="false">IFERROR(__xludf.dummyfunction("""COMPUTED_VALUE"""),"")</f>
        <v/>
      </c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  <c r="DY414" s="15"/>
      <c r="DZ414" s="15"/>
      <c r="EA414" s="15"/>
      <c r="EB414" s="15"/>
      <c r="EC414" s="15"/>
      <c r="ED414" s="15"/>
      <c r="EE414" s="15"/>
      <c r="EF414" s="15"/>
      <c r="EG414" s="15"/>
      <c r="EH414" s="15"/>
      <c r="EI414" s="15"/>
      <c r="EJ414" s="15"/>
      <c r="EK414" s="15"/>
      <c r="EL414" s="15"/>
      <c r="EM414" s="15"/>
      <c r="EN414" s="15"/>
      <c r="EO414" s="15"/>
      <c r="EP414" s="15"/>
      <c r="EQ414" s="15"/>
      <c r="ER414" s="15"/>
      <c r="ES414" s="15"/>
      <c r="ET414" s="15"/>
      <c r="EU414" s="15"/>
      <c r="EV414" s="15"/>
      <c r="EW414" s="15"/>
      <c r="EX414" s="15"/>
    </row>
    <row r="415" customFormat="false" ht="15.75" hidden="false" customHeight="false" outlineLevel="0" collapsed="false">
      <c r="A415" s="76"/>
      <c r="B415" s="77"/>
      <c r="C415" s="77"/>
      <c r="D415" s="78" t="str">
        <f aca="false">IFERROR(__xludf.dummyfunction("""COMPUTED_VALUE"""),"")</f>
        <v/>
      </c>
      <c r="E415" s="72"/>
      <c r="F415" s="68"/>
      <c r="G415" s="15"/>
      <c r="H415" s="76" t="str">
        <f aca="false">IFERROR(__xludf.dummyfunction("""COMPUTED_VALUE"""),"")</f>
        <v/>
      </c>
      <c r="I415" s="50" t="str">
        <f aca="false">IFERROR(__xludf.dummyfunction("""COMPUTED_VALUE"""),"")</f>
        <v/>
      </c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  <c r="DY415" s="15"/>
      <c r="DZ415" s="15"/>
      <c r="EA415" s="15"/>
      <c r="EB415" s="15"/>
      <c r="EC415" s="15"/>
      <c r="ED415" s="15"/>
      <c r="EE415" s="15"/>
      <c r="EF415" s="15"/>
      <c r="EG415" s="15"/>
      <c r="EH415" s="15"/>
      <c r="EI415" s="15"/>
      <c r="EJ415" s="15"/>
      <c r="EK415" s="15"/>
      <c r="EL415" s="15"/>
      <c r="EM415" s="15"/>
      <c r="EN415" s="15"/>
      <c r="EO415" s="15"/>
      <c r="EP415" s="15"/>
      <c r="EQ415" s="15"/>
      <c r="ER415" s="15"/>
      <c r="ES415" s="15"/>
      <c r="ET415" s="15"/>
      <c r="EU415" s="15"/>
      <c r="EV415" s="15"/>
      <c r="EW415" s="15"/>
      <c r="EX415" s="15"/>
    </row>
    <row r="416" customFormat="false" ht="15.75" hidden="false" customHeight="false" outlineLevel="0" collapsed="false">
      <c r="A416" s="76"/>
      <c r="B416" s="77"/>
      <c r="C416" s="77"/>
      <c r="D416" s="78" t="str">
        <f aca="false">IFERROR(__xludf.dummyfunction("""COMPUTED_VALUE"""),"")</f>
        <v/>
      </c>
      <c r="E416" s="72"/>
      <c r="F416" s="68"/>
      <c r="G416" s="15"/>
      <c r="H416" s="76" t="str">
        <f aca="false">IFERROR(__xludf.dummyfunction("""COMPUTED_VALUE"""),"")</f>
        <v/>
      </c>
      <c r="I416" s="50" t="str">
        <f aca="false">IFERROR(__xludf.dummyfunction("""COMPUTED_VALUE"""),"")</f>
        <v/>
      </c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  <c r="DY416" s="15"/>
      <c r="DZ416" s="15"/>
      <c r="EA416" s="15"/>
      <c r="EB416" s="15"/>
      <c r="EC416" s="15"/>
      <c r="ED416" s="15"/>
      <c r="EE416" s="15"/>
      <c r="EF416" s="15"/>
      <c r="EG416" s="15"/>
      <c r="EH416" s="15"/>
      <c r="EI416" s="15"/>
      <c r="EJ416" s="15"/>
      <c r="EK416" s="15"/>
      <c r="EL416" s="15"/>
      <c r="EM416" s="15"/>
      <c r="EN416" s="15"/>
      <c r="EO416" s="15"/>
      <c r="EP416" s="15"/>
      <c r="EQ416" s="15"/>
      <c r="ER416" s="15"/>
      <c r="ES416" s="15"/>
      <c r="ET416" s="15"/>
      <c r="EU416" s="15"/>
      <c r="EV416" s="15"/>
      <c r="EW416" s="15"/>
      <c r="EX416" s="15"/>
    </row>
    <row r="417" customFormat="false" ht="15.75" hidden="false" customHeight="false" outlineLevel="0" collapsed="false">
      <c r="A417" s="76"/>
      <c r="B417" s="77"/>
      <c r="C417" s="77"/>
      <c r="D417" s="78" t="str">
        <f aca="false">IFERROR(__xludf.dummyfunction("""COMPUTED_VALUE"""),"")</f>
        <v/>
      </c>
      <c r="E417" s="72"/>
      <c r="F417" s="68"/>
      <c r="G417" s="15"/>
      <c r="H417" s="76" t="str">
        <f aca="false">IFERROR(__xludf.dummyfunction("""COMPUTED_VALUE"""),"")</f>
        <v/>
      </c>
      <c r="I417" s="50" t="str">
        <f aca="false">IFERROR(__xludf.dummyfunction("""COMPUTED_VALUE"""),"")</f>
        <v/>
      </c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  <c r="DY417" s="15"/>
      <c r="DZ417" s="15"/>
      <c r="EA417" s="15"/>
      <c r="EB417" s="15"/>
      <c r="EC417" s="15"/>
      <c r="ED417" s="15"/>
      <c r="EE417" s="15"/>
      <c r="EF417" s="15"/>
      <c r="EG417" s="15"/>
      <c r="EH417" s="15"/>
      <c r="EI417" s="15"/>
      <c r="EJ417" s="15"/>
      <c r="EK417" s="15"/>
      <c r="EL417" s="15"/>
      <c r="EM417" s="15"/>
      <c r="EN417" s="15"/>
      <c r="EO417" s="15"/>
      <c r="EP417" s="15"/>
      <c r="EQ417" s="15"/>
      <c r="ER417" s="15"/>
      <c r="ES417" s="15"/>
      <c r="ET417" s="15"/>
      <c r="EU417" s="15"/>
      <c r="EV417" s="15"/>
      <c r="EW417" s="15"/>
      <c r="EX417" s="15"/>
    </row>
    <row r="418" customFormat="false" ht="15.75" hidden="false" customHeight="false" outlineLevel="0" collapsed="false">
      <c r="A418" s="76"/>
      <c r="B418" s="77"/>
      <c r="C418" s="77"/>
      <c r="D418" s="78" t="str">
        <f aca="false">IFERROR(__xludf.dummyfunction("""COMPUTED_VALUE"""),"")</f>
        <v/>
      </c>
      <c r="E418" s="72"/>
      <c r="F418" s="68"/>
      <c r="G418" s="15"/>
      <c r="H418" s="76" t="str">
        <f aca="false">IFERROR(__xludf.dummyfunction("""COMPUTED_VALUE"""),"")</f>
        <v/>
      </c>
      <c r="I418" s="50" t="str">
        <f aca="false">IFERROR(__xludf.dummyfunction("""COMPUTED_VALUE"""),"")</f>
        <v/>
      </c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  <c r="DY418" s="15"/>
      <c r="DZ418" s="15"/>
      <c r="EA418" s="15"/>
      <c r="EB418" s="15"/>
      <c r="EC418" s="15"/>
      <c r="ED418" s="15"/>
      <c r="EE418" s="15"/>
      <c r="EF418" s="15"/>
      <c r="EG418" s="15"/>
      <c r="EH418" s="15"/>
      <c r="EI418" s="15"/>
      <c r="EJ418" s="15"/>
      <c r="EK418" s="15"/>
      <c r="EL418" s="15"/>
      <c r="EM418" s="15"/>
      <c r="EN418" s="15"/>
      <c r="EO418" s="15"/>
      <c r="EP418" s="15"/>
      <c r="EQ418" s="15"/>
      <c r="ER418" s="15"/>
      <c r="ES418" s="15"/>
      <c r="ET418" s="15"/>
      <c r="EU418" s="15"/>
      <c r="EV418" s="15"/>
      <c r="EW418" s="15"/>
      <c r="EX418" s="15"/>
    </row>
    <row r="419" customFormat="false" ht="15.75" hidden="false" customHeight="false" outlineLevel="0" collapsed="false">
      <c r="A419" s="76"/>
      <c r="B419" s="77"/>
      <c r="C419" s="77"/>
      <c r="D419" s="78" t="str">
        <f aca="false">IFERROR(__xludf.dummyfunction("""COMPUTED_VALUE"""),"")</f>
        <v/>
      </c>
      <c r="E419" s="72"/>
      <c r="F419" s="68"/>
      <c r="G419" s="15"/>
      <c r="H419" s="76" t="str">
        <f aca="false">IFERROR(__xludf.dummyfunction("""COMPUTED_VALUE"""),"")</f>
        <v/>
      </c>
      <c r="I419" s="50" t="str">
        <f aca="false">IFERROR(__xludf.dummyfunction("""COMPUTED_VALUE"""),"")</f>
        <v/>
      </c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  <c r="DY419" s="15"/>
      <c r="DZ419" s="15"/>
      <c r="EA419" s="15"/>
      <c r="EB419" s="15"/>
      <c r="EC419" s="15"/>
      <c r="ED419" s="15"/>
      <c r="EE419" s="15"/>
      <c r="EF419" s="15"/>
      <c r="EG419" s="15"/>
      <c r="EH419" s="15"/>
      <c r="EI419" s="15"/>
      <c r="EJ419" s="15"/>
      <c r="EK419" s="15"/>
      <c r="EL419" s="15"/>
      <c r="EM419" s="15"/>
      <c r="EN419" s="15"/>
      <c r="EO419" s="15"/>
      <c r="EP419" s="15"/>
      <c r="EQ419" s="15"/>
      <c r="ER419" s="15"/>
      <c r="ES419" s="15"/>
      <c r="ET419" s="15"/>
      <c r="EU419" s="15"/>
      <c r="EV419" s="15"/>
      <c r="EW419" s="15"/>
      <c r="EX419" s="15"/>
    </row>
    <row r="420" customFormat="false" ht="15.75" hidden="false" customHeight="false" outlineLevel="0" collapsed="false">
      <c r="A420" s="76"/>
      <c r="B420" s="77"/>
      <c r="C420" s="77"/>
      <c r="D420" s="78" t="str">
        <f aca="false">IFERROR(__xludf.dummyfunction("""COMPUTED_VALUE"""),"")</f>
        <v/>
      </c>
      <c r="E420" s="72"/>
      <c r="F420" s="68"/>
      <c r="G420" s="15"/>
      <c r="H420" s="76" t="str">
        <f aca="false">IFERROR(__xludf.dummyfunction("""COMPUTED_VALUE"""),"")</f>
        <v/>
      </c>
      <c r="I420" s="50" t="str">
        <f aca="false">IFERROR(__xludf.dummyfunction("""COMPUTED_VALUE"""),"")</f>
        <v/>
      </c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  <c r="DY420" s="15"/>
      <c r="DZ420" s="15"/>
      <c r="EA420" s="15"/>
      <c r="EB420" s="15"/>
      <c r="EC420" s="15"/>
      <c r="ED420" s="15"/>
      <c r="EE420" s="15"/>
      <c r="EF420" s="15"/>
      <c r="EG420" s="15"/>
      <c r="EH420" s="15"/>
      <c r="EI420" s="15"/>
      <c r="EJ420" s="15"/>
      <c r="EK420" s="15"/>
      <c r="EL420" s="15"/>
      <c r="EM420" s="15"/>
      <c r="EN420" s="15"/>
      <c r="EO420" s="15"/>
      <c r="EP420" s="15"/>
      <c r="EQ420" s="15"/>
      <c r="ER420" s="15"/>
      <c r="ES420" s="15"/>
      <c r="ET420" s="15"/>
      <c r="EU420" s="15"/>
      <c r="EV420" s="15"/>
      <c r="EW420" s="15"/>
      <c r="EX420" s="15"/>
    </row>
    <row r="421" customFormat="false" ht="15.75" hidden="false" customHeight="false" outlineLevel="0" collapsed="false">
      <c r="A421" s="76"/>
      <c r="B421" s="77"/>
      <c r="C421" s="77"/>
      <c r="D421" s="78" t="str">
        <f aca="false">IFERROR(__xludf.dummyfunction("""COMPUTED_VALUE"""),"")</f>
        <v/>
      </c>
      <c r="E421" s="72"/>
      <c r="F421" s="68"/>
      <c r="G421" s="15"/>
      <c r="H421" s="76" t="str">
        <f aca="false">IFERROR(__xludf.dummyfunction("""COMPUTED_VALUE"""),"")</f>
        <v/>
      </c>
      <c r="I421" s="50" t="str">
        <f aca="false">IFERROR(__xludf.dummyfunction("""COMPUTED_VALUE"""),"")</f>
        <v/>
      </c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  <c r="DY421" s="15"/>
      <c r="DZ421" s="15"/>
      <c r="EA421" s="15"/>
      <c r="EB421" s="15"/>
      <c r="EC421" s="15"/>
      <c r="ED421" s="15"/>
      <c r="EE421" s="15"/>
      <c r="EF421" s="15"/>
      <c r="EG421" s="15"/>
      <c r="EH421" s="15"/>
      <c r="EI421" s="15"/>
      <c r="EJ421" s="15"/>
      <c r="EK421" s="15"/>
      <c r="EL421" s="15"/>
      <c r="EM421" s="15"/>
      <c r="EN421" s="15"/>
      <c r="EO421" s="15"/>
      <c r="EP421" s="15"/>
      <c r="EQ421" s="15"/>
      <c r="ER421" s="15"/>
      <c r="ES421" s="15"/>
      <c r="ET421" s="15"/>
      <c r="EU421" s="15"/>
      <c r="EV421" s="15"/>
      <c r="EW421" s="15"/>
      <c r="EX421" s="15"/>
    </row>
    <row r="422" customFormat="false" ht="15.75" hidden="false" customHeight="false" outlineLevel="0" collapsed="false">
      <c r="A422" s="76"/>
      <c r="B422" s="77"/>
      <c r="C422" s="77"/>
      <c r="D422" s="78" t="str">
        <f aca="false">IFERROR(__xludf.dummyfunction("""COMPUTED_VALUE"""),"")</f>
        <v/>
      </c>
      <c r="E422" s="72"/>
      <c r="F422" s="68"/>
      <c r="G422" s="15"/>
      <c r="H422" s="76" t="str">
        <f aca="false">IFERROR(__xludf.dummyfunction("""COMPUTED_VALUE"""),"")</f>
        <v/>
      </c>
      <c r="I422" s="50" t="str">
        <f aca="false">IFERROR(__xludf.dummyfunction("""COMPUTED_VALUE"""),"")</f>
        <v/>
      </c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  <c r="DY422" s="15"/>
      <c r="DZ422" s="15"/>
      <c r="EA422" s="15"/>
      <c r="EB422" s="15"/>
      <c r="EC422" s="15"/>
      <c r="ED422" s="15"/>
      <c r="EE422" s="15"/>
      <c r="EF422" s="15"/>
      <c r="EG422" s="15"/>
      <c r="EH422" s="15"/>
      <c r="EI422" s="15"/>
      <c r="EJ422" s="15"/>
      <c r="EK422" s="15"/>
      <c r="EL422" s="15"/>
      <c r="EM422" s="15"/>
      <c r="EN422" s="15"/>
      <c r="EO422" s="15"/>
      <c r="EP422" s="15"/>
      <c r="EQ422" s="15"/>
      <c r="ER422" s="15"/>
      <c r="ES422" s="15"/>
      <c r="ET422" s="15"/>
      <c r="EU422" s="15"/>
      <c r="EV422" s="15"/>
      <c r="EW422" s="15"/>
      <c r="EX422" s="15"/>
    </row>
    <row r="423" customFormat="false" ht="15.75" hidden="false" customHeight="false" outlineLevel="0" collapsed="false">
      <c r="A423" s="76"/>
      <c r="B423" s="77"/>
      <c r="C423" s="77"/>
      <c r="D423" s="78" t="str">
        <f aca="false">IFERROR(__xludf.dummyfunction("""COMPUTED_VALUE"""),"")</f>
        <v/>
      </c>
      <c r="E423" s="72"/>
      <c r="F423" s="68"/>
      <c r="G423" s="15"/>
      <c r="H423" s="76" t="str">
        <f aca="false">IFERROR(__xludf.dummyfunction("""COMPUTED_VALUE"""),"")</f>
        <v/>
      </c>
      <c r="I423" s="50" t="str">
        <f aca="false">IFERROR(__xludf.dummyfunction("""COMPUTED_VALUE"""),"")</f>
        <v/>
      </c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  <c r="DY423" s="15"/>
      <c r="DZ423" s="15"/>
      <c r="EA423" s="15"/>
      <c r="EB423" s="15"/>
      <c r="EC423" s="15"/>
      <c r="ED423" s="15"/>
      <c r="EE423" s="15"/>
      <c r="EF423" s="15"/>
      <c r="EG423" s="15"/>
      <c r="EH423" s="15"/>
      <c r="EI423" s="15"/>
      <c r="EJ423" s="15"/>
      <c r="EK423" s="15"/>
      <c r="EL423" s="15"/>
      <c r="EM423" s="15"/>
      <c r="EN423" s="15"/>
      <c r="EO423" s="15"/>
      <c r="EP423" s="15"/>
      <c r="EQ423" s="15"/>
      <c r="ER423" s="15"/>
      <c r="ES423" s="15"/>
      <c r="ET423" s="15"/>
      <c r="EU423" s="15"/>
      <c r="EV423" s="15"/>
      <c r="EW423" s="15"/>
      <c r="EX423" s="15"/>
    </row>
    <row r="424" customFormat="false" ht="15.75" hidden="false" customHeight="false" outlineLevel="0" collapsed="false">
      <c r="A424" s="76"/>
      <c r="B424" s="77"/>
      <c r="C424" s="77"/>
      <c r="D424" s="78" t="str">
        <f aca="false">IFERROR(__xludf.dummyfunction("""COMPUTED_VALUE"""),"")</f>
        <v/>
      </c>
      <c r="E424" s="72"/>
      <c r="F424" s="68"/>
      <c r="G424" s="15"/>
      <c r="H424" s="76" t="str">
        <f aca="false">IFERROR(__xludf.dummyfunction("""COMPUTED_VALUE"""),"")</f>
        <v/>
      </c>
      <c r="I424" s="50" t="str">
        <f aca="false">IFERROR(__xludf.dummyfunction("""COMPUTED_VALUE"""),"")</f>
        <v/>
      </c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  <c r="DY424" s="15"/>
      <c r="DZ424" s="15"/>
      <c r="EA424" s="15"/>
      <c r="EB424" s="15"/>
      <c r="EC424" s="15"/>
      <c r="ED424" s="15"/>
      <c r="EE424" s="15"/>
      <c r="EF424" s="15"/>
      <c r="EG424" s="15"/>
      <c r="EH424" s="15"/>
      <c r="EI424" s="15"/>
      <c r="EJ424" s="15"/>
      <c r="EK424" s="15"/>
      <c r="EL424" s="15"/>
      <c r="EM424" s="15"/>
      <c r="EN424" s="15"/>
      <c r="EO424" s="15"/>
      <c r="EP424" s="15"/>
      <c r="EQ424" s="15"/>
      <c r="ER424" s="15"/>
      <c r="ES424" s="15"/>
      <c r="ET424" s="15"/>
      <c r="EU424" s="15"/>
      <c r="EV424" s="15"/>
      <c r="EW424" s="15"/>
      <c r="EX424" s="15"/>
    </row>
    <row r="425" customFormat="false" ht="15.75" hidden="false" customHeight="false" outlineLevel="0" collapsed="false">
      <c r="A425" s="76"/>
      <c r="B425" s="77"/>
      <c r="C425" s="77"/>
      <c r="D425" s="78" t="str">
        <f aca="false">IFERROR(__xludf.dummyfunction("""COMPUTED_VALUE"""),"")</f>
        <v/>
      </c>
      <c r="E425" s="72"/>
      <c r="F425" s="68"/>
      <c r="G425" s="15"/>
      <c r="H425" s="76" t="str">
        <f aca="false">IFERROR(__xludf.dummyfunction("""COMPUTED_VALUE"""),"")</f>
        <v/>
      </c>
      <c r="I425" s="50" t="str">
        <f aca="false">IFERROR(__xludf.dummyfunction("""COMPUTED_VALUE"""),"")</f>
        <v/>
      </c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  <c r="DY425" s="15"/>
      <c r="DZ425" s="15"/>
      <c r="EA425" s="15"/>
      <c r="EB425" s="15"/>
      <c r="EC425" s="15"/>
      <c r="ED425" s="15"/>
      <c r="EE425" s="15"/>
      <c r="EF425" s="15"/>
      <c r="EG425" s="15"/>
      <c r="EH425" s="15"/>
      <c r="EI425" s="15"/>
      <c r="EJ425" s="15"/>
      <c r="EK425" s="15"/>
      <c r="EL425" s="15"/>
      <c r="EM425" s="15"/>
      <c r="EN425" s="15"/>
      <c r="EO425" s="15"/>
      <c r="EP425" s="15"/>
      <c r="EQ425" s="15"/>
      <c r="ER425" s="15"/>
      <c r="ES425" s="15"/>
      <c r="ET425" s="15"/>
      <c r="EU425" s="15"/>
      <c r="EV425" s="15"/>
      <c r="EW425" s="15"/>
      <c r="EX425" s="15"/>
    </row>
    <row r="426" customFormat="false" ht="15.75" hidden="false" customHeight="false" outlineLevel="0" collapsed="false">
      <c r="A426" s="76"/>
      <c r="B426" s="77"/>
      <c r="C426" s="77"/>
      <c r="D426" s="78" t="str">
        <f aca="false">IFERROR(__xludf.dummyfunction("""COMPUTED_VALUE"""),"")</f>
        <v/>
      </c>
      <c r="E426" s="72"/>
      <c r="F426" s="68"/>
      <c r="G426" s="15"/>
      <c r="H426" s="76" t="str">
        <f aca="false">IFERROR(__xludf.dummyfunction("""COMPUTED_VALUE"""),"")</f>
        <v/>
      </c>
      <c r="I426" s="50" t="str">
        <f aca="false">IFERROR(__xludf.dummyfunction("""COMPUTED_VALUE"""),"")</f>
        <v/>
      </c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  <c r="DY426" s="15"/>
      <c r="DZ426" s="15"/>
      <c r="EA426" s="15"/>
      <c r="EB426" s="15"/>
      <c r="EC426" s="15"/>
      <c r="ED426" s="15"/>
      <c r="EE426" s="15"/>
      <c r="EF426" s="15"/>
      <c r="EG426" s="15"/>
      <c r="EH426" s="15"/>
      <c r="EI426" s="15"/>
      <c r="EJ426" s="15"/>
      <c r="EK426" s="15"/>
      <c r="EL426" s="15"/>
      <c r="EM426" s="15"/>
      <c r="EN426" s="15"/>
      <c r="EO426" s="15"/>
      <c r="EP426" s="15"/>
      <c r="EQ426" s="15"/>
      <c r="ER426" s="15"/>
      <c r="ES426" s="15"/>
      <c r="ET426" s="15"/>
      <c r="EU426" s="15"/>
      <c r="EV426" s="15"/>
      <c r="EW426" s="15"/>
      <c r="EX426" s="15"/>
    </row>
    <row r="427" customFormat="false" ht="15.75" hidden="false" customHeight="false" outlineLevel="0" collapsed="false">
      <c r="A427" s="76"/>
      <c r="B427" s="77"/>
      <c r="C427" s="77"/>
      <c r="D427" s="78" t="str">
        <f aca="false">IFERROR(__xludf.dummyfunction("""COMPUTED_VALUE"""),"")</f>
        <v/>
      </c>
      <c r="E427" s="72"/>
      <c r="F427" s="68"/>
      <c r="G427" s="15"/>
      <c r="H427" s="76" t="str">
        <f aca="false">IFERROR(__xludf.dummyfunction("""COMPUTED_VALUE"""),"")</f>
        <v/>
      </c>
      <c r="I427" s="50" t="str">
        <f aca="false">IFERROR(__xludf.dummyfunction("""COMPUTED_VALUE"""),"")</f>
        <v/>
      </c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  <c r="DY427" s="15"/>
      <c r="DZ427" s="15"/>
      <c r="EA427" s="15"/>
      <c r="EB427" s="15"/>
      <c r="EC427" s="15"/>
      <c r="ED427" s="15"/>
      <c r="EE427" s="15"/>
      <c r="EF427" s="15"/>
      <c r="EG427" s="15"/>
      <c r="EH427" s="15"/>
      <c r="EI427" s="15"/>
      <c r="EJ427" s="15"/>
      <c r="EK427" s="15"/>
      <c r="EL427" s="15"/>
      <c r="EM427" s="15"/>
      <c r="EN427" s="15"/>
      <c r="EO427" s="15"/>
      <c r="EP427" s="15"/>
      <c r="EQ427" s="15"/>
      <c r="ER427" s="15"/>
      <c r="ES427" s="15"/>
      <c r="ET427" s="15"/>
      <c r="EU427" s="15"/>
      <c r="EV427" s="15"/>
      <c r="EW427" s="15"/>
      <c r="EX427" s="15"/>
    </row>
    <row r="428" customFormat="false" ht="15.75" hidden="false" customHeight="false" outlineLevel="0" collapsed="false">
      <c r="A428" s="76"/>
      <c r="B428" s="77"/>
      <c r="C428" s="77"/>
      <c r="D428" s="78" t="str">
        <f aca="false">IFERROR(__xludf.dummyfunction("""COMPUTED_VALUE"""),"")</f>
        <v/>
      </c>
      <c r="E428" s="72"/>
      <c r="F428" s="68"/>
      <c r="G428" s="15"/>
      <c r="H428" s="76" t="str">
        <f aca="false">IFERROR(__xludf.dummyfunction("""COMPUTED_VALUE"""),"")</f>
        <v/>
      </c>
      <c r="I428" s="50" t="str">
        <f aca="false">IFERROR(__xludf.dummyfunction("""COMPUTED_VALUE"""),"")</f>
        <v/>
      </c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  <c r="DY428" s="15"/>
      <c r="DZ428" s="15"/>
      <c r="EA428" s="15"/>
      <c r="EB428" s="15"/>
      <c r="EC428" s="15"/>
      <c r="ED428" s="15"/>
      <c r="EE428" s="15"/>
      <c r="EF428" s="15"/>
      <c r="EG428" s="15"/>
      <c r="EH428" s="15"/>
      <c r="EI428" s="15"/>
      <c r="EJ428" s="15"/>
      <c r="EK428" s="15"/>
      <c r="EL428" s="15"/>
      <c r="EM428" s="15"/>
      <c r="EN428" s="15"/>
      <c r="EO428" s="15"/>
      <c r="EP428" s="15"/>
      <c r="EQ428" s="15"/>
      <c r="ER428" s="15"/>
      <c r="ES428" s="15"/>
      <c r="ET428" s="15"/>
      <c r="EU428" s="15"/>
      <c r="EV428" s="15"/>
      <c r="EW428" s="15"/>
      <c r="EX428" s="15"/>
    </row>
    <row r="429" customFormat="false" ht="15.75" hidden="false" customHeight="false" outlineLevel="0" collapsed="false">
      <c r="A429" s="76"/>
      <c r="B429" s="77"/>
      <c r="C429" s="77"/>
      <c r="D429" s="78" t="str">
        <f aca="false">IFERROR(__xludf.dummyfunction("""COMPUTED_VALUE"""),"")</f>
        <v/>
      </c>
      <c r="E429" s="72"/>
      <c r="F429" s="68"/>
      <c r="G429" s="15"/>
      <c r="H429" s="76" t="str">
        <f aca="false">IFERROR(__xludf.dummyfunction("""COMPUTED_VALUE"""),"")</f>
        <v/>
      </c>
      <c r="I429" s="50" t="str">
        <f aca="false">IFERROR(__xludf.dummyfunction("""COMPUTED_VALUE"""),"")</f>
        <v/>
      </c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  <c r="DY429" s="15"/>
      <c r="DZ429" s="15"/>
      <c r="EA429" s="15"/>
      <c r="EB429" s="15"/>
      <c r="EC429" s="15"/>
      <c r="ED429" s="15"/>
      <c r="EE429" s="15"/>
      <c r="EF429" s="15"/>
      <c r="EG429" s="15"/>
      <c r="EH429" s="15"/>
      <c r="EI429" s="15"/>
      <c r="EJ429" s="15"/>
      <c r="EK429" s="15"/>
      <c r="EL429" s="15"/>
      <c r="EM429" s="15"/>
      <c r="EN429" s="15"/>
      <c r="EO429" s="15"/>
      <c r="EP429" s="15"/>
      <c r="EQ429" s="15"/>
      <c r="ER429" s="15"/>
      <c r="ES429" s="15"/>
      <c r="ET429" s="15"/>
      <c r="EU429" s="15"/>
      <c r="EV429" s="15"/>
      <c r="EW429" s="15"/>
      <c r="EX429" s="15"/>
    </row>
    <row r="430" customFormat="false" ht="15.75" hidden="false" customHeight="false" outlineLevel="0" collapsed="false">
      <c r="A430" s="76"/>
      <c r="B430" s="77"/>
      <c r="C430" s="77"/>
      <c r="D430" s="78" t="str">
        <f aca="false">IFERROR(__xludf.dummyfunction("""COMPUTED_VALUE"""),"")</f>
        <v/>
      </c>
      <c r="E430" s="72"/>
      <c r="F430" s="68"/>
      <c r="G430" s="15"/>
      <c r="H430" s="76" t="str">
        <f aca="false">IFERROR(__xludf.dummyfunction("""COMPUTED_VALUE"""),"")</f>
        <v/>
      </c>
      <c r="I430" s="50" t="str">
        <f aca="false">IFERROR(__xludf.dummyfunction("""COMPUTED_VALUE"""),"")</f>
        <v/>
      </c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  <c r="DY430" s="15"/>
      <c r="DZ430" s="15"/>
      <c r="EA430" s="15"/>
      <c r="EB430" s="15"/>
      <c r="EC430" s="15"/>
      <c r="ED430" s="15"/>
      <c r="EE430" s="15"/>
      <c r="EF430" s="15"/>
      <c r="EG430" s="15"/>
      <c r="EH430" s="15"/>
      <c r="EI430" s="15"/>
      <c r="EJ430" s="15"/>
      <c r="EK430" s="15"/>
      <c r="EL430" s="15"/>
      <c r="EM430" s="15"/>
      <c r="EN430" s="15"/>
      <c r="EO430" s="15"/>
      <c r="EP430" s="15"/>
      <c r="EQ430" s="15"/>
      <c r="ER430" s="15"/>
      <c r="ES430" s="15"/>
      <c r="ET430" s="15"/>
      <c r="EU430" s="15"/>
      <c r="EV430" s="15"/>
      <c r="EW430" s="15"/>
      <c r="EX430" s="15"/>
    </row>
    <row r="431" customFormat="false" ht="15.75" hidden="false" customHeight="false" outlineLevel="0" collapsed="false">
      <c r="A431" s="76"/>
      <c r="B431" s="77"/>
      <c r="C431" s="77"/>
      <c r="D431" s="78" t="str">
        <f aca="false">IFERROR(__xludf.dummyfunction("""COMPUTED_VALUE"""),"")</f>
        <v/>
      </c>
      <c r="E431" s="72"/>
      <c r="F431" s="68"/>
      <c r="G431" s="15"/>
      <c r="H431" s="76" t="str">
        <f aca="false">IFERROR(__xludf.dummyfunction("""COMPUTED_VALUE"""),"")</f>
        <v/>
      </c>
      <c r="I431" s="50" t="str">
        <f aca="false">IFERROR(__xludf.dummyfunction("""COMPUTED_VALUE"""),"")</f>
        <v/>
      </c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  <c r="DY431" s="15"/>
      <c r="DZ431" s="15"/>
      <c r="EA431" s="15"/>
      <c r="EB431" s="15"/>
      <c r="EC431" s="15"/>
      <c r="ED431" s="15"/>
      <c r="EE431" s="15"/>
      <c r="EF431" s="15"/>
      <c r="EG431" s="15"/>
      <c r="EH431" s="15"/>
      <c r="EI431" s="15"/>
      <c r="EJ431" s="15"/>
      <c r="EK431" s="15"/>
      <c r="EL431" s="15"/>
      <c r="EM431" s="15"/>
      <c r="EN431" s="15"/>
      <c r="EO431" s="15"/>
      <c r="EP431" s="15"/>
      <c r="EQ431" s="15"/>
      <c r="ER431" s="15"/>
      <c r="ES431" s="15"/>
      <c r="ET431" s="15"/>
      <c r="EU431" s="15"/>
      <c r="EV431" s="15"/>
      <c r="EW431" s="15"/>
      <c r="EX431" s="15"/>
    </row>
    <row r="432" customFormat="false" ht="15.75" hidden="false" customHeight="false" outlineLevel="0" collapsed="false">
      <c r="A432" s="76"/>
      <c r="B432" s="77"/>
      <c r="C432" s="77"/>
      <c r="D432" s="78" t="str">
        <f aca="false">IFERROR(__xludf.dummyfunction("""COMPUTED_VALUE"""),"")</f>
        <v/>
      </c>
      <c r="E432" s="72"/>
      <c r="F432" s="68"/>
      <c r="G432" s="15"/>
      <c r="H432" s="76" t="str">
        <f aca="false">IFERROR(__xludf.dummyfunction("""COMPUTED_VALUE"""),"")</f>
        <v/>
      </c>
      <c r="I432" s="50" t="str">
        <f aca="false">IFERROR(__xludf.dummyfunction("""COMPUTED_VALUE"""),"")</f>
        <v/>
      </c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  <c r="DY432" s="15"/>
      <c r="DZ432" s="15"/>
      <c r="EA432" s="15"/>
      <c r="EB432" s="15"/>
      <c r="EC432" s="15"/>
      <c r="ED432" s="15"/>
      <c r="EE432" s="15"/>
      <c r="EF432" s="15"/>
      <c r="EG432" s="15"/>
      <c r="EH432" s="15"/>
      <c r="EI432" s="15"/>
      <c r="EJ432" s="15"/>
      <c r="EK432" s="15"/>
      <c r="EL432" s="15"/>
      <c r="EM432" s="15"/>
      <c r="EN432" s="15"/>
      <c r="EO432" s="15"/>
      <c r="EP432" s="15"/>
      <c r="EQ432" s="15"/>
      <c r="ER432" s="15"/>
      <c r="ES432" s="15"/>
      <c r="ET432" s="15"/>
      <c r="EU432" s="15"/>
      <c r="EV432" s="15"/>
      <c r="EW432" s="15"/>
      <c r="EX432" s="15"/>
    </row>
    <row r="433" customFormat="false" ht="15.75" hidden="false" customHeight="false" outlineLevel="0" collapsed="false">
      <c r="A433" s="76"/>
      <c r="B433" s="77"/>
      <c r="C433" s="77"/>
      <c r="D433" s="78" t="str">
        <f aca="false">IFERROR(__xludf.dummyfunction("""COMPUTED_VALUE"""),"")</f>
        <v/>
      </c>
      <c r="E433" s="72"/>
      <c r="F433" s="68"/>
      <c r="G433" s="15"/>
      <c r="H433" s="76" t="str">
        <f aca="false">IFERROR(__xludf.dummyfunction("""COMPUTED_VALUE"""),"")</f>
        <v/>
      </c>
      <c r="I433" s="50" t="str">
        <f aca="false">IFERROR(__xludf.dummyfunction("""COMPUTED_VALUE"""),"")</f>
        <v/>
      </c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  <c r="DY433" s="15"/>
      <c r="DZ433" s="15"/>
      <c r="EA433" s="15"/>
      <c r="EB433" s="15"/>
      <c r="EC433" s="15"/>
      <c r="ED433" s="15"/>
      <c r="EE433" s="15"/>
      <c r="EF433" s="15"/>
      <c r="EG433" s="15"/>
      <c r="EH433" s="15"/>
      <c r="EI433" s="15"/>
      <c r="EJ433" s="15"/>
      <c r="EK433" s="15"/>
      <c r="EL433" s="15"/>
      <c r="EM433" s="15"/>
      <c r="EN433" s="15"/>
      <c r="EO433" s="15"/>
      <c r="EP433" s="15"/>
      <c r="EQ433" s="15"/>
      <c r="ER433" s="15"/>
      <c r="ES433" s="15"/>
      <c r="ET433" s="15"/>
      <c r="EU433" s="15"/>
      <c r="EV433" s="15"/>
      <c r="EW433" s="15"/>
      <c r="EX433" s="15"/>
    </row>
    <row r="434" customFormat="false" ht="15.75" hidden="false" customHeight="false" outlineLevel="0" collapsed="false">
      <c r="A434" s="76"/>
      <c r="B434" s="77"/>
      <c r="C434" s="77"/>
      <c r="D434" s="78" t="str">
        <f aca="false">IFERROR(__xludf.dummyfunction("""COMPUTED_VALUE"""),"")</f>
        <v/>
      </c>
      <c r="E434" s="72"/>
      <c r="F434" s="68"/>
      <c r="G434" s="15"/>
      <c r="H434" s="76" t="str">
        <f aca="false">IFERROR(__xludf.dummyfunction("""COMPUTED_VALUE"""),"")</f>
        <v/>
      </c>
      <c r="I434" s="50" t="str">
        <f aca="false">IFERROR(__xludf.dummyfunction("""COMPUTED_VALUE"""),"")</f>
        <v/>
      </c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  <c r="DY434" s="15"/>
      <c r="DZ434" s="15"/>
      <c r="EA434" s="15"/>
      <c r="EB434" s="15"/>
      <c r="EC434" s="15"/>
      <c r="ED434" s="15"/>
      <c r="EE434" s="15"/>
      <c r="EF434" s="15"/>
      <c r="EG434" s="15"/>
      <c r="EH434" s="15"/>
      <c r="EI434" s="15"/>
      <c r="EJ434" s="15"/>
      <c r="EK434" s="15"/>
      <c r="EL434" s="15"/>
      <c r="EM434" s="15"/>
      <c r="EN434" s="15"/>
      <c r="EO434" s="15"/>
      <c r="EP434" s="15"/>
      <c r="EQ434" s="15"/>
      <c r="ER434" s="15"/>
      <c r="ES434" s="15"/>
      <c r="ET434" s="15"/>
      <c r="EU434" s="15"/>
      <c r="EV434" s="15"/>
      <c r="EW434" s="15"/>
      <c r="EX434" s="15"/>
    </row>
    <row r="435" customFormat="false" ht="15.75" hidden="false" customHeight="false" outlineLevel="0" collapsed="false">
      <c r="A435" s="76"/>
      <c r="B435" s="77"/>
      <c r="C435" s="77"/>
      <c r="D435" s="78" t="str">
        <f aca="false">IFERROR(__xludf.dummyfunction("""COMPUTED_VALUE"""),"")</f>
        <v/>
      </c>
      <c r="E435" s="72"/>
      <c r="F435" s="68"/>
      <c r="G435" s="15"/>
      <c r="H435" s="76" t="str">
        <f aca="false">IFERROR(__xludf.dummyfunction("""COMPUTED_VALUE"""),"")</f>
        <v/>
      </c>
      <c r="I435" s="50" t="str">
        <f aca="false">IFERROR(__xludf.dummyfunction("""COMPUTED_VALUE"""),"")</f>
        <v/>
      </c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  <c r="DY435" s="15"/>
      <c r="DZ435" s="15"/>
      <c r="EA435" s="15"/>
      <c r="EB435" s="15"/>
      <c r="EC435" s="15"/>
      <c r="ED435" s="15"/>
      <c r="EE435" s="15"/>
      <c r="EF435" s="15"/>
      <c r="EG435" s="15"/>
      <c r="EH435" s="15"/>
      <c r="EI435" s="15"/>
      <c r="EJ435" s="15"/>
      <c r="EK435" s="15"/>
      <c r="EL435" s="15"/>
      <c r="EM435" s="15"/>
      <c r="EN435" s="15"/>
      <c r="EO435" s="15"/>
      <c r="EP435" s="15"/>
      <c r="EQ435" s="15"/>
      <c r="ER435" s="15"/>
      <c r="ES435" s="15"/>
      <c r="ET435" s="15"/>
      <c r="EU435" s="15"/>
      <c r="EV435" s="15"/>
      <c r="EW435" s="15"/>
      <c r="EX435" s="15"/>
    </row>
    <row r="436" customFormat="false" ht="15.75" hidden="false" customHeight="false" outlineLevel="0" collapsed="false">
      <c r="A436" s="76"/>
      <c r="B436" s="77"/>
      <c r="C436" s="77"/>
      <c r="D436" s="78" t="str">
        <f aca="false">IFERROR(__xludf.dummyfunction("""COMPUTED_VALUE"""),"")</f>
        <v/>
      </c>
      <c r="E436" s="72"/>
      <c r="F436" s="68"/>
      <c r="G436" s="15"/>
      <c r="H436" s="76" t="str">
        <f aca="false">IFERROR(__xludf.dummyfunction("""COMPUTED_VALUE"""),"")</f>
        <v/>
      </c>
      <c r="I436" s="50" t="str">
        <f aca="false">IFERROR(__xludf.dummyfunction("""COMPUTED_VALUE"""),"")</f>
        <v/>
      </c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  <c r="DY436" s="15"/>
      <c r="DZ436" s="15"/>
      <c r="EA436" s="15"/>
      <c r="EB436" s="15"/>
      <c r="EC436" s="15"/>
      <c r="ED436" s="15"/>
      <c r="EE436" s="15"/>
      <c r="EF436" s="15"/>
      <c r="EG436" s="15"/>
      <c r="EH436" s="15"/>
      <c r="EI436" s="15"/>
      <c r="EJ436" s="15"/>
      <c r="EK436" s="15"/>
      <c r="EL436" s="15"/>
      <c r="EM436" s="15"/>
      <c r="EN436" s="15"/>
      <c r="EO436" s="15"/>
      <c r="EP436" s="15"/>
      <c r="EQ436" s="15"/>
      <c r="ER436" s="15"/>
      <c r="ES436" s="15"/>
      <c r="ET436" s="15"/>
      <c r="EU436" s="15"/>
      <c r="EV436" s="15"/>
      <c r="EW436" s="15"/>
      <c r="EX436" s="15"/>
    </row>
    <row r="437" customFormat="false" ht="15.75" hidden="false" customHeight="false" outlineLevel="0" collapsed="false">
      <c r="A437" s="76"/>
      <c r="B437" s="77"/>
      <c r="C437" s="77"/>
      <c r="D437" s="78" t="str">
        <f aca="false">IFERROR(__xludf.dummyfunction("""COMPUTED_VALUE"""),"")</f>
        <v/>
      </c>
      <c r="E437" s="72"/>
      <c r="F437" s="68"/>
      <c r="G437" s="15"/>
      <c r="H437" s="76" t="str">
        <f aca="false">IFERROR(__xludf.dummyfunction("""COMPUTED_VALUE"""),"")</f>
        <v/>
      </c>
      <c r="I437" s="50" t="str">
        <f aca="false">IFERROR(__xludf.dummyfunction("""COMPUTED_VALUE"""),"")</f>
        <v/>
      </c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  <c r="DY437" s="15"/>
      <c r="DZ437" s="15"/>
      <c r="EA437" s="15"/>
      <c r="EB437" s="15"/>
      <c r="EC437" s="15"/>
      <c r="ED437" s="15"/>
      <c r="EE437" s="15"/>
      <c r="EF437" s="15"/>
      <c r="EG437" s="15"/>
      <c r="EH437" s="15"/>
      <c r="EI437" s="15"/>
      <c r="EJ437" s="15"/>
      <c r="EK437" s="15"/>
      <c r="EL437" s="15"/>
      <c r="EM437" s="15"/>
      <c r="EN437" s="15"/>
      <c r="EO437" s="15"/>
      <c r="EP437" s="15"/>
      <c r="EQ437" s="15"/>
      <c r="ER437" s="15"/>
      <c r="ES437" s="15"/>
      <c r="ET437" s="15"/>
      <c r="EU437" s="15"/>
      <c r="EV437" s="15"/>
      <c r="EW437" s="15"/>
      <c r="EX437" s="15"/>
    </row>
    <row r="438" customFormat="false" ht="15.75" hidden="false" customHeight="false" outlineLevel="0" collapsed="false">
      <c r="A438" s="76"/>
      <c r="B438" s="77"/>
      <c r="C438" s="77"/>
      <c r="D438" s="78" t="str">
        <f aca="false">IFERROR(__xludf.dummyfunction("""COMPUTED_VALUE"""),"")</f>
        <v/>
      </c>
      <c r="E438" s="72"/>
      <c r="F438" s="68"/>
      <c r="G438" s="15"/>
      <c r="H438" s="76" t="str">
        <f aca="false">IFERROR(__xludf.dummyfunction("""COMPUTED_VALUE"""),"")</f>
        <v/>
      </c>
      <c r="I438" s="50" t="str">
        <f aca="false">IFERROR(__xludf.dummyfunction("""COMPUTED_VALUE"""),"")</f>
        <v/>
      </c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  <c r="DY438" s="15"/>
      <c r="DZ438" s="15"/>
      <c r="EA438" s="15"/>
      <c r="EB438" s="15"/>
      <c r="EC438" s="15"/>
      <c r="ED438" s="15"/>
      <c r="EE438" s="15"/>
      <c r="EF438" s="15"/>
      <c r="EG438" s="15"/>
      <c r="EH438" s="15"/>
      <c r="EI438" s="15"/>
      <c r="EJ438" s="15"/>
      <c r="EK438" s="15"/>
      <c r="EL438" s="15"/>
      <c r="EM438" s="15"/>
      <c r="EN438" s="15"/>
      <c r="EO438" s="15"/>
      <c r="EP438" s="15"/>
      <c r="EQ438" s="15"/>
      <c r="ER438" s="15"/>
      <c r="ES438" s="15"/>
      <c r="ET438" s="15"/>
      <c r="EU438" s="15"/>
      <c r="EV438" s="15"/>
      <c r="EW438" s="15"/>
      <c r="EX438" s="15"/>
    </row>
    <row r="439" customFormat="false" ht="15.75" hidden="false" customHeight="false" outlineLevel="0" collapsed="false">
      <c r="A439" s="76"/>
      <c r="B439" s="77"/>
      <c r="C439" s="77"/>
      <c r="D439" s="78" t="str">
        <f aca="false">IFERROR(__xludf.dummyfunction("""COMPUTED_VALUE"""),"")</f>
        <v/>
      </c>
      <c r="E439" s="72"/>
      <c r="F439" s="68"/>
      <c r="G439" s="15"/>
      <c r="H439" s="76" t="str">
        <f aca="false">IFERROR(__xludf.dummyfunction("""COMPUTED_VALUE"""),"")</f>
        <v/>
      </c>
      <c r="I439" s="50" t="str">
        <f aca="false">IFERROR(__xludf.dummyfunction("""COMPUTED_VALUE"""),"")</f>
        <v/>
      </c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  <c r="DY439" s="15"/>
      <c r="DZ439" s="15"/>
      <c r="EA439" s="15"/>
      <c r="EB439" s="15"/>
      <c r="EC439" s="15"/>
      <c r="ED439" s="15"/>
      <c r="EE439" s="15"/>
      <c r="EF439" s="15"/>
      <c r="EG439" s="15"/>
      <c r="EH439" s="15"/>
      <c r="EI439" s="15"/>
      <c r="EJ439" s="15"/>
      <c r="EK439" s="15"/>
      <c r="EL439" s="15"/>
      <c r="EM439" s="15"/>
      <c r="EN439" s="15"/>
      <c r="EO439" s="15"/>
      <c r="EP439" s="15"/>
      <c r="EQ439" s="15"/>
      <c r="ER439" s="15"/>
      <c r="ES439" s="15"/>
      <c r="ET439" s="15"/>
      <c r="EU439" s="15"/>
      <c r="EV439" s="15"/>
      <c r="EW439" s="15"/>
      <c r="EX439" s="15"/>
    </row>
    <row r="440" customFormat="false" ht="15.75" hidden="false" customHeight="false" outlineLevel="0" collapsed="false">
      <c r="A440" s="76"/>
      <c r="B440" s="77"/>
      <c r="C440" s="77"/>
      <c r="D440" s="78" t="str">
        <f aca="false">IFERROR(__xludf.dummyfunction("""COMPUTED_VALUE"""),"")</f>
        <v/>
      </c>
      <c r="E440" s="72"/>
      <c r="F440" s="68"/>
      <c r="G440" s="15"/>
      <c r="H440" s="76" t="str">
        <f aca="false">IFERROR(__xludf.dummyfunction("""COMPUTED_VALUE"""),"")</f>
        <v/>
      </c>
      <c r="I440" s="50" t="str">
        <f aca="false">IFERROR(__xludf.dummyfunction("""COMPUTED_VALUE"""),"")</f>
        <v/>
      </c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  <c r="DY440" s="15"/>
      <c r="DZ440" s="15"/>
      <c r="EA440" s="15"/>
      <c r="EB440" s="15"/>
      <c r="EC440" s="15"/>
      <c r="ED440" s="15"/>
      <c r="EE440" s="15"/>
      <c r="EF440" s="15"/>
      <c r="EG440" s="15"/>
      <c r="EH440" s="15"/>
      <c r="EI440" s="15"/>
      <c r="EJ440" s="15"/>
      <c r="EK440" s="15"/>
      <c r="EL440" s="15"/>
      <c r="EM440" s="15"/>
      <c r="EN440" s="15"/>
      <c r="EO440" s="15"/>
      <c r="EP440" s="15"/>
      <c r="EQ440" s="15"/>
      <c r="ER440" s="15"/>
      <c r="ES440" s="15"/>
      <c r="ET440" s="15"/>
      <c r="EU440" s="15"/>
      <c r="EV440" s="15"/>
      <c r="EW440" s="15"/>
      <c r="EX440" s="15"/>
    </row>
    <row r="441" customFormat="false" ht="15.75" hidden="false" customHeight="false" outlineLevel="0" collapsed="false">
      <c r="A441" s="76"/>
      <c r="B441" s="77"/>
      <c r="C441" s="77"/>
      <c r="D441" s="78" t="str">
        <f aca="false">IFERROR(__xludf.dummyfunction("""COMPUTED_VALUE"""),"")</f>
        <v/>
      </c>
      <c r="E441" s="72"/>
      <c r="F441" s="68"/>
      <c r="G441" s="15"/>
      <c r="H441" s="76" t="str">
        <f aca="false">IFERROR(__xludf.dummyfunction("""COMPUTED_VALUE"""),"")</f>
        <v/>
      </c>
      <c r="I441" s="50" t="str">
        <f aca="false">IFERROR(__xludf.dummyfunction("""COMPUTED_VALUE"""),"")</f>
        <v/>
      </c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  <c r="DY441" s="15"/>
      <c r="DZ441" s="15"/>
      <c r="EA441" s="15"/>
      <c r="EB441" s="15"/>
      <c r="EC441" s="15"/>
      <c r="ED441" s="15"/>
      <c r="EE441" s="15"/>
      <c r="EF441" s="15"/>
      <c r="EG441" s="15"/>
      <c r="EH441" s="15"/>
      <c r="EI441" s="15"/>
      <c r="EJ441" s="15"/>
      <c r="EK441" s="15"/>
      <c r="EL441" s="15"/>
      <c r="EM441" s="15"/>
      <c r="EN441" s="15"/>
      <c r="EO441" s="15"/>
      <c r="EP441" s="15"/>
      <c r="EQ441" s="15"/>
      <c r="ER441" s="15"/>
      <c r="ES441" s="15"/>
      <c r="ET441" s="15"/>
      <c r="EU441" s="15"/>
      <c r="EV441" s="15"/>
      <c r="EW441" s="15"/>
      <c r="EX441" s="15"/>
    </row>
    <row r="442" customFormat="false" ht="15.75" hidden="false" customHeight="false" outlineLevel="0" collapsed="false">
      <c r="A442" s="76"/>
      <c r="B442" s="77"/>
      <c r="C442" s="77"/>
      <c r="D442" s="78" t="str">
        <f aca="false">IFERROR(__xludf.dummyfunction("""COMPUTED_VALUE"""),"")</f>
        <v/>
      </c>
      <c r="E442" s="72"/>
      <c r="F442" s="68"/>
      <c r="G442" s="15"/>
      <c r="H442" s="76" t="str">
        <f aca="false">IFERROR(__xludf.dummyfunction("""COMPUTED_VALUE"""),"")</f>
        <v/>
      </c>
      <c r="I442" s="50" t="str">
        <f aca="false">IFERROR(__xludf.dummyfunction("""COMPUTED_VALUE"""),"")</f>
        <v/>
      </c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  <c r="DY442" s="15"/>
      <c r="DZ442" s="15"/>
      <c r="EA442" s="15"/>
      <c r="EB442" s="15"/>
      <c r="EC442" s="15"/>
      <c r="ED442" s="15"/>
      <c r="EE442" s="15"/>
      <c r="EF442" s="15"/>
      <c r="EG442" s="15"/>
      <c r="EH442" s="15"/>
      <c r="EI442" s="15"/>
      <c r="EJ442" s="15"/>
      <c r="EK442" s="15"/>
      <c r="EL442" s="15"/>
      <c r="EM442" s="15"/>
      <c r="EN442" s="15"/>
      <c r="EO442" s="15"/>
      <c r="EP442" s="15"/>
      <c r="EQ442" s="15"/>
      <c r="ER442" s="15"/>
      <c r="ES442" s="15"/>
      <c r="ET442" s="15"/>
      <c r="EU442" s="15"/>
      <c r="EV442" s="15"/>
      <c r="EW442" s="15"/>
      <c r="EX442" s="15"/>
    </row>
    <row r="443" customFormat="false" ht="15.75" hidden="false" customHeight="false" outlineLevel="0" collapsed="false">
      <c r="A443" s="76"/>
      <c r="B443" s="77"/>
      <c r="C443" s="77"/>
      <c r="D443" s="78" t="str">
        <f aca="false">IFERROR(__xludf.dummyfunction("""COMPUTED_VALUE"""),"")</f>
        <v/>
      </c>
      <c r="E443" s="72"/>
      <c r="F443" s="68"/>
      <c r="G443" s="15"/>
      <c r="H443" s="76" t="str">
        <f aca="false">IFERROR(__xludf.dummyfunction("""COMPUTED_VALUE"""),"")</f>
        <v/>
      </c>
      <c r="I443" s="50" t="str">
        <f aca="false">IFERROR(__xludf.dummyfunction("""COMPUTED_VALUE"""),"")</f>
        <v/>
      </c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  <c r="DY443" s="15"/>
      <c r="DZ443" s="15"/>
      <c r="EA443" s="15"/>
      <c r="EB443" s="15"/>
      <c r="EC443" s="15"/>
      <c r="ED443" s="15"/>
      <c r="EE443" s="15"/>
      <c r="EF443" s="15"/>
      <c r="EG443" s="15"/>
      <c r="EH443" s="15"/>
      <c r="EI443" s="15"/>
      <c r="EJ443" s="15"/>
      <c r="EK443" s="15"/>
      <c r="EL443" s="15"/>
      <c r="EM443" s="15"/>
      <c r="EN443" s="15"/>
      <c r="EO443" s="15"/>
      <c r="EP443" s="15"/>
      <c r="EQ443" s="15"/>
      <c r="ER443" s="15"/>
      <c r="ES443" s="15"/>
      <c r="ET443" s="15"/>
      <c r="EU443" s="15"/>
      <c r="EV443" s="15"/>
      <c r="EW443" s="15"/>
      <c r="EX443" s="15"/>
    </row>
    <row r="444" customFormat="false" ht="15.75" hidden="false" customHeight="false" outlineLevel="0" collapsed="false">
      <c r="A444" s="76"/>
      <c r="B444" s="77"/>
      <c r="C444" s="77"/>
      <c r="D444" s="78" t="str">
        <f aca="false">IFERROR(__xludf.dummyfunction("""COMPUTED_VALUE"""),"")</f>
        <v/>
      </c>
      <c r="E444" s="72"/>
      <c r="F444" s="68"/>
      <c r="G444" s="15"/>
      <c r="H444" s="76" t="str">
        <f aca="false">IFERROR(__xludf.dummyfunction("""COMPUTED_VALUE"""),"")</f>
        <v/>
      </c>
      <c r="I444" s="50" t="str">
        <f aca="false">IFERROR(__xludf.dummyfunction("""COMPUTED_VALUE"""),"")</f>
        <v/>
      </c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  <c r="DY444" s="15"/>
      <c r="DZ444" s="15"/>
      <c r="EA444" s="15"/>
      <c r="EB444" s="15"/>
      <c r="EC444" s="15"/>
      <c r="ED444" s="15"/>
      <c r="EE444" s="15"/>
      <c r="EF444" s="15"/>
      <c r="EG444" s="15"/>
      <c r="EH444" s="15"/>
      <c r="EI444" s="15"/>
      <c r="EJ444" s="15"/>
      <c r="EK444" s="15"/>
      <c r="EL444" s="15"/>
      <c r="EM444" s="15"/>
      <c r="EN444" s="15"/>
      <c r="EO444" s="15"/>
      <c r="EP444" s="15"/>
      <c r="EQ444" s="15"/>
      <c r="ER444" s="15"/>
      <c r="ES444" s="15"/>
      <c r="ET444" s="15"/>
      <c r="EU444" s="15"/>
      <c r="EV444" s="15"/>
      <c r="EW444" s="15"/>
      <c r="EX444" s="15"/>
    </row>
    <row r="445" customFormat="false" ht="15.75" hidden="false" customHeight="false" outlineLevel="0" collapsed="false">
      <c r="A445" s="76"/>
      <c r="B445" s="77"/>
      <c r="C445" s="77"/>
      <c r="D445" s="78"/>
      <c r="E445" s="72"/>
      <c r="F445" s="68"/>
      <c r="G445" s="15"/>
      <c r="H445" s="76" t="str">
        <f aca="false">IFERROR(__xludf.dummyfunction("""COMPUTED_VALUE"""),"")</f>
        <v/>
      </c>
      <c r="I445" s="50" t="str">
        <f aca="false">IFERROR(__xludf.dummyfunction("""COMPUTED_VALUE"""),"")</f>
        <v/>
      </c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  <c r="DY445" s="15"/>
      <c r="DZ445" s="15"/>
      <c r="EA445" s="15"/>
      <c r="EB445" s="15"/>
      <c r="EC445" s="15"/>
      <c r="ED445" s="15"/>
      <c r="EE445" s="15"/>
      <c r="EF445" s="15"/>
      <c r="EG445" s="15"/>
      <c r="EH445" s="15"/>
      <c r="EI445" s="15"/>
      <c r="EJ445" s="15"/>
      <c r="EK445" s="15"/>
      <c r="EL445" s="15"/>
      <c r="EM445" s="15"/>
      <c r="EN445" s="15"/>
      <c r="EO445" s="15"/>
      <c r="EP445" s="15"/>
      <c r="EQ445" s="15"/>
      <c r="ER445" s="15"/>
      <c r="ES445" s="15"/>
      <c r="ET445" s="15"/>
      <c r="EU445" s="15"/>
      <c r="EV445" s="15"/>
      <c r="EW445" s="15"/>
      <c r="EX445" s="15"/>
    </row>
    <row r="446" customFormat="false" ht="15.75" hidden="false" customHeight="false" outlineLevel="0" collapsed="false">
      <c r="A446" s="76"/>
      <c r="B446" s="77"/>
      <c r="C446" s="77"/>
      <c r="D446" s="78"/>
      <c r="E446" s="72"/>
      <c r="F446" s="68"/>
      <c r="G446" s="15"/>
      <c r="H446" s="76" t="str">
        <f aca="false">IFERROR(__xludf.dummyfunction("""COMPUTED_VALUE"""),"")</f>
        <v/>
      </c>
      <c r="I446" s="50" t="str">
        <f aca="false">IFERROR(__xludf.dummyfunction("""COMPUTED_VALUE"""),"")</f>
        <v/>
      </c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  <c r="DY446" s="15"/>
      <c r="DZ446" s="15"/>
      <c r="EA446" s="15"/>
      <c r="EB446" s="15"/>
      <c r="EC446" s="15"/>
      <c r="ED446" s="15"/>
      <c r="EE446" s="15"/>
      <c r="EF446" s="15"/>
      <c r="EG446" s="15"/>
      <c r="EH446" s="15"/>
      <c r="EI446" s="15"/>
      <c r="EJ446" s="15"/>
      <c r="EK446" s="15"/>
      <c r="EL446" s="15"/>
      <c r="EM446" s="15"/>
      <c r="EN446" s="15"/>
      <c r="EO446" s="15"/>
      <c r="EP446" s="15"/>
      <c r="EQ446" s="15"/>
      <c r="ER446" s="15"/>
      <c r="ES446" s="15"/>
      <c r="ET446" s="15"/>
      <c r="EU446" s="15"/>
      <c r="EV446" s="15"/>
      <c r="EW446" s="15"/>
      <c r="EX446" s="15"/>
    </row>
    <row r="447" customFormat="false" ht="15.75" hidden="false" customHeight="false" outlineLevel="0" collapsed="false">
      <c r="A447" s="76"/>
      <c r="B447" s="77"/>
      <c r="C447" s="77"/>
      <c r="D447" s="78"/>
      <c r="E447" s="72"/>
      <c r="F447" s="68"/>
      <c r="G447" s="15"/>
      <c r="H447" s="76" t="str">
        <f aca="false">IFERROR(__xludf.dummyfunction("""COMPUTED_VALUE"""),"")</f>
        <v/>
      </c>
      <c r="I447" s="50" t="str">
        <f aca="false">IFERROR(__xludf.dummyfunction("""COMPUTED_VALUE"""),"")</f>
        <v/>
      </c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  <c r="DY447" s="15"/>
      <c r="DZ447" s="15"/>
      <c r="EA447" s="15"/>
      <c r="EB447" s="15"/>
      <c r="EC447" s="15"/>
      <c r="ED447" s="15"/>
      <c r="EE447" s="15"/>
      <c r="EF447" s="15"/>
      <c r="EG447" s="15"/>
      <c r="EH447" s="15"/>
      <c r="EI447" s="15"/>
      <c r="EJ447" s="15"/>
      <c r="EK447" s="15"/>
      <c r="EL447" s="15"/>
      <c r="EM447" s="15"/>
      <c r="EN447" s="15"/>
      <c r="EO447" s="15"/>
      <c r="EP447" s="15"/>
      <c r="EQ447" s="15"/>
      <c r="ER447" s="15"/>
      <c r="ES447" s="15"/>
      <c r="ET447" s="15"/>
      <c r="EU447" s="15"/>
      <c r="EV447" s="15"/>
      <c r="EW447" s="15"/>
      <c r="EX447" s="15"/>
    </row>
    <row r="448" customFormat="false" ht="15.75" hidden="false" customHeight="false" outlineLevel="0" collapsed="false">
      <c r="A448" s="76"/>
      <c r="B448" s="77"/>
      <c r="C448" s="77"/>
      <c r="D448" s="78"/>
      <c r="E448" s="72"/>
      <c r="F448" s="68"/>
      <c r="G448" s="15"/>
      <c r="H448" s="76" t="str">
        <f aca="false">IFERROR(__xludf.dummyfunction("""COMPUTED_VALUE"""),"")</f>
        <v/>
      </c>
      <c r="I448" s="50" t="str">
        <f aca="false">IFERROR(__xludf.dummyfunction("""COMPUTED_VALUE"""),"")</f>
        <v/>
      </c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  <c r="DY448" s="15"/>
      <c r="DZ448" s="15"/>
      <c r="EA448" s="15"/>
      <c r="EB448" s="15"/>
      <c r="EC448" s="15"/>
      <c r="ED448" s="15"/>
      <c r="EE448" s="15"/>
      <c r="EF448" s="15"/>
      <c r="EG448" s="15"/>
      <c r="EH448" s="15"/>
      <c r="EI448" s="15"/>
      <c r="EJ448" s="15"/>
      <c r="EK448" s="15"/>
      <c r="EL448" s="15"/>
      <c r="EM448" s="15"/>
      <c r="EN448" s="15"/>
      <c r="EO448" s="15"/>
      <c r="EP448" s="15"/>
      <c r="EQ448" s="15"/>
      <c r="ER448" s="15"/>
      <c r="ES448" s="15"/>
      <c r="ET448" s="15"/>
      <c r="EU448" s="15"/>
      <c r="EV448" s="15"/>
      <c r="EW448" s="15"/>
      <c r="EX448" s="15"/>
    </row>
    <row r="449" customFormat="false" ht="15.75" hidden="false" customHeight="false" outlineLevel="0" collapsed="false">
      <c r="A449" s="76"/>
      <c r="B449" s="77"/>
      <c r="C449" s="77"/>
      <c r="D449" s="78"/>
      <c r="E449" s="72"/>
      <c r="F449" s="68"/>
      <c r="G449" s="15"/>
      <c r="H449" s="76" t="str">
        <f aca="false">IFERROR(__xludf.dummyfunction("""COMPUTED_VALUE"""),"")</f>
        <v/>
      </c>
      <c r="I449" s="50" t="str">
        <f aca="false">IFERROR(__xludf.dummyfunction("""COMPUTED_VALUE"""),"")</f>
        <v/>
      </c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  <c r="DY449" s="15"/>
      <c r="DZ449" s="15"/>
      <c r="EA449" s="15"/>
      <c r="EB449" s="15"/>
      <c r="EC449" s="15"/>
      <c r="ED449" s="15"/>
      <c r="EE449" s="15"/>
      <c r="EF449" s="15"/>
      <c r="EG449" s="15"/>
      <c r="EH449" s="15"/>
      <c r="EI449" s="15"/>
      <c r="EJ449" s="15"/>
      <c r="EK449" s="15"/>
      <c r="EL449" s="15"/>
      <c r="EM449" s="15"/>
      <c r="EN449" s="15"/>
      <c r="EO449" s="15"/>
      <c r="EP449" s="15"/>
      <c r="EQ449" s="15"/>
      <c r="ER449" s="15"/>
      <c r="ES449" s="15"/>
      <c r="ET449" s="15"/>
      <c r="EU449" s="15"/>
      <c r="EV449" s="15"/>
      <c r="EW449" s="15"/>
      <c r="EX449" s="15"/>
    </row>
    <row r="450" customFormat="false" ht="15.75" hidden="false" customHeight="false" outlineLevel="0" collapsed="false">
      <c r="A450" s="76"/>
      <c r="B450" s="77"/>
      <c r="C450" s="77"/>
      <c r="D450" s="78"/>
      <c r="E450" s="72"/>
      <c r="F450" s="68"/>
      <c r="G450" s="15"/>
      <c r="H450" s="76" t="str">
        <f aca="false">IFERROR(__xludf.dummyfunction("""COMPUTED_VALUE"""),"")</f>
        <v/>
      </c>
      <c r="I450" s="50" t="str">
        <f aca="false">IFERROR(__xludf.dummyfunction("""COMPUTED_VALUE"""),"")</f>
        <v/>
      </c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  <c r="DY450" s="15"/>
      <c r="DZ450" s="15"/>
      <c r="EA450" s="15"/>
      <c r="EB450" s="15"/>
      <c r="EC450" s="15"/>
      <c r="ED450" s="15"/>
      <c r="EE450" s="15"/>
      <c r="EF450" s="15"/>
      <c r="EG450" s="15"/>
      <c r="EH450" s="15"/>
      <c r="EI450" s="15"/>
      <c r="EJ450" s="15"/>
      <c r="EK450" s="15"/>
      <c r="EL450" s="15"/>
      <c r="EM450" s="15"/>
      <c r="EN450" s="15"/>
      <c r="EO450" s="15"/>
      <c r="EP450" s="15"/>
      <c r="EQ450" s="15"/>
      <c r="ER450" s="15"/>
      <c r="ES450" s="15"/>
      <c r="ET450" s="15"/>
      <c r="EU450" s="15"/>
      <c r="EV450" s="15"/>
      <c r="EW450" s="15"/>
      <c r="EX450" s="15"/>
    </row>
    <row r="451" customFormat="false" ht="15.75" hidden="false" customHeight="false" outlineLevel="0" collapsed="false">
      <c r="A451" s="76"/>
      <c r="B451" s="77"/>
      <c r="C451" s="77"/>
      <c r="D451" s="78"/>
      <c r="E451" s="72"/>
      <c r="F451" s="68"/>
      <c r="G451" s="15"/>
      <c r="H451" s="76" t="str">
        <f aca="false">IFERROR(__xludf.dummyfunction("""COMPUTED_VALUE"""),"")</f>
        <v/>
      </c>
      <c r="I451" s="50" t="str">
        <f aca="false">IFERROR(__xludf.dummyfunction("""COMPUTED_VALUE"""),"")</f>
        <v/>
      </c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  <c r="DY451" s="15"/>
      <c r="DZ451" s="15"/>
      <c r="EA451" s="15"/>
      <c r="EB451" s="15"/>
      <c r="EC451" s="15"/>
      <c r="ED451" s="15"/>
      <c r="EE451" s="15"/>
      <c r="EF451" s="15"/>
      <c r="EG451" s="15"/>
      <c r="EH451" s="15"/>
      <c r="EI451" s="15"/>
      <c r="EJ451" s="15"/>
      <c r="EK451" s="15"/>
      <c r="EL451" s="15"/>
      <c r="EM451" s="15"/>
      <c r="EN451" s="15"/>
      <c r="EO451" s="15"/>
      <c r="EP451" s="15"/>
      <c r="EQ451" s="15"/>
      <c r="ER451" s="15"/>
      <c r="ES451" s="15"/>
      <c r="ET451" s="15"/>
      <c r="EU451" s="15"/>
      <c r="EV451" s="15"/>
      <c r="EW451" s="15"/>
      <c r="EX451" s="15"/>
    </row>
    <row r="452" customFormat="false" ht="15.75" hidden="false" customHeight="false" outlineLevel="0" collapsed="false">
      <c r="A452" s="76"/>
      <c r="B452" s="77"/>
      <c r="C452" s="77"/>
      <c r="D452" s="78"/>
      <c r="E452" s="72"/>
      <c r="F452" s="68"/>
      <c r="G452" s="15"/>
      <c r="H452" s="76" t="str">
        <f aca="false">IFERROR(__xludf.dummyfunction("""COMPUTED_VALUE"""),"")</f>
        <v/>
      </c>
      <c r="I452" s="50" t="str">
        <f aca="false">IFERROR(__xludf.dummyfunction("""COMPUTED_VALUE"""),"")</f>
        <v/>
      </c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  <c r="DY452" s="15"/>
      <c r="DZ452" s="15"/>
      <c r="EA452" s="15"/>
      <c r="EB452" s="15"/>
      <c r="EC452" s="15"/>
      <c r="ED452" s="15"/>
      <c r="EE452" s="15"/>
      <c r="EF452" s="15"/>
      <c r="EG452" s="15"/>
      <c r="EH452" s="15"/>
      <c r="EI452" s="15"/>
      <c r="EJ452" s="15"/>
      <c r="EK452" s="15"/>
      <c r="EL452" s="15"/>
      <c r="EM452" s="15"/>
      <c r="EN452" s="15"/>
      <c r="EO452" s="15"/>
      <c r="EP452" s="15"/>
      <c r="EQ452" s="15"/>
      <c r="ER452" s="15"/>
      <c r="ES452" s="15"/>
      <c r="ET452" s="15"/>
      <c r="EU452" s="15"/>
      <c r="EV452" s="15"/>
      <c r="EW452" s="15"/>
      <c r="EX452" s="15"/>
    </row>
    <row r="453" customFormat="false" ht="15.75" hidden="false" customHeight="false" outlineLevel="0" collapsed="false">
      <c r="A453" s="76"/>
      <c r="B453" s="77"/>
      <c r="C453" s="77"/>
      <c r="D453" s="78"/>
      <c r="E453" s="72"/>
      <c r="F453" s="68"/>
      <c r="G453" s="15"/>
      <c r="H453" s="76" t="str">
        <f aca="false">IFERROR(__xludf.dummyfunction("""COMPUTED_VALUE"""),"")</f>
        <v/>
      </c>
      <c r="I453" s="50" t="str">
        <f aca="false">IFERROR(__xludf.dummyfunction("""COMPUTED_VALUE"""),"")</f>
        <v/>
      </c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  <c r="DY453" s="15"/>
      <c r="DZ453" s="15"/>
      <c r="EA453" s="15"/>
      <c r="EB453" s="15"/>
      <c r="EC453" s="15"/>
      <c r="ED453" s="15"/>
      <c r="EE453" s="15"/>
      <c r="EF453" s="15"/>
      <c r="EG453" s="15"/>
      <c r="EH453" s="15"/>
      <c r="EI453" s="15"/>
      <c r="EJ453" s="15"/>
      <c r="EK453" s="15"/>
      <c r="EL453" s="15"/>
      <c r="EM453" s="15"/>
      <c r="EN453" s="15"/>
      <c r="EO453" s="15"/>
      <c r="EP453" s="15"/>
      <c r="EQ453" s="15"/>
      <c r="ER453" s="15"/>
      <c r="ES453" s="15"/>
      <c r="ET453" s="15"/>
      <c r="EU453" s="15"/>
      <c r="EV453" s="15"/>
      <c r="EW453" s="15"/>
      <c r="EX453" s="15"/>
    </row>
    <row r="454" customFormat="false" ht="15.75" hidden="false" customHeight="false" outlineLevel="0" collapsed="false">
      <c r="A454" s="76"/>
      <c r="B454" s="77"/>
      <c r="C454" s="77"/>
      <c r="D454" s="78"/>
      <c r="E454" s="72"/>
      <c r="F454" s="68"/>
      <c r="G454" s="15"/>
      <c r="H454" s="76" t="str">
        <f aca="false">IFERROR(__xludf.dummyfunction("""COMPUTED_VALUE"""),"")</f>
        <v/>
      </c>
      <c r="I454" s="50" t="str">
        <f aca="false">IFERROR(__xludf.dummyfunction("""COMPUTED_VALUE"""),"")</f>
        <v/>
      </c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  <c r="DY454" s="15"/>
      <c r="DZ454" s="15"/>
      <c r="EA454" s="15"/>
      <c r="EB454" s="15"/>
      <c r="EC454" s="15"/>
      <c r="ED454" s="15"/>
      <c r="EE454" s="15"/>
      <c r="EF454" s="15"/>
      <c r="EG454" s="15"/>
      <c r="EH454" s="15"/>
      <c r="EI454" s="15"/>
      <c r="EJ454" s="15"/>
      <c r="EK454" s="15"/>
      <c r="EL454" s="15"/>
      <c r="EM454" s="15"/>
      <c r="EN454" s="15"/>
      <c r="EO454" s="15"/>
      <c r="EP454" s="15"/>
      <c r="EQ454" s="15"/>
      <c r="ER454" s="15"/>
      <c r="ES454" s="15"/>
      <c r="ET454" s="15"/>
      <c r="EU454" s="15"/>
      <c r="EV454" s="15"/>
      <c r="EW454" s="15"/>
      <c r="EX454" s="15"/>
    </row>
    <row r="455" customFormat="false" ht="15.75" hidden="false" customHeight="false" outlineLevel="0" collapsed="false">
      <c r="A455" s="76"/>
      <c r="B455" s="77"/>
      <c r="C455" s="77"/>
      <c r="D455" s="78"/>
      <c r="E455" s="72"/>
      <c r="F455" s="68"/>
      <c r="G455" s="15"/>
      <c r="H455" s="76" t="str">
        <f aca="false">IFERROR(__xludf.dummyfunction("""COMPUTED_VALUE"""),"")</f>
        <v/>
      </c>
      <c r="I455" s="50" t="str">
        <f aca="false">IFERROR(__xludf.dummyfunction("""COMPUTED_VALUE"""),"")</f>
        <v/>
      </c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  <c r="DY455" s="15"/>
      <c r="DZ455" s="15"/>
      <c r="EA455" s="15"/>
      <c r="EB455" s="15"/>
      <c r="EC455" s="15"/>
      <c r="ED455" s="15"/>
      <c r="EE455" s="15"/>
      <c r="EF455" s="15"/>
      <c r="EG455" s="15"/>
      <c r="EH455" s="15"/>
      <c r="EI455" s="15"/>
      <c r="EJ455" s="15"/>
      <c r="EK455" s="15"/>
      <c r="EL455" s="15"/>
      <c r="EM455" s="15"/>
      <c r="EN455" s="15"/>
      <c r="EO455" s="15"/>
      <c r="EP455" s="15"/>
      <c r="EQ455" s="15"/>
      <c r="ER455" s="15"/>
      <c r="ES455" s="15"/>
      <c r="ET455" s="15"/>
      <c r="EU455" s="15"/>
      <c r="EV455" s="15"/>
      <c r="EW455" s="15"/>
      <c r="EX455" s="15"/>
    </row>
    <row r="456" customFormat="false" ht="15.75" hidden="false" customHeight="false" outlineLevel="0" collapsed="false">
      <c r="A456" s="76"/>
      <c r="B456" s="77"/>
      <c r="C456" s="77"/>
      <c r="D456" s="78"/>
      <c r="E456" s="72"/>
      <c r="F456" s="68"/>
      <c r="G456" s="15"/>
      <c r="H456" s="76" t="str">
        <f aca="false">IFERROR(__xludf.dummyfunction("""COMPUTED_VALUE"""),"")</f>
        <v/>
      </c>
      <c r="I456" s="50" t="str">
        <f aca="false">IFERROR(__xludf.dummyfunction("""COMPUTED_VALUE"""),"")</f>
        <v/>
      </c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  <c r="DY456" s="15"/>
      <c r="DZ456" s="15"/>
      <c r="EA456" s="15"/>
      <c r="EB456" s="15"/>
      <c r="EC456" s="15"/>
      <c r="ED456" s="15"/>
      <c r="EE456" s="15"/>
      <c r="EF456" s="15"/>
      <c r="EG456" s="15"/>
      <c r="EH456" s="15"/>
      <c r="EI456" s="15"/>
      <c r="EJ456" s="15"/>
      <c r="EK456" s="15"/>
      <c r="EL456" s="15"/>
      <c r="EM456" s="15"/>
      <c r="EN456" s="15"/>
      <c r="EO456" s="15"/>
      <c r="EP456" s="15"/>
      <c r="EQ456" s="15"/>
      <c r="ER456" s="15"/>
      <c r="ES456" s="15"/>
      <c r="ET456" s="15"/>
      <c r="EU456" s="15"/>
      <c r="EV456" s="15"/>
      <c r="EW456" s="15"/>
      <c r="EX456" s="15"/>
    </row>
    <row r="457" customFormat="false" ht="15.75" hidden="false" customHeight="false" outlineLevel="0" collapsed="false">
      <c r="A457" s="76"/>
      <c r="B457" s="77"/>
      <c r="C457" s="77"/>
      <c r="D457" s="78"/>
      <c r="E457" s="72"/>
      <c r="F457" s="68"/>
      <c r="G457" s="15"/>
      <c r="H457" s="76" t="str">
        <f aca="false">IFERROR(__xludf.dummyfunction("""COMPUTED_VALUE"""),"")</f>
        <v/>
      </c>
      <c r="I457" s="50" t="str">
        <f aca="false">IFERROR(__xludf.dummyfunction("""COMPUTED_VALUE"""),"")</f>
        <v/>
      </c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  <c r="DY457" s="15"/>
      <c r="DZ457" s="15"/>
      <c r="EA457" s="15"/>
      <c r="EB457" s="15"/>
      <c r="EC457" s="15"/>
      <c r="ED457" s="15"/>
      <c r="EE457" s="15"/>
      <c r="EF457" s="15"/>
      <c r="EG457" s="15"/>
      <c r="EH457" s="15"/>
      <c r="EI457" s="15"/>
      <c r="EJ457" s="15"/>
      <c r="EK457" s="15"/>
      <c r="EL457" s="15"/>
      <c r="EM457" s="15"/>
      <c r="EN457" s="15"/>
      <c r="EO457" s="15"/>
      <c r="EP457" s="15"/>
      <c r="EQ457" s="15"/>
      <c r="ER457" s="15"/>
      <c r="ES457" s="15"/>
      <c r="ET457" s="15"/>
      <c r="EU457" s="15"/>
      <c r="EV457" s="15"/>
      <c r="EW457" s="15"/>
      <c r="EX457" s="15"/>
    </row>
    <row r="458" customFormat="false" ht="15.75" hidden="false" customHeight="false" outlineLevel="0" collapsed="false">
      <c r="A458" s="76"/>
      <c r="B458" s="77"/>
      <c r="C458" s="77"/>
      <c r="D458" s="78"/>
      <c r="E458" s="72"/>
      <c r="F458" s="68"/>
      <c r="G458" s="15"/>
      <c r="H458" s="76" t="str">
        <f aca="false">IFERROR(__xludf.dummyfunction("""COMPUTED_VALUE"""),"")</f>
        <v/>
      </c>
      <c r="I458" s="50" t="str">
        <f aca="false">IFERROR(__xludf.dummyfunction("""COMPUTED_VALUE"""),"")</f>
        <v/>
      </c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  <c r="DY458" s="15"/>
      <c r="DZ458" s="15"/>
      <c r="EA458" s="15"/>
      <c r="EB458" s="15"/>
      <c r="EC458" s="15"/>
      <c r="ED458" s="15"/>
      <c r="EE458" s="15"/>
      <c r="EF458" s="15"/>
      <c r="EG458" s="15"/>
      <c r="EH458" s="15"/>
      <c r="EI458" s="15"/>
      <c r="EJ458" s="15"/>
      <c r="EK458" s="15"/>
      <c r="EL458" s="15"/>
      <c r="EM458" s="15"/>
      <c r="EN458" s="15"/>
      <c r="EO458" s="15"/>
      <c r="EP458" s="15"/>
      <c r="EQ458" s="15"/>
      <c r="ER458" s="15"/>
      <c r="ES458" s="15"/>
      <c r="ET458" s="15"/>
      <c r="EU458" s="15"/>
      <c r="EV458" s="15"/>
      <c r="EW458" s="15"/>
      <c r="EX458" s="15"/>
    </row>
    <row r="459" customFormat="false" ht="15.75" hidden="false" customHeight="false" outlineLevel="0" collapsed="false">
      <c r="A459" s="76"/>
      <c r="B459" s="77"/>
      <c r="C459" s="77"/>
      <c r="D459" s="78"/>
      <c r="E459" s="72"/>
      <c r="F459" s="68"/>
      <c r="G459" s="15"/>
      <c r="H459" s="76" t="str">
        <f aca="false">IFERROR(__xludf.dummyfunction("""COMPUTED_VALUE"""),"")</f>
        <v/>
      </c>
      <c r="I459" s="50" t="str">
        <f aca="false">IFERROR(__xludf.dummyfunction("""COMPUTED_VALUE"""),"")</f>
        <v/>
      </c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  <c r="DY459" s="15"/>
      <c r="DZ459" s="15"/>
      <c r="EA459" s="15"/>
      <c r="EB459" s="15"/>
      <c r="EC459" s="15"/>
      <c r="ED459" s="15"/>
      <c r="EE459" s="15"/>
      <c r="EF459" s="15"/>
      <c r="EG459" s="15"/>
      <c r="EH459" s="15"/>
      <c r="EI459" s="15"/>
      <c r="EJ459" s="15"/>
      <c r="EK459" s="15"/>
      <c r="EL459" s="15"/>
      <c r="EM459" s="15"/>
      <c r="EN459" s="15"/>
      <c r="EO459" s="15"/>
      <c r="EP459" s="15"/>
      <c r="EQ459" s="15"/>
      <c r="ER459" s="15"/>
      <c r="ES459" s="15"/>
      <c r="ET459" s="15"/>
      <c r="EU459" s="15"/>
      <c r="EV459" s="15"/>
      <c r="EW459" s="15"/>
      <c r="EX459" s="15"/>
    </row>
    <row r="460" customFormat="false" ht="15.75" hidden="false" customHeight="false" outlineLevel="0" collapsed="false">
      <c r="A460" s="76"/>
      <c r="B460" s="77"/>
      <c r="C460" s="77"/>
      <c r="D460" s="78"/>
      <c r="E460" s="72"/>
      <c r="F460" s="68"/>
      <c r="G460" s="15"/>
      <c r="H460" s="76" t="str">
        <f aca="false">IFERROR(__xludf.dummyfunction("""COMPUTED_VALUE"""),"")</f>
        <v/>
      </c>
      <c r="I460" s="50" t="str">
        <f aca="false">IFERROR(__xludf.dummyfunction("""COMPUTED_VALUE"""),"")</f>
        <v/>
      </c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  <c r="DY460" s="15"/>
      <c r="DZ460" s="15"/>
      <c r="EA460" s="15"/>
      <c r="EB460" s="15"/>
      <c r="EC460" s="15"/>
      <c r="ED460" s="15"/>
      <c r="EE460" s="15"/>
      <c r="EF460" s="15"/>
      <c r="EG460" s="15"/>
      <c r="EH460" s="15"/>
      <c r="EI460" s="15"/>
      <c r="EJ460" s="15"/>
      <c r="EK460" s="15"/>
      <c r="EL460" s="15"/>
      <c r="EM460" s="15"/>
      <c r="EN460" s="15"/>
      <c r="EO460" s="15"/>
      <c r="EP460" s="15"/>
      <c r="EQ460" s="15"/>
      <c r="ER460" s="15"/>
      <c r="ES460" s="15"/>
      <c r="ET460" s="15"/>
      <c r="EU460" s="15"/>
      <c r="EV460" s="15"/>
      <c r="EW460" s="15"/>
      <c r="EX460" s="15"/>
    </row>
    <row r="461" customFormat="false" ht="15.75" hidden="false" customHeight="false" outlineLevel="0" collapsed="false">
      <c r="A461" s="76"/>
      <c r="B461" s="77"/>
      <c r="C461" s="77"/>
      <c r="D461" s="78"/>
      <c r="E461" s="72"/>
      <c r="F461" s="68"/>
      <c r="G461" s="15"/>
      <c r="H461" s="76" t="str">
        <f aca="false">IFERROR(__xludf.dummyfunction("""COMPUTED_VALUE"""),"")</f>
        <v/>
      </c>
      <c r="I461" s="50" t="str">
        <f aca="false">IFERROR(__xludf.dummyfunction("""COMPUTED_VALUE"""),"")</f>
        <v/>
      </c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  <c r="DY461" s="15"/>
      <c r="DZ461" s="15"/>
      <c r="EA461" s="15"/>
      <c r="EB461" s="15"/>
      <c r="EC461" s="15"/>
      <c r="ED461" s="15"/>
      <c r="EE461" s="15"/>
      <c r="EF461" s="15"/>
      <c r="EG461" s="15"/>
      <c r="EH461" s="15"/>
      <c r="EI461" s="15"/>
      <c r="EJ461" s="15"/>
      <c r="EK461" s="15"/>
      <c r="EL461" s="15"/>
      <c r="EM461" s="15"/>
      <c r="EN461" s="15"/>
      <c r="EO461" s="15"/>
      <c r="EP461" s="15"/>
      <c r="EQ461" s="15"/>
      <c r="ER461" s="15"/>
      <c r="ES461" s="15"/>
      <c r="ET461" s="15"/>
      <c r="EU461" s="15"/>
      <c r="EV461" s="15"/>
      <c r="EW461" s="15"/>
      <c r="EX461" s="15"/>
    </row>
    <row r="462" customFormat="false" ht="15.75" hidden="false" customHeight="false" outlineLevel="0" collapsed="false">
      <c r="A462" s="76"/>
      <c r="B462" s="77"/>
      <c r="C462" s="77"/>
      <c r="D462" s="78"/>
      <c r="E462" s="72"/>
      <c r="F462" s="68"/>
      <c r="G462" s="15"/>
      <c r="H462" s="76" t="str">
        <f aca="false">IFERROR(__xludf.dummyfunction("""COMPUTED_VALUE"""),"")</f>
        <v/>
      </c>
      <c r="I462" s="50" t="str">
        <f aca="false">IFERROR(__xludf.dummyfunction("""COMPUTED_VALUE"""),"")</f>
        <v/>
      </c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  <c r="DY462" s="15"/>
      <c r="DZ462" s="15"/>
      <c r="EA462" s="15"/>
      <c r="EB462" s="15"/>
      <c r="EC462" s="15"/>
      <c r="ED462" s="15"/>
      <c r="EE462" s="15"/>
      <c r="EF462" s="15"/>
      <c r="EG462" s="15"/>
      <c r="EH462" s="15"/>
      <c r="EI462" s="15"/>
      <c r="EJ462" s="15"/>
      <c r="EK462" s="15"/>
      <c r="EL462" s="15"/>
      <c r="EM462" s="15"/>
      <c r="EN462" s="15"/>
      <c r="EO462" s="15"/>
      <c r="EP462" s="15"/>
      <c r="EQ462" s="15"/>
      <c r="ER462" s="15"/>
      <c r="ES462" s="15"/>
      <c r="ET462" s="15"/>
      <c r="EU462" s="15"/>
      <c r="EV462" s="15"/>
      <c r="EW462" s="15"/>
      <c r="EX462" s="15"/>
    </row>
    <row r="463" customFormat="false" ht="15.75" hidden="false" customHeight="false" outlineLevel="0" collapsed="false">
      <c r="A463" s="76"/>
      <c r="B463" s="77"/>
      <c r="C463" s="77"/>
      <c r="D463" s="78"/>
      <c r="E463" s="72"/>
      <c r="F463" s="68"/>
      <c r="G463" s="15"/>
      <c r="H463" s="76" t="str">
        <f aca="false">IFERROR(__xludf.dummyfunction("""COMPUTED_VALUE"""),"")</f>
        <v/>
      </c>
      <c r="I463" s="50" t="str">
        <f aca="false">IFERROR(__xludf.dummyfunction("""COMPUTED_VALUE"""),"")</f>
        <v/>
      </c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  <c r="DY463" s="15"/>
      <c r="DZ463" s="15"/>
      <c r="EA463" s="15"/>
      <c r="EB463" s="15"/>
      <c r="EC463" s="15"/>
      <c r="ED463" s="15"/>
      <c r="EE463" s="15"/>
      <c r="EF463" s="15"/>
      <c r="EG463" s="15"/>
      <c r="EH463" s="15"/>
      <c r="EI463" s="15"/>
      <c r="EJ463" s="15"/>
      <c r="EK463" s="15"/>
      <c r="EL463" s="15"/>
      <c r="EM463" s="15"/>
      <c r="EN463" s="15"/>
      <c r="EO463" s="15"/>
      <c r="EP463" s="15"/>
      <c r="EQ463" s="15"/>
      <c r="ER463" s="15"/>
      <c r="ES463" s="15"/>
      <c r="ET463" s="15"/>
      <c r="EU463" s="15"/>
      <c r="EV463" s="15"/>
      <c r="EW463" s="15"/>
      <c r="EX463" s="15"/>
    </row>
    <row r="464" customFormat="false" ht="15.75" hidden="false" customHeight="false" outlineLevel="0" collapsed="false">
      <c r="A464" s="76"/>
      <c r="B464" s="77"/>
      <c r="C464" s="77"/>
      <c r="D464" s="78"/>
      <c r="E464" s="72"/>
      <c r="F464" s="68"/>
      <c r="G464" s="15"/>
      <c r="H464" s="76" t="str">
        <f aca="false">IFERROR(__xludf.dummyfunction("""COMPUTED_VALUE"""),"")</f>
        <v/>
      </c>
      <c r="I464" s="50" t="str">
        <f aca="false">IFERROR(__xludf.dummyfunction("""COMPUTED_VALUE"""),"")</f>
        <v/>
      </c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  <c r="DY464" s="15"/>
      <c r="DZ464" s="15"/>
      <c r="EA464" s="15"/>
      <c r="EB464" s="15"/>
      <c r="EC464" s="15"/>
      <c r="ED464" s="15"/>
      <c r="EE464" s="15"/>
      <c r="EF464" s="15"/>
      <c r="EG464" s="15"/>
      <c r="EH464" s="15"/>
      <c r="EI464" s="15"/>
      <c r="EJ464" s="15"/>
      <c r="EK464" s="15"/>
      <c r="EL464" s="15"/>
      <c r="EM464" s="15"/>
      <c r="EN464" s="15"/>
      <c r="EO464" s="15"/>
      <c r="EP464" s="15"/>
      <c r="EQ464" s="15"/>
      <c r="ER464" s="15"/>
      <c r="ES464" s="15"/>
      <c r="ET464" s="15"/>
      <c r="EU464" s="15"/>
      <c r="EV464" s="15"/>
      <c r="EW464" s="15"/>
      <c r="EX464" s="15"/>
    </row>
    <row r="465" customFormat="false" ht="15.75" hidden="false" customHeight="false" outlineLevel="0" collapsed="false">
      <c r="A465" s="76"/>
      <c r="B465" s="77"/>
      <c r="C465" s="77"/>
      <c r="D465" s="78"/>
      <c r="E465" s="72"/>
      <c r="F465" s="68"/>
      <c r="G465" s="15"/>
      <c r="H465" s="76" t="str">
        <f aca="false">IFERROR(__xludf.dummyfunction("""COMPUTED_VALUE"""),"")</f>
        <v/>
      </c>
      <c r="I465" s="50" t="str">
        <f aca="false">IFERROR(__xludf.dummyfunction("""COMPUTED_VALUE"""),"")</f>
        <v/>
      </c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  <c r="DY465" s="15"/>
      <c r="DZ465" s="15"/>
      <c r="EA465" s="15"/>
      <c r="EB465" s="15"/>
      <c r="EC465" s="15"/>
      <c r="ED465" s="15"/>
      <c r="EE465" s="15"/>
      <c r="EF465" s="15"/>
      <c r="EG465" s="15"/>
      <c r="EH465" s="15"/>
      <c r="EI465" s="15"/>
      <c r="EJ465" s="15"/>
      <c r="EK465" s="15"/>
      <c r="EL465" s="15"/>
      <c r="EM465" s="15"/>
      <c r="EN465" s="15"/>
      <c r="EO465" s="15"/>
      <c r="EP465" s="15"/>
      <c r="EQ465" s="15"/>
      <c r="ER465" s="15"/>
      <c r="ES465" s="15"/>
      <c r="ET465" s="15"/>
      <c r="EU465" s="15"/>
      <c r="EV465" s="15"/>
      <c r="EW465" s="15"/>
      <c r="EX465" s="15"/>
    </row>
    <row r="466" customFormat="false" ht="15.75" hidden="false" customHeight="false" outlineLevel="0" collapsed="false">
      <c r="A466" s="76"/>
      <c r="B466" s="77"/>
      <c r="C466" s="77"/>
      <c r="D466" s="78"/>
      <c r="E466" s="72"/>
      <c r="F466" s="68"/>
      <c r="G466" s="15"/>
      <c r="H466" s="76" t="str">
        <f aca="false">IFERROR(__xludf.dummyfunction("""COMPUTED_VALUE"""),"")</f>
        <v/>
      </c>
      <c r="I466" s="50" t="str">
        <f aca="false">IFERROR(__xludf.dummyfunction("""COMPUTED_VALUE"""),"")</f>
        <v/>
      </c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  <c r="DY466" s="15"/>
      <c r="DZ466" s="15"/>
      <c r="EA466" s="15"/>
      <c r="EB466" s="15"/>
      <c r="EC466" s="15"/>
      <c r="ED466" s="15"/>
      <c r="EE466" s="15"/>
      <c r="EF466" s="15"/>
      <c r="EG466" s="15"/>
      <c r="EH466" s="15"/>
      <c r="EI466" s="15"/>
      <c r="EJ466" s="15"/>
      <c r="EK466" s="15"/>
      <c r="EL466" s="15"/>
      <c r="EM466" s="15"/>
      <c r="EN466" s="15"/>
      <c r="EO466" s="15"/>
      <c r="EP466" s="15"/>
      <c r="EQ466" s="15"/>
      <c r="ER466" s="15"/>
      <c r="ES466" s="15"/>
      <c r="ET466" s="15"/>
      <c r="EU466" s="15"/>
      <c r="EV466" s="15"/>
      <c r="EW466" s="15"/>
      <c r="EX466" s="15"/>
    </row>
    <row r="467" customFormat="false" ht="15.75" hidden="false" customHeight="false" outlineLevel="0" collapsed="false">
      <c r="A467" s="76"/>
      <c r="B467" s="77"/>
      <c r="C467" s="77"/>
      <c r="D467" s="78"/>
      <c r="E467" s="72"/>
      <c r="F467" s="68"/>
      <c r="G467" s="15"/>
      <c r="H467" s="76" t="str">
        <f aca="false">IFERROR(__xludf.dummyfunction("""COMPUTED_VALUE"""),"")</f>
        <v/>
      </c>
      <c r="I467" s="50" t="str">
        <f aca="false">IFERROR(__xludf.dummyfunction("""COMPUTED_VALUE"""),"")</f>
        <v/>
      </c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  <c r="DY467" s="15"/>
      <c r="DZ467" s="15"/>
      <c r="EA467" s="15"/>
      <c r="EB467" s="15"/>
      <c r="EC467" s="15"/>
      <c r="ED467" s="15"/>
      <c r="EE467" s="15"/>
      <c r="EF467" s="15"/>
      <c r="EG467" s="15"/>
      <c r="EH467" s="15"/>
      <c r="EI467" s="15"/>
      <c r="EJ467" s="15"/>
      <c r="EK467" s="15"/>
      <c r="EL467" s="15"/>
      <c r="EM467" s="15"/>
      <c r="EN467" s="15"/>
      <c r="EO467" s="15"/>
      <c r="EP467" s="15"/>
      <c r="EQ467" s="15"/>
      <c r="ER467" s="15"/>
      <c r="ES467" s="15"/>
      <c r="ET467" s="15"/>
      <c r="EU467" s="15"/>
      <c r="EV467" s="15"/>
      <c r="EW467" s="15"/>
      <c r="EX467" s="15"/>
    </row>
    <row r="468" customFormat="false" ht="15.75" hidden="false" customHeight="false" outlineLevel="0" collapsed="false">
      <c r="A468" s="76"/>
      <c r="B468" s="77"/>
      <c r="C468" s="77"/>
      <c r="D468" s="78"/>
      <c r="E468" s="72"/>
      <c r="F468" s="68"/>
      <c r="G468" s="15"/>
      <c r="H468" s="76" t="str">
        <f aca="false">IFERROR(__xludf.dummyfunction("""COMPUTED_VALUE"""),"")</f>
        <v/>
      </c>
      <c r="I468" s="50" t="str">
        <f aca="false">IFERROR(__xludf.dummyfunction("""COMPUTED_VALUE"""),"")</f>
        <v/>
      </c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  <c r="DY468" s="15"/>
      <c r="DZ468" s="15"/>
      <c r="EA468" s="15"/>
      <c r="EB468" s="15"/>
      <c r="EC468" s="15"/>
      <c r="ED468" s="15"/>
      <c r="EE468" s="15"/>
      <c r="EF468" s="15"/>
      <c r="EG468" s="15"/>
      <c r="EH468" s="15"/>
      <c r="EI468" s="15"/>
      <c r="EJ468" s="15"/>
      <c r="EK468" s="15"/>
      <c r="EL468" s="15"/>
      <c r="EM468" s="15"/>
      <c r="EN468" s="15"/>
      <c r="EO468" s="15"/>
      <c r="EP468" s="15"/>
      <c r="EQ468" s="15"/>
      <c r="ER468" s="15"/>
      <c r="ES468" s="15"/>
      <c r="ET468" s="15"/>
      <c r="EU468" s="15"/>
      <c r="EV468" s="15"/>
      <c r="EW468" s="15"/>
      <c r="EX468" s="15"/>
    </row>
    <row r="469" customFormat="false" ht="15.75" hidden="false" customHeight="false" outlineLevel="0" collapsed="false">
      <c r="A469" s="76"/>
      <c r="B469" s="77"/>
      <c r="C469" s="77"/>
      <c r="D469" s="78"/>
      <c r="E469" s="72"/>
      <c r="F469" s="68"/>
      <c r="G469" s="15"/>
      <c r="H469" s="76" t="str">
        <f aca="false">IFERROR(__xludf.dummyfunction("""COMPUTED_VALUE"""),"")</f>
        <v/>
      </c>
      <c r="I469" s="50" t="str">
        <f aca="false">IFERROR(__xludf.dummyfunction("""COMPUTED_VALUE"""),"")</f>
        <v/>
      </c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  <c r="DY469" s="15"/>
      <c r="DZ469" s="15"/>
      <c r="EA469" s="15"/>
      <c r="EB469" s="15"/>
      <c r="EC469" s="15"/>
      <c r="ED469" s="15"/>
      <c r="EE469" s="15"/>
      <c r="EF469" s="15"/>
      <c r="EG469" s="15"/>
      <c r="EH469" s="15"/>
      <c r="EI469" s="15"/>
      <c r="EJ469" s="15"/>
      <c r="EK469" s="15"/>
      <c r="EL469" s="15"/>
      <c r="EM469" s="15"/>
      <c r="EN469" s="15"/>
      <c r="EO469" s="15"/>
      <c r="EP469" s="15"/>
      <c r="EQ469" s="15"/>
      <c r="ER469" s="15"/>
      <c r="ES469" s="15"/>
      <c r="ET469" s="15"/>
      <c r="EU469" s="15"/>
      <c r="EV469" s="15"/>
      <c r="EW469" s="15"/>
      <c r="EX469" s="15"/>
    </row>
    <row r="470" customFormat="false" ht="15.75" hidden="false" customHeight="false" outlineLevel="0" collapsed="false">
      <c r="A470" s="76"/>
      <c r="B470" s="77"/>
      <c r="C470" s="77"/>
      <c r="D470" s="78"/>
      <c r="E470" s="72"/>
      <c r="F470" s="68"/>
      <c r="G470" s="15"/>
      <c r="H470" s="76" t="str">
        <f aca="false">IFERROR(__xludf.dummyfunction("""COMPUTED_VALUE"""),"")</f>
        <v/>
      </c>
      <c r="I470" s="50" t="str">
        <f aca="false">IFERROR(__xludf.dummyfunction("""COMPUTED_VALUE"""),"")</f>
        <v/>
      </c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  <c r="DY470" s="15"/>
      <c r="DZ470" s="15"/>
      <c r="EA470" s="15"/>
      <c r="EB470" s="15"/>
      <c r="EC470" s="15"/>
      <c r="ED470" s="15"/>
      <c r="EE470" s="15"/>
      <c r="EF470" s="15"/>
      <c r="EG470" s="15"/>
      <c r="EH470" s="15"/>
      <c r="EI470" s="15"/>
      <c r="EJ470" s="15"/>
      <c r="EK470" s="15"/>
      <c r="EL470" s="15"/>
      <c r="EM470" s="15"/>
      <c r="EN470" s="15"/>
      <c r="EO470" s="15"/>
      <c r="EP470" s="15"/>
      <c r="EQ470" s="15"/>
      <c r="ER470" s="15"/>
      <c r="ES470" s="15"/>
      <c r="ET470" s="15"/>
      <c r="EU470" s="15"/>
      <c r="EV470" s="15"/>
      <c r="EW470" s="15"/>
      <c r="EX470" s="15"/>
    </row>
    <row r="471" customFormat="false" ht="15.75" hidden="false" customHeight="false" outlineLevel="0" collapsed="false">
      <c r="A471" s="76"/>
      <c r="B471" s="77"/>
      <c r="C471" s="77"/>
      <c r="D471" s="78"/>
      <c r="E471" s="72"/>
      <c r="F471" s="68"/>
      <c r="G471" s="15"/>
      <c r="H471" s="76" t="str">
        <f aca="false">IFERROR(__xludf.dummyfunction("""COMPUTED_VALUE"""),"")</f>
        <v/>
      </c>
      <c r="I471" s="50" t="str">
        <f aca="false">IFERROR(__xludf.dummyfunction("""COMPUTED_VALUE"""),"")</f>
        <v/>
      </c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  <c r="DY471" s="15"/>
      <c r="DZ471" s="15"/>
      <c r="EA471" s="15"/>
      <c r="EB471" s="15"/>
      <c r="EC471" s="15"/>
      <c r="ED471" s="15"/>
      <c r="EE471" s="15"/>
      <c r="EF471" s="15"/>
      <c r="EG471" s="15"/>
      <c r="EH471" s="15"/>
      <c r="EI471" s="15"/>
      <c r="EJ471" s="15"/>
      <c r="EK471" s="15"/>
      <c r="EL471" s="15"/>
      <c r="EM471" s="15"/>
      <c r="EN471" s="15"/>
      <c r="EO471" s="15"/>
      <c r="EP471" s="15"/>
      <c r="EQ471" s="15"/>
      <c r="ER471" s="15"/>
      <c r="ES471" s="15"/>
      <c r="ET471" s="15"/>
      <c r="EU471" s="15"/>
      <c r="EV471" s="15"/>
      <c r="EW471" s="15"/>
      <c r="EX471" s="15"/>
    </row>
    <row r="472" customFormat="false" ht="15.75" hidden="false" customHeight="false" outlineLevel="0" collapsed="false">
      <c r="A472" s="76"/>
      <c r="B472" s="77"/>
      <c r="C472" s="77"/>
      <c r="D472" s="78"/>
      <c r="E472" s="72"/>
      <c r="F472" s="68"/>
      <c r="G472" s="15"/>
      <c r="H472" s="76" t="str">
        <f aca="false">IFERROR(__xludf.dummyfunction("""COMPUTED_VALUE"""),"")</f>
        <v/>
      </c>
      <c r="I472" s="50" t="str">
        <f aca="false">IFERROR(__xludf.dummyfunction("""COMPUTED_VALUE"""),"")</f>
        <v/>
      </c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  <c r="DY472" s="15"/>
      <c r="DZ472" s="15"/>
      <c r="EA472" s="15"/>
      <c r="EB472" s="15"/>
      <c r="EC472" s="15"/>
      <c r="ED472" s="15"/>
      <c r="EE472" s="15"/>
      <c r="EF472" s="15"/>
      <c r="EG472" s="15"/>
      <c r="EH472" s="15"/>
      <c r="EI472" s="15"/>
      <c r="EJ472" s="15"/>
      <c r="EK472" s="15"/>
      <c r="EL472" s="15"/>
      <c r="EM472" s="15"/>
      <c r="EN472" s="15"/>
      <c r="EO472" s="15"/>
      <c r="EP472" s="15"/>
      <c r="EQ472" s="15"/>
      <c r="ER472" s="15"/>
      <c r="ES472" s="15"/>
      <c r="ET472" s="15"/>
      <c r="EU472" s="15"/>
      <c r="EV472" s="15"/>
      <c r="EW472" s="15"/>
      <c r="EX472" s="15"/>
    </row>
    <row r="473" customFormat="false" ht="15.75" hidden="false" customHeight="false" outlineLevel="0" collapsed="false">
      <c r="A473" s="76"/>
      <c r="B473" s="77"/>
      <c r="C473" s="77"/>
      <c r="D473" s="78"/>
      <c r="E473" s="72"/>
      <c r="F473" s="68"/>
      <c r="G473" s="15"/>
      <c r="H473" s="76" t="str">
        <f aca="false">IFERROR(__xludf.dummyfunction("""COMPUTED_VALUE"""),"")</f>
        <v/>
      </c>
      <c r="I473" s="50" t="str">
        <f aca="false">IFERROR(__xludf.dummyfunction("""COMPUTED_VALUE"""),"")</f>
        <v/>
      </c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  <c r="DY473" s="15"/>
      <c r="DZ473" s="15"/>
      <c r="EA473" s="15"/>
      <c r="EB473" s="15"/>
      <c r="EC473" s="15"/>
      <c r="ED473" s="15"/>
      <c r="EE473" s="15"/>
      <c r="EF473" s="15"/>
      <c r="EG473" s="15"/>
      <c r="EH473" s="15"/>
      <c r="EI473" s="15"/>
      <c r="EJ473" s="15"/>
      <c r="EK473" s="15"/>
      <c r="EL473" s="15"/>
      <c r="EM473" s="15"/>
      <c r="EN473" s="15"/>
      <c r="EO473" s="15"/>
      <c r="EP473" s="15"/>
      <c r="EQ473" s="15"/>
      <c r="ER473" s="15"/>
      <c r="ES473" s="15"/>
      <c r="ET473" s="15"/>
      <c r="EU473" s="15"/>
      <c r="EV473" s="15"/>
      <c r="EW473" s="15"/>
      <c r="EX473" s="15"/>
    </row>
    <row r="474" customFormat="false" ht="15.75" hidden="false" customHeight="false" outlineLevel="0" collapsed="false">
      <c r="A474" s="76"/>
      <c r="B474" s="77"/>
      <c r="C474" s="77"/>
      <c r="D474" s="78"/>
      <c r="E474" s="72"/>
      <c r="F474" s="68"/>
      <c r="G474" s="15"/>
      <c r="H474" s="76" t="str">
        <f aca="false">IFERROR(__xludf.dummyfunction("""COMPUTED_VALUE"""),"")</f>
        <v/>
      </c>
      <c r="I474" s="50" t="str">
        <f aca="false">IFERROR(__xludf.dummyfunction("""COMPUTED_VALUE"""),"")</f>
        <v/>
      </c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  <c r="DY474" s="15"/>
      <c r="DZ474" s="15"/>
      <c r="EA474" s="15"/>
      <c r="EB474" s="15"/>
      <c r="EC474" s="15"/>
      <c r="ED474" s="15"/>
      <c r="EE474" s="15"/>
      <c r="EF474" s="15"/>
      <c r="EG474" s="15"/>
      <c r="EH474" s="15"/>
      <c r="EI474" s="15"/>
      <c r="EJ474" s="15"/>
      <c r="EK474" s="15"/>
      <c r="EL474" s="15"/>
      <c r="EM474" s="15"/>
      <c r="EN474" s="15"/>
      <c r="EO474" s="15"/>
      <c r="EP474" s="15"/>
      <c r="EQ474" s="15"/>
      <c r="ER474" s="15"/>
      <c r="ES474" s="15"/>
      <c r="ET474" s="15"/>
      <c r="EU474" s="15"/>
      <c r="EV474" s="15"/>
      <c r="EW474" s="15"/>
      <c r="EX474" s="15"/>
    </row>
    <row r="475" customFormat="false" ht="15.75" hidden="false" customHeight="false" outlineLevel="0" collapsed="false">
      <c r="A475" s="76"/>
      <c r="B475" s="77"/>
      <c r="C475" s="77"/>
      <c r="D475" s="78"/>
      <c r="E475" s="72"/>
      <c r="F475" s="68"/>
      <c r="G475" s="15"/>
      <c r="H475" s="76" t="str">
        <f aca="false">IFERROR(__xludf.dummyfunction("""COMPUTED_VALUE"""),"")</f>
        <v/>
      </c>
      <c r="I475" s="50" t="str">
        <f aca="false">IFERROR(__xludf.dummyfunction("""COMPUTED_VALUE"""),"")</f>
        <v/>
      </c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  <c r="DY475" s="15"/>
      <c r="DZ475" s="15"/>
      <c r="EA475" s="15"/>
      <c r="EB475" s="15"/>
      <c r="EC475" s="15"/>
      <c r="ED475" s="15"/>
      <c r="EE475" s="15"/>
      <c r="EF475" s="15"/>
      <c r="EG475" s="15"/>
      <c r="EH475" s="15"/>
      <c r="EI475" s="15"/>
      <c r="EJ475" s="15"/>
      <c r="EK475" s="15"/>
      <c r="EL475" s="15"/>
      <c r="EM475" s="15"/>
      <c r="EN475" s="15"/>
      <c r="EO475" s="15"/>
      <c r="EP475" s="15"/>
      <c r="EQ475" s="15"/>
      <c r="ER475" s="15"/>
      <c r="ES475" s="15"/>
      <c r="ET475" s="15"/>
      <c r="EU475" s="15"/>
      <c r="EV475" s="15"/>
      <c r="EW475" s="15"/>
      <c r="EX475" s="15"/>
    </row>
    <row r="476" customFormat="false" ht="15.75" hidden="false" customHeight="false" outlineLevel="0" collapsed="false">
      <c r="A476" s="76"/>
      <c r="B476" s="77"/>
      <c r="C476" s="77"/>
      <c r="D476" s="78"/>
      <c r="E476" s="72"/>
      <c r="F476" s="68"/>
      <c r="G476" s="15"/>
      <c r="H476" s="76" t="str">
        <f aca="false">IFERROR(__xludf.dummyfunction("""COMPUTED_VALUE"""),"")</f>
        <v/>
      </c>
      <c r="I476" s="50" t="str">
        <f aca="false">IFERROR(__xludf.dummyfunction("""COMPUTED_VALUE"""),"")</f>
        <v/>
      </c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  <c r="DY476" s="15"/>
      <c r="DZ476" s="15"/>
      <c r="EA476" s="15"/>
      <c r="EB476" s="15"/>
      <c r="EC476" s="15"/>
      <c r="ED476" s="15"/>
      <c r="EE476" s="15"/>
      <c r="EF476" s="15"/>
      <c r="EG476" s="15"/>
      <c r="EH476" s="15"/>
      <c r="EI476" s="15"/>
      <c r="EJ476" s="15"/>
      <c r="EK476" s="15"/>
      <c r="EL476" s="15"/>
      <c r="EM476" s="15"/>
      <c r="EN476" s="15"/>
      <c r="EO476" s="15"/>
      <c r="EP476" s="15"/>
      <c r="EQ476" s="15"/>
      <c r="ER476" s="15"/>
      <c r="ES476" s="15"/>
      <c r="ET476" s="15"/>
      <c r="EU476" s="15"/>
      <c r="EV476" s="15"/>
      <c r="EW476" s="15"/>
      <c r="EX476" s="15"/>
    </row>
    <row r="477" customFormat="false" ht="15.75" hidden="false" customHeight="false" outlineLevel="0" collapsed="false">
      <c r="A477" s="76"/>
      <c r="B477" s="77"/>
      <c r="C477" s="77"/>
      <c r="D477" s="78"/>
      <c r="E477" s="72"/>
      <c r="F477" s="68"/>
      <c r="G477" s="15"/>
      <c r="H477" s="76" t="str">
        <f aca="false">IFERROR(__xludf.dummyfunction("""COMPUTED_VALUE"""),"")</f>
        <v/>
      </c>
      <c r="I477" s="50" t="str">
        <f aca="false">IFERROR(__xludf.dummyfunction("""COMPUTED_VALUE"""),"")</f>
        <v/>
      </c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  <c r="DY477" s="15"/>
      <c r="DZ477" s="15"/>
      <c r="EA477" s="15"/>
      <c r="EB477" s="15"/>
      <c r="EC477" s="15"/>
      <c r="ED477" s="15"/>
      <c r="EE477" s="15"/>
      <c r="EF477" s="15"/>
      <c r="EG477" s="15"/>
      <c r="EH477" s="15"/>
      <c r="EI477" s="15"/>
      <c r="EJ477" s="15"/>
      <c r="EK477" s="15"/>
      <c r="EL477" s="15"/>
      <c r="EM477" s="15"/>
      <c r="EN477" s="15"/>
      <c r="EO477" s="15"/>
      <c r="EP477" s="15"/>
      <c r="EQ477" s="15"/>
      <c r="ER477" s="15"/>
      <c r="ES477" s="15"/>
      <c r="ET477" s="15"/>
      <c r="EU477" s="15"/>
      <c r="EV477" s="15"/>
      <c r="EW477" s="15"/>
      <c r="EX477" s="15"/>
    </row>
    <row r="478" customFormat="false" ht="15.75" hidden="false" customHeight="false" outlineLevel="0" collapsed="false">
      <c r="A478" s="76"/>
      <c r="B478" s="77"/>
      <c r="C478" s="77"/>
      <c r="D478" s="78"/>
      <c r="E478" s="72"/>
      <c r="F478" s="68"/>
      <c r="G478" s="15"/>
      <c r="H478" s="76" t="str">
        <f aca="false">IFERROR(__xludf.dummyfunction("""COMPUTED_VALUE"""),"")</f>
        <v/>
      </c>
      <c r="I478" s="50" t="str">
        <f aca="false">IFERROR(__xludf.dummyfunction("""COMPUTED_VALUE"""),"")</f>
        <v/>
      </c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  <c r="DY478" s="15"/>
      <c r="DZ478" s="15"/>
      <c r="EA478" s="15"/>
      <c r="EB478" s="15"/>
      <c r="EC478" s="15"/>
      <c r="ED478" s="15"/>
      <c r="EE478" s="15"/>
      <c r="EF478" s="15"/>
      <c r="EG478" s="15"/>
      <c r="EH478" s="15"/>
      <c r="EI478" s="15"/>
      <c r="EJ478" s="15"/>
      <c r="EK478" s="15"/>
      <c r="EL478" s="15"/>
      <c r="EM478" s="15"/>
      <c r="EN478" s="15"/>
      <c r="EO478" s="15"/>
      <c r="EP478" s="15"/>
      <c r="EQ478" s="15"/>
      <c r="ER478" s="15"/>
      <c r="ES478" s="15"/>
      <c r="ET478" s="15"/>
      <c r="EU478" s="15"/>
      <c r="EV478" s="15"/>
      <c r="EW478" s="15"/>
      <c r="EX478" s="15"/>
    </row>
    <row r="479" customFormat="false" ht="15.75" hidden="false" customHeight="false" outlineLevel="0" collapsed="false">
      <c r="A479" s="76"/>
      <c r="B479" s="77"/>
      <c r="C479" s="77"/>
      <c r="D479" s="78"/>
      <c r="E479" s="72"/>
      <c r="F479" s="68"/>
      <c r="G479" s="15"/>
      <c r="H479" s="76" t="str">
        <f aca="false">IFERROR(__xludf.dummyfunction("""COMPUTED_VALUE"""),"")</f>
        <v/>
      </c>
      <c r="I479" s="50" t="str">
        <f aca="false">IFERROR(__xludf.dummyfunction("""COMPUTED_VALUE"""),"")</f>
        <v/>
      </c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  <c r="DY479" s="15"/>
      <c r="DZ479" s="15"/>
      <c r="EA479" s="15"/>
      <c r="EB479" s="15"/>
      <c r="EC479" s="15"/>
      <c r="ED479" s="15"/>
      <c r="EE479" s="15"/>
      <c r="EF479" s="15"/>
      <c r="EG479" s="15"/>
      <c r="EH479" s="15"/>
      <c r="EI479" s="15"/>
      <c r="EJ479" s="15"/>
      <c r="EK479" s="15"/>
      <c r="EL479" s="15"/>
      <c r="EM479" s="15"/>
      <c r="EN479" s="15"/>
      <c r="EO479" s="15"/>
      <c r="EP479" s="15"/>
      <c r="EQ479" s="15"/>
      <c r="ER479" s="15"/>
      <c r="ES479" s="15"/>
      <c r="ET479" s="15"/>
      <c r="EU479" s="15"/>
      <c r="EV479" s="15"/>
      <c r="EW479" s="15"/>
      <c r="EX479" s="15"/>
    </row>
    <row r="480" customFormat="false" ht="15.75" hidden="false" customHeight="false" outlineLevel="0" collapsed="false">
      <c r="A480" s="76"/>
      <c r="B480" s="77"/>
      <c r="C480" s="77"/>
      <c r="D480" s="78"/>
      <c r="E480" s="72"/>
      <c r="F480" s="68"/>
      <c r="G480" s="15"/>
      <c r="H480" s="76" t="str">
        <f aca="false">IFERROR(__xludf.dummyfunction("""COMPUTED_VALUE"""),"")</f>
        <v/>
      </c>
      <c r="I480" s="50" t="str">
        <f aca="false">IFERROR(__xludf.dummyfunction("""COMPUTED_VALUE"""),"")</f>
        <v/>
      </c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  <c r="DY480" s="15"/>
      <c r="DZ480" s="15"/>
      <c r="EA480" s="15"/>
      <c r="EB480" s="15"/>
      <c r="EC480" s="15"/>
      <c r="ED480" s="15"/>
      <c r="EE480" s="15"/>
      <c r="EF480" s="15"/>
      <c r="EG480" s="15"/>
      <c r="EH480" s="15"/>
      <c r="EI480" s="15"/>
      <c r="EJ480" s="15"/>
      <c r="EK480" s="15"/>
      <c r="EL480" s="15"/>
      <c r="EM480" s="15"/>
      <c r="EN480" s="15"/>
      <c r="EO480" s="15"/>
      <c r="EP480" s="15"/>
      <c r="EQ480" s="15"/>
      <c r="ER480" s="15"/>
      <c r="ES480" s="15"/>
      <c r="ET480" s="15"/>
      <c r="EU480" s="15"/>
      <c r="EV480" s="15"/>
      <c r="EW480" s="15"/>
      <c r="EX480" s="15"/>
    </row>
    <row r="481" customFormat="false" ht="15.75" hidden="false" customHeight="false" outlineLevel="0" collapsed="false">
      <c r="A481" s="76"/>
      <c r="B481" s="77"/>
      <c r="C481" s="77"/>
      <c r="D481" s="78"/>
      <c r="E481" s="72"/>
      <c r="F481" s="68"/>
      <c r="G481" s="15"/>
      <c r="H481" s="76" t="str">
        <f aca="false">IFERROR(__xludf.dummyfunction("""COMPUTED_VALUE"""),"")</f>
        <v/>
      </c>
      <c r="I481" s="50" t="str">
        <f aca="false">IFERROR(__xludf.dummyfunction("""COMPUTED_VALUE"""),"")</f>
        <v/>
      </c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  <c r="DY481" s="15"/>
      <c r="DZ481" s="15"/>
      <c r="EA481" s="15"/>
      <c r="EB481" s="15"/>
      <c r="EC481" s="15"/>
      <c r="ED481" s="15"/>
      <c r="EE481" s="15"/>
      <c r="EF481" s="15"/>
      <c r="EG481" s="15"/>
      <c r="EH481" s="15"/>
      <c r="EI481" s="15"/>
      <c r="EJ481" s="15"/>
      <c r="EK481" s="15"/>
      <c r="EL481" s="15"/>
      <c r="EM481" s="15"/>
      <c r="EN481" s="15"/>
      <c r="EO481" s="15"/>
      <c r="EP481" s="15"/>
      <c r="EQ481" s="15"/>
      <c r="ER481" s="15"/>
      <c r="ES481" s="15"/>
      <c r="ET481" s="15"/>
      <c r="EU481" s="15"/>
      <c r="EV481" s="15"/>
      <c r="EW481" s="15"/>
      <c r="EX481" s="15"/>
    </row>
    <row r="482" customFormat="false" ht="15.75" hidden="false" customHeight="false" outlineLevel="0" collapsed="false">
      <c r="A482" s="76"/>
      <c r="B482" s="77"/>
      <c r="C482" s="77"/>
      <c r="D482" s="78"/>
      <c r="E482" s="72"/>
      <c r="F482" s="68"/>
      <c r="G482" s="15"/>
      <c r="H482" s="76" t="str">
        <f aca="false">IFERROR(__xludf.dummyfunction("""COMPUTED_VALUE"""),"")</f>
        <v/>
      </c>
      <c r="I482" s="50" t="str">
        <f aca="false">IFERROR(__xludf.dummyfunction("""COMPUTED_VALUE"""),"")</f>
        <v/>
      </c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  <c r="DY482" s="15"/>
      <c r="DZ482" s="15"/>
      <c r="EA482" s="15"/>
      <c r="EB482" s="15"/>
      <c r="EC482" s="15"/>
      <c r="ED482" s="15"/>
      <c r="EE482" s="15"/>
      <c r="EF482" s="15"/>
      <c r="EG482" s="15"/>
      <c r="EH482" s="15"/>
      <c r="EI482" s="15"/>
      <c r="EJ482" s="15"/>
      <c r="EK482" s="15"/>
      <c r="EL482" s="15"/>
      <c r="EM482" s="15"/>
      <c r="EN482" s="15"/>
      <c r="EO482" s="15"/>
      <c r="EP482" s="15"/>
      <c r="EQ482" s="15"/>
      <c r="ER482" s="15"/>
      <c r="ES482" s="15"/>
      <c r="ET482" s="15"/>
      <c r="EU482" s="15"/>
      <c r="EV482" s="15"/>
      <c r="EW482" s="15"/>
      <c r="EX482" s="15"/>
    </row>
    <row r="483" customFormat="false" ht="15.75" hidden="false" customHeight="false" outlineLevel="0" collapsed="false">
      <c r="A483" s="76"/>
      <c r="B483" s="77"/>
      <c r="C483" s="77"/>
      <c r="D483" s="78"/>
      <c r="E483" s="72"/>
      <c r="F483" s="68"/>
      <c r="G483" s="15"/>
      <c r="H483" s="76" t="str">
        <f aca="false">IFERROR(__xludf.dummyfunction("""COMPUTED_VALUE"""),"")</f>
        <v/>
      </c>
      <c r="I483" s="50" t="str">
        <f aca="false">IFERROR(__xludf.dummyfunction("""COMPUTED_VALUE"""),"")</f>
        <v/>
      </c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  <c r="DY483" s="15"/>
      <c r="DZ483" s="15"/>
      <c r="EA483" s="15"/>
      <c r="EB483" s="15"/>
      <c r="EC483" s="15"/>
      <c r="ED483" s="15"/>
      <c r="EE483" s="15"/>
      <c r="EF483" s="15"/>
      <c r="EG483" s="15"/>
      <c r="EH483" s="15"/>
      <c r="EI483" s="15"/>
      <c r="EJ483" s="15"/>
      <c r="EK483" s="15"/>
      <c r="EL483" s="15"/>
      <c r="EM483" s="15"/>
      <c r="EN483" s="15"/>
      <c r="EO483" s="15"/>
      <c r="EP483" s="15"/>
      <c r="EQ483" s="15"/>
      <c r="ER483" s="15"/>
      <c r="ES483" s="15"/>
      <c r="ET483" s="15"/>
      <c r="EU483" s="15"/>
      <c r="EV483" s="15"/>
      <c r="EW483" s="15"/>
      <c r="EX483" s="15"/>
    </row>
    <row r="484" customFormat="false" ht="15.75" hidden="false" customHeight="false" outlineLevel="0" collapsed="false">
      <c r="A484" s="76"/>
      <c r="B484" s="77"/>
      <c r="C484" s="77"/>
      <c r="D484" s="78"/>
      <c r="E484" s="72"/>
      <c r="F484" s="68"/>
      <c r="G484" s="15"/>
      <c r="H484" s="76" t="str">
        <f aca="false">IFERROR(__xludf.dummyfunction("""COMPUTED_VALUE"""),"")</f>
        <v/>
      </c>
      <c r="I484" s="50" t="str">
        <f aca="false">IFERROR(__xludf.dummyfunction("""COMPUTED_VALUE"""),"")</f>
        <v/>
      </c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  <c r="DY484" s="15"/>
      <c r="DZ484" s="15"/>
      <c r="EA484" s="15"/>
      <c r="EB484" s="15"/>
      <c r="EC484" s="15"/>
      <c r="ED484" s="15"/>
      <c r="EE484" s="15"/>
      <c r="EF484" s="15"/>
      <c r="EG484" s="15"/>
      <c r="EH484" s="15"/>
      <c r="EI484" s="15"/>
      <c r="EJ484" s="15"/>
      <c r="EK484" s="15"/>
      <c r="EL484" s="15"/>
      <c r="EM484" s="15"/>
      <c r="EN484" s="15"/>
      <c r="EO484" s="15"/>
      <c r="EP484" s="15"/>
      <c r="EQ484" s="15"/>
      <c r="ER484" s="15"/>
      <c r="ES484" s="15"/>
      <c r="ET484" s="15"/>
      <c r="EU484" s="15"/>
      <c r="EV484" s="15"/>
      <c r="EW484" s="15"/>
      <c r="EX484" s="15"/>
    </row>
    <row r="485" customFormat="false" ht="15.75" hidden="false" customHeight="false" outlineLevel="0" collapsed="false">
      <c r="A485" s="76"/>
      <c r="B485" s="77"/>
      <c r="C485" s="77"/>
      <c r="D485" s="78"/>
      <c r="E485" s="72"/>
      <c r="F485" s="68"/>
      <c r="G485" s="15"/>
      <c r="H485" s="76" t="str">
        <f aca="false">IFERROR(__xludf.dummyfunction("""COMPUTED_VALUE"""),"")</f>
        <v/>
      </c>
      <c r="I485" s="50" t="str">
        <f aca="false">IFERROR(__xludf.dummyfunction("""COMPUTED_VALUE"""),"")</f>
        <v/>
      </c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  <c r="DY485" s="15"/>
      <c r="DZ485" s="15"/>
      <c r="EA485" s="15"/>
      <c r="EB485" s="15"/>
      <c r="EC485" s="15"/>
      <c r="ED485" s="15"/>
      <c r="EE485" s="15"/>
      <c r="EF485" s="15"/>
      <c r="EG485" s="15"/>
      <c r="EH485" s="15"/>
      <c r="EI485" s="15"/>
      <c r="EJ485" s="15"/>
      <c r="EK485" s="15"/>
      <c r="EL485" s="15"/>
      <c r="EM485" s="15"/>
      <c r="EN485" s="15"/>
      <c r="EO485" s="15"/>
      <c r="EP485" s="15"/>
      <c r="EQ485" s="15"/>
      <c r="ER485" s="15"/>
      <c r="ES485" s="15"/>
      <c r="ET485" s="15"/>
      <c r="EU485" s="15"/>
      <c r="EV485" s="15"/>
      <c r="EW485" s="15"/>
      <c r="EX485" s="15"/>
    </row>
    <row r="486" customFormat="false" ht="15.75" hidden="false" customHeight="false" outlineLevel="0" collapsed="false">
      <c r="A486" s="76"/>
      <c r="B486" s="77"/>
      <c r="C486" s="77"/>
      <c r="D486" s="78"/>
      <c r="E486" s="72"/>
      <c r="F486" s="68"/>
      <c r="G486" s="15"/>
      <c r="H486" s="76" t="str">
        <f aca="false">IFERROR(__xludf.dummyfunction("""COMPUTED_VALUE"""),"")</f>
        <v/>
      </c>
      <c r="I486" s="50" t="str">
        <f aca="false">IFERROR(__xludf.dummyfunction("""COMPUTED_VALUE"""),"")</f>
        <v/>
      </c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  <c r="DY486" s="15"/>
      <c r="DZ486" s="15"/>
      <c r="EA486" s="15"/>
      <c r="EB486" s="15"/>
      <c r="EC486" s="15"/>
      <c r="ED486" s="15"/>
      <c r="EE486" s="15"/>
      <c r="EF486" s="15"/>
      <c r="EG486" s="15"/>
      <c r="EH486" s="15"/>
      <c r="EI486" s="15"/>
      <c r="EJ486" s="15"/>
      <c r="EK486" s="15"/>
      <c r="EL486" s="15"/>
      <c r="EM486" s="15"/>
      <c r="EN486" s="15"/>
      <c r="EO486" s="15"/>
      <c r="EP486" s="15"/>
      <c r="EQ486" s="15"/>
      <c r="ER486" s="15"/>
      <c r="ES486" s="15"/>
      <c r="ET486" s="15"/>
      <c r="EU486" s="15"/>
      <c r="EV486" s="15"/>
      <c r="EW486" s="15"/>
      <c r="EX486" s="15"/>
    </row>
    <row r="487" customFormat="false" ht="15.75" hidden="false" customHeight="false" outlineLevel="0" collapsed="false">
      <c r="A487" s="76"/>
      <c r="B487" s="77"/>
      <c r="C487" s="77"/>
      <c r="D487" s="78"/>
      <c r="E487" s="72"/>
      <c r="F487" s="68"/>
      <c r="G487" s="15"/>
      <c r="H487" s="76" t="str">
        <f aca="false">IFERROR(__xludf.dummyfunction("""COMPUTED_VALUE"""),"")</f>
        <v/>
      </c>
      <c r="I487" s="50" t="str">
        <f aca="false">IFERROR(__xludf.dummyfunction("""COMPUTED_VALUE"""),"")</f>
        <v/>
      </c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  <c r="DY487" s="15"/>
      <c r="DZ487" s="15"/>
      <c r="EA487" s="15"/>
      <c r="EB487" s="15"/>
      <c r="EC487" s="15"/>
      <c r="ED487" s="15"/>
      <c r="EE487" s="15"/>
      <c r="EF487" s="15"/>
      <c r="EG487" s="15"/>
      <c r="EH487" s="15"/>
      <c r="EI487" s="15"/>
      <c r="EJ487" s="15"/>
      <c r="EK487" s="15"/>
      <c r="EL487" s="15"/>
      <c r="EM487" s="15"/>
      <c r="EN487" s="15"/>
      <c r="EO487" s="15"/>
      <c r="EP487" s="15"/>
      <c r="EQ487" s="15"/>
      <c r="ER487" s="15"/>
      <c r="ES487" s="15"/>
      <c r="ET487" s="15"/>
      <c r="EU487" s="15"/>
      <c r="EV487" s="15"/>
      <c r="EW487" s="15"/>
      <c r="EX487" s="15"/>
    </row>
    <row r="488" customFormat="false" ht="15.75" hidden="false" customHeight="false" outlineLevel="0" collapsed="false">
      <c r="A488" s="76"/>
      <c r="B488" s="77"/>
      <c r="C488" s="77"/>
      <c r="D488" s="78"/>
      <c r="E488" s="72"/>
      <c r="F488" s="68"/>
      <c r="G488" s="15"/>
      <c r="H488" s="76" t="str">
        <f aca="false">IFERROR(__xludf.dummyfunction("""COMPUTED_VALUE"""),"")</f>
        <v/>
      </c>
      <c r="I488" s="50" t="str">
        <f aca="false">IFERROR(__xludf.dummyfunction("""COMPUTED_VALUE"""),"")</f>
        <v/>
      </c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  <c r="DY488" s="15"/>
      <c r="DZ488" s="15"/>
      <c r="EA488" s="15"/>
      <c r="EB488" s="15"/>
      <c r="EC488" s="15"/>
      <c r="ED488" s="15"/>
      <c r="EE488" s="15"/>
      <c r="EF488" s="15"/>
      <c r="EG488" s="15"/>
      <c r="EH488" s="15"/>
      <c r="EI488" s="15"/>
      <c r="EJ488" s="15"/>
      <c r="EK488" s="15"/>
      <c r="EL488" s="15"/>
      <c r="EM488" s="15"/>
      <c r="EN488" s="15"/>
      <c r="EO488" s="15"/>
      <c r="EP488" s="15"/>
      <c r="EQ488" s="15"/>
      <c r="ER488" s="15"/>
      <c r="ES488" s="15"/>
      <c r="ET488" s="15"/>
      <c r="EU488" s="15"/>
      <c r="EV488" s="15"/>
      <c r="EW488" s="15"/>
      <c r="EX488" s="15"/>
    </row>
    <row r="489" customFormat="false" ht="15.75" hidden="false" customHeight="false" outlineLevel="0" collapsed="false">
      <c r="A489" s="76"/>
      <c r="B489" s="77"/>
      <c r="C489" s="77"/>
      <c r="D489" s="78"/>
      <c r="E489" s="72"/>
      <c r="F489" s="68"/>
      <c r="G489" s="15"/>
      <c r="H489" s="76" t="str">
        <f aca="false">IFERROR(__xludf.dummyfunction("""COMPUTED_VALUE"""),"")</f>
        <v/>
      </c>
      <c r="I489" s="50" t="str">
        <f aca="false">IFERROR(__xludf.dummyfunction("""COMPUTED_VALUE"""),"")</f>
        <v/>
      </c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  <c r="DY489" s="15"/>
      <c r="DZ489" s="15"/>
      <c r="EA489" s="15"/>
      <c r="EB489" s="15"/>
      <c r="EC489" s="15"/>
      <c r="ED489" s="15"/>
      <c r="EE489" s="15"/>
      <c r="EF489" s="15"/>
      <c r="EG489" s="15"/>
      <c r="EH489" s="15"/>
      <c r="EI489" s="15"/>
      <c r="EJ489" s="15"/>
      <c r="EK489" s="15"/>
      <c r="EL489" s="15"/>
      <c r="EM489" s="15"/>
      <c r="EN489" s="15"/>
      <c r="EO489" s="15"/>
      <c r="EP489" s="15"/>
      <c r="EQ489" s="15"/>
      <c r="ER489" s="15"/>
      <c r="ES489" s="15"/>
      <c r="ET489" s="15"/>
      <c r="EU489" s="15"/>
      <c r="EV489" s="15"/>
      <c r="EW489" s="15"/>
      <c r="EX489" s="15"/>
    </row>
    <row r="490" customFormat="false" ht="15.75" hidden="false" customHeight="false" outlineLevel="0" collapsed="false">
      <c r="A490" s="76"/>
      <c r="B490" s="77"/>
      <c r="C490" s="77"/>
      <c r="D490" s="78"/>
      <c r="E490" s="72"/>
      <c r="F490" s="68"/>
      <c r="G490" s="15"/>
      <c r="H490" s="76" t="str">
        <f aca="false">IFERROR(__xludf.dummyfunction("""COMPUTED_VALUE"""),"")</f>
        <v/>
      </c>
      <c r="I490" s="50" t="str">
        <f aca="false">IFERROR(__xludf.dummyfunction("""COMPUTED_VALUE"""),"")</f>
        <v/>
      </c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  <c r="DY490" s="15"/>
      <c r="DZ490" s="15"/>
      <c r="EA490" s="15"/>
      <c r="EB490" s="15"/>
      <c r="EC490" s="15"/>
      <c r="ED490" s="15"/>
      <c r="EE490" s="15"/>
      <c r="EF490" s="15"/>
      <c r="EG490" s="15"/>
      <c r="EH490" s="15"/>
      <c r="EI490" s="15"/>
      <c r="EJ490" s="15"/>
      <c r="EK490" s="15"/>
      <c r="EL490" s="15"/>
      <c r="EM490" s="15"/>
      <c r="EN490" s="15"/>
      <c r="EO490" s="15"/>
      <c r="EP490" s="15"/>
      <c r="EQ490" s="15"/>
      <c r="ER490" s="15"/>
      <c r="ES490" s="15"/>
      <c r="ET490" s="15"/>
      <c r="EU490" s="15"/>
      <c r="EV490" s="15"/>
      <c r="EW490" s="15"/>
      <c r="EX490" s="15"/>
    </row>
    <row r="491" customFormat="false" ht="15.75" hidden="false" customHeight="false" outlineLevel="0" collapsed="false">
      <c r="A491" s="76"/>
      <c r="B491" s="77"/>
      <c r="C491" s="77"/>
      <c r="D491" s="78"/>
      <c r="E491" s="72"/>
      <c r="F491" s="68"/>
      <c r="G491" s="15"/>
      <c r="H491" s="76" t="str">
        <f aca="false">IFERROR(__xludf.dummyfunction("""COMPUTED_VALUE"""),"")</f>
        <v/>
      </c>
      <c r="I491" s="50" t="str">
        <f aca="false">IFERROR(__xludf.dummyfunction("""COMPUTED_VALUE"""),"")</f>
        <v/>
      </c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  <c r="DY491" s="15"/>
      <c r="DZ491" s="15"/>
      <c r="EA491" s="15"/>
      <c r="EB491" s="15"/>
      <c r="EC491" s="15"/>
      <c r="ED491" s="15"/>
      <c r="EE491" s="15"/>
      <c r="EF491" s="15"/>
      <c r="EG491" s="15"/>
      <c r="EH491" s="15"/>
      <c r="EI491" s="15"/>
      <c r="EJ491" s="15"/>
      <c r="EK491" s="15"/>
      <c r="EL491" s="15"/>
      <c r="EM491" s="15"/>
      <c r="EN491" s="15"/>
      <c r="EO491" s="15"/>
      <c r="EP491" s="15"/>
      <c r="EQ491" s="15"/>
      <c r="ER491" s="15"/>
      <c r="ES491" s="15"/>
      <c r="ET491" s="15"/>
      <c r="EU491" s="15"/>
      <c r="EV491" s="15"/>
      <c r="EW491" s="15"/>
      <c r="EX491" s="15"/>
    </row>
    <row r="492" customFormat="false" ht="15.75" hidden="false" customHeight="false" outlineLevel="0" collapsed="false">
      <c r="A492" s="76"/>
      <c r="B492" s="77"/>
      <c r="C492" s="77"/>
      <c r="D492" s="78"/>
      <c r="E492" s="72"/>
      <c r="F492" s="68"/>
      <c r="G492" s="15"/>
      <c r="H492" s="76" t="str">
        <f aca="false">IFERROR(__xludf.dummyfunction("""COMPUTED_VALUE"""),"")</f>
        <v/>
      </c>
      <c r="I492" s="50" t="str">
        <f aca="false">IFERROR(__xludf.dummyfunction("""COMPUTED_VALUE"""),"")</f>
        <v/>
      </c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  <c r="DY492" s="15"/>
      <c r="DZ492" s="15"/>
      <c r="EA492" s="15"/>
      <c r="EB492" s="15"/>
      <c r="EC492" s="15"/>
      <c r="ED492" s="15"/>
      <c r="EE492" s="15"/>
      <c r="EF492" s="15"/>
      <c r="EG492" s="15"/>
      <c r="EH492" s="15"/>
      <c r="EI492" s="15"/>
      <c r="EJ492" s="15"/>
      <c r="EK492" s="15"/>
      <c r="EL492" s="15"/>
      <c r="EM492" s="15"/>
      <c r="EN492" s="15"/>
      <c r="EO492" s="15"/>
      <c r="EP492" s="15"/>
      <c r="EQ492" s="15"/>
      <c r="ER492" s="15"/>
      <c r="ES492" s="15"/>
      <c r="ET492" s="15"/>
      <c r="EU492" s="15"/>
      <c r="EV492" s="15"/>
      <c r="EW492" s="15"/>
      <c r="EX492" s="15"/>
    </row>
    <row r="493" customFormat="false" ht="15.75" hidden="false" customHeight="false" outlineLevel="0" collapsed="false">
      <c r="A493" s="76"/>
      <c r="B493" s="77"/>
      <c r="C493" s="77"/>
      <c r="D493" s="78"/>
      <c r="E493" s="72"/>
      <c r="F493" s="68"/>
      <c r="G493" s="15"/>
      <c r="H493" s="76" t="str">
        <f aca="false">IFERROR(__xludf.dummyfunction("""COMPUTED_VALUE"""),"")</f>
        <v/>
      </c>
      <c r="I493" s="50" t="str">
        <f aca="false">IFERROR(__xludf.dummyfunction("""COMPUTED_VALUE"""),"")</f>
        <v/>
      </c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  <c r="DY493" s="15"/>
      <c r="DZ493" s="15"/>
      <c r="EA493" s="15"/>
      <c r="EB493" s="15"/>
      <c r="EC493" s="15"/>
      <c r="ED493" s="15"/>
      <c r="EE493" s="15"/>
      <c r="EF493" s="15"/>
      <c r="EG493" s="15"/>
      <c r="EH493" s="15"/>
      <c r="EI493" s="15"/>
      <c r="EJ493" s="15"/>
      <c r="EK493" s="15"/>
      <c r="EL493" s="15"/>
      <c r="EM493" s="15"/>
      <c r="EN493" s="15"/>
      <c r="EO493" s="15"/>
      <c r="EP493" s="15"/>
      <c r="EQ493" s="15"/>
      <c r="ER493" s="15"/>
      <c r="ES493" s="15"/>
      <c r="ET493" s="15"/>
      <c r="EU493" s="15"/>
      <c r="EV493" s="15"/>
      <c r="EW493" s="15"/>
      <c r="EX493" s="15"/>
    </row>
    <row r="494" customFormat="false" ht="15.75" hidden="false" customHeight="false" outlineLevel="0" collapsed="false">
      <c r="A494" s="76"/>
      <c r="B494" s="77"/>
      <c r="C494" s="77"/>
      <c r="D494" s="78"/>
      <c r="E494" s="72"/>
      <c r="F494" s="68"/>
      <c r="G494" s="15"/>
      <c r="H494" s="76" t="str">
        <f aca="false">IFERROR(__xludf.dummyfunction("""COMPUTED_VALUE"""),"")</f>
        <v/>
      </c>
      <c r="I494" s="50" t="str">
        <f aca="false">IFERROR(__xludf.dummyfunction("""COMPUTED_VALUE"""),"")</f>
        <v/>
      </c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  <c r="DY494" s="15"/>
      <c r="DZ494" s="15"/>
      <c r="EA494" s="15"/>
      <c r="EB494" s="15"/>
      <c r="EC494" s="15"/>
      <c r="ED494" s="15"/>
      <c r="EE494" s="15"/>
      <c r="EF494" s="15"/>
      <c r="EG494" s="15"/>
      <c r="EH494" s="15"/>
      <c r="EI494" s="15"/>
      <c r="EJ494" s="15"/>
      <c r="EK494" s="15"/>
      <c r="EL494" s="15"/>
      <c r="EM494" s="15"/>
      <c r="EN494" s="15"/>
      <c r="EO494" s="15"/>
      <c r="EP494" s="15"/>
      <c r="EQ494" s="15"/>
      <c r="ER494" s="15"/>
      <c r="ES494" s="15"/>
      <c r="ET494" s="15"/>
      <c r="EU494" s="15"/>
      <c r="EV494" s="15"/>
      <c r="EW494" s="15"/>
      <c r="EX494" s="15"/>
    </row>
    <row r="495" customFormat="false" ht="15.75" hidden="false" customHeight="false" outlineLevel="0" collapsed="false">
      <c r="A495" s="76"/>
      <c r="B495" s="77"/>
      <c r="C495" s="77"/>
      <c r="D495" s="78"/>
      <c r="E495" s="72"/>
      <c r="F495" s="68"/>
      <c r="G495" s="15"/>
      <c r="H495" s="76" t="str">
        <f aca="false">IFERROR(__xludf.dummyfunction("""COMPUTED_VALUE"""),"")</f>
        <v/>
      </c>
      <c r="I495" s="50" t="str">
        <f aca="false">IFERROR(__xludf.dummyfunction("""COMPUTED_VALUE"""),"")</f>
        <v/>
      </c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  <c r="DY495" s="15"/>
      <c r="DZ495" s="15"/>
      <c r="EA495" s="15"/>
      <c r="EB495" s="15"/>
      <c r="EC495" s="15"/>
      <c r="ED495" s="15"/>
      <c r="EE495" s="15"/>
      <c r="EF495" s="15"/>
      <c r="EG495" s="15"/>
      <c r="EH495" s="15"/>
      <c r="EI495" s="15"/>
      <c r="EJ495" s="15"/>
      <c r="EK495" s="15"/>
      <c r="EL495" s="15"/>
      <c r="EM495" s="15"/>
      <c r="EN495" s="15"/>
      <c r="EO495" s="15"/>
      <c r="EP495" s="15"/>
      <c r="EQ495" s="15"/>
      <c r="ER495" s="15"/>
      <c r="ES495" s="15"/>
      <c r="ET495" s="15"/>
      <c r="EU495" s="15"/>
      <c r="EV495" s="15"/>
      <c r="EW495" s="15"/>
      <c r="EX495" s="15"/>
    </row>
    <row r="496" customFormat="false" ht="15.75" hidden="false" customHeight="false" outlineLevel="0" collapsed="false">
      <c r="A496" s="76"/>
      <c r="B496" s="77"/>
      <c r="C496" s="77"/>
      <c r="D496" s="78"/>
      <c r="E496" s="72"/>
      <c r="F496" s="68"/>
      <c r="G496" s="15"/>
      <c r="H496" s="76" t="str">
        <f aca="false">IFERROR(__xludf.dummyfunction("""COMPUTED_VALUE"""),"")</f>
        <v/>
      </c>
      <c r="I496" s="50" t="str">
        <f aca="false">IFERROR(__xludf.dummyfunction("""COMPUTED_VALUE"""),"")</f>
        <v/>
      </c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  <c r="DY496" s="15"/>
      <c r="DZ496" s="15"/>
      <c r="EA496" s="15"/>
      <c r="EB496" s="15"/>
      <c r="EC496" s="15"/>
      <c r="ED496" s="15"/>
      <c r="EE496" s="15"/>
      <c r="EF496" s="15"/>
      <c r="EG496" s="15"/>
      <c r="EH496" s="15"/>
      <c r="EI496" s="15"/>
      <c r="EJ496" s="15"/>
      <c r="EK496" s="15"/>
      <c r="EL496" s="15"/>
      <c r="EM496" s="15"/>
      <c r="EN496" s="15"/>
      <c r="EO496" s="15"/>
      <c r="EP496" s="15"/>
      <c r="EQ496" s="15"/>
      <c r="ER496" s="15"/>
      <c r="ES496" s="15"/>
      <c r="ET496" s="15"/>
      <c r="EU496" s="15"/>
      <c r="EV496" s="15"/>
      <c r="EW496" s="15"/>
      <c r="EX496" s="15"/>
    </row>
    <row r="497" customFormat="false" ht="15.75" hidden="false" customHeight="false" outlineLevel="0" collapsed="false">
      <c r="A497" s="76"/>
      <c r="B497" s="77"/>
      <c r="C497" s="77"/>
      <c r="D497" s="78"/>
      <c r="E497" s="72"/>
      <c r="F497" s="68"/>
      <c r="G497" s="15"/>
      <c r="H497" s="76" t="str">
        <f aca="false">IFERROR(__xludf.dummyfunction("""COMPUTED_VALUE"""),"")</f>
        <v/>
      </c>
      <c r="I497" s="50" t="str">
        <f aca="false">IFERROR(__xludf.dummyfunction("""COMPUTED_VALUE"""),"")</f>
        <v/>
      </c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  <c r="DY497" s="15"/>
      <c r="DZ497" s="15"/>
      <c r="EA497" s="15"/>
      <c r="EB497" s="15"/>
      <c r="EC497" s="15"/>
      <c r="ED497" s="15"/>
      <c r="EE497" s="15"/>
      <c r="EF497" s="15"/>
      <c r="EG497" s="15"/>
      <c r="EH497" s="15"/>
      <c r="EI497" s="15"/>
      <c r="EJ497" s="15"/>
      <c r="EK497" s="15"/>
      <c r="EL497" s="15"/>
      <c r="EM497" s="15"/>
      <c r="EN497" s="15"/>
      <c r="EO497" s="15"/>
      <c r="EP497" s="15"/>
      <c r="EQ497" s="15"/>
      <c r="ER497" s="15"/>
      <c r="ES497" s="15"/>
      <c r="ET497" s="15"/>
      <c r="EU497" s="15"/>
      <c r="EV497" s="15"/>
      <c r="EW497" s="15"/>
      <c r="EX497" s="15"/>
    </row>
    <row r="498" customFormat="false" ht="15.75" hidden="false" customHeight="false" outlineLevel="0" collapsed="false">
      <c r="A498" s="76"/>
      <c r="B498" s="77"/>
      <c r="C498" s="77"/>
      <c r="D498" s="78"/>
      <c r="E498" s="72"/>
      <c r="F498" s="68"/>
      <c r="G498" s="15"/>
      <c r="H498" s="76" t="str">
        <f aca="false">IFERROR(__xludf.dummyfunction("""COMPUTED_VALUE"""),"")</f>
        <v/>
      </c>
      <c r="I498" s="50" t="str">
        <f aca="false">IFERROR(__xludf.dummyfunction("""COMPUTED_VALUE"""),"")</f>
        <v/>
      </c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  <c r="DY498" s="15"/>
      <c r="DZ498" s="15"/>
      <c r="EA498" s="15"/>
      <c r="EB498" s="15"/>
      <c r="EC498" s="15"/>
      <c r="ED498" s="15"/>
      <c r="EE498" s="15"/>
      <c r="EF498" s="15"/>
      <c r="EG498" s="15"/>
      <c r="EH498" s="15"/>
      <c r="EI498" s="15"/>
      <c r="EJ498" s="15"/>
      <c r="EK498" s="15"/>
      <c r="EL498" s="15"/>
      <c r="EM498" s="15"/>
      <c r="EN498" s="15"/>
      <c r="EO498" s="15"/>
      <c r="EP498" s="15"/>
      <c r="EQ498" s="15"/>
      <c r="ER498" s="15"/>
      <c r="ES498" s="15"/>
      <c r="ET498" s="15"/>
      <c r="EU498" s="15"/>
      <c r="EV498" s="15"/>
      <c r="EW498" s="15"/>
      <c r="EX498" s="15"/>
    </row>
    <row r="499" customFormat="false" ht="15.75" hidden="false" customHeight="false" outlineLevel="0" collapsed="false">
      <c r="A499" s="76"/>
      <c r="B499" s="77"/>
      <c r="C499" s="77"/>
      <c r="D499" s="78"/>
      <c r="E499" s="72"/>
      <c r="F499" s="68"/>
      <c r="G499" s="15"/>
      <c r="H499" s="76" t="str">
        <f aca="false">IFERROR(__xludf.dummyfunction("""COMPUTED_VALUE"""),"")</f>
        <v/>
      </c>
      <c r="I499" s="50" t="str">
        <f aca="false">IFERROR(__xludf.dummyfunction("""COMPUTED_VALUE"""),"")</f>
        <v/>
      </c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  <c r="DY499" s="15"/>
      <c r="DZ499" s="15"/>
      <c r="EA499" s="15"/>
      <c r="EB499" s="15"/>
      <c r="EC499" s="15"/>
      <c r="ED499" s="15"/>
      <c r="EE499" s="15"/>
      <c r="EF499" s="15"/>
      <c r="EG499" s="15"/>
      <c r="EH499" s="15"/>
      <c r="EI499" s="15"/>
      <c r="EJ499" s="15"/>
      <c r="EK499" s="15"/>
      <c r="EL499" s="15"/>
      <c r="EM499" s="15"/>
      <c r="EN499" s="15"/>
      <c r="EO499" s="15"/>
      <c r="EP499" s="15"/>
      <c r="EQ499" s="15"/>
      <c r="ER499" s="15"/>
      <c r="ES499" s="15"/>
      <c r="ET499" s="15"/>
      <c r="EU499" s="15"/>
      <c r="EV499" s="15"/>
      <c r="EW499" s="15"/>
      <c r="EX499" s="15"/>
    </row>
    <row r="500" customFormat="false" ht="15.75" hidden="false" customHeight="false" outlineLevel="0" collapsed="false">
      <c r="A500" s="76"/>
      <c r="B500" s="77"/>
      <c r="C500" s="77"/>
      <c r="D500" s="78"/>
      <c r="E500" s="72"/>
      <c r="F500" s="68"/>
      <c r="G500" s="15"/>
      <c r="H500" s="76" t="str">
        <f aca="false">IFERROR(__xludf.dummyfunction("""COMPUTED_VALUE"""),"")</f>
        <v/>
      </c>
      <c r="I500" s="50" t="str">
        <f aca="false">IFERROR(__xludf.dummyfunction("""COMPUTED_VALUE"""),"")</f>
        <v/>
      </c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  <c r="DY500" s="15"/>
      <c r="DZ500" s="15"/>
      <c r="EA500" s="15"/>
      <c r="EB500" s="15"/>
      <c r="EC500" s="15"/>
      <c r="ED500" s="15"/>
      <c r="EE500" s="15"/>
      <c r="EF500" s="15"/>
      <c r="EG500" s="15"/>
      <c r="EH500" s="15"/>
      <c r="EI500" s="15"/>
      <c r="EJ500" s="15"/>
      <c r="EK500" s="15"/>
      <c r="EL500" s="15"/>
      <c r="EM500" s="15"/>
      <c r="EN500" s="15"/>
      <c r="EO500" s="15"/>
      <c r="EP500" s="15"/>
      <c r="EQ500" s="15"/>
      <c r="ER500" s="15"/>
      <c r="ES500" s="15"/>
      <c r="ET500" s="15"/>
      <c r="EU500" s="15"/>
      <c r="EV500" s="15"/>
      <c r="EW500" s="15"/>
      <c r="EX500" s="15"/>
    </row>
    <row r="501" customFormat="false" ht="15.75" hidden="false" customHeight="false" outlineLevel="0" collapsed="false">
      <c r="A501" s="76"/>
      <c r="B501" s="77"/>
      <c r="C501" s="77"/>
      <c r="D501" s="78"/>
      <c r="E501" s="72"/>
      <c r="F501" s="68"/>
      <c r="G501" s="15"/>
      <c r="H501" s="76" t="str">
        <f aca="false">IFERROR(__xludf.dummyfunction("""COMPUTED_VALUE"""),"")</f>
        <v/>
      </c>
      <c r="I501" s="50" t="str">
        <f aca="false">IFERROR(__xludf.dummyfunction("""COMPUTED_VALUE"""),"")</f>
        <v/>
      </c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  <c r="DY501" s="15"/>
      <c r="DZ501" s="15"/>
      <c r="EA501" s="15"/>
      <c r="EB501" s="15"/>
      <c r="EC501" s="15"/>
      <c r="ED501" s="15"/>
      <c r="EE501" s="15"/>
      <c r="EF501" s="15"/>
      <c r="EG501" s="15"/>
      <c r="EH501" s="15"/>
      <c r="EI501" s="15"/>
      <c r="EJ501" s="15"/>
      <c r="EK501" s="15"/>
      <c r="EL501" s="15"/>
      <c r="EM501" s="15"/>
      <c r="EN501" s="15"/>
      <c r="EO501" s="15"/>
      <c r="EP501" s="15"/>
      <c r="EQ501" s="15"/>
      <c r="ER501" s="15"/>
      <c r="ES501" s="15"/>
      <c r="ET501" s="15"/>
      <c r="EU501" s="15"/>
      <c r="EV501" s="15"/>
      <c r="EW501" s="15"/>
      <c r="EX501" s="15"/>
    </row>
    <row r="502" customFormat="false" ht="15.75" hidden="false" customHeight="false" outlineLevel="0" collapsed="false">
      <c r="A502" s="76"/>
      <c r="B502" s="77"/>
      <c r="C502" s="77"/>
      <c r="D502" s="78"/>
      <c r="E502" s="72"/>
      <c r="F502" s="68"/>
      <c r="G502" s="15"/>
      <c r="H502" s="76" t="str">
        <f aca="false">IFERROR(__xludf.dummyfunction("""COMPUTED_VALUE"""),"")</f>
        <v/>
      </c>
      <c r="I502" s="50" t="str">
        <f aca="false">IFERROR(__xludf.dummyfunction("""COMPUTED_VALUE"""),"")</f>
        <v/>
      </c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  <c r="DY502" s="15"/>
      <c r="DZ502" s="15"/>
      <c r="EA502" s="15"/>
      <c r="EB502" s="15"/>
      <c r="EC502" s="15"/>
      <c r="ED502" s="15"/>
      <c r="EE502" s="15"/>
      <c r="EF502" s="15"/>
      <c r="EG502" s="15"/>
      <c r="EH502" s="15"/>
      <c r="EI502" s="15"/>
      <c r="EJ502" s="15"/>
      <c r="EK502" s="15"/>
      <c r="EL502" s="15"/>
      <c r="EM502" s="15"/>
      <c r="EN502" s="15"/>
      <c r="EO502" s="15"/>
      <c r="EP502" s="15"/>
      <c r="EQ502" s="15"/>
      <c r="ER502" s="15"/>
      <c r="ES502" s="15"/>
      <c r="ET502" s="15"/>
      <c r="EU502" s="15"/>
      <c r="EV502" s="15"/>
      <c r="EW502" s="15"/>
      <c r="EX502" s="15"/>
    </row>
    <row r="503" customFormat="false" ht="15.75" hidden="false" customHeight="false" outlineLevel="0" collapsed="false">
      <c r="A503" s="76"/>
      <c r="B503" s="77"/>
      <c r="C503" s="77"/>
      <c r="D503" s="78"/>
      <c r="E503" s="72"/>
      <c r="F503" s="68"/>
      <c r="G503" s="15"/>
      <c r="H503" s="76" t="str">
        <f aca="false">IFERROR(__xludf.dummyfunction("""COMPUTED_VALUE"""),"")</f>
        <v/>
      </c>
      <c r="I503" s="50" t="str">
        <f aca="false">IFERROR(__xludf.dummyfunction("""COMPUTED_VALUE"""),"")</f>
        <v/>
      </c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  <c r="DY503" s="15"/>
      <c r="DZ503" s="15"/>
      <c r="EA503" s="15"/>
      <c r="EB503" s="15"/>
      <c r="EC503" s="15"/>
      <c r="ED503" s="15"/>
      <c r="EE503" s="15"/>
      <c r="EF503" s="15"/>
      <c r="EG503" s="15"/>
      <c r="EH503" s="15"/>
      <c r="EI503" s="15"/>
      <c r="EJ503" s="15"/>
      <c r="EK503" s="15"/>
      <c r="EL503" s="15"/>
      <c r="EM503" s="15"/>
      <c r="EN503" s="15"/>
      <c r="EO503" s="15"/>
      <c r="EP503" s="15"/>
      <c r="EQ503" s="15"/>
      <c r="ER503" s="15"/>
      <c r="ES503" s="15"/>
      <c r="ET503" s="15"/>
      <c r="EU503" s="15"/>
      <c r="EV503" s="15"/>
      <c r="EW503" s="15"/>
      <c r="EX503" s="15"/>
    </row>
    <row r="504" customFormat="false" ht="15.75" hidden="false" customHeight="false" outlineLevel="0" collapsed="false">
      <c r="A504" s="76"/>
      <c r="B504" s="77"/>
      <c r="C504" s="77"/>
      <c r="D504" s="78"/>
      <c r="E504" s="72"/>
      <c r="F504" s="68"/>
      <c r="G504" s="15"/>
      <c r="H504" s="76" t="str">
        <f aca="false">IFERROR(__xludf.dummyfunction("""COMPUTED_VALUE"""),"")</f>
        <v/>
      </c>
      <c r="I504" s="50" t="str">
        <f aca="false">IFERROR(__xludf.dummyfunction("""COMPUTED_VALUE"""),"")</f>
        <v/>
      </c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  <c r="DY504" s="15"/>
      <c r="DZ504" s="15"/>
      <c r="EA504" s="15"/>
      <c r="EB504" s="15"/>
      <c r="EC504" s="15"/>
      <c r="ED504" s="15"/>
      <c r="EE504" s="15"/>
      <c r="EF504" s="15"/>
      <c r="EG504" s="15"/>
      <c r="EH504" s="15"/>
      <c r="EI504" s="15"/>
      <c r="EJ504" s="15"/>
      <c r="EK504" s="15"/>
      <c r="EL504" s="15"/>
      <c r="EM504" s="15"/>
      <c r="EN504" s="15"/>
      <c r="EO504" s="15"/>
      <c r="EP504" s="15"/>
      <c r="EQ504" s="15"/>
      <c r="ER504" s="15"/>
      <c r="ES504" s="15"/>
      <c r="ET504" s="15"/>
      <c r="EU504" s="15"/>
      <c r="EV504" s="15"/>
      <c r="EW504" s="15"/>
      <c r="EX504" s="15"/>
    </row>
    <row r="505" customFormat="false" ht="15.75" hidden="false" customHeight="false" outlineLevel="0" collapsed="false">
      <c r="A505" s="76"/>
      <c r="B505" s="77"/>
      <c r="C505" s="77"/>
      <c r="D505" s="78"/>
      <c r="E505" s="72"/>
      <c r="F505" s="68"/>
      <c r="G505" s="15"/>
      <c r="H505" s="76" t="str">
        <f aca="false">IFERROR(__xludf.dummyfunction("""COMPUTED_VALUE"""),"")</f>
        <v/>
      </c>
      <c r="I505" s="50" t="str">
        <f aca="false">IFERROR(__xludf.dummyfunction("""COMPUTED_VALUE"""),"")</f>
        <v/>
      </c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  <c r="DY505" s="15"/>
      <c r="DZ505" s="15"/>
      <c r="EA505" s="15"/>
      <c r="EB505" s="15"/>
      <c r="EC505" s="15"/>
      <c r="ED505" s="15"/>
      <c r="EE505" s="15"/>
      <c r="EF505" s="15"/>
      <c r="EG505" s="15"/>
      <c r="EH505" s="15"/>
      <c r="EI505" s="15"/>
      <c r="EJ505" s="15"/>
      <c r="EK505" s="15"/>
      <c r="EL505" s="15"/>
      <c r="EM505" s="15"/>
      <c r="EN505" s="15"/>
      <c r="EO505" s="15"/>
      <c r="EP505" s="15"/>
      <c r="EQ505" s="15"/>
      <c r="ER505" s="15"/>
      <c r="ES505" s="15"/>
      <c r="ET505" s="15"/>
      <c r="EU505" s="15"/>
      <c r="EV505" s="15"/>
      <c r="EW505" s="15"/>
      <c r="EX505" s="15"/>
    </row>
    <row r="506" customFormat="false" ht="15.75" hidden="false" customHeight="false" outlineLevel="0" collapsed="false">
      <c r="A506" s="76"/>
      <c r="B506" s="77"/>
      <c r="C506" s="77"/>
      <c r="D506" s="78"/>
      <c r="E506" s="72"/>
      <c r="F506" s="68"/>
      <c r="G506" s="15"/>
      <c r="H506" s="76" t="str">
        <f aca="false">IFERROR(__xludf.dummyfunction("""COMPUTED_VALUE"""),"")</f>
        <v/>
      </c>
      <c r="I506" s="50" t="str">
        <f aca="false">IFERROR(__xludf.dummyfunction("""COMPUTED_VALUE"""),"")</f>
        <v/>
      </c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  <c r="DY506" s="15"/>
      <c r="DZ506" s="15"/>
      <c r="EA506" s="15"/>
      <c r="EB506" s="15"/>
      <c r="EC506" s="15"/>
      <c r="ED506" s="15"/>
      <c r="EE506" s="15"/>
      <c r="EF506" s="15"/>
      <c r="EG506" s="15"/>
      <c r="EH506" s="15"/>
      <c r="EI506" s="15"/>
      <c r="EJ506" s="15"/>
      <c r="EK506" s="15"/>
      <c r="EL506" s="15"/>
      <c r="EM506" s="15"/>
      <c r="EN506" s="15"/>
      <c r="EO506" s="15"/>
      <c r="EP506" s="15"/>
      <c r="EQ506" s="15"/>
      <c r="ER506" s="15"/>
      <c r="ES506" s="15"/>
      <c r="ET506" s="15"/>
      <c r="EU506" s="15"/>
      <c r="EV506" s="15"/>
      <c r="EW506" s="15"/>
      <c r="EX506" s="15"/>
    </row>
    <row r="507" customFormat="false" ht="15.75" hidden="false" customHeight="false" outlineLevel="0" collapsed="false">
      <c r="A507" s="76"/>
      <c r="B507" s="77"/>
      <c r="C507" s="77"/>
      <c r="D507" s="78"/>
      <c r="E507" s="72"/>
      <c r="F507" s="68"/>
      <c r="G507" s="15"/>
      <c r="H507" s="76" t="str">
        <f aca="false">IFERROR(__xludf.dummyfunction("""COMPUTED_VALUE"""),"")</f>
        <v/>
      </c>
      <c r="I507" s="50" t="str">
        <f aca="false">IFERROR(__xludf.dummyfunction("""COMPUTED_VALUE"""),"")</f>
        <v/>
      </c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  <c r="DY507" s="15"/>
      <c r="DZ507" s="15"/>
      <c r="EA507" s="15"/>
      <c r="EB507" s="15"/>
      <c r="EC507" s="15"/>
      <c r="ED507" s="15"/>
      <c r="EE507" s="15"/>
      <c r="EF507" s="15"/>
      <c r="EG507" s="15"/>
      <c r="EH507" s="15"/>
      <c r="EI507" s="15"/>
      <c r="EJ507" s="15"/>
      <c r="EK507" s="15"/>
      <c r="EL507" s="15"/>
      <c r="EM507" s="15"/>
      <c r="EN507" s="15"/>
      <c r="EO507" s="15"/>
      <c r="EP507" s="15"/>
      <c r="EQ507" s="15"/>
      <c r="ER507" s="15"/>
      <c r="ES507" s="15"/>
      <c r="ET507" s="15"/>
      <c r="EU507" s="15"/>
      <c r="EV507" s="15"/>
      <c r="EW507" s="15"/>
      <c r="EX507" s="15"/>
    </row>
    <row r="508" customFormat="false" ht="15.75" hidden="false" customHeight="false" outlineLevel="0" collapsed="false">
      <c r="A508" s="76"/>
      <c r="B508" s="77"/>
      <c r="C508" s="77"/>
      <c r="D508" s="78"/>
      <c r="E508" s="72"/>
      <c r="F508" s="68"/>
      <c r="G508" s="15"/>
      <c r="H508" s="76" t="str">
        <f aca="false">IFERROR(__xludf.dummyfunction("""COMPUTED_VALUE"""),"")</f>
        <v/>
      </c>
      <c r="I508" s="50" t="str">
        <f aca="false">IFERROR(__xludf.dummyfunction("""COMPUTED_VALUE"""),"")</f>
        <v/>
      </c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  <c r="DY508" s="15"/>
      <c r="DZ508" s="15"/>
      <c r="EA508" s="15"/>
      <c r="EB508" s="15"/>
      <c r="EC508" s="15"/>
      <c r="ED508" s="15"/>
      <c r="EE508" s="15"/>
      <c r="EF508" s="15"/>
      <c r="EG508" s="15"/>
      <c r="EH508" s="15"/>
      <c r="EI508" s="15"/>
      <c r="EJ508" s="15"/>
      <c r="EK508" s="15"/>
      <c r="EL508" s="15"/>
      <c r="EM508" s="15"/>
      <c r="EN508" s="15"/>
      <c r="EO508" s="15"/>
      <c r="EP508" s="15"/>
      <c r="EQ508" s="15"/>
      <c r="ER508" s="15"/>
      <c r="ES508" s="15"/>
      <c r="ET508" s="15"/>
      <c r="EU508" s="15"/>
      <c r="EV508" s="15"/>
      <c r="EW508" s="15"/>
      <c r="EX508" s="15"/>
    </row>
    <row r="509" customFormat="false" ht="15.75" hidden="false" customHeight="false" outlineLevel="0" collapsed="false">
      <c r="A509" s="76"/>
      <c r="B509" s="77"/>
      <c r="C509" s="77"/>
      <c r="D509" s="78"/>
      <c r="E509" s="72"/>
      <c r="F509" s="68"/>
      <c r="G509" s="15"/>
      <c r="H509" s="76" t="str">
        <f aca="false">IFERROR(__xludf.dummyfunction("""COMPUTED_VALUE"""),"")</f>
        <v/>
      </c>
      <c r="I509" s="50" t="str">
        <f aca="false">IFERROR(__xludf.dummyfunction("""COMPUTED_VALUE"""),"")</f>
        <v/>
      </c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  <c r="DY509" s="15"/>
      <c r="DZ509" s="15"/>
      <c r="EA509" s="15"/>
      <c r="EB509" s="15"/>
      <c r="EC509" s="15"/>
      <c r="ED509" s="15"/>
      <c r="EE509" s="15"/>
      <c r="EF509" s="15"/>
      <c r="EG509" s="15"/>
      <c r="EH509" s="15"/>
      <c r="EI509" s="15"/>
      <c r="EJ509" s="15"/>
      <c r="EK509" s="15"/>
      <c r="EL509" s="15"/>
      <c r="EM509" s="15"/>
      <c r="EN509" s="15"/>
      <c r="EO509" s="15"/>
      <c r="EP509" s="15"/>
      <c r="EQ509" s="15"/>
      <c r="ER509" s="15"/>
      <c r="ES509" s="15"/>
      <c r="ET509" s="15"/>
      <c r="EU509" s="15"/>
      <c r="EV509" s="15"/>
      <c r="EW509" s="15"/>
      <c r="EX509" s="15"/>
    </row>
    <row r="510" customFormat="false" ht="15.75" hidden="false" customHeight="false" outlineLevel="0" collapsed="false">
      <c r="A510" s="76"/>
      <c r="B510" s="77"/>
      <c r="C510" s="77"/>
      <c r="D510" s="78"/>
      <c r="E510" s="72"/>
      <c r="F510" s="68"/>
      <c r="G510" s="15"/>
      <c r="H510" s="76" t="str">
        <f aca="false">IFERROR(__xludf.dummyfunction("""COMPUTED_VALUE"""),"")</f>
        <v/>
      </c>
      <c r="I510" s="50" t="str">
        <f aca="false">IFERROR(__xludf.dummyfunction("""COMPUTED_VALUE"""),"")</f>
        <v/>
      </c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  <c r="DY510" s="15"/>
      <c r="DZ510" s="15"/>
      <c r="EA510" s="15"/>
      <c r="EB510" s="15"/>
      <c r="EC510" s="15"/>
      <c r="ED510" s="15"/>
      <c r="EE510" s="15"/>
      <c r="EF510" s="15"/>
      <c r="EG510" s="15"/>
      <c r="EH510" s="15"/>
      <c r="EI510" s="15"/>
      <c r="EJ510" s="15"/>
      <c r="EK510" s="15"/>
      <c r="EL510" s="15"/>
      <c r="EM510" s="15"/>
      <c r="EN510" s="15"/>
      <c r="EO510" s="15"/>
      <c r="EP510" s="15"/>
      <c r="EQ510" s="15"/>
      <c r="ER510" s="15"/>
      <c r="ES510" s="15"/>
      <c r="ET510" s="15"/>
      <c r="EU510" s="15"/>
      <c r="EV510" s="15"/>
      <c r="EW510" s="15"/>
      <c r="EX510" s="15"/>
    </row>
    <row r="511" customFormat="false" ht="15.75" hidden="false" customHeight="false" outlineLevel="0" collapsed="false">
      <c r="A511" s="76"/>
      <c r="B511" s="77"/>
      <c r="C511" s="77"/>
      <c r="D511" s="78"/>
      <c r="E511" s="72"/>
      <c r="F511" s="68"/>
      <c r="G511" s="15"/>
      <c r="H511" s="76" t="str">
        <f aca="false">IFERROR(__xludf.dummyfunction("""COMPUTED_VALUE"""),"")</f>
        <v/>
      </c>
      <c r="I511" s="50" t="str">
        <f aca="false">IFERROR(__xludf.dummyfunction("""COMPUTED_VALUE"""),"")</f>
        <v/>
      </c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  <c r="DY511" s="15"/>
      <c r="DZ511" s="15"/>
      <c r="EA511" s="15"/>
      <c r="EB511" s="15"/>
      <c r="EC511" s="15"/>
      <c r="ED511" s="15"/>
      <c r="EE511" s="15"/>
      <c r="EF511" s="15"/>
      <c r="EG511" s="15"/>
      <c r="EH511" s="15"/>
      <c r="EI511" s="15"/>
      <c r="EJ511" s="15"/>
      <c r="EK511" s="15"/>
      <c r="EL511" s="15"/>
      <c r="EM511" s="15"/>
      <c r="EN511" s="15"/>
      <c r="EO511" s="15"/>
      <c r="EP511" s="15"/>
      <c r="EQ511" s="15"/>
      <c r="ER511" s="15"/>
      <c r="ES511" s="15"/>
      <c r="ET511" s="15"/>
      <c r="EU511" s="15"/>
      <c r="EV511" s="15"/>
      <c r="EW511" s="15"/>
      <c r="EX511" s="15"/>
    </row>
    <row r="512" customFormat="false" ht="15.75" hidden="false" customHeight="false" outlineLevel="0" collapsed="false">
      <c r="A512" s="76"/>
      <c r="B512" s="77"/>
      <c r="C512" s="77"/>
      <c r="D512" s="78"/>
      <c r="E512" s="72"/>
      <c r="F512" s="68"/>
      <c r="G512" s="15"/>
      <c r="H512" s="76" t="str">
        <f aca="false">IFERROR(__xludf.dummyfunction("""COMPUTED_VALUE"""),"")</f>
        <v/>
      </c>
      <c r="I512" s="50" t="str">
        <f aca="false">IFERROR(__xludf.dummyfunction("""COMPUTED_VALUE"""),"")</f>
        <v/>
      </c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  <c r="DY512" s="15"/>
      <c r="DZ512" s="15"/>
      <c r="EA512" s="15"/>
      <c r="EB512" s="15"/>
      <c r="EC512" s="15"/>
      <c r="ED512" s="15"/>
      <c r="EE512" s="15"/>
      <c r="EF512" s="15"/>
      <c r="EG512" s="15"/>
      <c r="EH512" s="15"/>
      <c r="EI512" s="15"/>
      <c r="EJ512" s="15"/>
      <c r="EK512" s="15"/>
      <c r="EL512" s="15"/>
      <c r="EM512" s="15"/>
      <c r="EN512" s="15"/>
      <c r="EO512" s="15"/>
      <c r="EP512" s="15"/>
      <c r="EQ512" s="15"/>
      <c r="ER512" s="15"/>
      <c r="ES512" s="15"/>
      <c r="ET512" s="15"/>
      <c r="EU512" s="15"/>
      <c r="EV512" s="15"/>
      <c r="EW512" s="15"/>
      <c r="EX512" s="15"/>
    </row>
    <row r="513" customFormat="false" ht="15.75" hidden="false" customHeight="false" outlineLevel="0" collapsed="false">
      <c r="A513" s="76"/>
      <c r="B513" s="77"/>
      <c r="C513" s="77"/>
      <c r="D513" s="78"/>
      <c r="E513" s="72"/>
      <c r="F513" s="68"/>
      <c r="G513" s="15"/>
      <c r="H513" s="76" t="str">
        <f aca="false">IFERROR(__xludf.dummyfunction("""COMPUTED_VALUE"""),"")</f>
        <v/>
      </c>
      <c r="I513" s="50" t="str">
        <f aca="false">IFERROR(__xludf.dummyfunction("""COMPUTED_VALUE"""),"")</f>
        <v/>
      </c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  <c r="DY513" s="15"/>
      <c r="DZ513" s="15"/>
      <c r="EA513" s="15"/>
      <c r="EB513" s="15"/>
      <c r="EC513" s="15"/>
      <c r="ED513" s="15"/>
      <c r="EE513" s="15"/>
      <c r="EF513" s="15"/>
      <c r="EG513" s="15"/>
      <c r="EH513" s="15"/>
      <c r="EI513" s="15"/>
      <c r="EJ513" s="15"/>
      <c r="EK513" s="15"/>
      <c r="EL513" s="15"/>
      <c r="EM513" s="15"/>
      <c r="EN513" s="15"/>
      <c r="EO513" s="15"/>
      <c r="EP513" s="15"/>
      <c r="EQ513" s="15"/>
      <c r="ER513" s="15"/>
      <c r="ES513" s="15"/>
      <c r="ET513" s="15"/>
      <c r="EU513" s="15"/>
      <c r="EV513" s="15"/>
      <c r="EW513" s="15"/>
      <c r="EX513" s="15"/>
    </row>
    <row r="514" customFormat="false" ht="15.75" hidden="false" customHeight="false" outlineLevel="0" collapsed="false">
      <c r="A514" s="76"/>
      <c r="B514" s="77"/>
      <c r="C514" s="77"/>
      <c r="D514" s="78"/>
      <c r="E514" s="72"/>
      <c r="F514" s="68"/>
      <c r="G514" s="15"/>
      <c r="H514" s="76" t="str">
        <f aca="false">IFERROR(__xludf.dummyfunction("""COMPUTED_VALUE"""),"")</f>
        <v/>
      </c>
      <c r="I514" s="50" t="str">
        <f aca="false">IFERROR(__xludf.dummyfunction("""COMPUTED_VALUE"""),"")</f>
        <v/>
      </c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  <c r="DY514" s="15"/>
      <c r="DZ514" s="15"/>
      <c r="EA514" s="15"/>
      <c r="EB514" s="15"/>
      <c r="EC514" s="15"/>
      <c r="ED514" s="15"/>
      <c r="EE514" s="15"/>
      <c r="EF514" s="15"/>
      <c r="EG514" s="15"/>
      <c r="EH514" s="15"/>
      <c r="EI514" s="15"/>
      <c r="EJ514" s="15"/>
      <c r="EK514" s="15"/>
      <c r="EL514" s="15"/>
      <c r="EM514" s="15"/>
      <c r="EN514" s="15"/>
      <c r="EO514" s="15"/>
      <c r="EP514" s="15"/>
      <c r="EQ514" s="15"/>
      <c r="ER514" s="15"/>
      <c r="ES514" s="15"/>
      <c r="ET514" s="15"/>
      <c r="EU514" s="15"/>
      <c r="EV514" s="15"/>
      <c r="EW514" s="15"/>
      <c r="EX514" s="15"/>
    </row>
    <row r="515" customFormat="false" ht="15.75" hidden="false" customHeight="false" outlineLevel="0" collapsed="false">
      <c r="A515" s="76"/>
      <c r="B515" s="77"/>
      <c r="C515" s="77"/>
      <c r="D515" s="78"/>
      <c r="E515" s="72"/>
      <c r="F515" s="68"/>
      <c r="G515" s="15"/>
      <c r="H515" s="76" t="str">
        <f aca="false">IFERROR(__xludf.dummyfunction("""COMPUTED_VALUE"""),"")</f>
        <v/>
      </c>
      <c r="I515" s="50" t="str">
        <f aca="false">IFERROR(__xludf.dummyfunction("""COMPUTED_VALUE"""),"")</f>
        <v/>
      </c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  <c r="DY515" s="15"/>
      <c r="DZ515" s="15"/>
      <c r="EA515" s="15"/>
      <c r="EB515" s="15"/>
      <c r="EC515" s="15"/>
      <c r="ED515" s="15"/>
      <c r="EE515" s="15"/>
      <c r="EF515" s="15"/>
      <c r="EG515" s="15"/>
      <c r="EH515" s="15"/>
      <c r="EI515" s="15"/>
      <c r="EJ515" s="15"/>
      <c r="EK515" s="15"/>
      <c r="EL515" s="15"/>
      <c r="EM515" s="15"/>
      <c r="EN515" s="15"/>
      <c r="EO515" s="15"/>
      <c r="EP515" s="15"/>
      <c r="EQ515" s="15"/>
      <c r="ER515" s="15"/>
      <c r="ES515" s="15"/>
      <c r="ET515" s="15"/>
      <c r="EU515" s="15"/>
      <c r="EV515" s="15"/>
      <c r="EW515" s="15"/>
      <c r="EX515" s="15"/>
    </row>
    <row r="516" customFormat="false" ht="15.75" hidden="false" customHeight="false" outlineLevel="0" collapsed="false">
      <c r="A516" s="76"/>
      <c r="B516" s="77"/>
      <c r="C516" s="77"/>
      <c r="D516" s="78"/>
      <c r="E516" s="72"/>
      <c r="F516" s="68"/>
      <c r="G516" s="15"/>
      <c r="H516" s="76" t="str">
        <f aca="false">IFERROR(__xludf.dummyfunction("""COMPUTED_VALUE"""),"")</f>
        <v/>
      </c>
      <c r="I516" s="50" t="str">
        <f aca="false">IFERROR(__xludf.dummyfunction("""COMPUTED_VALUE"""),"")</f>
        <v/>
      </c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  <c r="DY516" s="15"/>
      <c r="DZ516" s="15"/>
      <c r="EA516" s="15"/>
      <c r="EB516" s="15"/>
      <c r="EC516" s="15"/>
      <c r="ED516" s="15"/>
      <c r="EE516" s="15"/>
      <c r="EF516" s="15"/>
      <c r="EG516" s="15"/>
      <c r="EH516" s="15"/>
      <c r="EI516" s="15"/>
      <c r="EJ516" s="15"/>
      <c r="EK516" s="15"/>
      <c r="EL516" s="15"/>
      <c r="EM516" s="15"/>
      <c r="EN516" s="15"/>
      <c r="EO516" s="15"/>
      <c r="EP516" s="15"/>
      <c r="EQ516" s="15"/>
      <c r="ER516" s="15"/>
      <c r="ES516" s="15"/>
      <c r="ET516" s="15"/>
      <c r="EU516" s="15"/>
      <c r="EV516" s="15"/>
      <c r="EW516" s="15"/>
      <c r="EX516" s="15"/>
    </row>
    <row r="517" customFormat="false" ht="15.75" hidden="false" customHeight="false" outlineLevel="0" collapsed="false">
      <c r="A517" s="76"/>
      <c r="B517" s="77"/>
      <c r="C517" s="77"/>
      <c r="D517" s="78"/>
      <c r="E517" s="72"/>
      <c r="F517" s="68"/>
      <c r="G517" s="15"/>
      <c r="H517" s="76" t="str">
        <f aca="false">IFERROR(__xludf.dummyfunction("""COMPUTED_VALUE"""),"")</f>
        <v/>
      </c>
      <c r="I517" s="50" t="str">
        <f aca="false">IFERROR(__xludf.dummyfunction("""COMPUTED_VALUE"""),"")</f>
        <v/>
      </c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  <c r="DY517" s="15"/>
      <c r="DZ517" s="15"/>
      <c r="EA517" s="15"/>
      <c r="EB517" s="15"/>
      <c r="EC517" s="15"/>
      <c r="ED517" s="15"/>
      <c r="EE517" s="15"/>
      <c r="EF517" s="15"/>
      <c r="EG517" s="15"/>
      <c r="EH517" s="15"/>
      <c r="EI517" s="15"/>
      <c r="EJ517" s="15"/>
      <c r="EK517" s="15"/>
      <c r="EL517" s="15"/>
      <c r="EM517" s="15"/>
      <c r="EN517" s="15"/>
      <c r="EO517" s="15"/>
      <c r="EP517" s="15"/>
      <c r="EQ517" s="15"/>
      <c r="ER517" s="15"/>
      <c r="ES517" s="15"/>
      <c r="ET517" s="15"/>
      <c r="EU517" s="15"/>
      <c r="EV517" s="15"/>
      <c r="EW517" s="15"/>
      <c r="EX517" s="15"/>
    </row>
    <row r="518" customFormat="false" ht="15.75" hidden="false" customHeight="false" outlineLevel="0" collapsed="false">
      <c r="A518" s="76"/>
      <c r="B518" s="77"/>
      <c r="C518" s="77"/>
      <c r="D518" s="78"/>
      <c r="E518" s="72"/>
      <c r="F518" s="68"/>
      <c r="G518" s="15"/>
      <c r="H518" s="76" t="str">
        <f aca="false">IFERROR(__xludf.dummyfunction("""COMPUTED_VALUE"""),"")</f>
        <v/>
      </c>
      <c r="I518" s="50" t="str">
        <f aca="false">IFERROR(__xludf.dummyfunction("""COMPUTED_VALUE"""),"")</f>
        <v/>
      </c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  <c r="DY518" s="15"/>
      <c r="DZ518" s="15"/>
      <c r="EA518" s="15"/>
      <c r="EB518" s="15"/>
      <c r="EC518" s="15"/>
      <c r="ED518" s="15"/>
      <c r="EE518" s="15"/>
      <c r="EF518" s="15"/>
      <c r="EG518" s="15"/>
      <c r="EH518" s="15"/>
      <c r="EI518" s="15"/>
      <c r="EJ518" s="15"/>
      <c r="EK518" s="15"/>
      <c r="EL518" s="15"/>
      <c r="EM518" s="15"/>
      <c r="EN518" s="15"/>
      <c r="EO518" s="15"/>
      <c r="EP518" s="15"/>
      <c r="EQ518" s="15"/>
      <c r="ER518" s="15"/>
      <c r="ES518" s="15"/>
      <c r="ET518" s="15"/>
      <c r="EU518" s="15"/>
      <c r="EV518" s="15"/>
      <c r="EW518" s="15"/>
      <c r="EX518" s="15"/>
    </row>
    <row r="519" customFormat="false" ht="15.75" hidden="false" customHeight="false" outlineLevel="0" collapsed="false">
      <c r="A519" s="76"/>
      <c r="B519" s="77"/>
      <c r="C519" s="77"/>
      <c r="D519" s="78"/>
      <c r="E519" s="72"/>
      <c r="F519" s="68"/>
      <c r="G519" s="15"/>
      <c r="H519" s="76" t="str">
        <f aca="false">IFERROR(__xludf.dummyfunction("""COMPUTED_VALUE"""),"")</f>
        <v/>
      </c>
      <c r="I519" s="50" t="str">
        <f aca="false">IFERROR(__xludf.dummyfunction("""COMPUTED_VALUE"""),"")</f>
        <v/>
      </c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  <c r="DY519" s="15"/>
      <c r="DZ519" s="15"/>
      <c r="EA519" s="15"/>
      <c r="EB519" s="15"/>
      <c r="EC519" s="15"/>
      <c r="ED519" s="15"/>
      <c r="EE519" s="15"/>
      <c r="EF519" s="15"/>
      <c r="EG519" s="15"/>
      <c r="EH519" s="15"/>
      <c r="EI519" s="15"/>
      <c r="EJ519" s="15"/>
      <c r="EK519" s="15"/>
      <c r="EL519" s="15"/>
      <c r="EM519" s="15"/>
      <c r="EN519" s="15"/>
      <c r="EO519" s="15"/>
      <c r="EP519" s="15"/>
      <c r="EQ519" s="15"/>
      <c r="ER519" s="15"/>
      <c r="ES519" s="15"/>
      <c r="ET519" s="15"/>
      <c r="EU519" s="15"/>
      <c r="EV519" s="15"/>
      <c r="EW519" s="15"/>
      <c r="EX519" s="15"/>
    </row>
    <row r="520" customFormat="false" ht="15.75" hidden="false" customHeight="false" outlineLevel="0" collapsed="false">
      <c r="A520" s="76"/>
      <c r="B520" s="77"/>
      <c r="C520" s="77"/>
      <c r="D520" s="78"/>
      <c r="E520" s="72"/>
      <c r="F520" s="68"/>
      <c r="G520" s="15"/>
      <c r="H520" s="76" t="str">
        <f aca="false">IFERROR(__xludf.dummyfunction("""COMPUTED_VALUE"""),"")</f>
        <v/>
      </c>
      <c r="I520" s="50" t="str">
        <f aca="false">IFERROR(__xludf.dummyfunction("""COMPUTED_VALUE"""),"")</f>
        <v/>
      </c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  <c r="DY520" s="15"/>
      <c r="DZ520" s="15"/>
      <c r="EA520" s="15"/>
      <c r="EB520" s="15"/>
      <c r="EC520" s="15"/>
      <c r="ED520" s="15"/>
      <c r="EE520" s="15"/>
      <c r="EF520" s="15"/>
      <c r="EG520" s="15"/>
      <c r="EH520" s="15"/>
      <c r="EI520" s="15"/>
      <c r="EJ520" s="15"/>
      <c r="EK520" s="15"/>
      <c r="EL520" s="15"/>
      <c r="EM520" s="15"/>
      <c r="EN520" s="15"/>
      <c r="EO520" s="15"/>
      <c r="EP520" s="15"/>
      <c r="EQ520" s="15"/>
      <c r="ER520" s="15"/>
      <c r="ES520" s="15"/>
      <c r="ET520" s="15"/>
      <c r="EU520" s="15"/>
      <c r="EV520" s="15"/>
      <c r="EW520" s="15"/>
      <c r="EX520" s="15"/>
    </row>
    <row r="521" customFormat="false" ht="15.75" hidden="false" customHeight="false" outlineLevel="0" collapsed="false">
      <c r="A521" s="76"/>
      <c r="B521" s="77"/>
      <c r="C521" s="77"/>
      <c r="D521" s="78"/>
      <c r="E521" s="72"/>
      <c r="F521" s="68"/>
      <c r="G521" s="15"/>
      <c r="H521" s="76" t="str">
        <f aca="false">IFERROR(__xludf.dummyfunction("""COMPUTED_VALUE"""),"")</f>
        <v/>
      </c>
      <c r="I521" s="50" t="str">
        <f aca="false">IFERROR(__xludf.dummyfunction("""COMPUTED_VALUE"""),"")</f>
        <v/>
      </c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  <c r="DY521" s="15"/>
      <c r="DZ521" s="15"/>
      <c r="EA521" s="15"/>
      <c r="EB521" s="15"/>
      <c r="EC521" s="15"/>
      <c r="ED521" s="15"/>
      <c r="EE521" s="15"/>
      <c r="EF521" s="15"/>
      <c r="EG521" s="15"/>
      <c r="EH521" s="15"/>
      <c r="EI521" s="15"/>
      <c r="EJ521" s="15"/>
      <c r="EK521" s="15"/>
      <c r="EL521" s="15"/>
      <c r="EM521" s="15"/>
      <c r="EN521" s="15"/>
      <c r="EO521" s="15"/>
      <c r="EP521" s="15"/>
      <c r="EQ521" s="15"/>
      <c r="ER521" s="15"/>
      <c r="ES521" s="15"/>
      <c r="ET521" s="15"/>
      <c r="EU521" s="15"/>
      <c r="EV521" s="15"/>
      <c r="EW521" s="15"/>
      <c r="EX521" s="15"/>
    </row>
    <row r="522" customFormat="false" ht="15.75" hidden="false" customHeight="false" outlineLevel="0" collapsed="false">
      <c r="A522" s="76"/>
      <c r="B522" s="77"/>
      <c r="C522" s="77"/>
      <c r="D522" s="78"/>
      <c r="E522" s="72"/>
      <c r="F522" s="68"/>
      <c r="G522" s="15"/>
      <c r="H522" s="76" t="str">
        <f aca="false">IFERROR(__xludf.dummyfunction("""COMPUTED_VALUE"""),"")</f>
        <v/>
      </c>
      <c r="I522" s="50" t="str">
        <f aca="false">IFERROR(__xludf.dummyfunction("""COMPUTED_VALUE"""),"")</f>
        <v/>
      </c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  <c r="DY522" s="15"/>
      <c r="DZ522" s="15"/>
      <c r="EA522" s="15"/>
      <c r="EB522" s="15"/>
      <c r="EC522" s="15"/>
      <c r="ED522" s="15"/>
      <c r="EE522" s="15"/>
      <c r="EF522" s="15"/>
      <c r="EG522" s="15"/>
      <c r="EH522" s="15"/>
      <c r="EI522" s="15"/>
      <c r="EJ522" s="15"/>
      <c r="EK522" s="15"/>
      <c r="EL522" s="15"/>
      <c r="EM522" s="15"/>
      <c r="EN522" s="15"/>
      <c r="EO522" s="15"/>
      <c r="EP522" s="15"/>
      <c r="EQ522" s="15"/>
      <c r="ER522" s="15"/>
      <c r="ES522" s="15"/>
      <c r="ET522" s="15"/>
      <c r="EU522" s="15"/>
      <c r="EV522" s="15"/>
      <c r="EW522" s="15"/>
      <c r="EX522" s="15"/>
    </row>
    <row r="523" customFormat="false" ht="15.75" hidden="false" customHeight="false" outlineLevel="0" collapsed="false">
      <c r="A523" s="76"/>
      <c r="B523" s="77"/>
      <c r="C523" s="77"/>
      <c r="D523" s="78"/>
      <c r="E523" s="72"/>
      <c r="F523" s="68"/>
      <c r="G523" s="15"/>
      <c r="H523" s="76" t="str">
        <f aca="false">IFERROR(__xludf.dummyfunction("""COMPUTED_VALUE"""),"")</f>
        <v/>
      </c>
      <c r="I523" s="50" t="str">
        <f aca="false">IFERROR(__xludf.dummyfunction("""COMPUTED_VALUE"""),"")</f>
        <v/>
      </c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  <c r="DY523" s="15"/>
      <c r="DZ523" s="15"/>
      <c r="EA523" s="15"/>
      <c r="EB523" s="15"/>
      <c r="EC523" s="15"/>
      <c r="ED523" s="15"/>
      <c r="EE523" s="15"/>
      <c r="EF523" s="15"/>
      <c r="EG523" s="15"/>
      <c r="EH523" s="15"/>
      <c r="EI523" s="15"/>
      <c r="EJ523" s="15"/>
      <c r="EK523" s="15"/>
      <c r="EL523" s="15"/>
      <c r="EM523" s="15"/>
      <c r="EN523" s="15"/>
      <c r="EO523" s="15"/>
      <c r="EP523" s="15"/>
      <c r="EQ523" s="15"/>
      <c r="ER523" s="15"/>
      <c r="ES523" s="15"/>
      <c r="ET523" s="15"/>
      <c r="EU523" s="15"/>
      <c r="EV523" s="15"/>
      <c r="EW523" s="15"/>
      <c r="EX523" s="15"/>
    </row>
    <row r="524" customFormat="false" ht="15.75" hidden="false" customHeight="false" outlineLevel="0" collapsed="false">
      <c r="A524" s="76"/>
      <c r="B524" s="77"/>
      <c r="C524" s="77"/>
      <c r="D524" s="78"/>
      <c r="E524" s="72"/>
      <c r="F524" s="68"/>
      <c r="G524" s="15"/>
      <c r="H524" s="76" t="str">
        <f aca="false">IFERROR(__xludf.dummyfunction("""COMPUTED_VALUE"""),"")</f>
        <v/>
      </c>
      <c r="I524" s="50" t="str">
        <f aca="false">IFERROR(__xludf.dummyfunction("""COMPUTED_VALUE"""),"")</f>
        <v/>
      </c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  <c r="DY524" s="15"/>
      <c r="DZ524" s="15"/>
      <c r="EA524" s="15"/>
      <c r="EB524" s="15"/>
      <c r="EC524" s="15"/>
      <c r="ED524" s="15"/>
      <c r="EE524" s="15"/>
      <c r="EF524" s="15"/>
      <c r="EG524" s="15"/>
      <c r="EH524" s="15"/>
      <c r="EI524" s="15"/>
      <c r="EJ524" s="15"/>
      <c r="EK524" s="15"/>
      <c r="EL524" s="15"/>
      <c r="EM524" s="15"/>
      <c r="EN524" s="15"/>
      <c r="EO524" s="15"/>
      <c r="EP524" s="15"/>
      <c r="EQ524" s="15"/>
      <c r="ER524" s="15"/>
      <c r="ES524" s="15"/>
      <c r="ET524" s="15"/>
      <c r="EU524" s="15"/>
      <c r="EV524" s="15"/>
      <c r="EW524" s="15"/>
      <c r="EX524" s="15"/>
    </row>
    <row r="525" customFormat="false" ht="15.75" hidden="false" customHeight="false" outlineLevel="0" collapsed="false">
      <c r="A525" s="76"/>
      <c r="B525" s="77"/>
      <c r="C525" s="77"/>
      <c r="D525" s="78"/>
      <c r="E525" s="72"/>
      <c r="F525" s="68"/>
      <c r="G525" s="15"/>
      <c r="H525" s="76" t="str">
        <f aca="false">IFERROR(__xludf.dummyfunction("""COMPUTED_VALUE"""),"")</f>
        <v/>
      </c>
      <c r="I525" s="50" t="str">
        <f aca="false">IFERROR(__xludf.dummyfunction("""COMPUTED_VALUE"""),"")</f>
        <v/>
      </c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  <c r="DY525" s="15"/>
      <c r="DZ525" s="15"/>
      <c r="EA525" s="15"/>
      <c r="EB525" s="15"/>
      <c r="EC525" s="15"/>
      <c r="ED525" s="15"/>
      <c r="EE525" s="15"/>
      <c r="EF525" s="15"/>
      <c r="EG525" s="15"/>
      <c r="EH525" s="15"/>
      <c r="EI525" s="15"/>
      <c r="EJ525" s="15"/>
      <c r="EK525" s="15"/>
      <c r="EL525" s="15"/>
      <c r="EM525" s="15"/>
      <c r="EN525" s="15"/>
      <c r="EO525" s="15"/>
      <c r="EP525" s="15"/>
      <c r="EQ525" s="15"/>
      <c r="ER525" s="15"/>
      <c r="ES525" s="15"/>
      <c r="ET525" s="15"/>
      <c r="EU525" s="15"/>
      <c r="EV525" s="15"/>
      <c r="EW525" s="15"/>
      <c r="EX525" s="15"/>
    </row>
    <row r="526" customFormat="false" ht="15.75" hidden="false" customHeight="false" outlineLevel="0" collapsed="false">
      <c r="A526" s="76"/>
      <c r="B526" s="77"/>
      <c r="C526" s="77"/>
      <c r="D526" s="78"/>
      <c r="E526" s="72"/>
      <c r="F526" s="68"/>
      <c r="G526" s="15"/>
      <c r="H526" s="76" t="str">
        <f aca="false">IFERROR(__xludf.dummyfunction("""COMPUTED_VALUE"""),"")</f>
        <v/>
      </c>
      <c r="I526" s="50" t="str">
        <f aca="false">IFERROR(__xludf.dummyfunction("""COMPUTED_VALUE"""),"")</f>
        <v/>
      </c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  <c r="DY526" s="15"/>
      <c r="DZ526" s="15"/>
      <c r="EA526" s="15"/>
      <c r="EB526" s="15"/>
      <c r="EC526" s="15"/>
      <c r="ED526" s="15"/>
      <c r="EE526" s="15"/>
      <c r="EF526" s="15"/>
      <c r="EG526" s="15"/>
      <c r="EH526" s="15"/>
      <c r="EI526" s="15"/>
      <c r="EJ526" s="15"/>
      <c r="EK526" s="15"/>
      <c r="EL526" s="15"/>
      <c r="EM526" s="15"/>
      <c r="EN526" s="15"/>
      <c r="EO526" s="15"/>
      <c r="EP526" s="15"/>
      <c r="EQ526" s="15"/>
      <c r="ER526" s="15"/>
      <c r="ES526" s="15"/>
      <c r="ET526" s="15"/>
      <c r="EU526" s="15"/>
      <c r="EV526" s="15"/>
      <c r="EW526" s="15"/>
      <c r="EX526" s="15"/>
    </row>
    <row r="527" customFormat="false" ht="15.75" hidden="false" customHeight="false" outlineLevel="0" collapsed="false">
      <c r="A527" s="76"/>
      <c r="B527" s="77"/>
      <c r="C527" s="77"/>
      <c r="D527" s="78"/>
      <c r="E527" s="72"/>
      <c r="F527" s="68"/>
      <c r="G527" s="15"/>
      <c r="H527" s="76" t="str">
        <f aca="false">IFERROR(__xludf.dummyfunction("""COMPUTED_VALUE"""),"")</f>
        <v/>
      </c>
      <c r="I527" s="50" t="str">
        <f aca="false">IFERROR(__xludf.dummyfunction("""COMPUTED_VALUE"""),"")</f>
        <v/>
      </c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  <c r="DY527" s="15"/>
      <c r="DZ527" s="15"/>
      <c r="EA527" s="15"/>
      <c r="EB527" s="15"/>
      <c r="EC527" s="15"/>
      <c r="ED527" s="15"/>
      <c r="EE527" s="15"/>
      <c r="EF527" s="15"/>
      <c r="EG527" s="15"/>
      <c r="EH527" s="15"/>
      <c r="EI527" s="15"/>
      <c r="EJ527" s="15"/>
      <c r="EK527" s="15"/>
      <c r="EL527" s="15"/>
      <c r="EM527" s="15"/>
      <c r="EN527" s="15"/>
      <c r="EO527" s="15"/>
      <c r="EP527" s="15"/>
      <c r="EQ527" s="15"/>
      <c r="ER527" s="15"/>
      <c r="ES527" s="15"/>
      <c r="ET527" s="15"/>
      <c r="EU527" s="15"/>
      <c r="EV527" s="15"/>
      <c r="EW527" s="15"/>
      <c r="EX527" s="15"/>
    </row>
    <row r="528" customFormat="false" ht="15.75" hidden="false" customHeight="false" outlineLevel="0" collapsed="false">
      <c r="A528" s="76"/>
      <c r="B528" s="77"/>
      <c r="C528" s="77"/>
      <c r="D528" s="78"/>
      <c r="E528" s="72"/>
      <c r="F528" s="68"/>
      <c r="G528" s="15"/>
      <c r="H528" s="76" t="str">
        <f aca="false">IFERROR(__xludf.dummyfunction("""COMPUTED_VALUE"""),"")</f>
        <v/>
      </c>
      <c r="I528" s="50" t="str">
        <f aca="false">IFERROR(__xludf.dummyfunction("""COMPUTED_VALUE"""),"")</f>
        <v/>
      </c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  <c r="DY528" s="15"/>
      <c r="DZ528" s="15"/>
      <c r="EA528" s="15"/>
      <c r="EB528" s="15"/>
      <c r="EC528" s="15"/>
      <c r="ED528" s="15"/>
      <c r="EE528" s="15"/>
      <c r="EF528" s="15"/>
      <c r="EG528" s="15"/>
      <c r="EH528" s="15"/>
      <c r="EI528" s="15"/>
      <c r="EJ528" s="15"/>
      <c r="EK528" s="15"/>
      <c r="EL528" s="15"/>
      <c r="EM528" s="15"/>
      <c r="EN528" s="15"/>
      <c r="EO528" s="15"/>
      <c r="EP528" s="15"/>
      <c r="EQ528" s="15"/>
      <c r="ER528" s="15"/>
      <c r="ES528" s="15"/>
      <c r="ET528" s="15"/>
      <c r="EU528" s="15"/>
      <c r="EV528" s="15"/>
      <c r="EW528" s="15"/>
      <c r="EX528" s="15"/>
    </row>
    <row r="529" customFormat="false" ht="15.75" hidden="false" customHeight="false" outlineLevel="0" collapsed="false">
      <c r="A529" s="76"/>
      <c r="B529" s="77"/>
      <c r="C529" s="77"/>
      <c r="D529" s="78"/>
      <c r="E529" s="72"/>
      <c r="F529" s="68"/>
      <c r="G529" s="15"/>
      <c r="H529" s="76" t="str">
        <f aca="false">IFERROR(__xludf.dummyfunction("""COMPUTED_VALUE"""),"")</f>
        <v/>
      </c>
      <c r="I529" s="50" t="str">
        <f aca="false">IFERROR(__xludf.dummyfunction("""COMPUTED_VALUE"""),"")</f>
        <v/>
      </c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  <c r="DY529" s="15"/>
      <c r="DZ529" s="15"/>
      <c r="EA529" s="15"/>
      <c r="EB529" s="15"/>
      <c r="EC529" s="15"/>
      <c r="ED529" s="15"/>
      <c r="EE529" s="15"/>
      <c r="EF529" s="15"/>
      <c r="EG529" s="15"/>
      <c r="EH529" s="15"/>
      <c r="EI529" s="15"/>
      <c r="EJ529" s="15"/>
      <c r="EK529" s="15"/>
      <c r="EL529" s="15"/>
      <c r="EM529" s="15"/>
      <c r="EN529" s="15"/>
      <c r="EO529" s="15"/>
      <c r="EP529" s="15"/>
      <c r="EQ529" s="15"/>
      <c r="ER529" s="15"/>
      <c r="ES529" s="15"/>
      <c r="ET529" s="15"/>
      <c r="EU529" s="15"/>
      <c r="EV529" s="15"/>
      <c r="EW529" s="15"/>
      <c r="EX529" s="15"/>
    </row>
    <row r="530" customFormat="false" ht="15.75" hidden="false" customHeight="false" outlineLevel="0" collapsed="false">
      <c r="A530" s="76"/>
      <c r="B530" s="77"/>
      <c r="C530" s="77"/>
      <c r="D530" s="78"/>
      <c r="E530" s="72"/>
      <c r="F530" s="68"/>
      <c r="G530" s="15"/>
      <c r="H530" s="76" t="str">
        <f aca="false">IFERROR(__xludf.dummyfunction("""COMPUTED_VALUE"""),"")</f>
        <v/>
      </c>
      <c r="I530" s="50" t="str">
        <f aca="false">IFERROR(__xludf.dummyfunction("""COMPUTED_VALUE"""),"")</f>
        <v/>
      </c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  <c r="DY530" s="15"/>
      <c r="DZ530" s="15"/>
      <c r="EA530" s="15"/>
      <c r="EB530" s="15"/>
      <c r="EC530" s="15"/>
      <c r="ED530" s="15"/>
      <c r="EE530" s="15"/>
      <c r="EF530" s="15"/>
      <c r="EG530" s="15"/>
      <c r="EH530" s="15"/>
      <c r="EI530" s="15"/>
      <c r="EJ530" s="15"/>
      <c r="EK530" s="15"/>
      <c r="EL530" s="15"/>
      <c r="EM530" s="15"/>
      <c r="EN530" s="15"/>
      <c r="EO530" s="15"/>
      <c r="EP530" s="15"/>
      <c r="EQ530" s="15"/>
      <c r="ER530" s="15"/>
      <c r="ES530" s="15"/>
      <c r="ET530" s="15"/>
      <c r="EU530" s="15"/>
      <c r="EV530" s="15"/>
      <c r="EW530" s="15"/>
      <c r="EX530" s="15"/>
    </row>
    <row r="531" customFormat="false" ht="15.75" hidden="false" customHeight="false" outlineLevel="0" collapsed="false">
      <c r="A531" s="76"/>
      <c r="B531" s="77"/>
      <c r="C531" s="77"/>
      <c r="D531" s="78"/>
      <c r="E531" s="72"/>
      <c r="F531" s="68"/>
      <c r="G531" s="15"/>
      <c r="H531" s="76" t="str">
        <f aca="false">IFERROR(__xludf.dummyfunction("""COMPUTED_VALUE"""),"")</f>
        <v/>
      </c>
      <c r="I531" s="50" t="str">
        <f aca="false">IFERROR(__xludf.dummyfunction("""COMPUTED_VALUE"""),"")</f>
        <v/>
      </c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  <c r="DY531" s="15"/>
      <c r="DZ531" s="15"/>
      <c r="EA531" s="15"/>
      <c r="EB531" s="15"/>
      <c r="EC531" s="15"/>
      <c r="ED531" s="15"/>
      <c r="EE531" s="15"/>
      <c r="EF531" s="15"/>
      <c r="EG531" s="15"/>
      <c r="EH531" s="15"/>
      <c r="EI531" s="15"/>
      <c r="EJ531" s="15"/>
      <c r="EK531" s="15"/>
      <c r="EL531" s="15"/>
      <c r="EM531" s="15"/>
      <c r="EN531" s="15"/>
      <c r="EO531" s="15"/>
      <c r="EP531" s="15"/>
      <c r="EQ531" s="15"/>
      <c r="ER531" s="15"/>
      <c r="ES531" s="15"/>
      <c r="ET531" s="15"/>
      <c r="EU531" s="15"/>
      <c r="EV531" s="15"/>
      <c r="EW531" s="15"/>
      <c r="EX531" s="15"/>
    </row>
    <row r="532" customFormat="false" ht="15.75" hidden="false" customHeight="false" outlineLevel="0" collapsed="false">
      <c r="A532" s="76"/>
      <c r="B532" s="77"/>
      <c r="C532" s="77"/>
      <c r="D532" s="78"/>
      <c r="E532" s="72"/>
      <c r="F532" s="68"/>
      <c r="G532" s="15"/>
      <c r="H532" s="76" t="str">
        <f aca="false">IFERROR(__xludf.dummyfunction("""COMPUTED_VALUE"""),"")</f>
        <v/>
      </c>
      <c r="I532" s="50" t="str">
        <f aca="false">IFERROR(__xludf.dummyfunction("""COMPUTED_VALUE"""),"")</f>
        <v/>
      </c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  <c r="DY532" s="15"/>
      <c r="DZ532" s="15"/>
      <c r="EA532" s="15"/>
      <c r="EB532" s="15"/>
      <c r="EC532" s="15"/>
      <c r="ED532" s="15"/>
      <c r="EE532" s="15"/>
      <c r="EF532" s="15"/>
      <c r="EG532" s="15"/>
      <c r="EH532" s="15"/>
      <c r="EI532" s="15"/>
      <c r="EJ532" s="15"/>
      <c r="EK532" s="15"/>
      <c r="EL532" s="15"/>
      <c r="EM532" s="15"/>
      <c r="EN532" s="15"/>
      <c r="EO532" s="15"/>
      <c r="EP532" s="15"/>
      <c r="EQ532" s="15"/>
      <c r="ER532" s="15"/>
      <c r="ES532" s="15"/>
      <c r="ET532" s="15"/>
      <c r="EU532" s="15"/>
      <c r="EV532" s="15"/>
      <c r="EW532" s="15"/>
      <c r="EX532" s="15"/>
    </row>
    <row r="533" customFormat="false" ht="15.75" hidden="false" customHeight="false" outlineLevel="0" collapsed="false">
      <c r="A533" s="76"/>
      <c r="B533" s="77"/>
      <c r="C533" s="77"/>
      <c r="D533" s="78"/>
      <c r="E533" s="72"/>
      <c r="F533" s="68"/>
      <c r="G533" s="15"/>
      <c r="H533" s="76" t="str">
        <f aca="false">IFERROR(__xludf.dummyfunction("""COMPUTED_VALUE"""),"")</f>
        <v/>
      </c>
      <c r="I533" s="50" t="str">
        <f aca="false">IFERROR(__xludf.dummyfunction("""COMPUTED_VALUE"""),"")</f>
        <v/>
      </c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  <c r="DY533" s="15"/>
      <c r="DZ533" s="15"/>
      <c r="EA533" s="15"/>
      <c r="EB533" s="15"/>
      <c r="EC533" s="15"/>
      <c r="ED533" s="15"/>
      <c r="EE533" s="15"/>
      <c r="EF533" s="15"/>
      <c r="EG533" s="15"/>
      <c r="EH533" s="15"/>
      <c r="EI533" s="15"/>
      <c r="EJ533" s="15"/>
      <c r="EK533" s="15"/>
      <c r="EL533" s="15"/>
      <c r="EM533" s="15"/>
      <c r="EN533" s="15"/>
      <c r="EO533" s="15"/>
      <c r="EP533" s="15"/>
      <c r="EQ533" s="15"/>
      <c r="ER533" s="15"/>
      <c r="ES533" s="15"/>
      <c r="ET533" s="15"/>
      <c r="EU533" s="15"/>
      <c r="EV533" s="15"/>
      <c r="EW533" s="15"/>
      <c r="EX533" s="15"/>
    </row>
    <row r="534" customFormat="false" ht="15.75" hidden="false" customHeight="false" outlineLevel="0" collapsed="false">
      <c r="A534" s="76"/>
      <c r="B534" s="77"/>
      <c r="C534" s="77"/>
      <c r="D534" s="78"/>
      <c r="E534" s="72"/>
      <c r="F534" s="68"/>
      <c r="G534" s="15"/>
      <c r="H534" s="76" t="str">
        <f aca="false">IFERROR(__xludf.dummyfunction("""COMPUTED_VALUE"""),"")</f>
        <v/>
      </c>
      <c r="I534" s="50" t="str">
        <f aca="false">IFERROR(__xludf.dummyfunction("""COMPUTED_VALUE"""),"")</f>
        <v/>
      </c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  <c r="DY534" s="15"/>
      <c r="DZ534" s="15"/>
      <c r="EA534" s="15"/>
      <c r="EB534" s="15"/>
      <c r="EC534" s="15"/>
      <c r="ED534" s="15"/>
      <c r="EE534" s="15"/>
      <c r="EF534" s="15"/>
      <c r="EG534" s="15"/>
      <c r="EH534" s="15"/>
      <c r="EI534" s="15"/>
      <c r="EJ534" s="15"/>
      <c r="EK534" s="15"/>
      <c r="EL534" s="15"/>
      <c r="EM534" s="15"/>
      <c r="EN534" s="15"/>
      <c r="EO534" s="15"/>
      <c r="EP534" s="15"/>
      <c r="EQ534" s="15"/>
      <c r="ER534" s="15"/>
      <c r="ES534" s="15"/>
      <c r="ET534" s="15"/>
      <c r="EU534" s="15"/>
      <c r="EV534" s="15"/>
      <c r="EW534" s="15"/>
      <c r="EX534" s="15"/>
    </row>
    <row r="535" customFormat="false" ht="15.75" hidden="false" customHeight="false" outlineLevel="0" collapsed="false">
      <c r="A535" s="76"/>
      <c r="B535" s="77"/>
      <c r="C535" s="77"/>
      <c r="D535" s="78"/>
      <c r="E535" s="72"/>
      <c r="F535" s="68"/>
      <c r="G535" s="15"/>
      <c r="H535" s="76" t="str">
        <f aca="false">IFERROR(__xludf.dummyfunction("""COMPUTED_VALUE"""),"")</f>
        <v/>
      </c>
      <c r="I535" s="50" t="str">
        <f aca="false">IFERROR(__xludf.dummyfunction("""COMPUTED_VALUE"""),"")</f>
        <v/>
      </c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  <c r="DY535" s="15"/>
      <c r="DZ535" s="15"/>
      <c r="EA535" s="15"/>
      <c r="EB535" s="15"/>
      <c r="EC535" s="15"/>
      <c r="ED535" s="15"/>
      <c r="EE535" s="15"/>
      <c r="EF535" s="15"/>
      <c r="EG535" s="15"/>
      <c r="EH535" s="15"/>
      <c r="EI535" s="15"/>
      <c r="EJ535" s="15"/>
      <c r="EK535" s="15"/>
      <c r="EL535" s="15"/>
      <c r="EM535" s="15"/>
      <c r="EN535" s="15"/>
      <c r="EO535" s="15"/>
      <c r="EP535" s="15"/>
      <c r="EQ535" s="15"/>
      <c r="ER535" s="15"/>
      <c r="ES535" s="15"/>
      <c r="ET535" s="15"/>
      <c r="EU535" s="15"/>
      <c r="EV535" s="15"/>
      <c r="EW535" s="15"/>
      <c r="EX535" s="15"/>
    </row>
    <row r="536" customFormat="false" ht="15.75" hidden="false" customHeight="false" outlineLevel="0" collapsed="false">
      <c r="A536" s="76"/>
      <c r="B536" s="77"/>
      <c r="C536" s="77"/>
      <c r="D536" s="78"/>
      <c r="E536" s="72"/>
      <c r="F536" s="68"/>
      <c r="G536" s="15"/>
      <c r="H536" s="76" t="str">
        <f aca="false">IFERROR(__xludf.dummyfunction("""COMPUTED_VALUE"""),"")</f>
        <v/>
      </c>
      <c r="I536" s="50" t="str">
        <f aca="false">IFERROR(__xludf.dummyfunction("""COMPUTED_VALUE"""),"")</f>
        <v/>
      </c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  <c r="DY536" s="15"/>
      <c r="DZ536" s="15"/>
      <c r="EA536" s="15"/>
      <c r="EB536" s="15"/>
      <c r="EC536" s="15"/>
      <c r="ED536" s="15"/>
      <c r="EE536" s="15"/>
      <c r="EF536" s="15"/>
      <c r="EG536" s="15"/>
      <c r="EH536" s="15"/>
      <c r="EI536" s="15"/>
      <c r="EJ536" s="15"/>
      <c r="EK536" s="15"/>
      <c r="EL536" s="15"/>
      <c r="EM536" s="15"/>
      <c r="EN536" s="15"/>
      <c r="EO536" s="15"/>
      <c r="EP536" s="15"/>
      <c r="EQ536" s="15"/>
      <c r="ER536" s="15"/>
      <c r="ES536" s="15"/>
      <c r="ET536" s="15"/>
      <c r="EU536" s="15"/>
      <c r="EV536" s="15"/>
      <c r="EW536" s="15"/>
      <c r="EX536" s="15"/>
    </row>
    <row r="537" customFormat="false" ht="15.75" hidden="false" customHeight="false" outlineLevel="0" collapsed="false">
      <c r="A537" s="76"/>
      <c r="B537" s="77"/>
      <c r="C537" s="77"/>
      <c r="D537" s="78"/>
      <c r="E537" s="72"/>
      <c r="F537" s="68"/>
      <c r="G537" s="15"/>
      <c r="H537" s="76" t="str">
        <f aca="false">IFERROR(__xludf.dummyfunction("""COMPUTED_VALUE"""),"")</f>
        <v/>
      </c>
      <c r="I537" s="50" t="str">
        <f aca="false">IFERROR(__xludf.dummyfunction("""COMPUTED_VALUE"""),"")</f>
        <v/>
      </c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  <c r="DY537" s="15"/>
      <c r="DZ537" s="15"/>
      <c r="EA537" s="15"/>
      <c r="EB537" s="15"/>
      <c r="EC537" s="15"/>
      <c r="ED537" s="15"/>
      <c r="EE537" s="15"/>
      <c r="EF537" s="15"/>
      <c r="EG537" s="15"/>
      <c r="EH537" s="15"/>
      <c r="EI537" s="15"/>
      <c r="EJ537" s="15"/>
      <c r="EK537" s="15"/>
      <c r="EL537" s="15"/>
      <c r="EM537" s="15"/>
      <c r="EN537" s="15"/>
      <c r="EO537" s="15"/>
      <c r="EP537" s="15"/>
      <c r="EQ537" s="15"/>
      <c r="ER537" s="15"/>
      <c r="ES537" s="15"/>
      <c r="ET537" s="15"/>
      <c r="EU537" s="15"/>
      <c r="EV537" s="15"/>
      <c r="EW537" s="15"/>
      <c r="EX537" s="15"/>
    </row>
    <row r="538" customFormat="false" ht="15.75" hidden="false" customHeight="false" outlineLevel="0" collapsed="false">
      <c r="A538" s="76"/>
      <c r="B538" s="77"/>
      <c r="C538" s="77"/>
      <c r="D538" s="78"/>
      <c r="E538" s="72"/>
      <c r="F538" s="68"/>
      <c r="G538" s="15"/>
      <c r="H538" s="76" t="str">
        <f aca="false">IFERROR(__xludf.dummyfunction("""COMPUTED_VALUE"""),"")</f>
        <v/>
      </c>
      <c r="I538" s="50" t="str">
        <f aca="false">IFERROR(__xludf.dummyfunction("""COMPUTED_VALUE"""),"")</f>
        <v/>
      </c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  <c r="DY538" s="15"/>
      <c r="DZ538" s="15"/>
      <c r="EA538" s="15"/>
      <c r="EB538" s="15"/>
      <c r="EC538" s="15"/>
      <c r="ED538" s="15"/>
      <c r="EE538" s="15"/>
      <c r="EF538" s="15"/>
      <c r="EG538" s="15"/>
      <c r="EH538" s="15"/>
      <c r="EI538" s="15"/>
      <c r="EJ538" s="15"/>
      <c r="EK538" s="15"/>
      <c r="EL538" s="15"/>
      <c r="EM538" s="15"/>
      <c r="EN538" s="15"/>
      <c r="EO538" s="15"/>
      <c r="EP538" s="15"/>
      <c r="EQ538" s="15"/>
      <c r="ER538" s="15"/>
      <c r="ES538" s="15"/>
      <c r="ET538" s="15"/>
      <c r="EU538" s="15"/>
      <c r="EV538" s="15"/>
      <c r="EW538" s="15"/>
      <c r="EX538" s="15"/>
    </row>
    <row r="539" customFormat="false" ht="15.75" hidden="false" customHeight="false" outlineLevel="0" collapsed="false">
      <c r="A539" s="76"/>
      <c r="B539" s="77"/>
      <c r="C539" s="77"/>
      <c r="D539" s="78"/>
      <c r="E539" s="72"/>
      <c r="F539" s="68"/>
      <c r="G539" s="15"/>
      <c r="H539" s="76" t="str">
        <f aca="false">IFERROR(__xludf.dummyfunction("""COMPUTED_VALUE"""),"")</f>
        <v/>
      </c>
      <c r="I539" s="50" t="str">
        <f aca="false">IFERROR(__xludf.dummyfunction("""COMPUTED_VALUE"""),"")</f>
        <v/>
      </c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  <c r="DY539" s="15"/>
      <c r="DZ539" s="15"/>
      <c r="EA539" s="15"/>
      <c r="EB539" s="15"/>
      <c r="EC539" s="15"/>
      <c r="ED539" s="15"/>
      <c r="EE539" s="15"/>
      <c r="EF539" s="15"/>
      <c r="EG539" s="15"/>
      <c r="EH539" s="15"/>
      <c r="EI539" s="15"/>
      <c r="EJ539" s="15"/>
      <c r="EK539" s="15"/>
      <c r="EL539" s="15"/>
      <c r="EM539" s="15"/>
      <c r="EN539" s="15"/>
      <c r="EO539" s="15"/>
      <c r="EP539" s="15"/>
      <c r="EQ539" s="15"/>
      <c r="ER539" s="15"/>
      <c r="ES539" s="15"/>
      <c r="ET539" s="15"/>
      <c r="EU539" s="15"/>
      <c r="EV539" s="15"/>
      <c r="EW539" s="15"/>
      <c r="EX539" s="15"/>
    </row>
    <row r="540" customFormat="false" ht="15.75" hidden="false" customHeight="false" outlineLevel="0" collapsed="false">
      <c r="A540" s="76"/>
      <c r="B540" s="77"/>
      <c r="C540" s="77"/>
      <c r="D540" s="78"/>
      <c r="E540" s="72"/>
      <c r="F540" s="68"/>
      <c r="G540" s="15"/>
      <c r="H540" s="76" t="str">
        <f aca="false">IFERROR(__xludf.dummyfunction("""COMPUTED_VALUE"""),"")</f>
        <v/>
      </c>
      <c r="I540" s="50" t="str">
        <f aca="false">IFERROR(__xludf.dummyfunction("""COMPUTED_VALUE"""),"")</f>
        <v/>
      </c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  <c r="DY540" s="15"/>
      <c r="DZ540" s="15"/>
      <c r="EA540" s="15"/>
      <c r="EB540" s="15"/>
      <c r="EC540" s="15"/>
      <c r="ED540" s="15"/>
      <c r="EE540" s="15"/>
      <c r="EF540" s="15"/>
      <c r="EG540" s="15"/>
      <c r="EH540" s="15"/>
      <c r="EI540" s="15"/>
      <c r="EJ540" s="15"/>
      <c r="EK540" s="15"/>
      <c r="EL540" s="15"/>
      <c r="EM540" s="15"/>
      <c r="EN540" s="15"/>
      <c r="EO540" s="15"/>
      <c r="EP540" s="15"/>
      <c r="EQ540" s="15"/>
      <c r="ER540" s="15"/>
      <c r="ES540" s="15"/>
      <c r="ET540" s="15"/>
      <c r="EU540" s="15"/>
      <c r="EV540" s="15"/>
      <c r="EW540" s="15"/>
      <c r="EX540" s="15"/>
    </row>
    <row r="541" customFormat="false" ht="15.75" hidden="false" customHeight="false" outlineLevel="0" collapsed="false">
      <c r="A541" s="76"/>
      <c r="B541" s="77"/>
      <c r="C541" s="77"/>
      <c r="D541" s="78"/>
      <c r="E541" s="72"/>
      <c r="F541" s="68"/>
      <c r="G541" s="15"/>
      <c r="H541" s="76" t="str">
        <f aca="false">IFERROR(__xludf.dummyfunction("""COMPUTED_VALUE"""),"")</f>
        <v/>
      </c>
      <c r="I541" s="50" t="str">
        <f aca="false">IFERROR(__xludf.dummyfunction("""COMPUTED_VALUE"""),"")</f>
        <v/>
      </c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  <c r="DY541" s="15"/>
      <c r="DZ541" s="15"/>
      <c r="EA541" s="15"/>
      <c r="EB541" s="15"/>
      <c r="EC541" s="15"/>
      <c r="ED541" s="15"/>
      <c r="EE541" s="15"/>
      <c r="EF541" s="15"/>
      <c r="EG541" s="15"/>
      <c r="EH541" s="15"/>
      <c r="EI541" s="15"/>
      <c r="EJ541" s="15"/>
      <c r="EK541" s="15"/>
      <c r="EL541" s="15"/>
      <c r="EM541" s="15"/>
      <c r="EN541" s="15"/>
      <c r="EO541" s="15"/>
      <c r="EP541" s="15"/>
      <c r="EQ541" s="15"/>
      <c r="ER541" s="15"/>
      <c r="ES541" s="15"/>
      <c r="ET541" s="15"/>
      <c r="EU541" s="15"/>
      <c r="EV541" s="15"/>
      <c r="EW541" s="15"/>
      <c r="EX541" s="15"/>
    </row>
    <row r="542" customFormat="false" ht="15.75" hidden="false" customHeight="false" outlineLevel="0" collapsed="false">
      <c r="A542" s="76"/>
      <c r="B542" s="77"/>
      <c r="C542" s="77"/>
      <c r="D542" s="78"/>
      <c r="E542" s="72"/>
      <c r="F542" s="68"/>
      <c r="G542" s="15"/>
      <c r="H542" s="76" t="str">
        <f aca="false">IFERROR(__xludf.dummyfunction("""COMPUTED_VALUE"""),"")</f>
        <v/>
      </c>
      <c r="I542" s="50" t="str">
        <f aca="false">IFERROR(__xludf.dummyfunction("""COMPUTED_VALUE"""),"")</f>
        <v/>
      </c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  <c r="DY542" s="15"/>
      <c r="DZ542" s="15"/>
      <c r="EA542" s="15"/>
      <c r="EB542" s="15"/>
      <c r="EC542" s="15"/>
      <c r="ED542" s="15"/>
      <c r="EE542" s="15"/>
      <c r="EF542" s="15"/>
      <c r="EG542" s="15"/>
      <c r="EH542" s="15"/>
      <c r="EI542" s="15"/>
      <c r="EJ542" s="15"/>
      <c r="EK542" s="15"/>
      <c r="EL542" s="15"/>
      <c r="EM542" s="15"/>
      <c r="EN542" s="15"/>
      <c r="EO542" s="15"/>
      <c r="EP542" s="15"/>
      <c r="EQ542" s="15"/>
      <c r="ER542" s="15"/>
      <c r="ES542" s="15"/>
      <c r="ET542" s="15"/>
      <c r="EU542" s="15"/>
      <c r="EV542" s="15"/>
      <c r="EW542" s="15"/>
      <c r="EX542" s="15"/>
    </row>
    <row r="543" customFormat="false" ht="15.75" hidden="false" customHeight="false" outlineLevel="0" collapsed="false">
      <c r="A543" s="76"/>
      <c r="B543" s="77"/>
      <c r="C543" s="77"/>
      <c r="D543" s="78"/>
      <c r="E543" s="72"/>
      <c r="F543" s="68"/>
      <c r="G543" s="15"/>
      <c r="H543" s="76" t="str">
        <f aca="false">IFERROR(__xludf.dummyfunction("""COMPUTED_VALUE"""),"")</f>
        <v/>
      </c>
      <c r="I543" s="50" t="str">
        <f aca="false">IFERROR(__xludf.dummyfunction("""COMPUTED_VALUE"""),"")</f>
        <v/>
      </c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  <c r="DY543" s="15"/>
      <c r="DZ543" s="15"/>
      <c r="EA543" s="15"/>
      <c r="EB543" s="15"/>
      <c r="EC543" s="15"/>
      <c r="ED543" s="15"/>
      <c r="EE543" s="15"/>
      <c r="EF543" s="15"/>
      <c r="EG543" s="15"/>
      <c r="EH543" s="15"/>
      <c r="EI543" s="15"/>
      <c r="EJ543" s="15"/>
      <c r="EK543" s="15"/>
      <c r="EL543" s="15"/>
      <c r="EM543" s="15"/>
      <c r="EN543" s="15"/>
      <c r="EO543" s="15"/>
      <c r="EP543" s="15"/>
      <c r="EQ543" s="15"/>
      <c r="ER543" s="15"/>
      <c r="ES543" s="15"/>
      <c r="ET543" s="15"/>
      <c r="EU543" s="15"/>
      <c r="EV543" s="15"/>
      <c r="EW543" s="15"/>
      <c r="EX543" s="15"/>
    </row>
    <row r="544" customFormat="false" ht="15.75" hidden="false" customHeight="false" outlineLevel="0" collapsed="false">
      <c r="A544" s="76"/>
      <c r="B544" s="77"/>
      <c r="C544" s="77"/>
      <c r="D544" s="78"/>
      <c r="E544" s="72"/>
      <c r="F544" s="68"/>
      <c r="G544" s="15"/>
      <c r="H544" s="76" t="str">
        <f aca="false">IFERROR(__xludf.dummyfunction("""COMPUTED_VALUE"""),"")</f>
        <v/>
      </c>
      <c r="I544" s="50" t="str">
        <f aca="false">IFERROR(__xludf.dummyfunction("""COMPUTED_VALUE"""),"")</f>
        <v/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  <c r="DY544" s="15"/>
      <c r="DZ544" s="15"/>
      <c r="EA544" s="15"/>
      <c r="EB544" s="15"/>
      <c r="EC544" s="15"/>
      <c r="ED544" s="15"/>
      <c r="EE544" s="15"/>
      <c r="EF544" s="15"/>
      <c r="EG544" s="15"/>
      <c r="EH544" s="15"/>
      <c r="EI544" s="15"/>
      <c r="EJ544" s="15"/>
      <c r="EK544" s="15"/>
      <c r="EL544" s="15"/>
      <c r="EM544" s="15"/>
      <c r="EN544" s="15"/>
      <c r="EO544" s="15"/>
      <c r="EP544" s="15"/>
      <c r="EQ544" s="15"/>
      <c r="ER544" s="15"/>
      <c r="ES544" s="15"/>
      <c r="ET544" s="15"/>
      <c r="EU544" s="15"/>
      <c r="EV544" s="15"/>
      <c r="EW544" s="15"/>
      <c r="EX544" s="15"/>
    </row>
    <row r="545" customFormat="false" ht="15.75" hidden="false" customHeight="false" outlineLevel="0" collapsed="false">
      <c r="A545" s="76"/>
      <c r="B545" s="77"/>
      <c r="C545" s="77"/>
      <c r="D545" s="78"/>
      <c r="E545" s="72"/>
      <c r="F545" s="68"/>
      <c r="G545" s="15"/>
      <c r="H545" s="76" t="str">
        <f aca="false">IFERROR(__xludf.dummyfunction("""COMPUTED_VALUE"""),"")</f>
        <v/>
      </c>
      <c r="I545" s="50" t="str">
        <f aca="false">IFERROR(__xludf.dummyfunction("""COMPUTED_VALUE"""),"")</f>
        <v/>
      </c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  <c r="DY545" s="15"/>
      <c r="DZ545" s="15"/>
      <c r="EA545" s="15"/>
      <c r="EB545" s="15"/>
      <c r="EC545" s="15"/>
      <c r="ED545" s="15"/>
      <c r="EE545" s="15"/>
      <c r="EF545" s="15"/>
      <c r="EG545" s="15"/>
      <c r="EH545" s="15"/>
      <c r="EI545" s="15"/>
      <c r="EJ545" s="15"/>
      <c r="EK545" s="15"/>
      <c r="EL545" s="15"/>
      <c r="EM545" s="15"/>
      <c r="EN545" s="15"/>
      <c r="EO545" s="15"/>
      <c r="EP545" s="15"/>
      <c r="EQ545" s="15"/>
      <c r="ER545" s="15"/>
      <c r="ES545" s="15"/>
      <c r="ET545" s="15"/>
      <c r="EU545" s="15"/>
      <c r="EV545" s="15"/>
      <c r="EW545" s="15"/>
      <c r="EX545" s="15"/>
    </row>
    <row r="546" customFormat="false" ht="15.75" hidden="false" customHeight="false" outlineLevel="0" collapsed="false">
      <c r="A546" s="76"/>
      <c r="B546" s="77"/>
      <c r="C546" s="77"/>
      <c r="D546" s="78"/>
      <c r="E546" s="72"/>
      <c r="F546" s="68"/>
      <c r="G546" s="15"/>
      <c r="H546" s="76" t="str">
        <f aca="false">IFERROR(__xludf.dummyfunction("""COMPUTED_VALUE"""),"")</f>
        <v/>
      </c>
      <c r="I546" s="50" t="str">
        <f aca="false">IFERROR(__xludf.dummyfunction("""COMPUTED_VALUE"""),"")</f>
        <v/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  <c r="DY546" s="15"/>
      <c r="DZ546" s="15"/>
      <c r="EA546" s="15"/>
      <c r="EB546" s="15"/>
      <c r="EC546" s="15"/>
      <c r="ED546" s="15"/>
      <c r="EE546" s="15"/>
      <c r="EF546" s="15"/>
      <c r="EG546" s="15"/>
      <c r="EH546" s="15"/>
      <c r="EI546" s="15"/>
      <c r="EJ546" s="15"/>
      <c r="EK546" s="15"/>
      <c r="EL546" s="15"/>
      <c r="EM546" s="15"/>
      <c r="EN546" s="15"/>
      <c r="EO546" s="15"/>
      <c r="EP546" s="15"/>
      <c r="EQ546" s="15"/>
      <c r="ER546" s="15"/>
      <c r="ES546" s="15"/>
      <c r="ET546" s="15"/>
      <c r="EU546" s="15"/>
      <c r="EV546" s="15"/>
      <c r="EW546" s="15"/>
      <c r="EX546" s="15"/>
    </row>
    <row r="547" customFormat="false" ht="15.75" hidden="false" customHeight="false" outlineLevel="0" collapsed="false">
      <c r="A547" s="76"/>
      <c r="B547" s="77"/>
      <c r="C547" s="77"/>
      <c r="D547" s="78"/>
      <c r="E547" s="72"/>
      <c r="F547" s="68"/>
      <c r="G547" s="15"/>
      <c r="H547" s="76" t="str">
        <f aca="false">IFERROR(__xludf.dummyfunction("""COMPUTED_VALUE"""),"")</f>
        <v/>
      </c>
      <c r="I547" s="50" t="str">
        <f aca="false">IFERROR(__xludf.dummyfunction("""COMPUTED_VALUE"""),"")</f>
        <v/>
      </c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  <c r="DY547" s="15"/>
      <c r="DZ547" s="15"/>
      <c r="EA547" s="15"/>
      <c r="EB547" s="15"/>
      <c r="EC547" s="15"/>
      <c r="ED547" s="15"/>
      <c r="EE547" s="15"/>
      <c r="EF547" s="15"/>
      <c r="EG547" s="15"/>
      <c r="EH547" s="15"/>
      <c r="EI547" s="15"/>
      <c r="EJ547" s="15"/>
      <c r="EK547" s="15"/>
      <c r="EL547" s="15"/>
      <c r="EM547" s="15"/>
      <c r="EN547" s="15"/>
      <c r="EO547" s="15"/>
      <c r="EP547" s="15"/>
      <c r="EQ547" s="15"/>
      <c r="ER547" s="15"/>
      <c r="ES547" s="15"/>
      <c r="ET547" s="15"/>
      <c r="EU547" s="15"/>
      <c r="EV547" s="15"/>
      <c r="EW547" s="15"/>
      <c r="EX547" s="15"/>
    </row>
    <row r="548" customFormat="false" ht="15.75" hidden="false" customHeight="false" outlineLevel="0" collapsed="false">
      <c r="A548" s="76"/>
      <c r="B548" s="77"/>
      <c r="C548" s="77"/>
      <c r="D548" s="78"/>
      <c r="E548" s="72"/>
      <c r="F548" s="68"/>
      <c r="G548" s="15"/>
      <c r="H548" s="76" t="str">
        <f aca="false">IFERROR(__xludf.dummyfunction("""COMPUTED_VALUE"""),"")</f>
        <v/>
      </c>
      <c r="I548" s="50" t="str">
        <f aca="false">IFERROR(__xludf.dummyfunction("""COMPUTED_VALUE"""),"")</f>
        <v/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  <c r="DY548" s="15"/>
      <c r="DZ548" s="15"/>
      <c r="EA548" s="15"/>
      <c r="EB548" s="15"/>
      <c r="EC548" s="15"/>
      <c r="ED548" s="15"/>
      <c r="EE548" s="15"/>
      <c r="EF548" s="15"/>
      <c r="EG548" s="15"/>
      <c r="EH548" s="15"/>
      <c r="EI548" s="15"/>
      <c r="EJ548" s="15"/>
      <c r="EK548" s="15"/>
      <c r="EL548" s="15"/>
      <c r="EM548" s="15"/>
      <c r="EN548" s="15"/>
      <c r="EO548" s="15"/>
      <c r="EP548" s="15"/>
      <c r="EQ548" s="15"/>
      <c r="ER548" s="15"/>
      <c r="ES548" s="15"/>
      <c r="ET548" s="15"/>
      <c r="EU548" s="15"/>
      <c r="EV548" s="15"/>
      <c r="EW548" s="15"/>
      <c r="EX548" s="15"/>
    </row>
    <row r="549" customFormat="false" ht="15.75" hidden="false" customHeight="false" outlineLevel="0" collapsed="false">
      <c r="A549" s="76"/>
      <c r="B549" s="77"/>
      <c r="C549" s="77"/>
      <c r="D549" s="78"/>
      <c r="E549" s="72"/>
      <c r="F549" s="68"/>
      <c r="G549" s="15"/>
      <c r="H549" s="76" t="str">
        <f aca="false">IFERROR(__xludf.dummyfunction("""COMPUTED_VALUE"""),"")</f>
        <v/>
      </c>
      <c r="I549" s="50" t="str">
        <f aca="false">IFERROR(__xludf.dummyfunction("""COMPUTED_VALUE"""),"")</f>
        <v/>
      </c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  <c r="DY549" s="15"/>
      <c r="DZ549" s="15"/>
      <c r="EA549" s="15"/>
      <c r="EB549" s="15"/>
      <c r="EC549" s="15"/>
      <c r="ED549" s="15"/>
      <c r="EE549" s="15"/>
      <c r="EF549" s="15"/>
      <c r="EG549" s="15"/>
      <c r="EH549" s="15"/>
      <c r="EI549" s="15"/>
      <c r="EJ549" s="15"/>
      <c r="EK549" s="15"/>
      <c r="EL549" s="15"/>
      <c r="EM549" s="15"/>
      <c r="EN549" s="15"/>
      <c r="EO549" s="15"/>
      <c r="EP549" s="15"/>
      <c r="EQ549" s="15"/>
      <c r="ER549" s="15"/>
      <c r="ES549" s="15"/>
      <c r="ET549" s="15"/>
      <c r="EU549" s="15"/>
      <c r="EV549" s="15"/>
      <c r="EW549" s="15"/>
      <c r="EX549" s="15"/>
    </row>
    <row r="550" customFormat="false" ht="15.75" hidden="false" customHeight="false" outlineLevel="0" collapsed="false">
      <c r="A550" s="76"/>
      <c r="B550" s="77"/>
      <c r="C550" s="77"/>
      <c r="D550" s="78"/>
      <c r="E550" s="72"/>
      <c r="F550" s="68"/>
      <c r="G550" s="15"/>
      <c r="H550" s="76" t="str">
        <f aca="false">IFERROR(__xludf.dummyfunction("""COMPUTED_VALUE"""),"")</f>
        <v/>
      </c>
      <c r="I550" s="50" t="str">
        <f aca="false">IFERROR(__xludf.dummyfunction("""COMPUTED_VALUE"""),"")</f>
        <v/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  <c r="DY550" s="15"/>
      <c r="DZ550" s="15"/>
      <c r="EA550" s="15"/>
      <c r="EB550" s="15"/>
      <c r="EC550" s="15"/>
      <c r="ED550" s="15"/>
      <c r="EE550" s="15"/>
      <c r="EF550" s="15"/>
      <c r="EG550" s="15"/>
      <c r="EH550" s="15"/>
      <c r="EI550" s="15"/>
      <c r="EJ550" s="15"/>
      <c r="EK550" s="15"/>
      <c r="EL550" s="15"/>
      <c r="EM550" s="15"/>
      <c r="EN550" s="15"/>
      <c r="EO550" s="15"/>
      <c r="EP550" s="15"/>
      <c r="EQ550" s="15"/>
      <c r="ER550" s="15"/>
      <c r="ES550" s="15"/>
      <c r="ET550" s="15"/>
      <c r="EU550" s="15"/>
      <c r="EV550" s="15"/>
      <c r="EW550" s="15"/>
      <c r="EX550" s="15"/>
    </row>
    <row r="551" customFormat="false" ht="15.75" hidden="false" customHeight="false" outlineLevel="0" collapsed="false">
      <c r="A551" s="76"/>
      <c r="B551" s="77"/>
      <c r="C551" s="77"/>
      <c r="D551" s="78"/>
      <c r="E551" s="72"/>
      <c r="F551" s="68"/>
      <c r="G551" s="15"/>
      <c r="H551" s="76" t="str">
        <f aca="false">IFERROR(__xludf.dummyfunction("""COMPUTED_VALUE"""),"")</f>
        <v/>
      </c>
      <c r="I551" s="50" t="str">
        <f aca="false">IFERROR(__xludf.dummyfunction("""COMPUTED_VALUE"""),"")</f>
        <v/>
      </c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  <c r="DY551" s="15"/>
      <c r="DZ551" s="15"/>
      <c r="EA551" s="15"/>
      <c r="EB551" s="15"/>
      <c r="EC551" s="15"/>
      <c r="ED551" s="15"/>
      <c r="EE551" s="15"/>
      <c r="EF551" s="15"/>
      <c r="EG551" s="15"/>
      <c r="EH551" s="15"/>
      <c r="EI551" s="15"/>
      <c r="EJ551" s="15"/>
      <c r="EK551" s="15"/>
      <c r="EL551" s="15"/>
      <c r="EM551" s="15"/>
      <c r="EN551" s="15"/>
      <c r="EO551" s="15"/>
      <c r="EP551" s="15"/>
      <c r="EQ551" s="15"/>
      <c r="ER551" s="15"/>
      <c r="ES551" s="15"/>
      <c r="ET551" s="15"/>
      <c r="EU551" s="15"/>
      <c r="EV551" s="15"/>
      <c r="EW551" s="15"/>
      <c r="EX551" s="15"/>
    </row>
    <row r="552" customFormat="false" ht="15.75" hidden="false" customHeight="false" outlineLevel="0" collapsed="false">
      <c r="A552" s="76"/>
      <c r="B552" s="77"/>
      <c r="C552" s="77"/>
      <c r="D552" s="78"/>
      <c r="E552" s="72"/>
      <c r="F552" s="68"/>
      <c r="G552" s="15"/>
      <c r="H552" s="76" t="str">
        <f aca="false">IFERROR(__xludf.dummyfunction("""COMPUTED_VALUE"""),"")</f>
        <v/>
      </c>
      <c r="I552" s="50" t="str">
        <f aca="false">IFERROR(__xludf.dummyfunction("""COMPUTED_VALUE"""),"")</f>
        <v/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  <c r="DY552" s="15"/>
      <c r="DZ552" s="15"/>
      <c r="EA552" s="15"/>
      <c r="EB552" s="15"/>
      <c r="EC552" s="15"/>
      <c r="ED552" s="15"/>
      <c r="EE552" s="15"/>
      <c r="EF552" s="15"/>
      <c r="EG552" s="15"/>
      <c r="EH552" s="15"/>
      <c r="EI552" s="15"/>
      <c r="EJ552" s="15"/>
      <c r="EK552" s="15"/>
      <c r="EL552" s="15"/>
      <c r="EM552" s="15"/>
      <c r="EN552" s="15"/>
      <c r="EO552" s="15"/>
      <c r="EP552" s="15"/>
      <c r="EQ552" s="15"/>
      <c r="ER552" s="15"/>
      <c r="ES552" s="15"/>
      <c r="ET552" s="15"/>
      <c r="EU552" s="15"/>
      <c r="EV552" s="15"/>
      <c r="EW552" s="15"/>
      <c r="EX552" s="15"/>
    </row>
    <row r="553" customFormat="false" ht="15.75" hidden="false" customHeight="false" outlineLevel="0" collapsed="false">
      <c r="A553" s="76"/>
      <c r="B553" s="77"/>
      <c r="C553" s="77"/>
      <c r="D553" s="78"/>
      <c r="E553" s="72"/>
      <c r="F553" s="68"/>
      <c r="G553" s="15"/>
      <c r="H553" s="76" t="str">
        <f aca="false">IFERROR(__xludf.dummyfunction("""COMPUTED_VALUE"""),"")</f>
        <v/>
      </c>
      <c r="I553" s="50" t="str">
        <f aca="false">IFERROR(__xludf.dummyfunction("""COMPUTED_VALUE"""),"")</f>
        <v/>
      </c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  <c r="DY553" s="15"/>
      <c r="DZ553" s="15"/>
      <c r="EA553" s="15"/>
      <c r="EB553" s="15"/>
      <c r="EC553" s="15"/>
      <c r="ED553" s="15"/>
      <c r="EE553" s="15"/>
      <c r="EF553" s="15"/>
      <c r="EG553" s="15"/>
      <c r="EH553" s="15"/>
      <c r="EI553" s="15"/>
      <c r="EJ553" s="15"/>
      <c r="EK553" s="15"/>
      <c r="EL553" s="15"/>
      <c r="EM553" s="15"/>
      <c r="EN553" s="15"/>
      <c r="EO553" s="15"/>
      <c r="EP553" s="15"/>
      <c r="EQ553" s="15"/>
      <c r="ER553" s="15"/>
      <c r="ES553" s="15"/>
      <c r="ET553" s="15"/>
      <c r="EU553" s="15"/>
      <c r="EV553" s="15"/>
      <c r="EW553" s="15"/>
      <c r="EX553" s="15"/>
    </row>
    <row r="554" customFormat="false" ht="15.75" hidden="false" customHeight="false" outlineLevel="0" collapsed="false">
      <c r="A554" s="76"/>
      <c r="B554" s="77"/>
      <c r="C554" s="77"/>
      <c r="D554" s="78"/>
      <c r="E554" s="72"/>
      <c r="F554" s="68"/>
      <c r="G554" s="15"/>
      <c r="H554" s="76" t="str">
        <f aca="false">IFERROR(__xludf.dummyfunction("""COMPUTED_VALUE"""),"")</f>
        <v/>
      </c>
      <c r="I554" s="50" t="str">
        <f aca="false">IFERROR(__xludf.dummyfunction("""COMPUTED_VALUE"""),"")</f>
        <v/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  <c r="DY554" s="15"/>
      <c r="DZ554" s="15"/>
      <c r="EA554" s="15"/>
      <c r="EB554" s="15"/>
      <c r="EC554" s="15"/>
      <c r="ED554" s="15"/>
      <c r="EE554" s="15"/>
      <c r="EF554" s="15"/>
      <c r="EG554" s="15"/>
      <c r="EH554" s="15"/>
      <c r="EI554" s="15"/>
      <c r="EJ554" s="15"/>
      <c r="EK554" s="15"/>
      <c r="EL554" s="15"/>
      <c r="EM554" s="15"/>
      <c r="EN554" s="15"/>
      <c r="EO554" s="15"/>
      <c r="EP554" s="15"/>
      <c r="EQ554" s="15"/>
      <c r="ER554" s="15"/>
      <c r="ES554" s="15"/>
      <c r="ET554" s="15"/>
      <c r="EU554" s="15"/>
      <c r="EV554" s="15"/>
      <c r="EW554" s="15"/>
      <c r="EX554" s="15"/>
    </row>
    <row r="555" customFormat="false" ht="15.75" hidden="false" customHeight="false" outlineLevel="0" collapsed="false">
      <c r="A555" s="76"/>
      <c r="B555" s="77"/>
      <c r="C555" s="77"/>
      <c r="D555" s="78"/>
      <c r="E555" s="72"/>
      <c r="F555" s="68"/>
      <c r="G555" s="15"/>
      <c r="H555" s="76" t="str">
        <f aca="false">IFERROR(__xludf.dummyfunction("""COMPUTED_VALUE"""),"")</f>
        <v/>
      </c>
      <c r="I555" s="50" t="str">
        <f aca="false">IFERROR(__xludf.dummyfunction("""COMPUTED_VALUE"""),"")</f>
        <v/>
      </c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  <c r="DY555" s="15"/>
      <c r="DZ555" s="15"/>
      <c r="EA555" s="15"/>
      <c r="EB555" s="15"/>
      <c r="EC555" s="15"/>
      <c r="ED555" s="15"/>
      <c r="EE555" s="15"/>
      <c r="EF555" s="15"/>
      <c r="EG555" s="15"/>
      <c r="EH555" s="15"/>
      <c r="EI555" s="15"/>
      <c r="EJ555" s="15"/>
      <c r="EK555" s="15"/>
      <c r="EL555" s="15"/>
      <c r="EM555" s="15"/>
      <c r="EN555" s="15"/>
      <c r="EO555" s="15"/>
      <c r="EP555" s="15"/>
      <c r="EQ555" s="15"/>
      <c r="ER555" s="15"/>
      <c r="ES555" s="15"/>
      <c r="ET555" s="15"/>
      <c r="EU555" s="15"/>
      <c r="EV555" s="15"/>
      <c r="EW555" s="15"/>
      <c r="EX555" s="15"/>
    </row>
    <row r="556" customFormat="false" ht="15.75" hidden="false" customHeight="false" outlineLevel="0" collapsed="false">
      <c r="A556" s="76"/>
      <c r="B556" s="77"/>
      <c r="C556" s="77"/>
      <c r="D556" s="78"/>
      <c r="E556" s="72"/>
      <c r="F556" s="68"/>
      <c r="G556" s="15"/>
      <c r="H556" s="76" t="str">
        <f aca="false">IFERROR(__xludf.dummyfunction("""COMPUTED_VALUE"""),"")</f>
        <v/>
      </c>
      <c r="I556" s="50" t="str">
        <f aca="false">IFERROR(__xludf.dummyfunction("""COMPUTED_VALUE"""),"")</f>
        <v/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  <c r="DY556" s="15"/>
      <c r="DZ556" s="15"/>
      <c r="EA556" s="15"/>
      <c r="EB556" s="15"/>
      <c r="EC556" s="15"/>
      <c r="ED556" s="15"/>
      <c r="EE556" s="15"/>
      <c r="EF556" s="15"/>
      <c r="EG556" s="15"/>
      <c r="EH556" s="15"/>
      <c r="EI556" s="15"/>
      <c r="EJ556" s="15"/>
      <c r="EK556" s="15"/>
      <c r="EL556" s="15"/>
      <c r="EM556" s="15"/>
      <c r="EN556" s="15"/>
      <c r="EO556" s="15"/>
      <c r="EP556" s="15"/>
      <c r="EQ556" s="15"/>
      <c r="ER556" s="15"/>
      <c r="ES556" s="15"/>
      <c r="ET556" s="15"/>
      <c r="EU556" s="15"/>
      <c r="EV556" s="15"/>
      <c r="EW556" s="15"/>
      <c r="EX556" s="15"/>
    </row>
    <row r="557" customFormat="false" ht="15.75" hidden="false" customHeight="false" outlineLevel="0" collapsed="false">
      <c r="A557" s="76"/>
      <c r="B557" s="77"/>
      <c r="C557" s="77"/>
      <c r="D557" s="78"/>
      <c r="E557" s="72"/>
      <c r="F557" s="68"/>
      <c r="G557" s="15"/>
      <c r="H557" s="76" t="str">
        <f aca="false">IFERROR(__xludf.dummyfunction("""COMPUTED_VALUE"""),"")</f>
        <v/>
      </c>
      <c r="I557" s="50" t="str">
        <f aca="false">IFERROR(__xludf.dummyfunction("""COMPUTED_VALUE"""),"")</f>
        <v/>
      </c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  <c r="DY557" s="15"/>
      <c r="DZ557" s="15"/>
      <c r="EA557" s="15"/>
      <c r="EB557" s="15"/>
      <c r="EC557" s="15"/>
      <c r="ED557" s="15"/>
      <c r="EE557" s="15"/>
      <c r="EF557" s="15"/>
      <c r="EG557" s="15"/>
      <c r="EH557" s="15"/>
      <c r="EI557" s="15"/>
      <c r="EJ557" s="15"/>
      <c r="EK557" s="15"/>
      <c r="EL557" s="15"/>
      <c r="EM557" s="15"/>
      <c r="EN557" s="15"/>
      <c r="EO557" s="15"/>
      <c r="EP557" s="15"/>
      <c r="EQ557" s="15"/>
      <c r="ER557" s="15"/>
      <c r="ES557" s="15"/>
      <c r="ET557" s="15"/>
      <c r="EU557" s="15"/>
      <c r="EV557" s="15"/>
      <c r="EW557" s="15"/>
      <c r="EX557" s="15"/>
    </row>
    <row r="558" customFormat="false" ht="15.75" hidden="false" customHeight="false" outlineLevel="0" collapsed="false">
      <c r="A558" s="76"/>
      <c r="B558" s="77"/>
      <c r="C558" s="77"/>
      <c r="D558" s="78"/>
      <c r="E558" s="72"/>
      <c r="F558" s="68"/>
      <c r="G558" s="15"/>
      <c r="H558" s="76" t="str">
        <f aca="false">IFERROR(__xludf.dummyfunction("""COMPUTED_VALUE"""),"")</f>
        <v/>
      </c>
      <c r="I558" s="50" t="str">
        <f aca="false">IFERROR(__xludf.dummyfunction("""COMPUTED_VALUE"""),"")</f>
        <v/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  <c r="DY558" s="15"/>
      <c r="DZ558" s="15"/>
      <c r="EA558" s="15"/>
      <c r="EB558" s="15"/>
      <c r="EC558" s="15"/>
      <c r="ED558" s="15"/>
      <c r="EE558" s="15"/>
      <c r="EF558" s="15"/>
      <c r="EG558" s="15"/>
      <c r="EH558" s="15"/>
      <c r="EI558" s="15"/>
      <c r="EJ558" s="15"/>
      <c r="EK558" s="15"/>
      <c r="EL558" s="15"/>
      <c r="EM558" s="15"/>
      <c r="EN558" s="15"/>
      <c r="EO558" s="15"/>
      <c r="EP558" s="15"/>
      <c r="EQ558" s="15"/>
      <c r="ER558" s="15"/>
      <c r="ES558" s="15"/>
      <c r="ET558" s="15"/>
      <c r="EU558" s="15"/>
      <c r="EV558" s="15"/>
      <c r="EW558" s="15"/>
      <c r="EX558" s="15"/>
    </row>
    <row r="559" customFormat="false" ht="15.75" hidden="false" customHeight="false" outlineLevel="0" collapsed="false">
      <c r="A559" s="76"/>
      <c r="B559" s="77"/>
      <c r="C559" s="77"/>
      <c r="D559" s="78"/>
      <c r="E559" s="72"/>
      <c r="F559" s="68"/>
      <c r="G559" s="15"/>
      <c r="H559" s="76" t="str">
        <f aca="false">IFERROR(__xludf.dummyfunction("""COMPUTED_VALUE"""),"")</f>
        <v/>
      </c>
      <c r="I559" s="50" t="str">
        <f aca="false">IFERROR(__xludf.dummyfunction("""COMPUTED_VALUE"""),"")</f>
        <v/>
      </c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  <c r="DY559" s="15"/>
      <c r="DZ559" s="15"/>
      <c r="EA559" s="15"/>
      <c r="EB559" s="15"/>
      <c r="EC559" s="15"/>
      <c r="ED559" s="15"/>
      <c r="EE559" s="15"/>
      <c r="EF559" s="15"/>
      <c r="EG559" s="15"/>
      <c r="EH559" s="15"/>
      <c r="EI559" s="15"/>
      <c r="EJ559" s="15"/>
      <c r="EK559" s="15"/>
      <c r="EL559" s="15"/>
      <c r="EM559" s="15"/>
      <c r="EN559" s="15"/>
      <c r="EO559" s="15"/>
      <c r="EP559" s="15"/>
      <c r="EQ559" s="15"/>
      <c r="ER559" s="15"/>
      <c r="ES559" s="15"/>
      <c r="ET559" s="15"/>
      <c r="EU559" s="15"/>
      <c r="EV559" s="15"/>
      <c r="EW559" s="15"/>
      <c r="EX559" s="15"/>
    </row>
    <row r="560" customFormat="false" ht="15.75" hidden="false" customHeight="false" outlineLevel="0" collapsed="false">
      <c r="A560" s="76"/>
      <c r="B560" s="77"/>
      <c r="C560" s="77"/>
      <c r="D560" s="78"/>
      <c r="E560" s="72"/>
      <c r="F560" s="68"/>
      <c r="G560" s="15"/>
      <c r="H560" s="76" t="str">
        <f aca="false">IFERROR(__xludf.dummyfunction("""COMPUTED_VALUE"""),"")</f>
        <v/>
      </c>
      <c r="I560" s="50" t="str">
        <f aca="false">IFERROR(__xludf.dummyfunction("""COMPUTED_VALUE"""),"")</f>
        <v/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  <c r="DY560" s="15"/>
      <c r="DZ560" s="15"/>
      <c r="EA560" s="15"/>
      <c r="EB560" s="15"/>
      <c r="EC560" s="15"/>
      <c r="ED560" s="15"/>
      <c r="EE560" s="15"/>
      <c r="EF560" s="15"/>
      <c r="EG560" s="15"/>
      <c r="EH560" s="15"/>
      <c r="EI560" s="15"/>
      <c r="EJ560" s="15"/>
      <c r="EK560" s="15"/>
      <c r="EL560" s="15"/>
      <c r="EM560" s="15"/>
      <c r="EN560" s="15"/>
      <c r="EO560" s="15"/>
      <c r="EP560" s="15"/>
      <c r="EQ560" s="15"/>
      <c r="ER560" s="15"/>
      <c r="ES560" s="15"/>
      <c r="ET560" s="15"/>
      <c r="EU560" s="15"/>
      <c r="EV560" s="15"/>
      <c r="EW560" s="15"/>
      <c r="EX560" s="15"/>
    </row>
    <row r="561" customFormat="false" ht="15.75" hidden="false" customHeight="false" outlineLevel="0" collapsed="false">
      <c r="A561" s="76"/>
      <c r="B561" s="77"/>
      <c r="C561" s="77"/>
      <c r="D561" s="78"/>
      <c r="E561" s="72"/>
      <c r="F561" s="68"/>
      <c r="G561" s="15"/>
      <c r="H561" s="76" t="str">
        <f aca="false">IFERROR(__xludf.dummyfunction("""COMPUTED_VALUE"""),"")</f>
        <v/>
      </c>
      <c r="I561" s="50" t="str">
        <f aca="false">IFERROR(__xludf.dummyfunction("""COMPUTED_VALUE"""),"")</f>
        <v/>
      </c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  <c r="DY561" s="15"/>
      <c r="DZ561" s="15"/>
      <c r="EA561" s="15"/>
      <c r="EB561" s="15"/>
      <c r="EC561" s="15"/>
      <c r="ED561" s="15"/>
      <c r="EE561" s="15"/>
      <c r="EF561" s="15"/>
      <c r="EG561" s="15"/>
      <c r="EH561" s="15"/>
      <c r="EI561" s="15"/>
      <c r="EJ561" s="15"/>
      <c r="EK561" s="15"/>
      <c r="EL561" s="15"/>
      <c r="EM561" s="15"/>
      <c r="EN561" s="15"/>
      <c r="EO561" s="15"/>
      <c r="EP561" s="15"/>
      <c r="EQ561" s="15"/>
      <c r="ER561" s="15"/>
      <c r="ES561" s="15"/>
      <c r="ET561" s="15"/>
      <c r="EU561" s="15"/>
      <c r="EV561" s="15"/>
      <c r="EW561" s="15"/>
      <c r="EX561" s="15"/>
    </row>
    <row r="562" customFormat="false" ht="15.75" hidden="false" customHeight="false" outlineLevel="0" collapsed="false">
      <c r="A562" s="76"/>
      <c r="B562" s="77"/>
      <c r="C562" s="77"/>
      <c r="D562" s="78"/>
      <c r="E562" s="72"/>
      <c r="F562" s="68"/>
      <c r="G562" s="15"/>
      <c r="H562" s="76" t="str">
        <f aca="false">IFERROR(__xludf.dummyfunction("""COMPUTED_VALUE"""),"")</f>
        <v/>
      </c>
      <c r="I562" s="50" t="str">
        <f aca="false">IFERROR(__xludf.dummyfunction("""COMPUTED_VALUE"""),"")</f>
        <v/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  <c r="DY562" s="15"/>
      <c r="DZ562" s="15"/>
      <c r="EA562" s="15"/>
      <c r="EB562" s="15"/>
      <c r="EC562" s="15"/>
      <c r="ED562" s="15"/>
      <c r="EE562" s="15"/>
      <c r="EF562" s="15"/>
      <c r="EG562" s="15"/>
      <c r="EH562" s="15"/>
      <c r="EI562" s="15"/>
      <c r="EJ562" s="15"/>
      <c r="EK562" s="15"/>
      <c r="EL562" s="15"/>
      <c r="EM562" s="15"/>
      <c r="EN562" s="15"/>
      <c r="EO562" s="15"/>
      <c r="EP562" s="15"/>
      <c r="EQ562" s="15"/>
      <c r="ER562" s="15"/>
      <c r="ES562" s="15"/>
      <c r="ET562" s="15"/>
      <c r="EU562" s="15"/>
      <c r="EV562" s="15"/>
      <c r="EW562" s="15"/>
      <c r="EX562" s="15"/>
    </row>
    <row r="563" customFormat="false" ht="15.75" hidden="false" customHeight="false" outlineLevel="0" collapsed="false">
      <c r="A563" s="76"/>
      <c r="B563" s="77"/>
      <c r="C563" s="77"/>
      <c r="D563" s="78"/>
      <c r="E563" s="72"/>
      <c r="F563" s="68"/>
      <c r="G563" s="15"/>
      <c r="H563" s="76" t="str">
        <f aca="false">IFERROR(__xludf.dummyfunction("""COMPUTED_VALUE"""),"")</f>
        <v/>
      </c>
      <c r="I563" s="50" t="str">
        <f aca="false">IFERROR(__xludf.dummyfunction("""COMPUTED_VALUE"""),"")</f>
        <v/>
      </c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  <c r="DY563" s="15"/>
      <c r="DZ563" s="15"/>
      <c r="EA563" s="15"/>
      <c r="EB563" s="15"/>
      <c r="EC563" s="15"/>
      <c r="ED563" s="15"/>
      <c r="EE563" s="15"/>
      <c r="EF563" s="15"/>
      <c r="EG563" s="15"/>
      <c r="EH563" s="15"/>
      <c r="EI563" s="15"/>
      <c r="EJ563" s="15"/>
      <c r="EK563" s="15"/>
      <c r="EL563" s="15"/>
      <c r="EM563" s="15"/>
      <c r="EN563" s="15"/>
      <c r="EO563" s="15"/>
      <c r="EP563" s="15"/>
      <c r="EQ563" s="15"/>
      <c r="ER563" s="15"/>
      <c r="ES563" s="15"/>
      <c r="ET563" s="15"/>
      <c r="EU563" s="15"/>
      <c r="EV563" s="15"/>
      <c r="EW563" s="15"/>
      <c r="EX563" s="15"/>
    </row>
    <row r="564" customFormat="false" ht="15.75" hidden="false" customHeight="false" outlineLevel="0" collapsed="false">
      <c r="A564" s="76"/>
      <c r="B564" s="77"/>
      <c r="C564" s="77"/>
      <c r="D564" s="78"/>
      <c r="E564" s="72"/>
      <c r="F564" s="68"/>
      <c r="G564" s="15"/>
      <c r="H564" s="76" t="str">
        <f aca="false">IFERROR(__xludf.dummyfunction("""COMPUTED_VALUE"""),"")</f>
        <v/>
      </c>
      <c r="I564" s="50" t="str">
        <f aca="false">IFERROR(__xludf.dummyfunction("""COMPUTED_VALUE"""),"")</f>
        <v/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  <c r="DY564" s="15"/>
      <c r="DZ564" s="15"/>
      <c r="EA564" s="15"/>
      <c r="EB564" s="15"/>
      <c r="EC564" s="15"/>
      <c r="ED564" s="15"/>
      <c r="EE564" s="15"/>
      <c r="EF564" s="15"/>
      <c r="EG564" s="15"/>
      <c r="EH564" s="15"/>
      <c r="EI564" s="15"/>
      <c r="EJ564" s="15"/>
      <c r="EK564" s="15"/>
      <c r="EL564" s="15"/>
      <c r="EM564" s="15"/>
      <c r="EN564" s="15"/>
      <c r="EO564" s="15"/>
      <c r="EP564" s="15"/>
      <c r="EQ564" s="15"/>
      <c r="ER564" s="15"/>
      <c r="ES564" s="15"/>
      <c r="ET564" s="15"/>
      <c r="EU564" s="15"/>
      <c r="EV564" s="15"/>
      <c r="EW564" s="15"/>
      <c r="EX564" s="15"/>
    </row>
    <row r="565" customFormat="false" ht="15.75" hidden="false" customHeight="false" outlineLevel="0" collapsed="false">
      <c r="A565" s="76"/>
      <c r="B565" s="77"/>
      <c r="C565" s="77"/>
      <c r="D565" s="78"/>
      <c r="E565" s="72"/>
      <c r="F565" s="68"/>
      <c r="G565" s="15"/>
      <c r="H565" s="76" t="str">
        <f aca="false">IFERROR(__xludf.dummyfunction("""COMPUTED_VALUE"""),"")</f>
        <v/>
      </c>
      <c r="I565" s="50" t="str">
        <f aca="false">IFERROR(__xludf.dummyfunction("""COMPUTED_VALUE"""),"")</f>
        <v/>
      </c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  <c r="DY565" s="15"/>
      <c r="DZ565" s="15"/>
      <c r="EA565" s="15"/>
      <c r="EB565" s="15"/>
      <c r="EC565" s="15"/>
      <c r="ED565" s="15"/>
      <c r="EE565" s="15"/>
      <c r="EF565" s="15"/>
      <c r="EG565" s="15"/>
      <c r="EH565" s="15"/>
      <c r="EI565" s="15"/>
      <c r="EJ565" s="15"/>
      <c r="EK565" s="15"/>
      <c r="EL565" s="15"/>
      <c r="EM565" s="15"/>
      <c r="EN565" s="15"/>
      <c r="EO565" s="15"/>
      <c r="EP565" s="15"/>
      <c r="EQ565" s="15"/>
      <c r="ER565" s="15"/>
      <c r="ES565" s="15"/>
      <c r="ET565" s="15"/>
      <c r="EU565" s="15"/>
      <c r="EV565" s="15"/>
      <c r="EW565" s="15"/>
      <c r="EX565" s="15"/>
    </row>
    <row r="566" customFormat="false" ht="15.75" hidden="false" customHeight="false" outlineLevel="0" collapsed="false">
      <c r="A566" s="76"/>
      <c r="B566" s="77"/>
      <c r="C566" s="77"/>
      <c r="D566" s="78"/>
      <c r="E566" s="72"/>
      <c r="F566" s="68"/>
      <c r="G566" s="15"/>
      <c r="H566" s="76" t="str">
        <f aca="false">IFERROR(__xludf.dummyfunction("""COMPUTED_VALUE"""),"")</f>
        <v/>
      </c>
      <c r="I566" s="50" t="str">
        <f aca="false">IFERROR(__xludf.dummyfunction("""COMPUTED_VALUE"""),"")</f>
        <v/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  <c r="DY566" s="15"/>
      <c r="DZ566" s="15"/>
      <c r="EA566" s="15"/>
      <c r="EB566" s="15"/>
      <c r="EC566" s="15"/>
      <c r="ED566" s="15"/>
      <c r="EE566" s="15"/>
      <c r="EF566" s="15"/>
      <c r="EG566" s="15"/>
      <c r="EH566" s="15"/>
      <c r="EI566" s="15"/>
      <c r="EJ566" s="15"/>
      <c r="EK566" s="15"/>
      <c r="EL566" s="15"/>
      <c r="EM566" s="15"/>
      <c r="EN566" s="15"/>
      <c r="EO566" s="15"/>
      <c r="EP566" s="15"/>
      <c r="EQ566" s="15"/>
      <c r="ER566" s="15"/>
      <c r="ES566" s="15"/>
      <c r="ET566" s="15"/>
      <c r="EU566" s="15"/>
      <c r="EV566" s="15"/>
      <c r="EW566" s="15"/>
      <c r="EX566" s="15"/>
    </row>
    <row r="567" customFormat="false" ht="15.75" hidden="false" customHeight="false" outlineLevel="0" collapsed="false">
      <c r="A567" s="76"/>
      <c r="B567" s="77"/>
      <c r="C567" s="77"/>
      <c r="D567" s="78"/>
      <c r="E567" s="72"/>
      <c r="F567" s="68"/>
      <c r="G567" s="15"/>
      <c r="H567" s="76" t="str">
        <f aca="false">IFERROR(__xludf.dummyfunction("""COMPUTED_VALUE"""),"")</f>
        <v/>
      </c>
      <c r="I567" s="50" t="str">
        <f aca="false">IFERROR(__xludf.dummyfunction("""COMPUTED_VALUE"""),"")</f>
        <v/>
      </c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  <c r="DY567" s="15"/>
      <c r="DZ567" s="15"/>
      <c r="EA567" s="15"/>
      <c r="EB567" s="15"/>
      <c r="EC567" s="15"/>
      <c r="ED567" s="15"/>
      <c r="EE567" s="15"/>
      <c r="EF567" s="15"/>
      <c r="EG567" s="15"/>
      <c r="EH567" s="15"/>
      <c r="EI567" s="15"/>
      <c r="EJ567" s="15"/>
      <c r="EK567" s="15"/>
      <c r="EL567" s="15"/>
      <c r="EM567" s="15"/>
      <c r="EN567" s="15"/>
      <c r="EO567" s="15"/>
      <c r="EP567" s="15"/>
      <c r="EQ567" s="15"/>
      <c r="ER567" s="15"/>
      <c r="ES567" s="15"/>
      <c r="ET567" s="15"/>
      <c r="EU567" s="15"/>
      <c r="EV567" s="15"/>
      <c r="EW567" s="15"/>
      <c r="EX567" s="15"/>
    </row>
    <row r="568" customFormat="false" ht="15.75" hidden="false" customHeight="false" outlineLevel="0" collapsed="false">
      <c r="A568" s="76"/>
      <c r="B568" s="77"/>
      <c r="C568" s="77"/>
      <c r="D568" s="78"/>
      <c r="E568" s="72"/>
      <c r="F568" s="68"/>
      <c r="G568" s="15"/>
      <c r="H568" s="76" t="str">
        <f aca="false">IFERROR(__xludf.dummyfunction("""COMPUTED_VALUE"""),"")</f>
        <v/>
      </c>
      <c r="I568" s="50" t="str">
        <f aca="false">IFERROR(__xludf.dummyfunction("""COMPUTED_VALUE"""),"")</f>
        <v/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  <c r="DY568" s="15"/>
      <c r="DZ568" s="15"/>
      <c r="EA568" s="15"/>
      <c r="EB568" s="15"/>
      <c r="EC568" s="15"/>
      <c r="ED568" s="15"/>
      <c r="EE568" s="15"/>
      <c r="EF568" s="15"/>
      <c r="EG568" s="15"/>
      <c r="EH568" s="15"/>
      <c r="EI568" s="15"/>
      <c r="EJ568" s="15"/>
      <c r="EK568" s="15"/>
      <c r="EL568" s="15"/>
      <c r="EM568" s="15"/>
      <c r="EN568" s="15"/>
      <c r="EO568" s="15"/>
      <c r="EP568" s="15"/>
      <c r="EQ568" s="15"/>
      <c r="ER568" s="15"/>
      <c r="ES568" s="15"/>
      <c r="ET568" s="15"/>
      <c r="EU568" s="15"/>
      <c r="EV568" s="15"/>
      <c r="EW568" s="15"/>
      <c r="EX568" s="15"/>
    </row>
    <row r="569" customFormat="false" ht="15.75" hidden="false" customHeight="false" outlineLevel="0" collapsed="false">
      <c r="A569" s="76"/>
      <c r="B569" s="77"/>
      <c r="C569" s="77"/>
      <c r="D569" s="78"/>
      <c r="E569" s="72"/>
      <c r="F569" s="68"/>
      <c r="G569" s="15"/>
      <c r="H569" s="76" t="str">
        <f aca="false">IFERROR(__xludf.dummyfunction("""COMPUTED_VALUE"""),"")</f>
        <v/>
      </c>
      <c r="I569" s="50" t="str">
        <f aca="false">IFERROR(__xludf.dummyfunction("""COMPUTED_VALUE"""),"")</f>
        <v/>
      </c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  <c r="DY569" s="15"/>
      <c r="DZ569" s="15"/>
      <c r="EA569" s="15"/>
      <c r="EB569" s="15"/>
      <c r="EC569" s="15"/>
      <c r="ED569" s="15"/>
      <c r="EE569" s="15"/>
      <c r="EF569" s="15"/>
      <c r="EG569" s="15"/>
      <c r="EH569" s="15"/>
      <c r="EI569" s="15"/>
      <c r="EJ569" s="15"/>
      <c r="EK569" s="15"/>
      <c r="EL569" s="15"/>
      <c r="EM569" s="15"/>
      <c r="EN569" s="15"/>
      <c r="EO569" s="15"/>
      <c r="EP569" s="15"/>
      <c r="EQ569" s="15"/>
      <c r="ER569" s="15"/>
      <c r="ES569" s="15"/>
      <c r="ET569" s="15"/>
      <c r="EU569" s="15"/>
      <c r="EV569" s="15"/>
      <c r="EW569" s="15"/>
      <c r="EX569" s="15"/>
    </row>
    <row r="570" customFormat="false" ht="15.75" hidden="false" customHeight="false" outlineLevel="0" collapsed="false">
      <c r="A570" s="76"/>
      <c r="B570" s="77"/>
      <c r="C570" s="77"/>
      <c r="D570" s="78"/>
      <c r="E570" s="72"/>
      <c r="F570" s="68"/>
      <c r="G570" s="15"/>
      <c r="H570" s="76" t="str">
        <f aca="false">IFERROR(__xludf.dummyfunction("""COMPUTED_VALUE"""),"")</f>
        <v/>
      </c>
      <c r="I570" s="50" t="str">
        <f aca="false">IFERROR(__xludf.dummyfunction("""COMPUTED_VALUE"""),"")</f>
        <v/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  <c r="DY570" s="15"/>
      <c r="DZ570" s="15"/>
      <c r="EA570" s="15"/>
      <c r="EB570" s="15"/>
      <c r="EC570" s="15"/>
      <c r="ED570" s="15"/>
      <c r="EE570" s="15"/>
      <c r="EF570" s="15"/>
      <c r="EG570" s="15"/>
      <c r="EH570" s="15"/>
      <c r="EI570" s="15"/>
      <c r="EJ570" s="15"/>
      <c r="EK570" s="15"/>
      <c r="EL570" s="15"/>
      <c r="EM570" s="15"/>
      <c r="EN570" s="15"/>
      <c r="EO570" s="15"/>
      <c r="EP570" s="15"/>
      <c r="EQ570" s="15"/>
      <c r="ER570" s="15"/>
      <c r="ES570" s="15"/>
      <c r="ET570" s="15"/>
      <c r="EU570" s="15"/>
      <c r="EV570" s="15"/>
      <c r="EW570" s="15"/>
      <c r="EX570" s="15"/>
    </row>
    <row r="571" customFormat="false" ht="15.75" hidden="false" customHeight="false" outlineLevel="0" collapsed="false">
      <c r="A571" s="76"/>
      <c r="B571" s="77"/>
      <c r="C571" s="77"/>
      <c r="D571" s="78"/>
      <c r="E571" s="72"/>
      <c r="F571" s="68"/>
      <c r="G571" s="15"/>
      <c r="H571" s="76" t="str">
        <f aca="false">IFERROR(__xludf.dummyfunction("""COMPUTED_VALUE"""),"")</f>
        <v/>
      </c>
      <c r="I571" s="50" t="str">
        <f aca="false">IFERROR(__xludf.dummyfunction("""COMPUTED_VALUE"""),"")</f>
        <v/>
      </c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  <c r="DY571" s="15"/>
      <c r="DZ571" s="15"/>
      <c r="EA571" s="15"/>
      <c r="EB571" s="15"/>
      <c r="EC571" s="15"/>
      <c r="ED571" s="15"/>
      <c r="EE571" s="15"/>
      <c r="EF571" s="15"/>
      <c r="EG571" s="15"/>
      <c r="EH571" s="15"/>
      <c r="EI571" s="15"/>
      <c r="EJ571" s="15"/>
      <c r="EK571" s="15"/>
      <c r="EL571" s="15"/>
      <c r="EM571" s="15"/>
      <c r="EN571" s="15"/>
      <c r="EO571" s="15"/>
      <c r="EP571" s="15"/>
      <c r="EQ571" s="15"/>
      <c r="ER571" s="15"/>
      <c r="ES571" s="15"/>
      <c r="ET571" s="15"/>
      <c r="EU571" s="15"/>
      <c r="EV571" s="15"/>
      <c r="EW571" s="15"/>
      <c r="EX571" s="15"/>
    </row>
    <row r="572" customFormat="false" ht="15.75" hidden="false" customHeight="false" outlineLevel="0" collapsed="false">
      <c r="A572" s="76"/>
      <c r="B572" s="77"/>
      <c r="C572" s="77"/>
      <c r="D572" s="78"/>
      <c r="E572" s="72"/>
      <c r="F572" s="68"/>
      <c r="G572" s="15"/>
      <c r="H572" s="76" t="str">
        <f aca="false">IFERROR(__xludf.dummyfunction("""COMPUTED_VALUE"""),"")</f>
        <v/>
      </c>
      <c r="I572" s="50" t="str">
        <f aca="false">IFERROR(__xludf.dummyfunction("""COMPUTED_VALUE"""),"")</f>
        <v/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  <c r="DY572" s="15"/>
      <c r="DZ572" s="15"/>
      <c r="EA572" s="15"/>
      <c r="EB572" s="15"/>
      <c r="EC572" s="15"/>
      <c r="ED572" s="15"/>
      <c r="EE572" s="15"/>
      <c r="EF572" s="15"/>
      <c r="EG572" s="15"/>
      <c r="EH572" s="15"/>
      <c r="EI572" s="15"/>
      <c r="EJ572" s="15"/>
      <c r="EK572" s="15"/>
      <c r="EL572" s="15"/>
      <c r="EM572" s="15"/>
      <c r="EN572" s="15"/>
      <c r="EO572" s="15"/>
      <c r="EP572" s="15"/>
      <c r="EQ572" s="15"/>
      <c r="ER572" s="15"/>
      <c r="ES572" s="15"/>
      <c r="ET572" s="15"/>
      <c r="EU572" s="15"/>
      <c r="EV572" s="15"/>
      <c r="EW572" s="15"/>
      <c r="EX572" s="15"/>
    </row>
    <row r="573" customFormat="false" ht="15.75" hidden="false" customHeight="false" outlineLevel="0" collapsed="false">
      <c r="A573" s="76"/>
      <c r="B573" s="77"/>
      <c r="C573" s="77"/>
      <c r="D573" s="78"/>
      <c r="E573" s="72"/>
      <c r="F573" s="68"/>
      <c r="G573" s="15"/>
      <c r="H573" s="76" t="str">
        <f aca="false">IFERROR(__xludf.dummyfunction("""COMPUTED_VALUE"""),"")</f>
        <v/>
      </c>
      <c r="I573" s="50" t="str">
        <f aca="false">IFERROR(__xludf.dummyfunction("""COMPUTED_VALUE"""),"")</f>
        <v/>
      </c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  <c r="DY573" s="15"/>
      <c r="DZ573" s="15"/>
      <c r="EA573" s="15"/>
      <c r="EB573" s="15"/>
      <c r="EC573" s="15"/>
      <c r="ED573" s="15"/>
      <c r="EE573" s="15"/>
      <c r="EF573" s="15"/>
      <c r="EG573" s="15"/>
      <c r="EH573" s="15"/>
      <c r="EI573" s="15"/>
      <c r="EJ573" s="15"/>
      <c r="EK573" s="15"/>
      <c r="EL573" s="15"/>
      <c r="EM573" s="15"/>
      <c r="EN573" s="15"/>
      <c r="EO573" s="15"/>
      <c r="EP573" s="15"/>
      <c r="EQ573" s="15"/>
      <c r="ER573" s="15"/>
      <c r="ES573" s="15"/>
      <c r="ET573" s="15"/>
      <c r="EU573" s="15"/>
      <c r="EV573" s="15"/>
      <c r="EW573" s="15"/>
      <c r="EX573" s="15"/>
    </row>
    <row r="574" customFormat="false" ht="15.75" hidden="false" customHeight="false" outlineLevel="0" collapsed="false">
      <c r="A574" s="76"/>
      <c r="B574" s="77"/>
      <c r="C574" s="77"/>
      <c r="D574" s="78"/>
      <c r="E574" s="72"/>
      <c r="F574" s="68"/>
      <c r="G574" s="15"/>
      <c r="H574" s="76" t="str">
        <f aca="false">IFERROR(__xludf.dummyfunction("""COMPUTED_VALUE"""),"")</f>
        <v/>
      </c>
      <c r="I574" s="50" t="str">
        <f aca="false">IFERROR(__xludf.dummyfunction("""COMPUTED_VALUE"""),"")</f>
        <v/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  <c r="DY574" s="15"/>
      <c r="DZ574" s="15"/>
      <c r="EA574" s="15"/>
      <c r="EB574" s="15"/>
      <c r="EC574" s="15"/>
      <c r="ED574" s="15"/>
      <c r="EE574" s="15"/>
      <c r="EF574" s="15"/>
      <c r="EG574" s="15"/>
      <c r="EH574" s="15"/>
      <c r="EI574" s="15"/>
      <c r="EJ574" s="15"/>
      <c r="EK574" s="15"/>
      <c r="EL574" s="15"/>
      <c r="EM574" s="15"/>
      <c r="EN574" s="15"/>
      <c r="EO574" s="15"/>
      <c r="EP574" s="15"/>
      <c r="EQ574" s="15"/>
      <c r="ER574" s="15"/>
      <c r="ES574" s="15"/>
      <c r="ET574" s="15"/>
      <c r="EU574" s="15"/>
      <c r="EV574" s="15"/>
      <c r="EW574" s="15"/>
      <c r="EX574" s="15"/>
    </row>
    <row r="575" customFormat="false" ht="15.75" hidden="false" customHeight="false" outlineLevel="0" collapsed="false">
      <c r="A575" s="76"/>
      <c r="B575" s="77"/>
      <c r="C575" s="77"/>
      <c r="D575" s="78"/>
      <c r="E575" s="72"/>
      <c r="F575" s="68"/>
      <c r="G575" s="15"/>
      <c r="H575" s="76" t="str">
        <f aca="false">IFERROR(__xludf.dummyfunction("""COMPUTED_VALUE"""),"")</f>
        <v/>
      </c>
      <c r="I575" s="50" t="str">
        <f aca="false">IFERROR(__xludf.dummyfunction("""COMPUTED_VALUE"""),"")</f>
        <v/>
      </c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  <c r="DY575" s="15"/>
      <c r="DZ575" s="15"/>
      <c r="EA575" s="15"/>
      <c r="EB575" s="15"/>
      <c r="EC575" s="15"/>
      <c r="ED575" s="15"/>
      <c r="EE575" s="15"/>
      <c r="EF575" s="15"/>
      <c r="EG575" s="15"/>
      <c r="EH575" s="15"/>
      <c r="EI575" s="15"/>
      <c r="EJ575" s="15"/>
      <c r="EK575" s="15"/>
      <c r="EL575" s="15"/>
      <c r="EM575" s="15"/>
      <c r="EN575" s="15"/>
      <c r="EO575" s="15"/>
      <c r="EP575" s="15"/>
      <c r="EQ575" s="15"/>
      <c r="ER575" s="15"/>
      <c r="ES575" s="15"/>
      <c r="ET575" s="15"/>
      <c r="EU575" s="15"/>
      <c r="EV575" s="15"/>
      <c r="EW575" s="15"/>
      <c r="EX575" s="15"/>
    </row>
    <row r="576" customFormat="false" ht="15.75" hidden="false" customHeight="false" outlineLevel="0" collapsed="false">
      <c r="A576" s="76"/>
      <c r="B576" s="77"/>
      <c r="C576" s="77"/>
      <c r="D576" s="78"/>
      <c r="E576" s="72"/>
      <c r="F576" s="68"/>
      <c r="G576" s="15"/>
      <c r="H576" s="76" t="str">
        <f aca="false">IFERROR(__xludf.dummyfunction("""COMPUTED_VALUE"""),"")</f>
        <v/>
      </c>
      <c r="I576" s="50" t="str">
        <f aca="false">IFERROR(__xludf.dummyfunction("""COMPUTED_VALUE"""),"")</f>
        <v/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  <c r="DY576" s="15"/>
      <c r="DZ576" s="15"/>
      <c r="EA576" s="15"/>
      <c r="EB576" s="15"/>
      <c r="EC576" s="15"/>
      <c r="ED576" s="15"/>
      <c r="EE576" s="15"/>
      <c r="EF576" s="15"/>
      <c r="EG576" s="15"/>
      <c r="EH576" s="15"/>
      <c r="EI576" s="15"/>
      <c r="EJ576" s="15"/>
      <c r="EK576" s="15"/>
      <c r="EL576" s="15"/>
      <c r="EM576" s="15"/>
      <c r="EN576" s="15"/>
      <c r="EO576" s="15"/>
      <c r="EP576" s="15"/>
      <c r="EQ576" s="15"/>
      <c r="ER576" s="15"/>
      <c r="ES576" s="15"/>
      <c r="ET576" s="15"/>
      <c r="EU576" s="15"/>
      <c r="EV576" s="15"/>
      <c r="EW576" s="15"/>
      <c r="EX576" s="15"/>
    </row>
    <row r="577" customFormat="false" ht="15.75" hidden="false" customHeight="false" outlineLevel="0" collapsed="false">
      <c r="A577" s="76"/>
      <c r="B577" s="77"/>
      <c r="C577" s="77"/>
      <c r="D577" s="78"/>
      <c r="E577" s="72"/>
      <c r="F577" s="68"/>
      <c r="G577" s="15"/>
      <c r="H577" s="76" t="str">
        <f aca="false">IFERROR(__xludf.dummyfunction("""COMPUTED_VALUE"""),"")</f>
        <v/>
      </c>
      <c r="I577" s="50" t="str">
        <f aca="false">IFERROR(__xludf.dummyfunction("""COMPUTED_VALUE"""),"")</f>
        <v/>
      </c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  <c r="DY577" s="15"/>
      <c r="DZ577" s="15"/>
      <c r="EA577" s="15"/>
      <c r="EB577" s="15"/>
      <c r="EC577" s="15"/>
      <c r="ED577" s="15"/>
      <c r="EE577" s="15"/>
      <c r="EF577" s="15"/>
      <c r="EG577" s="15"/>
      <c r="EH577" s="15"/>
      <c r="EI577" s="15"/>
      <c r="EJ577" s="15"/>
      <c r="EK577" s="15"/>
      <c r="EL577" s="15"/>
      <c r="EM577" s="15"/>
      <c r="EN577" s="15"/>
      <c r="EO577" s="15"/>
      <c r="EP577" s="15"/>
      <c r="EQ577" s="15"/>
      <c r="ER577" s="15"/>
      <c r="ES577" s="15"/>
      <c r="ET577" s="15"/>
      <c r="EU577" s="15"/>
      <c r="EV577" s="15"/>
      <c r="EW577" s="15"/>
      <c r="EX577" s="15"/>
    </row>
    <row r="578" customFormat="false" ht="15.75" hidden="false" customHeight="false" outlineLevel="0" collapsed="false">
      <c r="A578" s="76"/>
      <c r="B578" s="77"/>
      <c r="C578" s="77"/>
      <c r="D578" s="78"/>
      <c r="E578" s="72"/>
      <c r="F578" s="68"/>
      <c r="G578" s="15"/>
      <c r="H578" s="76" t="str">
        <f aca="false">IFERROR(__xludf.dummyfunction("""COMPUTED_VALUE"""),"")</f>
        <v/>
      </c>
      <c r="I578" s="50" t="str">
        <f aca="false">IFERROR(__xludf.dummyfunction("""COMPUTED_VALUE"""),"")</f>
        <v/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  <c r="DY578" s="15"/>
      <c r="DZ578" s="15"/>
      <c r="EA578" s="15"/>
      <c r="EB578" s="15"/>
      <c r="EC578" s="15"/>
      <c r="ED578" s="15"/>
      <c r="EE578" s="15"/>
      <c r="EF578" s="15"/>
      <c r="EG578" s="15"/>
      <c r="EH578" s="15"/>
      <c r="EI578" s="15"/>
      <c r="EJ578" s="15"/>
      <c r="EK578" s="15"/>
      <c r="EL578" s="15"/>
      <c r="EM578" s="15"/>
      <c r="EN578" s="15"/>
      <c r="EO578" s="15"/>
      <c r="EP578" s="15"/>
      <c r="EQ578" s="15"/>
      <c r="ER578" s="15"/>
      <c r="ES578" s="15"/>
      <c r="ET578" s="15"/>
      <c r="EU578" s="15"/>
      <c r="EV578" s="15"/>
      <c r="EW578" s="15"/>
      <c r="EX578" s="15"/>
    </row>
    <row r="579" customFormat="false" ht="15.75" hidden="false" customHeight="false" outlineLevel="0" collapsed="false">
      <c r="A579" s="76"/>
      <c r="B579" s="77"/>
      <c r="C579" s="77"/>
      <c r="D579" s="78"/>
      <c r="E579" s="72"/>
      <c r="F579" s="68"/>
      <c r="G579" s="15"/>
      <c r="H579" s="76" t="str">
        <f aca="false">IFERROR(__xludf.dummyfunction("""COMPUTED_VALUE"""),"")</f>
        <v/>
      </c>
      <c r="I579" s="50" t="str">
        <f aca="false">IFERROR(__xludf.dummyfunction("""COMPUTED_VALUE"""),"")</f>
        <v/>
      </c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  <c r="DY579" s="15"/>
      <c r="DZ579" s="15"/>
      <c r="EA579" s="15"/>
      <c r="EB579" s="15"/>
      <c r="EC579" s="15"/>
      <c r="ED579" s="15"/>
      <c r="EE579" s="15"/>
      <c r="EF579" s="15"/>
      <c r="EG579" s="15"/>
      <c r="EH579" s="15"/>
      <c r="EI579" s="15"/>
      <c r="EJ579" s="15"/>
      <c r="EK579" s="15"/>
      <c r="EL579" s="15"/>
      <c r="EM579" s="15"/>
      <c r="EN579" s="15"/>
      <c r="EO579" s="15"/>
      <c r="EP579" s="15"/>
      <c r="EQ579" s="15"/>
      <c r="ER579" s="15"/>
      <c r="ES579" s="15"/>
      <c r="ET579" s="15"/>
      <c r="EU579" s="15"/>
      <c r="EV579" s="15"/>
      <c r="EW579" s="15"/>
      <c r="EX579" s="15"/>
    </row>
    <row r="580" customFormat="false" ht="15.75" hidden="false" customHeight="false" outlineLevel="0" collapsed="false">
      <c r="A580" s="76"/>
      <c r="B580" s="77"/>
      <c r="C580" s="77"/>
      <c r="D580" s="78"/>
      <c r="E580" s="72"/>
      <c r="F580" s="68"/>
      <c r="G580" s="15"/>
      <c r="H580" s="76" t="str">
        <f aca="false">IFERROR(__xludf.dummyfunction("""COMPUTED_VALUE"""),"")</f>
        <v/>
      </c>
      <c r="I580" s="50" t="str">
        <f aca="false">IFERROR(__xludf.dummyfunction("""COMPUTED_VALUE"""),"")</f>
        <v/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  <c r="DY580" s="15"/>
      <c r="DZ580" s="15"/>
      <c r="EA580" s="15"/>
      <c r="EB580" s="15"/>
      <c r="EC580" s="15"/>
      <c r="ED580" s="15"/>
      <c r="EE580" s="15"/>
      <c r="EF580" s="15"/>
      <c r="EG580" s="15"/>
      <c r="EH580" s="15"/>
      <c r="EI580" s="15"/>
      <c r="EJ580" s="15"/>
      <c r="EK580" s="15"/>
      <c r="EL580" s="15"/>
      <c r="EM580" s="15"/>
      <c r="EN580" s="15"/>
      <c r="EO580" s="15"/>
      <c r="EP580" s="15"/>
      <c r="EQ580" s="15"/>
      <c r="ER580" s="15"/>
      <c r="ES580" s="15"/>
      <c r="ET580" s="15"/>
      <c r="EU580" s="15"/>
      <c r="EV580" s="15"/>
      <c r="EW580" s="15"/>
      <c r="EX580" s="15"/>
    </row>
    <row r="581" customFormat="false" ht="15.75" hidden="false" customHeight="false" outlineLevel="0" collapsed="false">
      <c r="A581" s="76"/>
      <c r="B581" s="77"/>
      <c r="C581" s="77"/>
      <c r="D581" s="78"/>
      <c r="E581" s="72"/>
      <c r="F581" s="68"/>
      <c r="G581" s="15"/>
      <c r="H581" s="76" t="str">
        <f aca="false">IFERROR(__xludf.dummyfunction("""COMPUTED_VALUE"""),"")</f>
        <v/>
      </c>
      <c r="I581" s="50" t="str">
        <f aca="false">IFERROR(__xludf.dummyfunction("""COMPUTED_VALUE"""),"")</f>
        <v/>
      </c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  <c r="DY581" s="15"/>
      <c r="DZ581" s="15"/>
      <c r="EA581" s="15"/>
      <c r="EB581" s="15"/>
      <c r="EC581" s="15"/>
      <c r="ED581" s="15"/>
      <c r="EE581" s="15"/>
      <c r="EF581" s="15"/>
      <c r="EG581" s="15"/>
      <c r="EH581" s="15"/>
      <c r="EI581" s="15"/>
      <c r="EJ581" s="15"/>
      <c r="EK581" s="15"/>
      <c r="EL581" s="15"/>
      <c r="EM581" s="15"/>
      <c r="EN581" s="15"/>
      <c r="EO581" s="15"/>
      <c r="EP581" s="15"/>
      <c r="EQ581" s="15"/>
      <c r="ER581" s="15"/>
      <c r="ES581" s="15"/>
      <c r="ET581" s="15"/>
      <c r="EU581" s="15"/>
      <c r="EV581" s="15"/>
      <c r="EW581" s="15"/>
      <c r="EX581" s="15"/>
    </row>
    <row r="582" customFormat="false" ht="15.75" hidden="false" customHeight="false" outlineLevel="0" collapsed="false">
      <c r="A582" s="76"/>
      <c r="B582" s="77"/>
      <c r="C582" s="77"/>
      <c r="D582" s="78"/>
      <c r="E582" s="72"/>
      <c r="F582" s="68"/>
      <c r="G582" s="15"/>
      <c r="H582" s="76" t="str">
        <f aca="false">IFERROR(__xludf.dummyfunction("""COMPUTED_VALUE"""),"")</f>
        <v/>
      </c>
      <c r="I582" s="50" t="str">
        <f aca="false">IFERROR(__xludf.dummyfunction("""COMPUTED_VALUE"""),"")</f>
        <v/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  <c r="DY582" s="15"/>
      <c r="DZ582" s="15"/>
      <c r="EA582" s="15"/>
      <c r="EB582" s="15"/>
      <c r="EC582" s="15"/>
      <c r="ED582" s="15"/>
      <c r="EE582" s="15"/>
      <c r="EF582" s="15"/>
      <c r="EG582" s="15"/>
      <c r="EH582" s="15"/>
      <c r="EI582" s="15"/>
      <c r="EJ582" s="15"/>
      <c r="EK582" s="15"/>
      <c r="EL582" s="15"/>
      <c r="EM582" s="15"/>
      <c r="EN582" s="15"/>
      <c r="EO582" s="15"/>
      <c r="EP582" s="15"/>
      <c r="EQ582" s="15"/>
      <c r="ER582" s="15"/>
      <c r="ES582" s="15"/>
      <c r="ET582" s="15"/>
      <c r="EU582" s="15"/>
      <c r="EV582" s="15"/>
      <c r="EW582" s="15"/>
      <c r="EX582" s="15"/>
    </row>
    <row r="583" customFormat="false" ht="15.75" hidden="false" customHeight="false" outlineLevel="0" collapsed="false">
      <c r="A583" s="76"/>
      <c r="B583" s="77"/>
      <c r="C583" s="77"/>
      <c r="D583" s="78"/>
      <c r="E583" s="72"/>
      <c r="F583" s="68"/>
      <c r="G583" s="15"/>
      <c r="H583" s="76" t="str">
        <f aca="false">IFERROR(__xludf.dummyfunction("""COMPUTED_VALUE"""),"")</f>
        <v/>
      </c>
      <c r="I583" s="50" t="str">
        <f aca="false">IFERROR(__xludf.dummyfunction("""COMPUTED_VALUE"""),"")</f>
        <v/>
      </c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  <c r="DY583" s="15"/>
      <c r="DZ583" s="15"/>
      <c r="EA583" s="15"/>
      <c r="EB583" s="15"/>
      <c r="EC583" s="15"/>
      <c r="ED583" s="15"/>
      <c r="EE583" s="15"/>
      <c r="EF583" s="15"/>
      <c r="EG583" s="15"/>
      <c r="EH583" s="15"/>
      <c r="EI583" s="15"/>
      <c r="EJ583" s="15"/>
      <c r="EK583" s="15"/>
      <c r="EL583" s="15"/>
      <c r="EM583" s="15"/>
      <c r="EN583" s="15"/>
      <c r="EO583" s="15"/>
      <c r="EP583" s="15"/>
      <c r="EQ583" s="15"/>
      <c r="ER583" s="15"/>
      <c r="ES583" s="15"/>
      <c r="ET583" s="15"/>
      <c r="EU583" s="15"/>
      <c r="EV583" s="15"/>
      <c r="EW583" s="15"/>
      <c r="EX583" s="15"/>
    </row>
    <row r="584" customFormat="false" ht="15.75" hidden="false" customHeight="false" outlineLevel="0" collapsed="false">
      <c r="A584" s="76"/>
      <c r="B584" s="77"/>
      <c r="C584" s="77"/>
      <c r="D584" s="78"/>
      <c r="E584" s="72"/>
      <c r="F584" s="68"/>
      <c r="G584" s="15"/>
      <c r="H584" s="76" t="str">
        <f aca="false">IFERROR(__xludf.dummyfunction("""COMPUTED_VALUE"""),"")</f>
        <v/>
      </c>
      <c r="I584" s="50" t="str">
        <f aca="false">IFERROR(__xludf.dummyfunction("""COMPUTED_VALUE"""),"")</f>
        <v/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  <c r="DY584" s="15"/>
      <c r="DZ584" s="15"/>
      <c r="EA584" s="15"/>
      <c r="EB584" s="15"/>
      <c r="EC584" s="15"/>
      <c r="ED584" s="15"/>
      <c r="EE584" s="15"/>
      <c r="EF584" s="15"/>
      <c r="EG584" s="15"/>
      <c r="EH584" s="15"/>
      <c r="EI584" s="15"/>
      <c r="EJ584" s="15"/>
      <c r="EK584" s="15"/>
      <c r="EL584" s="15"/>
      <c r="EM584" s="15"/>
      <c r="EN584" s="15"/>
      <c r="EO584" s="15"/>
      <c r="EP584" s="15"/>
      <c r="EQ584" s="15"/>
      <c r="ER584" s="15"/>
      <c r="ES584" s="15"/>
      <c r="ET584" s="15"/>
      <c r="EU584" s="15"/>
      <c r="EV584" s="15"/>
      <c r="EW584" s="15"/>
      <c r="EX584" s="15"/>
    </row>
    <row r="585" customFormat="false" ht="15.75" hidden="false" customHeight="false" outlineLevel="0" collapsed="false">
      <c r="A585" s="76"/>
      <c r="B585" s="77"/>
      <c r="C585" s="77"/>
      <c r="D585" s="78"/>
      <c r="E585" s="72"/>
      <c r="F585" s="68"/>
      <c r="G585" s="15"/>
      <c r="H585" s="76" t="str">
        <f aca="false">IFERROR(__xludf.dummyfunction("""COMPUTED_VALUE"""),"")</f>
        <v/>
      </c>
      <c r="I585" s="50" t="str">
        <f aca="false">IFERROR(__xludf.dummyfunction("""COMPUTED_VALUE"""),"")</f>
        <v/>
      </c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  <c r="DY585" s="15"/>
      <c r="DZ585" s="15"/>
      <c r="EA585" s="15"/>
      <c r="EB585" s="15"/>
      <c r="EC585" s="15"/>
      <c r="ED585" s="15"/>
      <c r="EE585" s="15"/>
      <c r="EF585" s="15"/>
      <c r="EG585" s="15"/>
      <c r="EH585" s="15"/>
      <c r="EI585" s="15"/>
      <c r="EJ585" s="15"/>
      <c r="EK585" s="15"/>
      <c r="EL585" s="15"/>
      <c r="EM585" s="15"/>
      <c r="EN585" s="15"/>
      <c r="EO585" s="15"/>
      <c r="EP585" s="15"/>
      <c r="EQ585" s="15"/>
      <c r="ER585" s="15"/>
      <c r="ES585" s="15"/>
      <c r="ET585" s="15"/>
      <c r="EU585" s="15"/>
      <c r="EV585" s="15"/>
      <c r="EW585" s="15"/>
      <c r="EX585" s="15"/>
    </row>
    <row r="586" customFormat="false" ht="15.75" hidden="false" customHeight="false" outlineLevel="0" collapsed="false">
      <c r="A586" s="76"/>
      <c r="B586" s="77"/>
      <c r="C586" s="77"/>
      <c r="D586" s="78"/>
      <c r="E586" s="72"/>
      <c r="F586" s="68"/>
      <c r="G586" s="15"/>
      <c r="H586" s="76" t="str">
        <f aca="false">IFERROR(__xludf.dummyfunction("""COMPUTED_VALUE"""),"")</f>
        <v/>
      </c>
      <c r="I586" s="50" t="str">
        <f aca="false">IFERROR(__xludf.dummyfunction("""COMPUTED_VALUE"""),"")</f>
        <v/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  <c r="DY586" s="15"/>
      <c r="DZ586" s="15"/>
      <c r="EA586" s="15"/>
      <c r="EB586" s="15"/>
      <c r="EC586" s="15"/>
      <c r="ED586" s="15"/>
      <c r="EE586" s="15"/>
      <c r="EF586" s="15"/>
      <c r="EG586" s="15"/>
      <c r="EH586" s="15"/>
      <c r="EI586" s="15"/>
      <c r="EJ586" s="15"/>
      <c r="EK586" s="15"/>
      <c r="EL586" s="15"/>
      <c r="EM586" s="15"/>
      <c r="EN586" s="15"/>
      <c r="EO586" s="15"/>
      <c r="EP586" s="15"/>
      <c r="EQ586" s="15"/>
      <c r="ER586" s="15"/>
      <c r="ES586" s="15"/>
      <c r="ET586" s="15"/>
      <c r="EU586" s="15"/>
      <c r="EV586" s="15"/>
      <c r="EW586" s="15"/>
      <c r="EX586" s="15"/>
    </row>
    <row r="587" customFormat="false" ht="15.75" hidden="false" customHeight="false" outlineLevel="0" collapsed="false">
      <c r="A587" s="76"/>
      <c r="B587" s="77"/>
      <c r="C587" s="77"/>
      <c r="D587" s="78"/>
      <c r="E587" s="72"/>
      <c r="F587" s="68"/>
      <c r="G587" s="15"/>
      <c r="H587" s="76" t="str">
        <f aca="false">IFERROR(__xludf.dummyfunction("""COMPUTED_VALUE"""),"")</f>
        <v/>
      </c>
      <c r="I587" s="50" t="str">
        <f aca="false">IFERROR(__xludf.dummyfunction("""COMPUTED_VALUE"""),"")</f>
        <v/>
      </c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  <c r="DY587" s="15"/>
      <c r="DZ587" s="15"/>
      <c r="EA587" s="15"/>
      <c r="EB587" s="15"/>
      <c r="EC587" s="15"/>
      <c r="ED587" s="15"/>
      <c r="EE587" s="15"/>
      <c r="EF587" s="15"/>
      <c r="EG587" s="15"/>
      <c r="EH587" s="15"/>
      <c r="EI587" s="15"/>
      <c r="EJ587" s="15"/>
      <c r="EK587" s="15"/>
      <c r="EL587" s="15"/>
      <c r="EM587" s="15"/>
      <c r="EN587" s="15"/>
      <c r="EO587" s="15"/>
      <c r="EP587" s="15"/>
      <c r="EQ587" s="15"/>
      <c r="ER587" s="15"/>
      <c r="ES587" s="15"/>
      <c r="ET587" s="15"/>
      <c r="EU587" s="15"/>
      <c r="EV587" s="15"/>
      <c r="EW587" s="15"/>
      <c r="EX587" s="15"/>
    </row>
    <row r="588" customFormat="false" ht="15.75" hidden="false" customHeight="false" outlineLevel="0" collapsed="false">
      <c r="A588" s="76"/>
      <c r="B588" s="77"/>
      <c r="C588" s="77"/>
      <c r="D588" s="78"/>
      <c r="E588" s="72"/>
      <c r="F588" s="68"/>
      <c r="G588" s="15"/>
      <c r="H588" s="76" t="str">
        <f aca="false">IFERROR(__xludf.dummyfunction("""COMPUTED_VALUE"""),"")</f>
        <v/>
      </c>
      <c r="I588" s="50" t="str">
        <f aca="false">IFERROR(__xludf.dummyfunction("""COMPUTED_VALUE"""),"")</f>
        <v/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  <c r="DY588" s="15"/>
      <c r="DZ588" s="15"/>
      <c r="EA588" s="15"/>
      <c r="EB588" s="15"/>
      <c r="EC588" s="15"/>
      <c r="ED588" s="15"/>
      <c r="EE588" s="15"/>
      <c r="EF588" s="15"/>
      <c r="EG588" s="15"/>
      <c r="EH588" s="15"/>
      <c r="EI588" s="15"/>
      <c r="EJ588" s="15"/>
      <c r="EK588" s="15"/>
      <c r="EL588" s="15"/>
      <c r="EM588" s="15"/>
      <c r="EN588" s="15"/>
      <c r="EO588" s="15"/>
      <c r="EP588" s="15"/>
      <c r="EQ588" s="15"/>
      <c r="ER588" s="15"/>
      <c r="ES588" s="15"/>
      <c r="ET588" s="15"/>
      <c r="EU588" s="15"/>
      <c r="EV588" s="15"/>
      <c r="EW588" s="15"/>
      <c r="EX588" s="15"/>
    </row>
    <row r="589" customFormat="false" ht="15.75" hidden="false" customHeight="false" outlineLevel="0" collapsed="false">
      <c r="A589" s="76"/>
      <c r="B589" s="77"/>
      <c r="C589" s="77"/>
      <c r="D589" s="78"/>
      <c r="E589" s="72"/>
      <c r="F589" s="68"/>
      <c r="G589" s="15"/>
      <c r="H589" s="76" t="str">
        <f aca="false">IFERROR(__xludf.dummyfunction("""COMPUTED_VALUE"""),"")</f>
        <v/>
      </c>
      <c r="I589" s="50" t="str">
        <f aca="false">IFERROR(__xludf.dummyfunction("""COMPUTED_VALUE"""),"")</f>
        <v/>
      </c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  <c r="DY589" s="15"/>
      <c r="DZ589" s="15"/>
      <c r="EA589" s="15"/>
      <c r="EB589" s="15"/>
      <c r="EC589" s="15"/>
      <c r="ED589" s="15"/>
      <c r="EE589" s="15"/>
      <c r="EF589" s="15"/>
      <c r="EG589" s="15"/>
      <c r="EH589" s="15"/>
      <c r="EI589" s="15"/>
      <c r="EJ589" s="15"/>
      <c r="EK589" s="15"/>
      <c r="EL589" s="15"/>
      <c r="EM589" s="15"/>
      <c r="EN589" s="15"/>
      <c r="EO589" s="15"/>
      <c r="EP589" s="15"/>
      <c r="EQ589" s="15"/>
      <c r="ER589" s="15"/>
      <c r="ES589" s="15"/>
      <c r="ET589" s="15"/>
      <c r="EU589" s="15"/>
      <c r="EV589" s="15"/>
      <c r="EW589" s="15"/>
      <c r="EX589" s="15"/>
    </row>
    <row r="590" customFormat="false" ht="15.75" hidden="false" customHeight="false" outlineLevel="0" collapsed="false">
      <c r="A590" s="76"/>
      <c r="B590" s="77"/>
      <c r="C590" s="77"/>
      <c r="D590" s="78"/>
      <c r="E590" s="72"/>
      <c r="F590" s="68"/>
      <c r="G590" s="15"/>
      <c r="H590" s="76" t="str">
        <f aca="false">IFERROR(__xludf.dummyfunction("""COMPUTED_VALUE"""),"")</f>
        <v/>
      </c>
      <c r="I590" s="50" t="str">
        <f aca="false">IFERROR(__xludf.dummyfunction("""COMPUTED_VALUE"""),"")</f>
        <v/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  <c r="DY590" s="15"/>
      <c r="DZ590" s="15"/>
      <c r="EA590" s="15"/>
      <c r="EB590" s="15"/>
      <c r="EC590" s="15"/>
      <c r="ED590" s="15"/>
      <c r="EE590" s="15"/>
      <c r="EF590" s="15"/>
      <c r="EG590" s="15"/>
      <c r="EH590" s="15"/>
      <c r="EI590" s="15"/>
      <c r="EJ590" s="15"/>
      <c r="EK590" s="15"/>
      <c r="EL590" s="15"/>
      <c r="EM590" s="15"/>
      <c r="EN590" s="15"/>
      <c r="EO590" s="15"/>
      <c r="EP590" s="15"/>
      <c r="EQ590" s="15"/>
      <c r="ER590" s="15"/>
      <c r="ES590" s="15"/>
      <c r="ET590" s="15"/>
      <c r="EU590" s="15"/>
      <c r="EV590" s="15"/>
      <c r="EW590" s="15"/>
      <c r="EX590" s="15"/>
    </row>
    <row r="591" customFormat="false" ht="15.75" hidden="false" customHeight="false" outlineLevel="0" collapsed="false">
      <c r="A591" s="76"/>
      <c r="B591" s="77"/>
      <c r="C591" s="77"/>
      <c r="D591" s="78"/>
      <c r="E591" s="72"/>
      <c r="F591" s="68"/>
      <c r="G591" s="15"/>
      <c r="H591" s="76" t="str">
        <f aca="false">IFERROR(__xludf.dummyfunction("""COMPUTED_VALUE"""),"")</f>
        <v/>
      </c>
      <c r="I591" s="50" t="str">
        <f aca="false">IFERROR(__xludf.dummyfunction("""COMPUTED_VALUE"""),"")</f>
        <v/>
      </c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  <c r="DY591" s="15"/>
      <c r="DZ591" s="15"/>
      <c r="EA591" s="15"/>
      <c r="EB591" s="15"/>
      <c r="EC591" s="15"/>
      <c r="ED591" s="15"/>
      <c r="EE591" s="15"/>
      <c r="EF591" s="15"/>
      <c r="EG591" s="15"/>
      <c r="EH591" s="15"/>
      <c r="EI591" s="15"/>
      <c r="EJ591" s="15"/>
      <c r="EK591" s="15"/>
      <c r="EL591" s="15"/>
      <c r="EM591" s="15"/>
      <c r="EN591" s="15"/>
      <c r="EO591" s="15"/>
      <c r="EP591" s="15"/>
      <c r="EQ591" s="15"/>
      <c r="ER591" s="15"/>
      <c r="ES591" s="15"/>
      <c r="ET591" s="15"/>
      <c r="EU591" s="15"/>
      <c r="EV591" s="15"/>
      <c r="EW591" s="15"/>
      <c r="EX591" s="15"/>
    </row>
    <row r="592" customFormat="false" ht="15.75" hidden="false" customHeight="false" outlineLevel="0" collapsed="false">
      <c r="A592" s="76"/>
      <c r="B592" s="77"/>
      <c r="C592" s="77"/>
      <c r="D592" s="78"/>
      <c r="E592" s="72"/>
      <c r="F592" s="68"/>
      <c r="G592" s="15"/>
      <c r="H592" s="76" t="str">
        <f aca="false">IFERROR(__xludf.dummyfunction("""COMPUTED_VALUE"""),"")</f>
        <v/>
      </c>
      <c r="I592" s="50" t="str">
        <f aca="false">IFERROR(__xludf.dummyfunction("""COMPUTED_VALUE"""),"")</f>
        <v/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  <c r="DY592" s="15"/>
      <c r="DZ592" s="15"/>
      <c r="EA592" s="15"/>
      <c r="EB592" s="15"/>
      <c r="EC592" s="15"/>
      <c r="ED592" s="15"/>
      <c r="EE592" s="15"/>
      <c r="EF592" s="15"/>
      <c r="EG592" s="15"/>
      <c r="EH592" s="15"/>
      <c r="EI592" s="15"/>
      <c r="EJ592" s="15"/>
      <c r="EK592" s="15"/>
      <c r="EL592" s="15"/>
      <c r="EM592" s="15"/>
      <c r="EN592" s="15"/>
      <c r="EO592" s="15"/>
      <c r="EP592" s="15"/>
      <c r="EQ592" s="15"/>
      <c r="ER592" s="15"/>
      <c r="ES592" s="15"/>
      <c r="ET592" s="15"/>
      <c r="EU592" s="15"/>
      <c r="EV592" s="15"/>
      <c r="EW592" s="15"/>
      <c r="EX592" s="15"/>
    </row>
    <row r="593" customFormat="false" ht="15.75" hidden="false" customHeight="false" outlineLevel="0" collapsed="false">
      <c r="A593" s="76"/>
      <c r="B593" s="77"/>
      <c r="C593" s="77"/>
      <c r="D593" s="78"/>
      <c r="E593" s="72"/>
      <c r="F593" s="68"/>
      <c r="G593" s="15"/>
      <c r="H593" s="76" t="str">
        <f aca="false">IFERROR(__xludf.dummyfunction("""COMPUTED_VALUE"""),"")</f>
        <v/>
      </c>
      <c r="I593" s="50" t="str">
        <f aca="false">IFERROR(__xludf.dummyfunction("""COMPUTED_VALUE"""),"")</f>
        <v/>
      </c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  <c r="DY593" s="15"/>
      <c r="DZ593" s="15"/>
      <c r="EA593" s="15"/>
      <c r="EB593" s="15"/>
      <c r="EC593" s="15"/>
      <c r="ED593" s="15"/>
      <c r="EE593" s="15"/>
      <c r="EF593" s="15"/>
      <c r="EG593" s="15"/>
      <c r="EH593" s="15"/>
      <c r="EI593" s="15"/>
      <c r="EJ593" s="15"/>
      <c r="EK593" s="15"/>
      <c r="EL593" s="15"/>
      <c r="EM593" s="15"/>
      <c r="EN593" s="15"/>
      <c r="EO593" s="15"/>
      <c r="EP593" s="15"/>
      <c r="EQ593" s="15"/>
      <c r="ER593" s="15"/>
      <c r="ES593" s="15"/>
      <c r="ET593" s="15"/>
      <c r="EU593" s="15"/>
      <c r="EV593" s="15"/>
      <c r="EW593" s="15"/>
      <c r="EX593" s="15"/>
    </row>
    <row r="594" customFormat="false" ht="15.75" hidden="false" customHeight="false" outlineLevel="0" collapsed="false">
      <c r="A594" s="76"/>
      <c r="B594" s="77"/>
      <c r="C594" s="77"/>
      <c r="D594" s="78"/>
      <c r="E594" s="72"/>
      <c r="F594" s="68"/>
      <c r="G594" s="15"/>
      <c r="H594" s="76" t="str">
        <f aca="false">IFERROR(__xludf.dummyfunction("""COMPUTED_VALUE"""),"")</f>
        <v/>
      </c>
      <c r="I594" s="50" t="str">
        <f aca="false">IFERROR(__xludf.dummyfunction("""COMPUTED_VALUE"""),"")</f>
        <v/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  <c r="DY594" s="15"/>
      <c r="DZ594" s="15"/>
      <c r="EA594" s="15"/>
      <c r="EB594" s="15"/>
      <c r="EC594" s="15"/>
      <c r="ED594" s="15"/>
      <c r="EE594" s="15"/>
      <c r="EF594" s="15"/>
      <c r="EG594" s="15"/>
      <c r="EH594" s="15"/>
      <c r="EI594" s="15"/>
      <c r="EJ594" s="15"/>
      <c r="EK594" s="15"/>
      <c r="EL594" s="15"/>
      <c r="EM594" s="15"/>
      <c r="EN594" s="15"/>
      <c r="EO594" s="15"/>
      <c r="EP594" s="15"/>
      <c r="EQ594" s="15"/>
      <c r="ER594" s="15"/>
      <c r="ES594" s="15"/>
      <c r="ET594" s="15"/>
      <c r="EU594" s="15"/>
      <c r="EV594" s="15"/>
      <c r="EW594" s="15"/>
      <c r="EX594" s="15"/>
    </row>
    <row r="595" customFormat="false" ht="15.75" hidden="false" customHeight="false" outlineLevel="0" collapsed="false">
      <c r="A595" s="76"/>
      <c r="B595" s="77"/>
      <c r="C595" s="77"/>
      <c r="D595" s="78"/>
      <c r="E595" s="72"/>
      <c r="F595" s="68"/>
      <c r="G595" s="15"/>
      <c r="H595" s="76" t="str">
        <f aca="false">IFERROR(__xludf.dummyfunction("""COMPUTED_VALUE"""),"")</f>
        <v/>
      </c>
      <c r="I595" s="50" t="str">
        <f aca="false">IFERROR(__xludf.dummyfunction("""COMPUTED_VALUE"""),"")</f>
        <v/>
      </c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  <c r="DY595" s="15"/>
      <c r="DZ595" s="15"/>
      <c r="EA595" s="15"/>
      <c r="EB595" s="15"/>
      <c r="EC595" s="15"/>
      <c r="ED595" s="15"/>
      <c r="EE595" s="15"/>
      <c r="EF595" s="15"/>
      <c r="EG595" s="15"/>
      <c r="EH595" s="15"/>
      <c r="EI595" s="15"/>
      <c r="EJ595" s="15"/>
      <c r="EK595" s="15"/>
      <c r="EL595" s="15"/>
      <c r="EM595" s="15"/>
      <c r="EN595" s="15"/>
      <c r="EO595" s="15"/>
      <c r="EP595" s="15"/>
      <c r="EQ595" s="15"/>
      <c r="ER595" s="15"/>
      <c r="ES595" s="15"/>
      <c r="ET595" s="15"/>
      <c r="EU595" s="15"/>
      <c r="EV595" s="15"/>
      <c r="EW595" s="15"/>
      <c r="EX595" s="15"/>
    </row>
    <row r="596" customFormat="false" ht="15.75" hidden="false" customHeight="false" outlineLevel="0" collapsed="false">
      <c r="A596" s="76"/>
      <c r="B596" s="77"/>
      <c r="C596" s="77"/>
      <c r="D596" s="78"/>
      <c r="E596" s="72"/>
      <c r="F596" s="68"/>
      <c r="G596" s="15"/>
      <c r="H596" s="76" t="str">
        <f aca="false">IFERROR(__xludf.dummyfunction("""COMPUTED_VALUE"""),"")</f>
        <v/>
      </c>
      <c r="I596" s="50" t="str">
        <f aca="false">IFERROR(__xludf.dummyfunction("""COMPUTED_VALUE"""),"")</f>
        <v/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  <c r="DY596" s="15"/>
      <c r="DZ596" s="15"/>
      <c r="EA596" s="15"/>
      <c r="EB596" s="15"/>
      <c r="EC596" s="15"/>
      <c r="ED596" s="15"/>
      <c r="EE596" s="15"/>
      <c r="EF596" s="15"/>
      <c r="EG596" s="15"/>
      <c r="EH596" s="15"/>
      <c r="EI596" s="15"/>
      <c r="EJ596" s="15"/>
      <c r="EK596" s="15"/>
      <c r="EL596" s="15"/>
      <c r="EM596" s="15"/>
      <c r="EN596" s="15"/>
      <c r="EO596" s="15"/>
      <c r="EP596" s="15"/>
      <c r="EQ596" s="15"/>
      <c r="ER596" s="15"/>
      <c r="ES596" s="15"/>
      <c r="ET596" s="15"/>
      <c r="EU596" s="15"/>
      <c r="EV596" s="15"/>
      <c r="EW596" s="15"/>
      <c r="EX596" s="15"/>
    </row>
    <row r="597" customFormat="false" ht="15.75" hidden="false" customHeight="false" outlineLevel="0" collapsed="false">
      <c r="A597" s="76"/>
      <c r="B597" s="77"/>
      <c r="C597" s="77"/>
      <c r="D597" s="78"/>
      <c r="E597" s="72"/>
      <c r="F597" s="68"/>
      <c r="G597" s="15"/>
      <c r="H597" s="76" t="str">
        <f aca="false">IFERROR(__xludf.dummyfunction("""COMPUTED_VALUE"""),"")</f>
        <v/>
      </c>
      <c r="I597" s="50" t="str">
        <f aca="false">IFERROR(__xludf.dummyfunction("""COMPUTED_VALUE"""),"")</f>
        <v/>
      </c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  <c r="DY597" s="15"/>
      <c r="DZ597" s="15"/>
      <c r="EA597" s="15"/>
      <c r="EB597" s="15"/>
      <c r="EC597" s="15"/>
      <c r="ED597" s="15"/>
      <c r="EE597" s="15"/>
      <c r="EF597" s="15"/>
      <c r="EG597" s="15"/>
      <c r="EH597" s="15"/>
      <c r="EI597" s="15"/>
      <c r="EJ597" s="15"/>
      <c r="EK597" s="15"/>
      <c r="EL597" s="15"/>
      <c r="EM597" s="15"/>
      <c r="EN597" s="15"/>
      <c r="EO597" s="15"/>
      <c r="EP597" s="15"/>
      <c r="EQ597" s="15"/>
      <c r="ER597" s="15"/>
      <c r="ES597" s="15"/>
      <c r="ET597" s="15"/>
      <c r="EU597" s="15"/>
      <c r="EV597" s="15"/>
      <c r="EW597" s="15"/>
      <c r="EX597" s="15"/>
    </row>
    <row r="598" customFormat="false" ht="15.75" hidden="false" customHeight="false" outlineLevel="0" collapsed="false">
      <c r="A598" s="76"/>
      <c r="B598" s="77"/>
      <c r="C598" s="77"/>
      <c r="D598" s="78"/>
      <c r="E598" s="72"/>
      <c r="F598" s="68"/>
      <c r="G598" s="15"/>
      <c r="H598" s="76" t="str">
        <f aca="false">IFERROR(__xludf.dummyfunction("""COMPUTED_VALUE"""),"")</f>
        <v/>
      </c>
      <c r="I598" s="50" t="str">
        <f aca="false">IFERROR(__xludf.dummyfunction("""COMPUTED_VALUE"""),"")</f>
        <v/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  <c r="DY598" s="15"/>
      <c r="DZ598" s="15"/>
      <c r="EA598" s="15"/>
      <c r="EB598" s="15"/>
      <c r="EC598" s="15"/>
      <c r="ED598" s="15"/>
      <c r="EE598" s="15"/>
      <c r="EF598" s="15"/>
      <c r="EG598" s="15"/>
      <c r="EH598" s="15"/>
      <c r="EI598" s="15"/>
      <c r="EJ598" s="15"/>
      <c r="EK598" s="15"/>
      <c r="EL598" s="15"/>
      <c r="EM598" s="15"/>
      <c r="EN598" s="15"/>
      <c r="EO598" s="15"/>
      <c r="EP598" s="15"/>
      <c r="EQ598" s="15"/>
      <c r="ER598" s="15"/>
      <c r="ES598" s="15"/>
      <c r="ET598" s="15"/>
      <c r="EU598" s="15"/>
      <c r="EV598" s="15"/>
      <c r="EW598" s="15"/>
      <c r="EX598" s="15"/>
    </row>
    <row r="599" customFormat="false" ht="15.75" hidden="false" customHeight="false" outlineLevel="0" collapsed="false">
      <c r="A599" s="76"/>
      <c r="B599" s="77"/>
      <c r="C599" s="77"/>
      <c r="D599" s="78"/>
      <c r="E599" s="72"/>
      <c r="F599" s="68"/>
      <c r="G599" s="15"/>
      <c r="H599" s="76" t="str">
        <f aca="false">IFERROR(__xludf.dummyfunction("""COMPUTED_VALUE"""),"")</f>
        <v/>
      </c>
      <c r="I599" s="50" t="str">
        <f aca="false">IFERROR(__xludf.dummyfunction("""COMPUTED_VALUE"""),"")</f>
        <v/>
      </c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  <c r="DY599" s="15"/>
      <c r="DZ599" s="15"/>
      <c r="EA599" s="15"/>
      <c r="EB599" s="15"/>
      <c r="EC599" s="15"/>
      <c r="ED599" s="15"/>
      <c r="EE599" s="15"/>
      <c r="EF599" s="15"/>
      <c r="EG599" s="15"/>
      <c r="EH599" s="15"/>
      <c r="EI599" s="15"/>
      <c r="EJ599" s="15"/>
      <c r="EK599" s="15"/>
      <c r="EL599" s="15"/>
      <c r="EM599" s="15"/>
      <c r="EN599" s="15"/>
      <c r="EO599" s="15"/>
      <c r="EP599" s="15"/>
      <c r="EQ599" s="15"/>
      <c r="ER599" s="15"/>
      <c r="ES599" s="15"/>
      <c r="ET599" s="15"/>
      <c r="EU599" s="15"/>
      <c r="EV599" s="15"/>
      <c r="EW599" s="15"/>
      <c r="EX599" s="15"/>
    </row>
    <row r="600" customFormat="false" ht="15.75" hidden="false" customHeight="false" outlineLevel="0" collapsed="false">
      <c r="A600" s="76"/>
      <c r="B600" s="77"/>
      <c r="C600" s="77"/>
      <c r="D600" s="78"/>
      <c r="E600" s="72"/>
      <c r="F600" s="68"/>
      <c r="G600" s="15"/>
      <c r="H600" s="76" t="str">
        <f aca="false">IFERROR(__xludf.dummyfunction("""COMPUTED_VALUE"""),"")</f>
        <v/>
      </c>
      <c r="I600" s="50" t="str">
        <f aca="false">IFERROR(__xludf.dummyfunction("""COMPUTED_VALUE"""),"")</f>
        <v/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  <c r="DY600" s="15"/>
      <c r="DZ600" s="15"/>
      <c r="EA600" s="15"/>
      <c r="EB600" s="15"/>
      <c r="EC600" s="15"/>
      <c r="ED600" s="15"/>
      <c r="EE600" s="15"/>
      <c r="EF600" s="15"/>
      <c r="EG600" s="15"/>
      <c r="EH600" s="15"/>
      <c r="EI600" s="15"/>
      <c r="EJ600" s="15"/>
      <c r="EK600" s="15"/>
      <c r="EL600" s="15"/>
      <c r="EM600" s="15"/>
      <c r="EN600" s="15"/>
      <c r="EO600" s="15"/>
      <c r="EP600" s="15"/>
      <c r="EQ600" s="15"/>
      <c r="ER600" s="15"/>
      <c r="ES600" s="15"/>
      <c r="ET600" s="15"/>
      <c r="EU600" s="15"/>
      <c r="EV600" s="15"/>
      <c r="EW600" s="15"/>
      <c r="EX600" s="15"/>
    </row>
    <row r="601" customFormat="false" ht="15.75" hidden="false" customHeight="false" outlineLevel="0" collapsed="false">
      <c r="A601" s="76"/>
      <c r="B601" s="77"/>
      <c r="C601" s="77"/>
      <c r="D601" s="78"/>
      <c r="E601" s="72"/>
      <c r="F601" s="68"/>
      <c r="G601" s="15"/>
      <c r="H601" s="76" t="str">
        <f aca="false">IFERROR(__xludf.dummyfunction("""COMPUTED_VALUE"""),"")</f>
        <v/>
      </c>
      <c r="I601" s="50" t="str">
        <f aca="false">IFERROR(__xludf.dummyfunction("""COMPUTED_VALUE"""),"")</f>
        <v/>
      </c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  <c r="DY601" s="15"/>
      <c r="DZ601" s="15"/>
      <c r="EA601" s="15"/>
      <c r="EB601" s="15"/>
      <c r="EC601" s="15"/>
      <c r="ED601" s="15"/>
      <c r="EE601" s="15"/>
      <c r="EF601" s="15"/>
      <c r="EG601" s="15"/>
      <c r="EH601" s="15"/>
      <c r="EI601" s="15"/>
      <c r="EJ601" s="15"/>
      <c r="EK601" s="15"/>
      <c r="EL601" s="15"/>
      <c r="EM601" s="15"/>
      <c r="EN601" s="15"/>
      <c r="EO601" s="15"/>
      <c r="EP601" s="15"/>
      <c r="EQ601" s="15"/>
      <c r="ER601" s="15"/>
      <c r="ES601" s="15"/>
      <c r="ET601" s="15"/>
      <c r="EU601" s="15"/>
      <c r="EV601" s="15"/>
      <c r="EW601" s="15"/>
      <c r="EX601" s="15"/>
    </row>
    <row r="602" customFormat="false" ht="15.75" hidden="false" customHeight="false" outlineLevel="0" collapsed="false">
      <c r="A602" s="76"/>
      <c r="B602" s="77"/>
      <c r="C602" s="77"/>
      <c r="D602" s="78"/>
      <c r="E602" s="72"/>
      <c r="F602" s="68"/>
      <c r="G602" s="15"/>
      <c r="H602" s="76" t="str">
        <f aca="false">IFERROR(__xludf.dummyfunction("""COMPUTED_VALUE"""),"")</f>
        <v/>
      </c>
      <c r="I602" s="50" t="str">
        <f aca="false">IFERROR(__xludf.dummyfunction("""COMPUTED_VALUE"""),"")</f>
        <v/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  <c r="DY602" s="15"/>
      <c r="DZ602" s="15"/>
      <c r="EA602" s="15"/>
      <c r="EB602" s="15"/>
      <c r="EC602" s="15"/>
      <c r="ED602" s="15"/>
      <c r="EE602" s="15"/>
      <c r="EF602" s="15"/>
      <c r="EG602" s="15"/>
      <c r="EH602" s="15"/>
      <c r="EI602" s="15"/>
      <c r="EJ602" s="15"/>
      <c r="EK602" s="15"/>
      <c r="EL602" s="15"/>
      <c r="EM602" s="15"/>
      <c r="EN602" s="15"/>
      <c r="EO602" s="15"/>
      <c r="EP602" s="15"/>
      <c r="EQ602" s="15"/>
      <c r="ER602" s="15"/>
      <c r="ES602" s="15"/>
      <c r="ET602" s="15"/>
      <c r="EU602" s="15"/>
      <c r="EV602" s="15"/>
      <c r="EW602" s="15"/>
      <c r="EX602" s="15"/>
    </row>
    <row r="603" customFormat="false" ht="15.75" hidden="false" customHeight="false" outlineLevel="0" collapsed="false">
      <c r="A603" s="76"/>
      <c r="B603" s="77"/>
      <c r="C603" s="77"/>
      <c r="D603" s="78"/>
      <c r="E603" s="72"/>
      <c r="F603" s="68"/>
      <c r="G603" s="15"/>
      <c r="H603" s="76" t="str">
        <f aca="false">IFERROR(__xludf.dummyfunction("""COMPUTED_VALUE"""),"")</f>
        <v/>
      </c>
      <c r="I603" s="50" t="str">
        <f aca="false">IFERROR(__xludf.dummyfunction("""COMPUTED_VALUE"""),"")</f>
        <v/>
      </c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  <c r="DY603" s="15"/>
      <c r="DZ603" s="15"/>
      <c r="EA603" s="15"/>
      <c r="EB603" s="15"/>
      <c r="EC603" s="15"/>
      <c r="ED603" s="15"/>
      <c r="EE603" s="15"/>
      <c r="EF603" s="15"/>
      <c r="EG603" s="15"/>
      <c r="EH603" s="15"/>
      <c r="EI603" s="15"/>
      <c r="EJ603" s="15"/>
      <c r="EK603" s="15"/>
      <c r="EL603" s="15"/>
      <c r="EM603" s="15"/>
      <c r="EN603" s="15"/>
      <c r="EO603" s="15"/>
      <c r="EP603" s="15"/>
      <c r="EQ603" s="15"/>
      <c r="ER603" s="15"/>
      <c r="ES603" s="15"/>
      <c r="ET603" s="15"/>
      <c r="EU603" s="15"/>
      <c r="EV603" s="15"/>
      <c r="EW603" s="15"/>
      <c r="EX603" s="15"/>
    </row>
    <row r="604" customFormat="false" ht="15.75" hidden="false" customHeight="false" outlineLevel="0" collapsed="false">
      <c r="A604" s="76"/>
      <c r="B604" s="77"/>
      <c r="C604" s="77"/>
      <c r="D604" s="78"/>
      <c r="E604" s="72"/>
      <c r="F604" s="68"/>
      <c r="G604" s="15"/>
      <c r="H604" s="76" t="str">
        <f aca="false">IFERROR(__xludf.dummyfunction("""COMPUTED_VALUE"""),"")</f>
        <v/>
      </c>
      <c r="I604" s="50" t="str">
        <f aca="false">IFERROR(__xludf.dummyfunction("""COMPUTED_VALUE"""),"")</f>
        <v/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  <c r="DY604" s="15"/>
      <c r="DZ604" s="15"/>
      <c r="EA604" s="15"/>
      <c r="EB604" s="15"/>
      <c r="EC604" s="15"/>
      <c r="ED604" s="15"/>
      <c r="EE604" s="15"/>
      <c r="EF604" s="15"/>
      <c r="EG604" s="15"/>
      <c r="EH604" s="15"/>
      <c r="EI604" s="15"/>
      <c r="EJ604" s="15"/>
      <c r="EK604" s="15"/>
      <c r="EL604" s="15"/>
      <c r="EM604" s="15"/>
      <c r="EN604" s="15"/>
      <c r="EO604" s="15"/>
      <c r="EP604" s="15"/>
      <c r="EQ604" s="15"/>
      <c r="ER604" s="15"/>
      <c r="ES604" s="15"/>
      <c r="ET604" s="15"/>
      <c r="EU604" s="15"/>
      <c r="EV604" s="15"/>
      <c r="EW604" s="15"/>
      <c r="EX604" s="15"/>
    </row>
    <row r="605" customFormat="false" ht="15.75" hidden="false" customHeight="false" outlineLevel="0" collapsed="false">
      <c r="A605" s="76"/>
      <c r="B605" s="77"/>
      <c r="C605" s="77"/>
      <c r="D605" s="78"/>
      <c r="E605" s="72"/>
      <c r="F605" s="68"/>
      <c r="G605" s="15"/>
      <c r="H605" s="76" t="str">
        <f aca="false">IFERROR(__xludf.dummyfunction("""COMPUTED_VALUE"""),"")</f>
        <v/>
      </c>
      <c r="I605" s="50" t="str">
        <f aca="false">IFERROR(__xludf.dummyfunction("""COMPUTED_VALUE"""),"")</f>
        <v/>
      </c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  <c r="DY605" s="15"/>
      <c r="DZ605" s="15"/>
      <c r="EA605" s="15"/>
      <c r="EB605" s="15"/>
      <c r="EC605" s="15"/>
      <c r="ED605" s="15"/>
      <c r="EE605" s="15"/>
      <c r="EF605" s="15"/>
      <c r="EG605" s="15"/>
      <c r="EH605" s="15"/>
      <c r="EI605" s="15"/>
      <c r="EJ605" s="15"/>
      <c r="EK605" s="15"/>
      <c r="EL605" s="15"/>
      <c r="EM605" s="15"/>
      <c r="EN605" s="15"/>
      <c r="EO605" s="15"/>
      <c r="EP605" s="15"/>
      <c r="EQ605" s="15"/>
      <c r="ER605" s="15"/>
      <c r="ES605" s="15"/>
      <c r="ET605" s="15"/>
      <c r="EU605" s="15"/>
      <c r="EV605" s="15"/>
      <c r="EW605" s="15"/>
      <c r="EX605" s="15"/>
    </row>
    <row r="606" customFormat="false" ht="15.75" hidden="false" customHeight="false" outlineLevel="0" collapsed="false">
      <c r="A606" s="76"/>
      <c r="B606" s="77"/>
      <c r="C606" s="77"/>
      <c r="D606" s="78"/>
      <c r="E606" s="72"/>
      <c r="F606" s="68"/>
      <c r="G606" s="15"/>
      <c r="H606" s="76" t="str">
        <f aca="false">IFERROR(__xludf.dummyfunction("""COMPUTED_VALUE"""),"")</f>
        <v/>
      </c>
      <c r="I606" s="50" t="str">
        <f aca="false">IFERROR(__xludf.dummyfunction("""COMPUTED_VALUE"""),"")</f>
        <v/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  <c r="DY606" s="15"/>
      <c r="DZ606" s="15"/>
      <c r="EA606" s="15"/>
      <c r="EB606" s="15"/>
      <c r="EC606" s="15"/>
      <c r="ED606" s="15"/>
      <c r="EE606" s="15"/>
      <c r="EF606" s="15"/>
      <c r="EG606" s="15"/>
      <c r="EH606" s="15"/>
      <c r="EI606" s="15"/>
      <c r="EJ606" s="15"/>
      <c r="EK606" s="15"/>
      <c r="EL606" s="15"/>
      <c r="EM606" s="15"/>
      <c r="EN606" s="15"/>
      <c r="EO606" s="15"/>
      <c r="EP606" s="15"/>
      <c r="EQ606" s="15"/>
      <c r="ER606" s="15"/>
      <c r="ES606" s="15"/>
      <c r="ET606" s="15"/>
      <c r="EU606" s="15"/>
      <c r="EV606" s="15"/>
      <c r="EW606" s="15"/>
      <c r="EX606" s="15"/>
    </row>
    <row r="607" customFormat="false" ht="15.75" hidden="false" customHeight="false" outlineLevel="0" collapsed="false">
      <c r="A607" s="76"/>
      <c r="B607" s="77"/>
      <c r="C607" s="77"/>
      <c r="D607" s="78"/>
      <c r="E607" s="72"/>
      <c r="F607" s="68"/>
      <c r="G607" s="15"/>
      <c r="H607" s="76" t="str">
        <f aca="false">IFERROR(__xludf.dummyfunction("""COMPUTED_VALUE"""),"")</f>
        <v/>
      </c>
      <c r="I607" s="50" t="str">
        <f aca="false">IFERROR(__xludf.dummyfunction("""COMPUTED_VALUE"""),"")</f>
        <v/>
      </c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  <c r="DY607" s="15"/>
      <c r="DZ607" s="15"/>
      <c r="EA607" s="15"/>
      <c r="EB607" s="15"/>
      <c r="EC607" s="15"/>
      <c r="ED607" s="15"/>
      <c r="EE607" s="15"/>
      <c r="EF607" s="15"/>
      <c r="EG607" s="15"/>
      <c r="EH607" s="15"/>
      <c r="EI607" s="15"/>
      <c r="EJ607" s="15"/>
      <c r="EK607" s="15"/>
      <c r="EL607" s="15"/>
      <c r="EM607" s="15"/>
      <c r="EN607" s="15"/>
      <c r="EO607" s="15"/>
      <c r="EP607" s="15"/>
      <c r="EQ607" s="15"/>
      <c r="ER607" s="15"/>
      <c r="ES607" s="15"/>
      <c r="ET607" s="15"/>
      <c r="EU607" s="15"/>
      <c r="EV607" s="15"/>
      <c r="EW607" s="15"/>
      <c r="EX607" s="15"/>
    </row>
    <row r="608" customFormat="false" ht="15.75" hidden="false" customHeight="false" outlineLevel="0" collapsed="false">
      <c r="A608" s="76"/>
      <c r="B608" s="77"/>
      <c r="C608" s="77"/>
      <c r="D608" s="78"/>
      <c r="E608" s="72"/>
      <c r="F608" s="68"/>
      <c r="G608" s="15"/>
      <c r="H608" s="76" t="str">
        <f aca="false">IFERROR(__xludf.dummyfunction("""COMPUTED_VALUE"""),"")</f>
        <v/>
      </c>
      <c r="I608" s="50" t="str">
        <f aca="false">IFERROR(__xludf.dummyfunction("""COMPUTED_VALUE"""),"")</f>
        <v/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  <c r="DY608" s="15"/>
      <c r="DZ608" s="15"/>
      <c r="EA608" s="15"/>
      <c r="EB608" s="15"/>
      <c r="EC608" s="15"/>
      <c r="ED608" s="15"/>
      <c r="EE608" s="15"/>
      <c r="EF608" s="15"/>
      <c r="EG608" s="15"/>
      <c r="EH608" s="15"/>
      <c r="EI608" s="15"/>
      <c r="EJ608" s="15"/>
      <c r="EK608" s="15"/>
      <c r="EL608" s="15"/>
      <c r="EM608" s="15"/>
      <c r="EN608" s="15"/>
      <c r="EO608" s="15"/>
      <c r="EP608" s="15"/>
      <c r="EQ608" s="15"/>
      <c r="ER608" s="15"/>
      <c r="ES608" s="15"/>
      <c r="ET608" s="15"/>
      <c r="EU608" s="15"/>
      <c r="EV608" s="15"/>
      <c r="EW608" s="15"/>
      <c r="EX608" s="15"/>
    </row>
    <row r="609" customFormat="false" ht="15.75" hidden="false" customHeight="false" outlineLevel="0" collapsed="false">
      <c r="A609" s="76"/>
      <c r="B609" s="77"/>
      <c r="C609" s="77"/>
      <c r="D609" s="78"/>
      <c r="E609" s="72"/>
      <c r="F609" s="68"/>
      <c r="G609" s="15"/>
      <c r="H609" s="76" t="str">
        <f aca="false">IFERROR(__xludf.dummyfunction("""COMPUTED_VALUE"""),"")</f>
        <v/>
      </c>
      <c r="I609" s="50" t="str">
        <f aca="false">IFERROR(__xludf.dummyfunction("""COMPUTED_VALUE"""),"")</f>
        <v/>
      </c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  <c r="DY609" s="15"/>
      <c r="DZ609" s="15"/>
      <c r="EA609" s="15"/>
      <c r="EB609" s="15"/>
      <c r="EC609" s="15"/>
      <c r="ED609" s="15"/>
      <c r="EE609" s="15"/>
      <c r="EF609" s="15"/>
      <c r="EG609" s="15"/>
      <c r="EH609" s="15"/>
      <c r="EI609" s="15"/>
      <c r="EJ609" s="15"/>
      <c r="EK609" s="15"/>
      <c r="EL609" s="15"/>
      <c r="EM609" s="15"/>
      <c r="EN609" s="15"/>
      <c r="EO609" s="15"/>
      <c r="EP609" s="15"/>
      <c r="EQ609" s="15"/>
      <c r="ER609" s="15"/>
      <c r="ES609" s="15"/>
      <c r="ET609" s="15"/>
      <c r="EU609" s="15"/>
      <c r="EV609" s="15"/>
      <c r="EW609" s="15"/>
      <c r="EX609" s="15"/>
    </row>
    <row r="610" customFormat="false" ht="15.75" hidden="false" customHeight="false" outlineLevel="0" collapsed="false">
      <c r="A610" s="76"/>
      <c r="B610" s="77"/>
      <c r="C610" s="77"/>
      <c r="D610" s="78"/>
      <c r="E610" s="72"/>
      <c r="F610" s="68"/>
      <c r="G610" s="15"/>
      <c r="H610" s="76" t="str">
        <f aca="false">IFERROR(__xludf.dummyfunction("""COMPUTED_VALUE"""),"")</f>
        <v/>
      </c>
      <c r="I610" s="50" t="str">
        <f aca="false">IFERROR(__xludf.dummyfunction("""COMPUTED_VALUE"""),"")</f>
        <v/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  <c r="DY610" s="15"/>
      <c r="DZ610" s="15"/>
      <c r="EA610" s="15"/>
      <c r="EB610" s="15"/>
      <c r="EC610" s="15"/>
      <c r="ED610" s="15"/>
      <c r="EE610" s="15"/>
      <c r="EF610" s="15"/>
      <c r="EG610" s="15"/>
      <c r="EH610" s="15"/>
      <c r="EI610" s="15"/>
      <c r="EJ610" s="15"/>
      <c r="EK610" s="15"/>
      <c r="EL610" s="15"/>
      <c r="EM610" s="15"/>
      <c r="EN610" s="15"/>
      <c r="EO610" s="15"/>
      <c r="EP610" s="15"/>
      <c r="EQ610" s="15"/>
      <c r="ER610" s="15"/>
      <c r="ES610" s="15"/>
      <c r="ET610" s="15"/>
      <c r="EU610" s="15"/>
      <c r="EV610" s="15"/>
      <c r="EW610" s="15"/>
      <c r="EX610" s="15"/>
    </row>
    <row r="611" customFormat="false" ht="15.75" hidden="false" customHeight="false" outlineLevel="0" collapsed="false">
      <c r="A611" s="76"/>
      <c r="B611" s="77"/>
      <c r="C611" s="77"/>
      <c r="D611" s="78"/>
      <c r="E611" s="72"/>
      <c r="F611" s="68"/>
      <c r="G611" s="15"/>
      <c r="H611" s="76" t="str">
        <f aca="false">IFERROR(__xludf.dummyfunction("""COMPUTED_VALUE"""),"")</f>
        <v/>
      </c>
      <c r="I611" s="50" t="str">
        <f aca="false">IFERROR(__xludf.dummyfunction("""COMPUTED_VALUE"""),"")</f>
        <v/>
      </c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  <c r="DY611" s="15"/>
      <c r="DZ611" s="15"/>
      <c r="EA611" s="15"/>
      <c r="EB611" s="15"/>
      <c r="EC611" s="15"/>
      <c r="ED611" s="15"/>
      <c r="EE611" s="15"/>
      <c r="EF611" s="15"/>
      <c r="EG611" s="15"/>
      <c r="EH611" s="15"/>
      <c r="EI611" s="15"/>
      <c r="EJ611" s="15"/>
      <c r="EK611" s="15"/>
      <c r="EL611" s="15"/>
      <c r="EM611" s="15"/>
      <c r="EN611" s="15"/>
      <c r="EO611" s="15"/>
      <c r="EP611" s="15"/>
      <c r="EQ611" s="15"/>
      <c r="ER611" s="15"/>
      <c r="ES611" s="15"/>
      <c r="ET611" s="15"/>
      <c r="EU611" s="15"/>
      <c r="EV611" s="15"/>
      <c r="EW611" s="15"/>
      <c r="EX611" s="15"/>
    </row>
    <row r="612" customFormat="false" ht="15.75" hidden="false" customHeight="false" outlineLevel="0" collapsed="false">
      <c r="A612" s="76"/>
      <c r="B612" s="77"/>
      <c r="C612" s="77"/>
      <c r="D612" s="78"/>
      <c r="E612" s="72"/>
      <c r="F612" s="68"/>
      <c r="G612" s="15"/>
      <c r="H612" s="76" t="str">
        <f aca="false">IFERROR(__xludf.dummyfunction("""COMPUTED_VALUE"""),"")</f>
        <v/>
      </c>
      <c r="I612" s="50" t="str">
        <f aca="false">IFERROR(__xludf.dummyfunction("""COMPUTED_VALUE"""),"")</f>
        <v/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  <c r="DY612" s="15"/>
      <c r="DZ612" s="15"/>
      <c r="EA612" s="15"/>
      <c r="EB612" s="15"/>
      <c r="EC612" s="15"/>
      <c r="ED612" s="15"/>
      <c r="EE612" s="15"/>
      <c r="EF612" s="15"/>
      <c r="EG612" s="15"/>
      <c r="EH612" s="15"/>
      <c r="EI612" s="15"/>
      <c r="EJ612" s="15"/>
      <c r="EK612" s="15"/>
      <c r="EL612" s="15"/>
      <c r="EM612" s="15"/>
      <c r="EN612" s="15"/>
      <c r="EO612" s="15"/>
      <c r="EP612" s="15"/>
      <c r="EQ612" s="15"/>
      <c r="ER612" s="15"/>
      <c r="ES612" s="15"/>
      <c r="ET612" s="15"/>
      <c r="EU612" s="15"/>
      <c r="EV612" s="15"/>
      <c r="EW612" s="15"/>
      <c r="EX612" s="15"/>
    </row>
    <row r="613" customFormat="false" ht="15.75" hidden="false" customHeight="false" outlineLevel="0" collapsed="false">
      <c r="A613" s="76"/>
      <c r="B613" s="77"/>
      <c r="C613" s="77"/>
      <c r="D613" s="78"/>
      <c r="E613" s="72"/>
      <c r="F613" s="68"/>
      <c r="G613" s="15"/>
      <c r="H613" s="76" t="str">
        <f aca="false">IFERROR(__xludf.dummyfunction("""COMPUTED_VALUE"""),"")</f>
        <v/>
      </c>
      <c r="I613" s="50" t="str">
        <f aca="false">IFERROR(__xludf.dummyfunction("""COMPUTED_VALUE"""),"")</f>
        <v/>
      </c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  <c r="DY613" s="15"/>
      <c r="DZ613" s="15"/>
      <c r="EA613" s="15"/>
      <c r="EB613" s="15"/>
      <c r="EC613" s="15"/>
      <c r="ED613" s="15"/>
      <c r="EE613" s="15"/>
      <c r="EF613" s="15"/>
      <c r="EG613" s="15"/>
      <c r="EH613" s="15"/>
      <c r="EI613" s="15"/>
      <c r="EJ613" s="15"/>
      <c r="EK613" s="15"/>
      <c r="EL613" s="15"/>
      <c r="EM613" s="15"/>
      <c r="EN613" s="15"/>
      <c r="EO613" s="15"/>
      <c r="EP613" s="15"/>
      <c r="EQ613" s="15"/>
      <c r="ER613" s="15"/>
      <c r="ES613" s="15"/>
      <c r="ET613" s="15"/>
      <c r="EU613" s="15"/>
      <c r="EV613" s="15"/>
      <c r="EW613" s="15"/>
      <c r="EX613" s="15"/>
    </row>
    <row r="614" customFormat="false" ht="15.75" hidden="false" customHeight="false" outlineLevel="0" collapsed="false">
      <c r="A614" s="76"/>
      <c r="B614" s="77"/>
      <c r="C614" s="77"/>
      <c r="D614" s="78"/>
      <c r="E614" s="72"/>
      <c r="F614" s="68"/>
      <c r="G614" s="15"/>
      <c r="H614" s="76" t="str">
        <f aca="false">IFERROR(__xludf.dummyfunction("""COMPUTED_VALUE"""),"")</f>
        <v/>
      </c>
      <c r="I614" s="50" t="str">
        <f aca="false">IFERROR(__xludf.dummyfunction("""COMPUTED_VALUE"""),"")</f>
        <v/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  <c r="DY614" s="15"/>
      <c r="DZ614" s="15"/>
      <c r="EA614" s="15"/>
      <c r="EB614" s="15"/>
      <c r="EC614" s="15"/>
      <c r="ED614" s="15"/>
      <c r="EE614" s="15"/>
      <c r="EF614" s="15"/>
      <c r="EG614" s="15"/>
      <c r="EH614" s="15"/>
      <c r="EI614" s="15"/>
      <c r="EJ614" s="15"/>
      <c r="EK614" s="15"/>
      <c r="EL614" s="15"/>
      <c r="EM614" s="15"/>
      <c r="EN614" s="15"/>
      <c r="EO614" s="15"/>
      <c r="EP614" s="15"/>
      <c r="EQ614" s="15"/>
      <c r="ER614" s="15"/>
      <c r="ES614" s="15"/>
      <c r="ET614" s="15"/>
      <c r="EU614" s="15"/>
      <c r="EV614" s="15"/>
      <c r="EW614" s="15"/>
      <c r="EX614" s="15"/>
    </row>
    <row r="615" customFormat="false" ht="15.75" hidden="false" customHeight="false" outlineLevel="0" collapsed="false">
      <c r="A615" s="76"/>
      <c r="B615" s="77"/>
      <c r="C615" s="77"/>
      <c r="D615" s="78"/>
      <c r="E615" s="72"/>
      <c r="F615" s="68"/>
      <c r="G615" s="15"/>
      <c r="H615" s="76" t="str">
        <f aca="false">IFERROR(__xludf.dummyfunction("""COMPUTED_VALUE"""),"")</f>
        <v/>
      </c>
      <c r="I615" s="50" t="str">
        <f aca="false">IFERROR(__xludf.dummyfunction("""COMPUTED_VALUE"""),"")</f>
        <v/>
      </c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  <c r="DY615" s="15"/>
      <c r="DZ615" s="15"/>
      <c r="EA615" s="15"/>
      <c r="EB615" s="15"/>
      <c r="EC615" s="15"/>
      <c r="ED615" s="15"/>
      <c r="EE615" s="15"/>
      <c r="EF615" s="15"/>
      <c r="EG615" s="15"/>
      <c r="EH615" s="15"/>
      <c r="EI615" s="15"/>
      <c r="EJ615" s="15"/>
      <c r="EK615" s="15"/>
      <c r="EL615" s="15"/>
      <c r="EM615" s="15"/>
      <c r="EN615" s="15"/>
      <c r="EO615" s="15"/>
      <c r="EP615" s="15"/>
      <c r="EQ615" s="15"/>
      <c r="ER615" s="15"/>
      <c r="ES615" s="15"/>
      <c r="ET615" s="15"/>
      <c r="EU615" s="15"/>
      <c r="EV615" s="15"/>
      <c r="EW615" s="15"/>
      <c r="EX615" s="15"/>
    </row>
    <row r="616" customFormat="false" ht="15.75" hidden="false" customHeight="false" outlineLevel="0" collapsed="false">
      <c r="A616" s="76"/>
      <c r="B616" s="77"/>
      <c r="C616" s="77"/>
      <c r="D616" s="78"/>
      <c r="E616" s="72"/>
      <c r="F616" s="68"/>
      <c r="G616" s="15"/>
      <c r="H616" s="76" t="str">
        <f aca="false">IFERROR(__xludf.dummyfunction("""COMPUTED_VALUE"""),"")</f>
        <v/>
      </c>
      <c r="I616" s="50" t="str">
        <f aca="false">IFERROR(__xludf.dummyfunction("""COMPUTED_VALUE"""),"")</f>
        <v/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  <c r="DY616" s="15"/>
      <c r="DZ616" s="15"/>
      <c r="EA616" s="15"/>
      <c r="EB616" s="15"/>
      <c r="EC616" s="15"/>
      <c r="ED616" s="15"/>
      <c r="EE616" s="15"/>
      <c r="EF616" s="15"/>
      <c r="EG616" s="15"/>
      <c r="EH616" s="15"/>
      <c r="EI616" s="15"/>
      <c r="EJ616" s="15"/>
      <c r="EK616" s="15"/>
      <c r="EL616" s="15"/>
      <c r="EM616" s="15"/>
      <c r="EN616" s="15"/>
      <c r="EO616" s="15"/>
      <c r="EP616" s="15"/>
      <c r="EQ616" s="15"/>
      <c r="ER616" s="15"/>
      <c r="ES616" s="15"/>
      <c r="ET616" s="15"/>
      <c r="EU616" s="15"/>
      <c r="EV616" s="15"/>
      <c r="EW616" s="15"/>
      <c r="EX616" s="15"/>
    </row>
    <row r="617" customFormat="false" ht="15.75" hidden="false" customHeight="false" outlineLevel="0" collapsed="false">
      <c r="A617" s="76"/>
      <c r="B617" s="77"/>
      <c r="C617" s="77"/>
      <c r="D617" s="78"/>
      <c r="E617" s="72"/>
      <c r="F617" s="68"/>
      <c r="G617" s="15"/>
      <c r="H617" s="76" t="str">
        <f aca="false">IFERROR(__xludf.dummyfunction("""COMPUTED_VALUE"""),"")</f>
        <v/>
      </c>
      <c r="I617" s="50" t="str">
        <f aca="false">IFERROR(__xludf.dummyfunction("""COMPUTED_VALUE"""),"")</f>
        <v/>
      </c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  <c r="DY617" s="15"/>
      <c r="DZ617" s="15"/>
      <c r="EA617" s="15"/>
      <c r="EB617" s="15"/>
      <c r="EC617" s="15"/>
      <c r="ED617" s="15"/>
      <c r="EE617" s="15"/>
      <c r="EF617" s="15"/>
      <c r="EG617" s="15"/>
      <c r="EH617" s="15"/>
      <c r="EI617" s="15"/>
      <c r="EJ617" s="15"/>
      <c r="EK617" s="15"/>
      <c r="EL617" s="15"/>
      <c r="EM617" s="15"/>
      <c r="EN617" s="15"/>
      <c r="EO617" s="15"/>
      <c r="EP617" s="15"/>
      <c r="EQ617" s="15"/>
      <c r="ER617" s="15"/>
      <c r="ES617" s="15"/>
      <c r="ET617" s="15"/>
      <c r="EU617" s="15"/>
      <c r="EV617" s="15"/>
      <c r="EW617" s="15"/>
      <c r="EX617" s="15"/>
    </row>
    <row r="618" customFormat="false" ht="15.75" hidden="false" customHeight="false" outlineLevel="0" collapsed="false">
      <c r="A618" s="76"/>
      <c r="B618" s="77"/>
      <c r="C618" s="77"/>
      <c r="D618" s="78"/>
      <c r="E618" s="72"/>
      <c r="F618" s="68"/>
      <c r="G618" s="15"/>
      <c r="H618" s="76" t="str">
        <f aca="false">IFERROR(__xludf.dummyfunction("""COMPUTED_VALUE"""),"")</f>
        <v/>
      </c>
      <c r="I618" s="50" t="str">
        <f aca="false">IFERROR(__xludf.dummyfunction("""COMPUTED_VALUE"""),"")</f>
        <v/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  <c r="DY618" s="15"/>
      <c r="DZ618" s="15"/>
      <c r="EA618" s="15"/>
      <c r="EB618" s="15"/>
      <c r="EC618" s="15"/>
      <c r="ED618" s="15"/>
      <c r="EE618" s="15"/>
      <c r="EF618" s="15"/>
      <c r="EG618" s="15"/>
      <c r="EH618" s="15"/>
      <c r="EI618" s="15"/>
      <c r="EJ618" s="15"/>
      <c r="EK618" s="15"/>
      <c r="EL618" s="15"/>
      <c r="EM618" s="15"/>
      <c r="EN618" s="15"/>
      <c r="EO618" s="15"/>
      <c r="EP618" s="15"/>
      <c r="EQ618" s="15"/>
      <c r="ER618" s="15"/>
      <c r="ES618" s="15"/>
      <c r="ET618" s="15"/>
      <c r="EU618" s="15"/>
      <c r="EV618" s="15"/>
      <c r="EW618" s="15"/>
      <c r="EX618" s="15"/>
    </row>
    <row r="619" customFormat="false" ht="15.75" hidden="false" customHeight="false" outlineLevel="0" collapsed="false">
      <c r="A619" s="76"/>
      <c r="B619" s="77"/>
      <c r="C619" s="77"/>
      <c r="D619" s="78"/>
      <c r="E619" s="72"/>
      <c r="F619" s="68"/>
      <c r="G619" s="15"/>
      <c r="H619" s="76" t="str">
        <f aca="false">IFERROR(__xludf.dummyfunction("""COMPUTED_VALUE"""),"")</f>
        <v/>
      </c>
      <c r="I619" s="50" t="str">
        <f aca="false">IFERROR(__xludf.dummyfunction("""COMPUTED_VALUE"""),"")</f>
        <v/>
      </c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  <c r="DY619" s="15"/>
      <c r="DZ619" s="15"/>
      <c r="EA619" s="15"/>
      <c r="EB619" s="15"/>
      <c r="EC619" s="15"/>
      <c r="ED619" s="15"/>
      <c r="EE619" s="15"/>
      <c r="EF619" s="15"/>
      <c r="EG619" s="15"/>
      <c r="EH619" s="15"/>
      <c r="EI619" s="15"/>
      <c r="EJ619" s="15"/>
      <c r="EK619" s="15"/>
      <c r="EL619" s="15"/>
      <c r="EM619" s="15"/>
      <c r="EN619" s="15"/>
      <c r="EO619" s="15"/>
      <c r="EP619" s="15"/>
      <c r="EQ619" s="15"/>
      <c r="ER619" s="15"/>
      <c r="ES619" s="15"/>
      <c r="ET619" s="15"/>
      <c r="EU619" s="15"/>
      <c r="EV619" s="15"/>
      <c r="EW619" s="15"/>
      <c r="EX619" s="15"/>
    </row>
    <row r="620" customFormat="false" ht="15.75" hidden="false" customHeight="false" outlineLevel="0" collapsed="false">
      <c r="A620" s="76"/>
      <c r="B620" s="77"/>
      <c r="C620" s="77"/>
      <c r="D620" s="78"/>
      <c r="E620" s="72"/>
      <c r="F620" s="68"/>
      <c r="G620" s="15"/>
      <c r="H620" s="76" t="str">
        <f aca="false">IFERROR(__xludf.dummyfunction("""COMPUTED_VALUE"""),"")</f>
        <v/>
      </c>
      <c r="I620" s="50" t="str">
        <f aca="false">IFERROR(__xludf.dummyfunction("""COMPUTED_VALUE"""),"")</f>
        <v/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  <c r="DY620" s="15"/>
      <c r="DZ620" s="15"/>
      <c r="EA620" s="15"/>
      <c r="EB620" s="15"/>
      <c r="EC620" s="15"/>
      <c r="ED620" s="15"/>
      <c r="EE620" s="15"/>
      <c r="EF620" s="15"/>
      <c r="EG620" s="15"/>
      <c r="EH620" s="15"/>
      <c r="EI620" s="15"/>
      <c r="EJ620" s="15"/>
      <c r="EK620" s="15"/>
      <c r="EL620" s="15"/>
      <c r="EM620" s="15"/>
      <c r="EN620" s="15"/>
      <c r="EO620" s="15"/>
      <c r="EP620" s="15"/>
      <c r="EQ620" s="15"/>
      <c r="ER620" s="15"/>
      <c r="ES620" s="15"/>
      <c r="ET620" s="15"/>
      <c r="EU620" s="15"/>
      <c r="EV620" s="15"/>
      <c r="EW620" s="15"/>
      <c r="EX620" s="15"/>
    </row>
    <row r="621" customFormat="false" ht="15.75" hidden="false" customHeight="false" outlineLevel="0" collapsed="false">
      <c r="A621" s="76"/>
      <c r="B621" s="77"/>
      <c r="C621" s="77"/>
      <c r="D621" s="78"/>
      <c r="E621" s="72"/>
      <c r="F621" s="68"/>
      <c r="G621" s="15"/>
      <c r="H621" s="76" t="str">
        <f aca="false">IFERROR(__xludf.dummyfunction("""COMPUTED_VALUE"""),"")</f>
        <v/>
      </c>
      <c r="I621" s="50" t="str">
        <f aca="false">IFERROR(__xludf.dummyfunction("""COMPUTED_VALUE"""),"")</f>
        <v/>
      </c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  <c r="DY621" s="15"/>
      <c r="DZ621" s="15"/>
      <c r="EA621" s="15"/>
      <c r="EB621" s="15"/>
      <c r="EC621" s="15"/>
      <c r="ED621" s="15"/>
      <c r="EE621" s="15"/>
      <c r="EF621" s="15"/>
      <c r="EG621" s="15"/>
      <c r="EH621" s="15"/>
      <c r="EI621" s="15"/>
      <c r="EJ621" s="15"/>
      <c r="EK621" s="15"/>
      <c r="EL621" s="15"/>
      <c r="EM621" s="15"/>
      <c r="EN621" s="15"/>
      <c r="EO621" s="15"/>
      <c r="EP621" s="15"/>
      <c r="EQ621" s="15"/>
      <c r="ER621" s="15"/>
      <c r="ES621" s="15"/>
      <c r="ET621" s="15"/>
      <c r="EU621" s="15"/>
      <c r="EV621" s="15"/>
      <c r="EW621" s="15"/>
      <c r="EX621" s="15"/>
    </row>
    <row r="622" customFormat="false" ht="15.75" hidden="false" customHeight="false" outlineLevel="0" collapsed="false">
      <c r="A622" s="76"/>
      <c r="B622" s="77"/>
      <c r="C622" s="77"/>
      <c r="D622" s="78"/>
      <c r="E622" s="72"/>
      <c r="F622" s="68"/>
      <c r="G622" s="15"/>
      <c r="H622" s="76" t="str">
        <f aca="false">IFERROR(__xludf.dummyfunction("""COMPUTED_VALUE"""),"")</f>
        <v/>
      </c>
      <c r="I622" s="50" t="str">
        <f aca="false">IFERROR(__xludf.dummyfunction("""COMPUTED_VALUE"""),"")</f>
        <v/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  <c r="DY622" s="15"/>
      <c r="DZ622" s="15"/>
      <c r="EA622" s="15"/>
      <c r="EB622" s="15"/>
      <c r="EC622" s="15"/>
      <c r="ED622" s="15"/>
      <c r="EE622" s="15"/>
      <c r="EF622" s="15"/>
      <c r="EG622" s="15"/>
      <c r="EH622" s="15"/>
      <c r="EI622" s="15"/>
      <c r="EJ622" s="15"/>
      <c r="EK622" s="15"/>
      <c r="EL622" s="15"/>
      <c r="EM622" s="15"/>
      <c r="EN622" s="15"/>
      <c r="EO622" s="15"/>
      <c r="EP622" s="15"/>
      <c r="EQ622" s="15"/>
      <c r="ER622" s="15"/>
      <c r="ES622" s="15"/>
      <c r="ET622" s="15"/>
      <c r="EU622" s="15"/>
      <c r="EV622" s="15"/>
      <c r="EW622" s="15"/>
      <c r="EX622" s="15"/>
    </row>
    <row r="623" customFormat="false" ht="15.75" hidden="false" customHeight="false" outlineLevel="0" collapsed="false">
      <c r="A623" s="76"/>
      <c r="B623" s="77"/>
      <c r="C623" s="77"/>
      <c r="D623" s="78"/>
      <c r="E623" s="72"/>
      <c r="F623" s="68"/>
      <c r="G623" s="15"/>
      <c r="H623" s="76" t="str">
        <f aca="false">IFERROR(__xludf.dummyfunction("""COMPUTED_VALUE"""),"")</f>
        <v/>
      </c>
      <c r="I623" s="50" t="str">
        <f aca="false">IFERROR(__xludf.dummyfunction("""COMPUTED_VALUE"""),"")</f>
        <v/>
      </c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  <c r="DY623" s="15"/>
      <c r="DZ623" s="15"/>
      <c r="EA623" s="15"/>
      <c r="EB623" s="15"/>
      <c r="EC623" s="15"/>
      <c r="ED623" s="15"/>
      <c r="EE623" s="15"/>
      <c r="EF623" s="15"/>
      <c r="EG623" s="15"/>
      <c r="EH623" s="15"/>
      <c r="EI623" s="15"/>
      <c r="EJ623" s="15"/>
      <c r="EK623" s="15"/>
      <c r="EL623" s="15"/>
      <c r="EM623" s="15"/>
      <c r="EN623" s="15"/>
      <c r="EO623" s="15"/>
      <c r="EP623" s="15"/>
      <c r="EQ623" s="15"/>
      <c r="ER623" s="15"/>
      <c r="ES623" s="15"/>
      <c r="ET623" s="15"/>
      <c r="EU623" s="15"/>
      <c r="EV623" s="15"/>
      <c r="EW623" s="15"/>
      <c r="EX623" s="15"/>
    </row>
    <row r="624" customFormat="false" ht="15.75" hidden="false" customHeight="false" outlineLevel="0" collapsed="false">
      <c r="A624" s="76"/>
      <c r="B624" s="77"/>
      <c r="C624" s="77"/>
      <c r="D624" s="78"/>
      <c r="E624" s="72"/>
      <c r="F624" s="68"/>
      <c r="G624" s="15"/>
      <c r="H624" s="76" t="str">
        <f aca="false">IFERROR(__xludf.dummyfunction("""COMPUTED_VALUE"""),"")</f>
        <v/>
      </c>
      <c r="I624" s="50" t="str">
        <f aca="false">IFERROR(__xludf.dummyfunction("""COMPUTED_VALUE"""),"")</f>
        <v/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  <c r="DY624" s="15"/>
      <c r="DZ624" s="15"/>
      <c r="EA624" s="15"/>
      <c r="EB624" s="15"/>
      <c r="EC624" s="15"/>
      <c r="ED624" s="15"/>
      <c r="EE624" s="15"/>
      <c r="EF624" s="15"/>
      <c r="EG624" s="15"/>
      <c r="EH624" s="15"/>
      <c r="EI624" s="15"/>
      <c r="EJ624" s="15"/>
      <c r="EK624" s="15"/>
      <c r="EL624" s="15"/>
      <c r="EM624" s="15"/>
      <c r="EN624" s="15"/>
      <c r="EO624" s="15"/>
      <c r="EP624" s="15"/>
      <c r="EQ624" s="15"/>
      <c r="ER624" s="15"/>
      <c r="ES624" s="15"/>
      <c r="ET624" s="15"/>
      <c r="EU624" s="15"/>
      <c r="EV624" s="15"/>
      <c r="EW624" s="15"/>
      <c r="EX624" s="15"/>
    </row>
    <row r="625" customFormat="false" ht="15.75" hidden="false" customHeight="false" outlineLevel="0" collapsed="false">
      <c r="A625" s="76"/>
      <c r="B625" s="77"/>
      <c r="C625" s="77"/>
      <c r="D625" s="78"/>
      <c r="E625" s="72"/>
      <c r="F625" s="68"/>
      <c r="G625" s="15"/>
      <c r="H625" s="76" t="str">
        <f aca="false">IFERROR(__xludf.dummyfunction("""COMPUTED_VALUE"""),"")</f>
        <v/>
      </c>
      <c r="I625" s="50" t="str">
        <f aca="false">IFERROR(__xludf.dummyfunction("""COMPUTED_VALUE"""),"")</f>
        <v/>
      </c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  <c r="DY625" s="15"/>
      <c r="DZ625" s="15"/>
      <c r="EA625" s="15"/>
      <c r="EB625" s="15"/>
      <c r="EC625" s="15"/>
      <c r="ED625" s="15"/>
      <c r="EE625" s="15"/>
      <c r="EF625" s="15"/>
      <c r="EG625" s="15"/>
      <c r="EH625" s="15"/>
      <c r="EI625" s="15"/>
      <c r="EJ625" s="15"/>
      <c r="EK625" s="15"/>
      <c r="EL625" s="15"/>
      <c r="EM625" s="15"/>
      <c r="EN625" s="15"/>
      <c r="EO625" s="15"/>
      <c r="EP625" s="15"/>
      <c r="EQ625" s="15"/>
      <c r="ER625" s="15"/>
      <c r="ES625" s="15"/>
      <c r="ET625" s="15"/>
      <c r="EU625" s="15"/>
      <c r="EV625" s="15"/>
      <c r="EW625" s="15"/>
      <c r="EX625" s="15"/>
    </row>
    <row r="626" customFormat="false" ht="15.75" hidden="false" customHeight="false" outlineLevel="0" collapsed="false">
      <c r="A626" s="76"/>
      <c r="B626" s="77"/>
      <c r="C626" s="77"/>
      <c r="D626" s="78"/>
      <c r="E626" s="72"/>
      <c r="F626" s="68"/>
      <c r="G626" s="15"/>
      <c r="H626" s="76" t="str">
        <f aca="false">IFERROR(__xludf.dummyfunction("""COMPUTED_VALUE"""),"")</f>
        <v/>
      </c>
      <c r="I626" s="50" t="str">
        <f aca="false">IFERROR(__xludf.dummyfunction("""COMPUTED_VALUE"""),"")</f>
        <v/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  <c r="DY626" s="15"/>
      <c r="DZ626" s="15"/>
      <c r="EA626" s="15"/>
      <c r="EB626" s="15"/>
      <c r="EC626" s="15"/>
      <c r="ED626" s="15"/>
      <c r="EE626" s="15"/>
      <c r="EF626" s="15"/>
      <c r="EG626" s="15"/>
      <c r="EH626" s="15"/>
      <c r="EI626" s="15"/>
      <c r="EJ626" s="15"/>
      <c r="EK626" s="15"/>
      <c r="EL626" s="15"/>
      <c r="EM626" s="15"/>
      <c r="EN626" s="15"/>
      <c r="EO626" s="15"/>
      <c r="EP626" s="15"/>
      <c r="EQ626" s="15"/>
      <c r="ER626" s="15"/>
      <c r="ES626" s="15"/>
      <c r="ET626" s="15"/>
      <c r="EU626" s="15"/>
      <c r="EV626" s="15"/>
      <c r="EW626" s="15"/>
      <c r="EX626" s="15"/>
    </row>
    <row r="627" customFormat="false" ht="15.75" hidden="false" customHeight="false" outlineLevel="0" collapsed="false">
      <c r="A627" s="76"/>
      <c r="B627" s="77"/>
      <c r="C627" s="77"/>
      <c r="D627" s="78"/>
      <c r="E627" s="72"/>
      <c r="F627" s="68"/>
      <c r="G627" s="15"/>
      <c r="H627" s="76" t="str">
        <f aca="false">IFERROR(__xludf.dummyfunction("""COMPUTED_VALUE"""),"")</f>
        <v/>
      </c>
      <c r="I627" s="50" t="str">
        <f aca="false">IFERROR(__xludf.dummyfunction("""COMPUTED_VALUE"""),"")</f>
        <v/>
      </c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  <c r="DY627" s="15"/>
      <c r="DZ627" s="15"/>
      <c r="EA627" s="15"/>
      <c r="EB627" s="15"/>
      <c r="EC627" s="15"/>
      <c r="ED627" s="15"/>
      <c r="EE627" s="15"/>
      <c r="EF627" s="15"/>
      <c r="EG627" s="15"/>
      <c r="EH627" s="15"/>
      <c r="EI627" s="15"/>
      <c r="EJ627" s="15"/>
      <c r="EK627" s="15"/>
      <c r="EL627" s="15"/>
      <c r="EM627" s="15"/>
      <c r="EN627" s="15"/>
      <c r="EO627" s="15"/>
      <c r="EP627" s="15"/>
      <c r="EQ627" s="15"/>
      <c r="ER627" s="15"/>
      <c r="ES627" s="15"/>
      <c r="ET627" s="15"/>
      <c r="EU627" s="15"/>
      <c r="EV627" s="15"/>
      <c r="EW627" s="15"/>
      <c r="EX627" s="15"/>
    </row>
    <row r="628" customFormat="false" ht="15.75" hidden="false" customHeight="false" outlineLevel="0" collapsed="false">
      <c r="A628" s="76"/>
      <c r="B628" s="77"/>
      <c r="C628" s="77"/>
      <c r="D628" s="78"/>
      <c r="E628" s="72"/>
      <c r="F628" s="68"/>
      <c r="G628" s="15"/>
      <c r="H628" s="76" t="str">
        <f aca="false">IFERROR(__xludf.dummyfunction("""COMPUTED_VALUE"""),"")</f>
        <v/>
      </c>
      <c r="I628" s="50" t="str">
        <f aca="false">IFERROR(__xludf.dummyfunction("""COMPUTED_VALUE"""),"")</f>
        <v/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  <c r="DY628" s="15"/>
      <c r="DZ628" s="15"/>
      <c r="EA628" s="15"/>
      <c r="EB628" s="15"/>
      <c r="EC628" s="15"/>
      <c r="ED628" s="15"/>
      <c r="EE628" s="15"/>
      <c r="EF628" s="15"/>
      <c r="EG628" s="15"/>
      <c r="EH628" s="15"/>
      <c r="EI628" s="15"/>
      <c r="EJ628" s="15"/>
      <c r="EK628" s="15"/>
      <c r="EL628" s="15"/>
      <c r="EM628" s="15"/>
      <c r="EN628" s="15"/>
      <c r="EO628" s="15"/>
      <c r="EP628" s="15"/>
      <c r="EQ628" s="15"/>
      <c r="ER628" s="15"/>
      <c r="ES628" s="15"/>
      <c r="ET628" s="15"/>
      <c r="EU628" s="15"/>
      <c r="EV628" s="15"/>
      <c r="EW628" s="15"/>
      <c r="EX628" s="15"/>
    </row>
    <row r="629" customFormat="false" ht="15.75" hidden="false" customHeight="false" outlineLevel="0" collapsed="false">
      <c r="A629" s="76"/>
      <c r="B629" s="77"/>
      <c r="C629" s="77"/>
      <c r="D629" s="78"/>
      <c r="E629" s="72"/>
      <c r="F629" s="68"/>
      <c r="G629" s="15"/>
      <c r="H629" s="76" t="str">
        <f aca="false">IFERROR(__xludf.dummyfunction("""COMPUTED_VALUE"""),"")</f>
        <v/>
      </c>
      <c r="I629" s="50" t="str">
        <f aca="false">IFERROR(__xludf.dummyfunction("""COMPUTED_VALUE"""),"")</f>
        <v/>
      </c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  <c r="DY629" s="15"/>
      <c r="DZ629" s="15"/>
      <c r="EA629" s="15"/>
      <c r="EB629" s="15"/>
      <c r="EC629" s="15"/>
      <c r="ED629" s="15"/>
      <c r="EE629" s="15"/>
      <c r="EF629" s="15"/>
      <c r="EG629" s="15"/>
      <c r="EH629" s="15"/>
      <c r="EI629" s="15"/>
      <c r="EJ629" s="15"/>
      <c r="EK629" s="15"/>
      <c r="EL629" s="15"/>
      <c r="EM629" s="15"/>
      <c r="EN629" s="15"/>
      <c r="EO629" s="15"/>
      <c r="EP629" s="15"/>
      <c r="EQ629" s="15"/>
      <c r="ER629" s="15"/>
      <c r="ES629" s="15"/>
      <c r="ET629" s="15"/>
      <c r="EU629" s="15"/>
      <c r="EV629" s="15"/>
      <c r="EW629" s="15"/>
      <c r="EX629" s="15"/>
    </row>
    <row r="630" customFormat="false" ht="15.75" hidden="false" customHeight="false" outlineLevel="0" collapsed="false">
      <c r="A630" s="76"/>
      <c r="B630" s="77"/>
      <c r="C630" s="77"/>
      <c r="D630" s="78"/>
      <c r="E630" s="72"/>
      <c r="F630" s="68"/>
      <c r="G630" s="15"/>
      <c r="H630" s="76" t="str">
        <f aca="false">IFERROR(__xludf.dummyfunction("""COMPUTED_VALUE"""),"")</f>
        <v/>
      </c>
      <c r="I630" s="50" t="str">
        <f aca="false">IFERROR(__xludf.dummyfunction("""COMPUTED_VALUE"""),"")</f>
        <v/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  <c r="DY630" s="15"/>
      <c r="DZ630" s="15"/>
      <c r="EA630" s="15"/>
      <c r="EB630" s="15"/>
      <c r="EC630" s="15"/>
      <c r="ED630" s="15"/>
      <c r="EE630" s="15"/>
      <c r="EF630" s="15"/>
      <c r="EG630" s="15"/>
      <c r="EH630" s="15"/>
      <c r="EI630" s="15"/>
      <c r="EJ630" s="15"/>
      <c r="EK630" s="15"/>
      <c r="EL630" s="15"/>
      <c r="EM630" s="15"/>
      <c r="EN630" s="15"/>
      <c r="EO630" s="15"/>
      <c r="EP630" s="15"/>
      <c r="EQ630" s="15"/>
      <c r="ER630" s="15"/>
      <c r="ES630" s="15"/>
      <c r="ET630" s="15"/>
      <c r="EU630" s="15"/>
      <c r="EV630" s="15"/>
      <c r="EW630" s="15"/>
      <c r="EX630" s="15"/>
    </row>
    <row r="631" customFormat="false" ht="15.75" hidden="false" customHeight="false" outlineLevel="0" collapsed="false">
      <c r="A631" s="76"/>
      <c r="B631" s="77"/>
      <c r="C631" s="77"/>
      <c r="D631" s="78"/>
      <c r="E631" s="72"/>
      <c r="F631" s="68"/>
      <c r="G631" s="15"/>
      <c r="H631" s="76" t="str">
        <f aca="false">IFERROR(__xludf.dummyfunction("""COMPUTED_VALUE"""),"")</f>
        <v/>
      </c>
      <c r="I631" s="50" t="str">
        <f aca="false">IFERROR(__xludf.dummyfunction("""COMPUTED_VALUE"""),"")</f>
        <v/>
      </c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  <c r="DY631" s="15"/>
      <c r="DZ631" s="15"/>
      <c r="EA631" s="15"/>
      <c r="EB631" s="15"/>
      <c r="EC631" s="15"/>
      <c r="ED631" s="15"/>
      <c r="EE631" s="15"/>
      <c r="EF631" s="15"/>
      <c r="EG631" s="15"/>
      <c r="EH631" s="15"/>
      <c r="EI631" s="15"/>
      <c r="EJ631" s="15"/>
      <c r="EK631" s="15"/>
      <c r="EL631" s="15"/>
      <c r="EM631" s="15"/>
      <c r="EN631" s="15"/>
      <c r="EO631" s="15"/>
      <c r="EP631" s="15"/>
      <c r="EQ631" s="15"/>
      <c r="ER631" s="15"/>
      <c r="ES631" s="15"/>
      <c r="ET631" s="15"/>
      <c r="EU631" s="15"/>
      <c r="EV631" s="15"/>
      <c r="EW631" s="15"/>
      <c r="EX631" s="15"/>
    </row>
    <row r="632" customFormat="false" ht="15.75" hidden="false" customHeight="false" outlineLevel="0" collapsed="false">
      <c r="A632" s="76"/>
      <c r="B632" s="77"/>
      <c r="C632" s="77"/>
      <c r="D632" s="78"/>
      <c r="E632" s="72"/>
      <c r="F632" s="68"/>
      <c r="G632" s="15"/>
      <c r="H632" s="76" t="str">
        <f aca="false">IFERROR(__xludf.dummyfunction("""COMPUTED_VALUE"""),"")</f>
        <v/>
      </c>
      <c r="I632" s="50" t="str">
        <f aca="false">IFERROR(__xludf.dummyfunction("""COMPUTED_VALUE"""),"")</f>
        <v/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  <c r="DY632" s="15"/>
      <c r="DZ632" s="15"/>
      <c r="EA632" s="15"/>
      <c r="EB632" s="15"/>
      <c r="EC632" s="15"/>
      <c r="ED632" s="15"/>
      <c r="EE632" s="15"/>
      <c r="EF632" s="15"/>
      <c r="EG632" s="15"/>
      <c r="EH632" s="15"/>
      <c r="EI632" s="15"/>
      <c r="EJ632" s="15"/>
      <c r="EK632" s="15"/>
      <c r="EL632" s="15"/>
      <c r="EM632" s="15"/>
      <c r="EN632" s="15"/>
      <c r="EO632" s="15"/>
      <c r="EP632" s="15"/>
      <c r="EQ632" s="15"/>
      <c r="ER632" s="15"/>
      <c r="ES632" s="15"/>
      <c r="ET632" s="15"/>
      <c r="EU632" s="15"/>
      <c r="EV632" s="15"/>
      <c r="EW632" s="15"/>
      <c r="EX632" s="15"/>
    </row>
    <row r="633" customFormat="false" ht="15.75" hidden="false" customHeight="false" outlineLevel="0" collapsed="false">
      <c r="A633" s="76"/>
      <c r="B633" s="77"/>
      <c r="C633" s="77"/>
      <c r="D633" s="78"/>
      <c r="E633" s="72"/>
      <c r="F633" s="68"/>
      <c r="G633" s="15"/>
      <c r="H633" s="76" t="str">
        <f aca="false">IFERROR(__xludf.dummyfunction("""COMPUTED_VALUE"""),"")</f>
        <v/>
      </c>
      <c r="I633" s="50" t="str">
        <f aca="false">IFERROR(__xludf.dummyfunction("""COMPUTED_VALUE"""),"")</f>
        <v/>
      </c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  <c r="DY633" s="15"/>
      <c r="DZ633" s="15"/>
      <c r="EA633" s="15"/>
      <c r="EB633" s="15"/>
      <c r="EC633" s="15"/>
      <c r="ED633" s="15"/>
      <c r="EE633" s="15"/>
      <c r="EF633" s="15"/>
      <c r="EG633" s="15"/>
      <c r="EH633" s="15"/>
      <c r="EI633" s="15"/>
      <c r="EJ633" s="15"/>
      <c r="EK633" s="15"/>
      <c r="EL633" s="15"/>
      <c r="EM633" s="15"/>
      <c r="EN633" s="15"/>
      <c r="EO633" s="15"/>
      <c r="EP633" s="15"/>
      <c r="EQ633" s="15"/>
      <c r="ER633" s="15"/>
      <c r="ES633" s="15"/>
      <c r="ET633" s="15"/>
      <c r="EU633" s="15"/>
      <c r="EV633" s="15"/>
      <c r="EW633" s="15"/>
      <c r="EX633" s="15"/>
    </row>
    <row r="634" customFormat="false" ht="15.75" hidden="false" customHeight="false" outlineLevel="0" collapsed="false">
      <c r="A634" s="76"/>
      <c r="B634" s="77"/>
      <c r="C634" s="77"/>
      <c r="D634" s="78"/>
      <c r="E634" s="72"/>
      <c r="F634" s="68"/>
      <c r="G634" s="15"/>
      <c r="H634" s="76" t="str">
        <f aca="false">IFERROR(__xludf.dummyfunction("""COMPUTED_VALUE"""),"")</f>
        <v/>
      </c>
      <c r="I634" s="50" t="str">
        <f aca="false">IFERROR(__xludf.dummyfunction("""COMPUTED_VALUE"""),"")</f>
        <v/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  <c r="DY634" s="15"/>
      <c r="DZ634" s="15"/>
      <c r="EA634" s="15"/>
      <c r="EB634" s="15"/>
      <c r="EC634" s="15"/>
      <c r="ED634" s="15"/>
      <c r="EE634" s="15"/>
      <c r="EF634" s="15"/>
      <c r="EG634" s="15"/>
      <c r="EH634" s="15"/>
      <c r="EI634" s="15"/>
      <c r="EJ634" s="15"/>
      <c r="EK634" s="15"/>
      <c r="EL634" s="15"/>
      <c r="EM634" s="15"/>
      <c r="EN634" s="15"/>
      <c r="EO634" s="15"/>
      <c r="EP634" s="15"/>
      <c r="EQ634" s="15"/>
      <c r="ER634" s="15"/>
      <c r="ES634" s="15"/>
      <c r="ET634" s="15"/>
      <c r="EU634" s="15"/>
      <c r="EV634" s="15"/>
      <c r="EW634" s="15"/>
      <c r="EX634" s="15"/>
    </row>
    <row r="635" customFormat="false" ht="15.75" hidden="false" customHeight="false" outlineLevel="0" collapsed="false">
      <c r="A635" s="76"/>
      <c r="B635" s="77"/>
      <c r="C635" s="77"/>
      <c r="D635" s="78"/>
      <c r="E635" s="72"/>
      <c r="F635" s="68"/>
      <c r="G635" s="15"/>
      <c r="H635" s="76" t="str">
        <f aca="false">IFERROR(__xludf.dummyfunction("""COMPUTED_VALUE"""),"")</f>
        <v/>
      </c>
      <c r="I635" s="50" t="str">
        <f aca="false">IFERROR(__xludf.dummyfunction("""COMPUTED_VALUE"""),"")</f>
        <v/>
      </c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  <c r="DY635" s="15"/>
      <c r="DZ635" s="15"/>
      <c r="EA635" s="15"/>
      <c r="EB635" s="15"/>
      <c r="EC635" s="15"/>
      <c r="ED635" s="15"/>
      <c r="EE635" s="15"/>
      <c r="EF635" s="15"/>
      <c r="EG635" s="15"/>
      <c r="EH635" s="15"/>
      <c r="EI635" s="15"/>
      <c r="EJ635" s="15"/>
      <c r="EK635" s="15"/>
      <c r="EL635" s="15"/>
      <c r="EM635" s="15"/>
      <c r="EN635" s="15"/>
      <c r="EO635" s="15"/>
      <c r="EP635" s="15"/>
      <c r="EQ635" s="15"/>
      <c r="ER635" s="15"/>
      <c r="ES635" s="15"/>
      <c r="ET635" s="15"/>
      <c r="EU635" s="15"/>
      <c r="EV635" s="15"/>
      <c r="EW635" s="15"/>
      <c r="EX635" s="15"/>
    </row>
    <row r="636" customFormat="false" ht="15.75" hidden="false" customHeight="false" outlineLevel="0" collapsed="false">
      <c r="A636" s="76"/>
      <c r="B636" s="77"/>
      <c r="C636" s="77"/>
      <c r="D636" s="78"/>
      <c r="E636" s="72"/>
      <c r="F636" s="68"/>
      <c r="G636" s="15"/>
      <c r="H636" s="76" t="str">
        <f aca="false">IFERROR(__xludf.dummyfunction("""COMPUTED_VALUE"""),"")</f>
        <v/>
      </c>
      <c r="I636" s="50" t="str">
        <f aca="false">IFERROR(__xludf.dummyfunction("""COMPUTED_VALUE"""),"")</f>
        <v/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  <c r="DY636" s="15"/>
      <c r="DZ636" s="15"/>
      <c r="EA636" s="15"/>
      <c r="EB636" s="15"/>
      <c r="EC636" s="15"/>
      <c r="ED636" s="15"/>
      <c r="EE636" s="15"/>
      <c r="EF636" s="15"/>
      <c r="EG636" s="15"/>
      <c r="EH636" s="15"/>
      <c r="EI636" s="15"/>
      <c r="EJ636" s="15"/>
      <c r="EK636" s="15"/>
      <c r="EL636" s="15"/>
      <c r="EM636" s="15"/>
      <c r="EN636" s="15"/>
      <c r="EO636" s="15"/>
      <c r="EP636" s="15"/>
      <c r="EQ636" s="15"/>
      <c r="ER636" s="15"/>
      <c r="ES636" s="15"/>
      <c r="ET636" s="15"/>
      <c r="EU636" s="15"/>
      <c r="EV636" s="15"/>
      <c r="EW636" s="15"/>
      <c r="EX636" s="15"/>
    </row>
    <row r="637" customFormat="false" ht="15.75" hidden="false" customHeight="false" outlineLevel="0" collapsed="false">
      <c r="A637" s="76"/>
      <c r="B637" s="77"/>
      <c r="C637" s="77"/>
      <c r="D637" s="78"/>
      <c r="E637" s="72"/>
      <c r="F637" s="68"/>
      <c r="G637" s="15"/>
      <c r="H637" s="76" t="str">
        <f aca="false">IFERROR(__xludf.dummyfunction("""COMPUTED_VALUE"""),"")</f>
        <v/>
      </c>
      <c r="I637" s="50" t="str">
        <f aca="false">IFERROR(__xludf.dummyfunction("""COMPUTED_VALUE"""),"")</f>
        <v/>
      </c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  <c r="DY637" s="15"/>
      <c r="DZ637" s="15"/>
      <c r="EA637" s="15"/>
      <c r="EB637" s="15"/>
      <c r="EC637" s="15"/>
      <c r="ED637" s="15"/>
      <c r="EE637" s="15"/>
      <c r="EF637" s="15"/>
      <c r="EG637" s="15"/>
      <c r="EH637" s="15"/>
      <c r="EI637" s="15"/>
      <c r="EJ637" s="15"/>
      <c r="EK637" s="15"/>
      <c r="EL637" s="15"/>
      <c r="EM637" s="15"/>
      <c r="EN637" s="15"/>
      <c r="EO637" s="15"/>
      <c r="EP637" s="15"/>
      <c r="EQ637" s="15"/>
      <c r="ER637" s="15"/>
      <c r="ES637" s="15"/>
      <c r="ET637" s="15"/>
      <c r="EU637" s="15"/>
      <c r="EV637" s="15"/>
      <c r="EW637" s="15"/>
      <c r="EX637" s="15"/>
    </row>
    <row r="638" customFormat="false" ht="15.75" hidden="false" customHeight="false" outlineLevel="0" collapsed="false">
      <c r="A638" s="76"/>
      <c r="B638" s="77"/>
      <c r="C638" s="77"/>
      <c r="D638" s="78"/>
      <c r="E638" s="72"/>
      <c r="F638" s="68"/>
      <c r="G638" s="15"/>
      <c r="H638" s="76" t="str">
        <f aca="false">IFERROR(__xludf.dummyfunction("""COMPUTED_VALUE"""),"")</f>
        <v/>
      </c>
      <c r="I638" s="50" t="str">
        <f aca="false">IFERROR(__xludf.dummyfunction("""COMPUTED_VALUE"""),"")</f>
        <v/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  <c r="DY638" s="15"/>
      <c r="DZ638" s="15"/>
      <c r="EA638" s="15"/>
      <c r="EB638" s="15"/>
      <c r="EC638" s="15"/>
      <c r="ED638" s="15"/>
      <c r="EE638" s="15"/>
      <c r="EF638" s="15"/>
      <c r="EG638" s="15"/>
      <c r="EH638" s="15"/>
      <c r="EI638" s="15"/>
      <c r="EJ638" s="15"/>
      <c r="EK638" s="15"/>
      <c r="EL638" s="15"/>
      <c r="EM638" s="15"/>
      <c r="EN638" s="15"/>
      <c r="EO638" s="15"/>
      <c r="EP638" s="15"/>
      <c r="EQ638" s="15"/>
      <c r="ER638" s="15"/>
      <c r="ES638" s="15"/>
      <c r="ET638" s="15"/>
      <c r="EU638" s="15"/>
      <c r="EV638" s="15"/>
      <c r="EW638" s="15"/>
      <c r="EX638" s="15"/>
    </row>
    <row r="639" customFormat="false" ht="15.75" hidden="false" customHeight="false" outlineLevel="0" collapsed="false">
      <c r="A639" s="76"/>
      <c r="B639" s="77"/>
      <c r="C639" s="77"/>
      <c r="D639" s="78"/>
      <c r="E639" s="72"/>
      <c r="F639" s="68"/>
      <c r="G639" s="15"/>
      <c r="H639" s="76" t="str">
        <f aca="false">IFERROR(__xludf.dummyfunction("""COMPUTED_VALUE"""),"")</f>
        <v/>
      </c>
      <c r="I639" s="50" t="str">
        <f aca="false">IFERROR(__xludf.dummyfunction("""COMPUTED_VALUE"""),"")</f>
        <v/>
      </c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  <c r="DY639" s="15"/>
      <c r="DZ639" s="15"/>
      <c r="EA639" s="15"/>
      <c r="EB639" s="15"/>
      <c r="EC639" s="15"/>
      <c r="ED639" s="15"/>
      <c r="EE639" s="15"/>
      <c r="EF639" s="15"/>
      <c r="EG639" s="15"/>
      <c r="EH639" s="15"/>
      <c r="EI639" s="15"/>
      <c r="EJ639" s="15"/>
      <c r="EK639" s="15"/>
      <c r="EL639" s="15"/>
      <c r="EM639" s="15"/>
      <c r="EN639" s="15"/>
      <c r="EO639" s="15"/>
      <c r="EP639" s="15"/>
      <c r="EQ639" s="15"/>
      <c r="ER639" s="15"/>
      <c r="ES639" s="15"/>
      <c r="ET639" s="15"/>
      <c r="EU639" s="15"/>
      <c r="EV639" s="15"/>
      <c r="EW639" s="15"/>
      <c r="EX639" s="15"/>
    </row>
    <row r="640" customFormat="false" ht="15.75" hidden="false" customHeight="false" outlineLevel="0" collapsed="false">
      <c r="A640" s="76"/>
      <c r="B640" s="77"/>
      <c r="C640" s="77"/>
      <c r="D640" s="78"/>
      <c r="E640" s="72"/>
      <c r="F640" s="68"/>
      <c r="G640" s="15"/>
      <c r="H640" s="76" t="str">
        <f aca="false">IFERROR(__xludf.dummyfunction("""COMPUTED_VALUE"""),"")</f>
        <v/>
      </c>
      <c r="I640" s="50" t="str">
        <f aca="false">IFERROR(__xludf.dummyfunction("""COMPUTED_VALUE"""),"")</f>
        <v/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  <c r="DY640" s="15"/>
      <c r="DZ640" s="15"/>
      <c r="EA640" s="15"/>
      <c r="EB640" s="15"/>
      <c r="EC640" s="15"/>
      <c r="ED640" s="15"/>
      <c r="EE640" s="15"/>
      <c r="EF640" s="15"/>
      <c r="EG640" s="15"/>
      <c r="EH640" s="15"/>
      <c r="EI640" s="15"/>
      <c r="EJ640" s="15"/>
      <c r="EK640" s="15"/>
      <c r="EL640" s="15"/>
      <c r="EM640" s="15"/>
      <c r="EN640" s="15"/>
      <c r="EO640" s="15"/>
      <c r="EP640" s="15"/>
      <c r="EQ640" s="15"/>
      <c r="ER640" s="15"/>
      <c r="ES640" s="15"/>
      <c r="ET640" s="15"/>
      <c r="EU640" s="15"/>
      <c r="EV640" s="15"/>
      <c r="EW640" s="15"/>
      <c r="EX640" s="15"/>
    </row>
    <row r="641" customFormat="false" ht="15.75" hidden="false" customHeight="false" outlineLevel="0" collapsed="false">
      <c r="A641" s="76"/>
      <c r="B641" s="77"/>
      <c r="C641" s="77"/>
      <c r="D641" s="78"/>
      <c r="E641" s="72"/>
      <c r="F641" s="68"/>
      <c r="G641" s="15"/>
      <c r="H641" s="76" t="str">
        <f aca="false">IFERROR(__xludf.dummyfunction("""COMPUTED_VALUE"""),"")</f>
        <v/>
      </c>
      <c r="I641" s="50" t="str">
        <f aca="false">IFERROR(__xludf.dummyfunction("""COMPUTED_VALUE"""),"")</f>
        <v/>
      </c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  <c r="DY641" s="15"/>
      <c r="DZ641" s="15"/>
      <c r="EA641" s="15"/>
      <c r="EB641" s="15"/>
      <c r="EC641" s="15"/>
      <c r="ED641" s="15"/>
      <c r="EE641" s="15"/>
      <c r="EF641" s="15"/>
      <c r="EG641" s="15"/>
      <c r="EH641" s="15"/>
      <c r="EI641" s="15"/>
      <c r="EJ641" s="15"/>
      <c r="EK641" s="15"/>
      <c r="EL641" s="15"/>
      <c r="EM641" s="15"/>
      <c r="EN641" s="15"/>
      <c r="EO641" s="15"/>
      <c r="EP641" s="15"/>
      <c r="EQ641" s="15"/>
      <c r="ER641" s="15"/>
      <c r="ES641" s="15"/>
      <c r="ET641" s="15"/>
      <c r="EU641" s="15"/>
      <c r="EV641" s="15"/>
      <c r="EW641" s="15"/>
      <c r="EX641" s="15"/>
    </row>
    <row r="642" customFormat="false" ht="15.75" hidden="false" customHeight="false" outlineLevel="0" collapsed="false">
      <c r="A642" s="76"/>
      <c r="B642" s="77"/>
      <c r="C642" s="77"/>
      <c r="D642" s="78"/>
      <c r="E642" s="72"/>
      <c r="F642" s="68"/>
      <c r="G642" s="15"/>
      <c r="H642" s="76" t="str">
        <f aca="false">IFERROR(__xludf.dummyfunction("""COMPUTED_VALUE"""),"")</f>
        <v/>
      </c>
      <c r="I642" s="50" t="str">
        <f aca="false">IFERROR(__xludf.dummyfunction("""COMPUTED_VALUE"""),"")</f>
        <v/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  <c r="DY642" s="15"/>
      <c r="DZ642" s="15"/>
      <c r="EA642" s="15"/>
      <c r="EB642" s="15"/>
      <c r="EC642" s="15"/>
      <c r="ED642" s="15"/>
      <c r="EE642" s="15"/>
      <c r="EF642" s="15"/>
      <c r="EG642" s="15"/>
      <c r="EH642" s="15"/>
      <c r="EI642" s="15"/>
      <c r="EJ642" s="15"/>
      <c r="EK642" s="15"/>
      <c r="EL642" s="15"/>
      <c r="EM642" s="15"/>
      <c r="EN642" s="15"/>
      <c r="EO642" s="15"/>
      <c r="EP642" s="15"/>
      <c r="EQ642" s="15"/>
      <c r="ER642" s="15"/>
      <c r="ES642" s="15"/>
      <c r="ET642" s="15"/>
      <c r="EU642" s="15"/>
      <c r="EV642" s="15"/>
      <c r="EW642" s="15"/>
      <c r="EX642" s="15"/>
    </row>
    <row r="643" customFormat="false" ht="15.75" hidden="false" customHeight="false" outlineLevel="0" collapsed="false">
      <c r="A643" s="76"/>
      <c r="B643" s="77"/>
      <c r="C643" s="77"/>
      <c r="D643" s="78"/>
      <c r="E643" s="72"/>
      <c r="F643" s="68"/>
      <c r="G643" s="15"/>
      <c r="H643" s="76" t="str">
        <f aca="false">IFERROR(__xludf.dummyfunction("""COMPUTED_VALUE"""),"")</f>
        <v/>
      </c>
      <c r="I643" s="50" t="str">
        <f aca="false">IFERROR(__xludf.dummyfunction("""COMPUTED_VALUE"""),"")</f>
        <v/>
      </c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  <c r="DY643" s="15"/>
      <c r="DZ643" s="15"/>
      <c r="EA643" s="15"/>
      <c r="EB643" s="15"/>
      <c r="EC643" s="15"/>
      <c r="ED643" s="15"/>
      <c r="EE643" s="15"/>
      <c r="EF643" s="15"/>
      <c r="EG643" s="15"/>
      <c r="EH643" s="15"/>
      <c r="EI643" s="15"/>
      <c r="EJ643" s="15"/>
      <c r="EK643" s="15"/>
      <c r="EL643" s="15"/>
      <c r="EM643" s="15"/>
      <c r="EN643" s="15"/>
      <c r="EO643" s="15"/>
      <c r="EP643" s="15"/>
      <c r="EQ643" s="15"/>
      <c r="ER643" s="15"/>
      <c r="ES643" s="15"/>
      <c r="ET643" s="15"/>
      <c r="EU643" s="15"/>
      <c r="EV643" s="15"/>
      <c r="EW643" s="15"/>
      <c r="EX643" s="15"/>
    </row>
    <row r="644" customFormat="false" ht="15.75" hidden="false" customHeight="false" outlineLevel="0" collapsed="false">
      <c r="A644" s="76"/>
      <c r="B644" s="77"/>
      <c r="C644" s="77"/>
      <c r="D644" s="78"/>
      <c r="E644" s="72"/>
      <c r="F644" s="68"/>
      <c r="G644" s="15"/>
      <c r="H644" s="76" t="str">
        <f aca="false">IFERROR(__xludf.dummyfunction("""COMPUTED_VALUE"""),"")</f>
        <v/>
      </c>
      <c r="I644" s="50" t="str">
        <f aca="false">IFERROR(__xludf.dummyfunction("""COMPUTED_VALUE"""),"")</f>
        <v/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  <c r="DY644" s="15"/>
      <c r="DZ644" s="15"/>
      <c r="EA644" s="15"/>
      <c r="EB644" s="15"/>
      <c r="EC644" s="15"/>
      <c r="ED644" s="15"/>
      <c r="EE644" s="15"/>
      <c r="EF644" s="15"/>
      <c r="EG644" s="15"/>
      <c r="EH644" s="15"/>
      <c r="EI644" s="15"/>
      <c r="EJ644" s="15"/>
      <c r="EK644" s="15"/>
      <c r="EL644" s="15"/>
      <c r="EM644" s="15"/>
      <c r="EN644" s="15"/>
      <c r="EO644" s="15"/>
      <c r="EP644" s="15"/>
      <c r="EQ644" s="15"/>
      <c r="ER644" s="15"/>
      <c r="ES644" s="15"/>
      <c r="ET644" s="15"/>
      <c r="EU644" s="15"/>
      <c r="EV644" s="15"/>
      <c r="EW644" s="15"/>
      <c r="EX644" s="15"/>
    </row>
    <row r="645" customFormat="false" ht="15.75" hidden="false" customHeight="false" outlineLevel="0" collapsed="false">
      <c r="A645" s="76"/>
      <c r="B645" s="77"/>
      <c r="C645" s="77"/>
      <c r="D645" s="78"/>
      <c r="E645" s="72"/>
      <c r="F645" s="68"/>
      <c r="G645" s="15"/>
      <c r="H645" s="76" t="str">
        <f aca="false">IFERROR(__xludf.dummyfunction("""COMPUTED_VALUE"""),"")</f>
        <v/>
      </c>
      <c r="I645" s="50" t="str">
        <f aca="false">IFERROR(__xludf.dummyfunction("""COMPUTED_VALUE"""),"")</f>
        <v/>
      </c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  <c r="DY645" s="15"/>
      <c r="DZ645" s="15"/>
      <c r="EA645" s="15"/>
      <c r="EB645" s="15"/>
      <c r="EC645" s="15"/>
      <c r="ED645" s="15"/>
      <c r="EE645" s="15"/>
      <c r="EF645" s="15"/>
      <c r="EG645" s="15"/>
      <c r="EH645" s="15"/>
      <c r="EI645" s="15"/>
      <c r="EJ645" s="15"/>
      <c r="EK645" s="15"/>
      <c r="EL645" s="15"/>
      <c r="EM645" s="15"/>
      <c r="EN645" s="15"/>
      <c r="EO645" s="15"/>
      <c r="EP645" s="15"/>
      <c r="EQ645" s="15"/>
      <c r="ER645" s="15"/>
      <c r="ES645" s="15"/>
      <c r="ET645" s="15"/>
      <c r="EU645" s="15"/>
      <c r="EV645" s="15"/>
      <c r="EW645" s="15"/>
      <c r="EX645" s="15"/>
    </row>
    <row r="646" customFormat="false" ht="15.75" hidden="false" customHeight="false" outlineLevel="0" collapsed="false">
      <c r="A646" s="76"/>
      <c r="B646" s="77"/>
      <c r="C646" s="77"/>
      <c r="D646" s="78"/>
      <c r="E646" s="72"/>
      <c r="F646" s="68"/>
      <c r="G646" s="15"/>
      <c r="H646" s="76" t="str">
        <f aca="false">IFERROR(__xludf.dummyfunction("""COMPUTED_VALUE"""),"")</f>
        <v/>
      </c>
      <c r="I646" s="50" t="str">
        <f aca="false">IFERROR(__xludf.dummyfunction("""COMPUTED_VALUE"""),"")</f>
        <v/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  <c r="DY646" s="15"/>
      <c r="DZ646" s="15"/>
      <c r="EA646" s="15"/>
      <c r="EB646" s="15"/>
      <c r="EC646" s="15"/>
      <c r="ED646" s="15"/>
      <c r="EE646" s="15"/>
      <c r="EF646" s="15"/>
      <c r="EG646" s="15"/>
      <c r="EH646" s="15"/>
      <c r="EI646" s="15"/>
      <c r="EJ646" s="15"/>
      <c r="EK646" s="15"/>
      <c r="EL646" s="15"/>
      <c r="EM646" s="15"/>
      <c r="EN646" s="15"/>
      <c r="EO646" s="15"/>
      <c r="EP646" s="15"/>
      <c r="EQ646" s="15"/>
      <c r="ER646" s="15"/>
      <c r="ES646" s="15"/>
      <c r="ET646" s="15"/>
      <c r="EU646" s="15"/>
      <c r="EV646" s="15"/>
      <c r="EW646" s="15"/>
      <c r="EX646" s="15"/>
    </row>
    <row r="647" customFormat="false" ht="15.75" hidden="false" customHeight="false" outlineLevel="0" collapsed="false">
      <c r="A647" s="76"/>
      <c r="B647" s="77"/>
      <c r="C647" s="77"/>
      <c r="D647" s="78"/>
      <c r="E647" s="72"/>
      <c r="F647" s="68"/>
      <c r="G647" s="15"/>
      <c r="H647" s="76" t="str">
        <f aca="false">IFERROR(__xludf.dummyfunction("""COMPUTED_VALUE"""),"")</f>
        <v/>
      </c>
      <c r="I647" s="50" t="str">
        <f aca="false">IFERROR(__xludf.dummyfunction("""COMPUTED_VALUE"""),"")</f>
        <v/>
      </c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  <c r="DY647" s="15"/>
      <c r="DZ647" s="15"/>
      <c r="EA647" s="15"/>
      <c r="EB647" s="15"/>
      <c r="EC647" s="15"/>
      <c r="ED647" s="15"/>
      <c r="EE647" s="15"/>
      <c r="EF647" s="15"/>
      <c r="EG647" s="15"/>
      <c r="EH647" s="15"/>
      <c r="EI647" s="15"/>
      <c r="EJ647" s="15"/>
      <c r="EK647" s="15"/>
      <c r="EL647" s="15"/>
      <c r="EM647" s="15"/>
      <c r="EN647" s="15"/>
      <c r="EO647" s="15"/>
      <c r="EP647" s="15"/>
      <c r="EQ647" s="15"/>
      <c r="ER647" s="15"/>
      <c r="ES647" s="15"/>
      <c r="ET647" s="15"/>
      <c r="EU647" s="15"/>
      <c r="EV647" s="15"/>
      <c r="EW647" s="15"/>
      <c r="EX647" s="15"/>
    </row>
    <row r="648" customFormat="false" ht="15.75" hidden="false" customHeight="false" outlineLevel="0" collapsed="false">
      <c r="A648" s="76"/>
      <c r="B648" s="77"/>
      <c r="C648" s="77"/>
      <c r="D648" s="78"/>
      <c r="E648" s="72"/>
      <c r="F648" s="68"/>
      <c r="G648" s="15"/>
      <c r="H648" s="76" t="str">
        <f aca="false">IFERROR(__xludf.dummyfunction("""COMPUTED_VALUE"""),"")</f>
        <v/>
      </c>
      <c r="I648" s="50" t="str">
        <f aca="false">IFERROR(__xludf.dummyfunction("""COMPUTED_VALUE"""),"")</f>
        <v/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  <c r="DY648" s="15"/>
      <c r="DZ648" s="15"/>
      <c r="EA648" s="15"/>
      <c r="EB648" s="15"/>
      <c r="EC648" s="15"/>
      <c r="ED648" s="15"/>
      <c r="EE648" s="15"/>
      <c r="EF648" s="15"/>
      <c r="EG648" s="15"/>
      <c r="EH648" s="15"/>
      <c r="EI648" s="15"/>
      <c r="EJ648" s="15"/>
      <c r="EK648" s="15"/>
      <c r="EL648" s="15"/>
      <c r="EM648" s="15"/>
      <c r="EN648" s="15"/>
      <c r="EO648" s="15"/>
      <c r="EP648" s="15"/>
      <c r="EQ648" s="15"/>
      <c r="ER648" s="15"/>
      <c r="ES648" s="15"/>
      <c r="ET648" s="15"/>
      <c r="EU648" s="15"/>
      <c r="EV648" s="15"/>
      <c r="EW648" s="15"/>
      <c r="EX648" s="15"/>
    </row>
    <row r="649" customFormat="false" ht="15.75" hidden="false" customHeight="false" outlineLevel="0" collapsed="false">
      <c r="A649" s="76"/>
      <c r="B649" s="77"/>
      <c r="C649" s="77"/>
      <c r="D649" s="78"/>
      <c r="E649" s="72"/>
      <c r="F649" s="68"/>
      <c r="G649" s="15"/>
      <c r="H649" s="76" t="str">
        <f aca="false">IFERROR(__xludf.dummyfunction("""COMPUTED_VALUE"""),"")</f>
        <v/>
      </c>
      <c r="I649" s="50" t="str">
        <f aca="false">IFERROR(__xludf.dummyfunction("""COMPUTED_VALUE"""),"")</f>
        <v/>
      </c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  <c r="DY649" s="15"/>
      <c r="DZ649" s="15"/>
      <c r="EA649" s="15"/>
      <c r="EB649" s="15"/>
      <c r="EC649" s="15"/>
      <c r="ED649" s="15"/>
      <c r="EE649" s="15"/>
      <c r="EF649" s="15"/>
      <c r="EG649" s="15"/>
      <c r="EH649" s="15"/>
      <c r="EI649" s="15"/>
      <c r="EJ649" s="15"/>
      <c r="EK649" s="15"/>
      <c r="EL649" s="15"/>
      <c r="EM649" s="15"/>
      <c r="EN649" s="15"/>
      <c r="EO649" s="15"/>
      <c r="EP649" s="15"/>
      <c r="EQ649" s="15"/>
      <c r="ER649" s="15"/>
      <c r="ES649" s="15"/>
      <c r="ET649" s="15"/>
      <c r="EU649" s="15"/>
      <c r="EV649" s="15"/>
      <c r="EW649" s="15"/>
      <c r="EX649" s="15"/>
    </row>
    <row r="650" customFormat="false" ht="15.75" hidden="false" customHeight="false" outlineLevel="0" collapsed="false">
      <c r="A650" s="76"/>
      <c r="B650" s="77"/>
      <c r="C650" s="77"/>
      <c r="D650" s="78"/>
      <c r="E650" s="72"/>
      <c r="F650" s="68"/>
      <c r="G650" s="15"/>
      <c r="H650" s="76" t="str">
        <f aca="false">IFERROR(__xludf.dummyfunction("""COMPUTED_VALUE"""),"")</f>
        <v/>
      </c>
      <c r="I650" s="50" t="str">
        <f aca="false">IFERROR(__xludf.dummyfunction("""COMPUTED_VALUE"""),"")</f>
        <v/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  <c r="DY650" s="15"/>
      <c r="DZ650" s="15"/>
      <c r="EA650" s="15"/>
      <c r="EB650" s="15"/>
      <c r="EC650" s="15"/>
      <c r="ED650" s="15"/>
      <c r="EE650" s="15"/>
      <c r="EF650" s="15"/>
      <c r="EG650" s="15"/>
      <c r="EH650" s="15"/>
      <c r="EI650" s="15"/>
      <c r="EJ650" s="15"/>
      <c r="EK650" s="15"/>
      <c r="EL650" s="15"/>
      <c r="EM650" s="15"/>
      <c r="EN650" s="15"/>
      <c r="EO650" s="15"/>
      <c r="EP650" s="15"/>
      <c r="EQ650" s="15"/>
      <c r="ER650" s="15"/>
      <c r="ES650" s="15"/>
      <c r="ET650" s="15"/>
      <c r="EU650" s="15"/>
      <c r="EV650" s="15"/>
      <c r="EW650" s="15"/>
      <c r="EX650" s="15"/>
    </row>
    <row r="651" customFormat="false" ht="15.75" hidden="false" customHeight="false" outlineLevel="0" collapsed="false">
      <c r="A651" s="76"/>
      <c r="B651" s="77"/>
      <c r="C651" s="77"/>
      <c r="D651" s="78"/>
      <c r="E651" s="72"/>
      <c r="F651" s="68"/>
      <c r="G651" s="15"/>
      <c r="H651" s="76" t="str">
        <f aca="false">IFERROR(__xludf.dummyfunction("""COMPUTED_VALUE"""),"")</f>
        <v/>
      </c>
      <c r="I651" s="50" t="str">
        <f aca="false">IFERROR(__xludf.dummyfunction("""COMPUTED_VALUE"""),"")</f>
        <v/>
      </c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  <c r="DY651" s="15"/>
      <c r="DZ651" s="15"/>
      <c r="EA651" s="15"/>
      <c r="EB651" s="15"/>
      <c r="EC651" s="15"/>
      <c r="ED651" s="15"/>
      <c r="EE651" s="15"/>
      <c r="EF651" s="15"/>
      <c r="EG651" s="15"/>
      <c r="EH651" s="15"/>
      <c r="EI651" s="15"/>
      <c r="EJ651" s="15"/>
      <c r="EK651" s="15"/>
      <c r="EL651" s="15"/>
      <c r="EM651" s="15"/>
      <c r="EN651" s="15"/>
      <c r="EO651" s="15"/>
      <c r="EP651" s="15"/>
      <c r="EQ651" s="15"/>
      <c r="ER651" s="15"/>
      <c r="ES651" s="15"/>
      <c r="ET651" s="15"/>
      <c r="EU651" s="15"/>
      <c r="EV651" s="15"/>
      <c r="EW651" s="15"/>
      <c r="EX651" s="15"/>
    </row>
    <row r="652" customFormat="false" ht="15.75" hidden="false" customHeight="false" outlineLevel="0" collapsed="false">
      <c r="A652" s="76"/>
      <c r="B652" s="77"/>
      <c r="C652" s="77"/>
      <c r="D652" s="78"/>
      <c r="E652" s="72"/>
      <c r="F652" s="68"/>
      <c r="G652" s="15"/>
      <c r="H652" s="76" t="str">
        <f aca="false">IFERROR(__xludf.dummyfunction("""COMPUTED_VALUE"""),"")</f>
        <v/>
      </c>
      <c r="I652" s="50" t="str">
        <f aca="false">IFERROR(__xludf.dummyfunction("""COMPUTED_VALUE"""),"")</f>
        <v/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  <c r="DY652" s="15"/>
      <c r="DZ652" s="15"/>
      <c r="EA652" s="15"/>
      <c r="EB652" s="15"/>
      <c r="EC652" s="15"/>
      <c r="ED652" s="15"/>
      <c r="EE652" s="15"/>
      <c r="EF652" s="15"/>
      <c r="EG652" s="15"/>
      <c r="EH652" s="15"/>
      <c r="EI652" s="15"/>
      <c r="EJ652" s="15"/>
      <c r="EK652" s="15"/>
      <c r="EL652" s="15"/>
      <c r="EM652" s="15"/>
      <c r="EN652" s="15"/>
      <c r="EO652" s="15"/>
      <c r="EP652" s="15"/>
      <c r="EQ652" s="15"/>
      <c r="ER652" s="15"/>
      <c r="ES652" s="15"/>
      <c r="ET652" s="15"/>
      <c r="EU652" s="15"/>
      <c r="EV652" s="15"/>
      <c r="EW652" s="15"/>
      <c r="EX652" s="15"/>
    </row>
    <row r="653" customFormat="false" ht="15.75" hidden="false" customHeight="false" outlineLevel="0" collapsed="false">
      <c r="A653" s="76"/>
      <c r="B653" s="77"/>
      <c r="C653" s="77"/>
      <c r="D653" s="78"/>
      <c r="E653" s="72"/>
      <c r="F653" s="68"/>
      <c r="G653" s="15"/>
      <c r="H653" s="76" t="str">
        <f aca="false">IFERROR(__xludf.dummyfunction("""COMPUTED_VALUE"""),"")</f>
        <v/>
      </c>
      <c r="I653" s="50" t="str">
        <f aca="false">IFERROR(__xludf.dummyfunction("""COMPUTED_VALUE"""),"")</f>
        <v/>
      </c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  <c r="DY653" s="15"/>
      <c r="DZ653" s="15"/>
      <c r="EA653" s="15"/>
      <c r="EB653" s="15"/>
      <c r="EC653" s="15"/>
      <c r="ED653" s="15"/>
      <c r="EE653" s="15"/>
      <c r="EF653" s="15"/>
      <c r="EG653" s="15"/>
      <c r="EH653" s="15"/>
      <c r="EI653" s="15"/>
      <c r="EJ653" s="15"/>
      <c r="EK653" s="15"/>
      <c r="EL653" s="15"/>
      <c r="EM653" s="15"/>
      <c r="EN653" s="15"/>
      <c r="EO653" s="15"/>
      <c r="EP653" s="15"/>
      <c r="EQ653" s="15"/>
      <c r="ER653" s="15"/>
      <c r="ES653" s="15"/>
      <c r="ET653" s="15"/>
      <c r="EU653" s="15"/>
      <c r="EV653" s="15"/>
      <c r="EW653" s="15"/>
      <c r="EX653" s="15"/>
    </row>
    <row r="654" customFormat="false" ht="15.75" hidden="false" customHeight="false" outlineLevel="0" collapsed="false">
      <c r="A654" s="76"/>
      <c r="B654" s="77"/>
      <c r="C654" s="77"/>
      <c r="D654" s="78"/>
      <c r="E654" s="72"/>
      <c r="F654" s="68"/>
      <c r="G654" s="15"/>
      <c r="H654" s="76" t="str">
        <f aca="false">IFERROR(__xludf.dummyfunction("""COMPUTED_VALUE"""),"")</f>
        <v/>
      </c>
      <c r="I654" s="50" t="str">
        <f aca="false">IFERROR(__xludf.dummyfunction("""COMPUTED_VALUE"""),"")</f>
        <v/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  <c r="DY654" s="15"/>
      <c r="DZ654" s="15"/>
      <c r="EA654" s="15"/>
      <c r="EB654" s="15"/>
      <c r="EC654" s="15"/>
      <c r="ED654" s="15"/>
      <c r="EE654" s="15"/>
      <c r="EF654" s="15"/>
      <c r="EG654" s="15"/>
      <c r="EH654" s="15"/>
      <c r="EI654" s="15"/>
      <c r="EJ654" s="15"/>
      <c r="EK654" s="15"/>
      <c r="EL654" s="15"/>
      <c r="EM654" s="15"/>
      <c r="EN654" s="15"/>
      <c r="EO654" s="15"/>
      <c r="EP654" s="15"/>
      <c r="EQ654" s="15"/>
      <c r="ER654" s="15"/>
      <c r="ES654" s="15"/>
      <c r="ET654" s="15"/>
      <c r="EU654" s="15"/>
      <c r="EV654" s="15"/>
      <c r="EW654" s="15"/>
      <c r="EX654" s="15"/>
    </row>
    <row r="655" customFormat="false" ht="15.75" hidden="false" customHeight="false" outlineLevel="0" collapsed="false">
      <c r="A655" s="76"/>
      <c r="B655" s="77"/>
      <c r="C655" s="77"/>
      <c r="D655" s="78"/>
      <c r="E655" s="72"/>
      <c r="F655" s="68"/>
      <c r="G655" s="15"/>
      <c r="H655" s="76" t="str">
        <f aca="false">IFERROR(__xludf.dummyfunction("""COMPUTED_VALUE"""),"")</f>
        <v/>
      </c>
      <c r="I655" s="50" t="str">
        <f aca="false">IFERROR(__xludf.dummyfunction("""COMPUTED_VALUE"""),"")</f>
        <v/>
      </c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  <c r="DY655" s="15"/>
      <c r="DZ655" s="15"/>
      <c r="EA655" s="15"/>
      <c r="EB655" s="15"/>
      <c r="EC655" s="15"/>
      <c r="ED655" s="15"/>
      <c r="EE655" s="15"/>
      <c r="EF655" s="15"/>
      <c r="EG655" s="15"/>
      <c r="EH655" s="15"/>
      <c r="EI655" s="15"/>
      <c r="EJ655" s="15"/>
      <c r="EK655" s="15"/>
      <c r="EL655" s="15"/>
      <c r="EM655" s="15"/>
      <c r="EN655" s="15"/>
      <c r="EO655" s="15"/>
      <c r="EP655" s="15"/>
      <c r="EQ655" s="15"/>
      <c r="ER655" s="15"/>
      <c r="ES655" s="15"/>
      <c r="ET655" s="15"/>
      <c r="EU655" s="15"/>
      <c r="EV655" s="15"/>
      <c r="EW655" s="15"/>
      <c r="EX655" s="15"/>
    </row>
    <row r="656" customFormat="false" ht="15.75" hidden="false" customHeight="false" outlineLevel="0" collapsed="false">
      <c r="A656" s="76"/>
      <c r="B656" s="77"/>
      <c r="C656" s="77"/>
      <c r="D656" s="78"/>
      <c r="E656" s="72"/>
      <c r="F656" s="68"/>
      <c r="G656" s="15"/>
      <c r="H656" s="76" t="str">
        <f aca="false">IFERROR(__xludf.dummyfunction("""COMPUTED_VALUE"""),"")</f>
        <v/>
      </c>
      <c r="I656" s="50" t="str">
        <f aca="false">IFERROR(__xludf.dummyfunction("""COMPUTED_VALUE"""),"")</f>
        <v/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  <c r="DY656" s="15"/>
      <c r="DZ656" s="15"/>
      <c r="EA656" s="15"/>
      <c r="EB656" s="15"/>
      <c r="EC656" s="15"/>
      <c r="ED656" s="15"/>
      <c r="EE656" s="15"/>
      <c r="EF656" s="15"/>
      <c r="EG656" s="15"/>
      <c r="EH656" s="15"/>
      <c r="EI656" s="15"/>
      <c r="EJ656" s="15"/>
      <c r="EK656" s="15"/>
      <c r="EL656" s="15"/>
      <c r="EM656" s="15"/>
      <c r="EN656" s="15"/>
      <c r="EO656" s="15"/>
      <c r="EP656" s="15"/>
      <c r="EQ656" s="15"/>
      <c r="ER656" s="15"/>
      <c r="ES656" s="15"/>
      <c r="ET656" s="15"/>
      <c r="EU656" s="15"/>
      <c r="EV656" s="15"/>
      <c r="EW656" s="15"/>
      <c r="EX656" s="15"/>
    </row>
    <row r="657" customFormat="false" ht="15.75" hidden="false" customHeight="false" outlineLevel="0" collapsed="false">
      <c r="A657" s="76"/>
      <c r="B657" s="77"/>
      <c r="C657" s="77"/>
      <c r="D657" s="78"/>
      <c r="E657" s="72"/>
      <c r="F657" s="68"/>
      <c r="G657" s="15"/>
      <c r="H657" s="76" t="str">
        <f aca="false">IFERROR(__xludf.dummyfunction("""COMPUTED_VALUE"""),"")</f>
        <v/>
      </c>
      <c r="I657" s="50" t="str">
        <f aca="false">IFERROR(__xludf.dummyfunction("""COMPUTED_VALUE"""),"")</f>
        <v/>
      </c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  <c r="DY657" s="15"/>
      <c r="DZ657" s="15"/>
      <c r="EA657" s="15"/>
      <c r="EB657" s="15"/>
      <c r="EC657" s="15"/>
      <c r="ED657" s="15"/>
      <c r="EE657" s="15"/>
      <c r="EF657" s="15"/>
      <c r="EG657" s="15"/>
      <c r="EH657" s="15"/>
      <c r="EI657" s="15"/>
      <c r="EJ657" s="15"/>
      <c r="EK657" s="15"/>
      <c r="EL657" s="15"/>
      <c r="EM657" s="15"/>
      <c r="EN657" s="15"/>
      <c r="EO657" s="15"/>
      <c r="EP657" s="15"/>
      <c r="EQ657" s="15"/>
      <c r="ER657" s="15"/>
      <c r="ES657" s="15"/>
      <c r="ET657" s="15"/>
      <c r="EU657" s="15"/>
      <c r="EV657" s="15"/>
      <c r="EW657" s="15"/>
      <c r="EX657" s="15"/>
    </row>
    <row r="658" customFormat="false" ht="15.75" hidden="false" customHeight="false" outlineLevel="0" collapsed="false">
      <c r="A658" s="76"/>
      <c r="B658" s="77"/>
      <c r="C658" s="77"/>
      <c r="D658" s="78"/>
      <c r="E658" s="72"/>
      <c r="F658" s="68"/>
      <c r="G658" s="15"/>
      <c r="H658" s="76" t="str">
        <f aca="false">IFERROR(__xludf.dummyfunction("""COMPUTED_VALUE"""),"")</f>
        <v/>
      </c>
      <c r="I658" s="50" t="str">
        <f aca="false">IFERROR(__xludf.dummyfunction("""COMPUTED_VALUE"""),"")</f>
        <v/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  <c r="DY658" s="15"/>
      <c r="DZ658" s="15"/>
      <c r="EA658" s="15"/>
      <c r="EB658" s="15"/>
      <c r="EC658" s="15"/>
      <c r="ED658" s="15"/>
      <c r="EE658" s="15"/>
      <c r="EF658" s="15"/>
      <c r="EG658" s="15"/>
      <c r="EH658" s="15"/>
      <c r="EI658" s="15"/>
      <c r="EJ658" s="15"/>
      <c r="EK658" s="15"/>
      <c r="EL658" s="15"/>
      <c r="EM658" s="15"/>
      <c r="EN658" s="15"/>
      <c r="EO658" s="15"/>
      <c r="EP658" s="15"/>
      <c r="EQ658" s="15"/>
      <c r="ER658" s="15"/>
      <c r="ES658" s="15"/>
      <c r="ET658" s="15"/>
      <c r="EU658" s="15"/>
      <c r="EV658" s="15"/>
      <c r="EW658" s="15"/>
      <c r="EX658" s="15"/>
    </row>
    <row r="659" customFormat="false" ht="15.75" hidden="false" customHeight="false" outlineLevel="0" collapsed="false">
      <c r="A659" s="76"/>
      <c r="B659" s="77"/>
      <c r="C659" s="77"/>
      <c r="D659" s="78"/>
      <c r="E659" s="72"/>
      <c r="F659" s="68"/>
      <c r="G659" s="15"/>
      <c r="H659" s="76" t="str">
        <f aca="false">IFERROR(__xludf.dummyfunction("""COMPUTED_VALUE"""),"")</f>
        <v/>
      </c>
      <c r="I659" s="50" t="str">
        <f aca="false">IFERROR(__xludf.dummyfunction("""COMPUTED_VALUE"""),"")</f>
        <v/>
      </c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  <c r="DY659" s="15"/>
      <c r="DZ659" s="15"/>
      <c r="EA659" s="15"/>
      <c r="EB659" s="15"/>
      <c r="EC659" s="15"/>
      <c r="ED659" s="15"/>
      <c r="EE659" s="15"/>
      <c r="EF659" s="15"/>
      <c r="EG659" s="15"/>
      <c r="EH659" s="15"/>
      <c r="EI659" s="15"/>
      <c r="EJ659" s="15"/>
      <c r="EK659" s="15"/>
      <c r="EL659" s="15"/>
      <c r="EM659" s="15"/>
      <c r="EN659" s="15"/>
      <c r="EO659" s="15"/>
      <c r="EP659" s="15"/>
      <c r="EQ659" s="15"/>
      <c r="ER659" s="15"/>
      <c r="ES659" s="15"/>
      <c r="ET659" s="15"/>
      <c r="EU659" s="15"/>
      <c r="EV659" s="15"/>
      <c r="EW659" s="15"/>
      <c r="EX659" s="15"/>
    </row>
    <row r="660" customFormat="false" ht="15.75" hidden="false" customHeight="false" outlineLevel="0" collapsed="false">
      <c r="A660" s="76"/>
      <c r="B660" s="77"/>
      <c r="C660" s="77"/>
      <c r="D660" s="78"/>
      <c r="E660" s="72"/>
      <c r="F660" s="68"/>
      <c r="G660" s="15"/>
      <c r="H660" s="76" t="str">
        <f aca="false">IFERROR(__xludf.dummyfunction("""COMPUTED_VALUE"""),"")</f>
        <v/>
      </c>
      <c r="I660" s="50" t="str">
        <f aca="false">IFERROR(__xludf.dummyfunction("""COMPUTED_VALUE"""),"")</f>
        <v/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  <c r="DY660" s="15"/>
      <c r="DZ660" s="15"/>
      <c r="EA660" s="15"/>
      <c r="EB660" s="15"/>
      <c r="EC660" s="15"/>
      <c r="ED660" s="15"/>
      <c r="EE660" s="15"/>
      <c r="EF660" s="15"/>
      <c r="EG660" s="15"/>
      <c r="EH660" s="15"/>
      <c r="EI660" s="15"/>
      <c r="EJ660" s="15"/>
      <c r="EK660" s="15"/>
      <c r="EL660" s="15"/>
      <c r="EM660" s="15"/>
      <c r="EN660" s="15"/>
      <c r="EO660" s="15"/>
      <c r="EP660" s="15"/>
      <c r="EQ660" s="15"/>
      <c r="ER660" s="15"/>
      <c r="ES660" s="15"/>
      <c r="ET660" s="15"/>
      <c r="EU660" s="15"/>
      <c r="EV660" s="15"/>
      <c r="EW660" s="15"/>
      <c r="EX660" s="15"/>
    </row>
    <row r="661" customFormat="false" ht="15.75" hidden="false" customHeight="false" outlineLevel="0" collapsed="false">
      <c r="A661" s="76"/>
      <c r="B661" s="77"/>
      <c r="C661" s="77"/>
      <c r="D661" s="78"/>
      <c r="E661" s="72"/>
      <c r="F661" s="68"/>
      <c r="G661" s="15"/>
      <c r="H661" s="76" t="str">
        <f aca="false">IFERROR(__xludf.dummyfunction("""COMPUTED_VALUE"""),"")</f>
        <v/>
      </c>
      <c r="I661" s="50" t="str">
        <f aca="false">IFERROR(__xludf.dummyfunction("""COMPUTED_VALUE"""),"")</f>
        <v/>
      </c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  <c r="DY661" s="15"/>
      <c r="DZ661" s="15"/>
      <c r="EA661" s="15"/>
      <c r="EB661" s="15"/>
      <c r="EC661" s="15"/>
      <c r="ED661" s="15"/>
      <c r="EE661" s="15"/>
      <c r="EF661" s="15"/>
      <c r="EG661" s="15"/>
      <c r="EH661" s="15"/>
      <c r="EI661" s="15"/>
      <c r="EJ661" s="15"/>
      <c r="EK661" s="15"/>
      <c r="EL661" s="15"/>
      <c r="EM661" s="15"/>
      <c r="EN661" s="15"/>
      <c r="EO661" s="15"/>
      <c r="EP661" s="15"/>
      <c r="EQ661" s="15"/>
      <c r="ER661" s="15"/>
      <c r="ES661" s="15"/>
      <c r="ET661" s="15"/>
      <c r="EU661" s="15"/>
      <c r="EV661" s="15"/>
      <c r="EW661" s="15"/>
      <c r="EX661" s="15"/>
    </row>
    <row r="662" customFormat="false" ht="15.75" hidden="false" customHeight="false" outlineLevel="0" collapsed="false">
      <c r="A662" s="76"/>
      <c r="B662" s="77"/>
      <c r="C662" s="77"/>
      <c r="D662" s="78"/>
      <c r="E662" s="72"/>
      <c r="F662" s="68"/>
      <c r="G662" s="15"/>
      <c r="H662" s="76" t="str">
        <f aca="false">IFERROR(__xludf.dummyfunction("""COMPUTED_VALUE"""),"")</f>
        <v/>
      </c>
      <c r="I662" s="50" t="str">
        <f aca="false">IFERROR(__xludf.dummyfunction("""COMPUTED_VALUE"""),"")</f>
        <v/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  <c r="DY662" s="15"/>
      <c r="DZ662" s="15"/>
      <c r="EA662" s="15"/>
      <c r="EB662" s="15"/>
      <c r="EC662" s="15"/>
      <c r="ED662" s="15"/>
      <c r="EE662" s="15"/>
      <c r="EF662" s="15"/>
      <c r="EG662" s="15"/>
      <c r="EH662" s="15"/>
      <c r="EI662" s="15"/>
      <c r="EJ662" s="15"/>
      <c r="EK662" s="15"/>
      <c r="EL662" s="15"/>
      <c r="EM662" s="15"/>
      <c r="EN662" s="15"/>
      <c r="EO662" s="15"/>
      <c r="EP662" s="15"/>
      <c r="EQ662" s="15"/>
      <c r="ER662" s="15"/>
      <c r="ES662" s="15"/>
      <c r="ET662" s="15"/>
      <c r="EU662" s="15"/>
      <c r="EV662" s="15"/>
      <c r="EW662" s="15"/>
      <c r="EX662" s="15"/>
    </row>
    <row r="663" customFormat="false" ht="15.75" hidden="false" customHeight="false" outlineLevel="0" collapsed="false">
      <c r="A663" s="76"/>
      <c r="B663" s="77"/>
      <c r="C663" s="77"/>
      <c r="D663" s="78"/>
      <c r="E663" s="72"/>
      <c r="F663" s="68"/>
      <c r="G663" s="15"/>
      <c r="H663" s="76" t="str">
        <f aca="false">IFERROR(__xludf.dummyfunction("""COMPUTED_VALUE"""),"")</f>
        <v/>
      </c>
      <c r="I663" s="50" t="str">
        <f aca="false">IFERROR(__xludf.dummyfunction("""COMPUTED_VALUE"""),"")</f>
        <v/>
      </c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  <c r="DY663" s="15"/>
      <c r="DZ663" s="15"/>
      <c r="EA663" s="15"/>
      <c r="EB663" s="15"/>
      <c r="EC663" s="15"/>
      <c r="ED663" s="15"/>
      <c r="EE663" s="15"/>
      <c r="EF663" s="15"/>
      <c r="EG663" s="15"/>
      <c r="EH663" s="15"/>
      <c r="EI663" s="15"/>
      <c r="EJ663" s="15"/>
      <c r="EK663" s="15"/>
      <c r="EL663" s="15"/>
      <c r="EM663" s="15"/>
      <c r="EN663" s="15"/>
      <c r="EO663" s="15"/>
      <c r="EP663" s="15"/>
      <c r="EQ663" s="15"/>
      <c r="ER663" s="15"/>
      <c r="ES663" s="15"/>
      <c r="ET663" s="15"/>
      <c r="EU663" s="15"/>
      <c r="EV663" s="15"/>
      <c r="EW663" s="15"/>
      <c r="EX663" s="15"/>
    </row>
    <row r="664" customFormat="false" ht="15.75" hidden="false" customHeight="false" outlineLevel="0" collapsed="false">
      <c r="A664" s="76"/>
      <c r="B664" s="77"/>
      <c r="C664" s="77"/>
      <c r="D664" s="78"/>
      <c r="E664" s="72"/>
      <c r="F664" s="68"/>
      <c r="G664" s="15"/>
      <c r="H664" s="76" t="str">
        <f aca="false">IFERROR(__xludf.dummyfunction("""COMPUTED_VALUE"""),"")</f>
        <v/>
      </c>
      <c r="I664" s="50" t="str">
        <f aca="false">IFERROR(__xludf.dummyfunction("""COMPUTED_VALUE"""),"")</f>
        <v/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  <c r="DY664" s="15"/>
      <c r="DZ664" s="15"/>
      <c r="EA664" s="15"/>
      <c r="EB664" s="15"/>
      <c r="EC664" s="15"/>
      <c r="ED664" s="15"/>
      <c r="EE664" s="15"/>
      <c r="EF664" s="15"/>
      <c r="EG664" s="15"/>
      <c r="EH664" s="15"/>
      <c r="EI664" s="15"/>
      <c r="EJ664" s="15"/>
      <c r="EK664" s="15"/>
      <c r="EL664" s="15"/>
      <c r="EM664" s="15"/>
      <c r="EN664" s="15"/>
      <c r="EO664" s="15"/>
      <c r="EP664" s="15"/>
      <c r="EQ664" s="15"/>
      <c r="ER664" s="15"/>
      <c r="ES664" s="15"/>
      <c r="ET664" s="15"/>
      <c r="EU664" s="15"/>
      <c r="EV664" s="15"/>
      <c r="EW664" s="15"/>
      <c r="EX664" s="15"/>
    </row>
    <row r="665" customFormat="false" ht="15.75" hidden="false" customHeight="false" outlineLevel="0" collapsed="false">
      <c r="A665" s="76"/>
      <c r="B665" s="77"/>
      <c r="C665" s="77"/>
      <c r="D665" s="78"/>
      <c r="E665" s="72"/>
      <c r="F665" s="68"/>
      <c r="G665" s="15"/>
      <c r="H665" s="76" t="str">
        <f aca="false">IFERROR(__xludf.dummyfunction("""COMPUTED_VALUE"""),"")</f>
        <v/>
      </c>
      <c r="I665" s="50" t="str">
        <f aca="false">IFERROR(__xludf.dummyfunction("""COMPUTED_VALUE"""),"")</f>
        <v/>
      </c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  <c r="DY665" s="15"/>
      <c r="DZ665" s="15"/>
      <c r="EA665" s="15"/>
      <c r="EB665" s="15"/>
      <c r="EC665" s="15"/>
      <c r="ED665" s="15"/>
      <c r="EE665" s="15"/>
      <c r="EF665" s="15"/>
      <c r="EG665" s="15"/>
      <c r="EH665" s="15"/>
      <c r="EI665" s="15"/>
      <c r="EJ665" s="15"/>
      <c r="EK665" s="15"/>
      <c r="EL665" s="15"/>
      <c r="EM665" s="15"/>
      <c r="EN665" s="15"/>
      <c r="EO665" s="15"/>
      <c r="EP665" s="15"/>
      <c r="EQ665" s="15"/>
      <c r="ER665" s="15"/>
      <c r="ES665" s="15"/>
      <c r="ET665" s="15"/>
      <c r="EU665" s="15"/>
      <c r="EV665" s="15"/>
      <c r="EW665" s="15"/>
      <c r="EX665" s="15"/>
    </row>
    <row r="666" customFormat="false" ht="15.75" hidden="false" customHeight="false" outlineLevel="0" collapsed="false">
      <c r="A666" s="76"/>
      <c r="B666" s="77"/>
      <c r="C666" s="77"/>
      <c r="D666" s="78"/>
      <c r="E666" s="72"/>
      <c r="F666" s="68"/>
      <c r="G666" s="15"/>
      <c r="H666" s="76" t="str">
        <f aca="false">IFERROR(__xludf.dummyfunction("""COMPUTED_VALUE"""),"")</f>
        <v/>
      </c>
      <c r="I666" s="50" t="str">
        <f aca="false">IFERROR(__xludf.dummyfunction("""COMPUTED_VALUE"""),"")</f>
        <v/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  <c r="DY666" s="15"/>
      <c r="DZ666" s="15"/>
      <c r="EA666" s="15"/>
      <c r="EB666" s="15"/>
      <c r="EC666" s="15"/>
      <c r="ED666" s="15"/>
      <c r="EE666" s="15"/>
      <c r="EF666" s="15"/>
      <c r="EG666" s="15"/>
      <c r="EH666" s="15"/>
      <c r="EI666" s="15"/>
      <c r="EJ666" s="15"/>
      <c r="EK666" s="15"/>
      <c r="EL666" s="15"/>
      <c r="EM666" s="15"/>
      <c r="EN666" s="15"/>
      <c r="EO666" s="15"/>
      <c r="EP666" s="15"/>
      <c r="EQ666" s="15"/>
      <c r="ER666" s="15"/>
      <c r="ES666" s="15"/>
      <c r="ET666" s="15"/>
      <c r="EU666" s="15"/>
      <c r="EV666" s="15"/>
      <c r="EW666" s="15"/>
      <c r="EX666" s="15"/>
    </row>
    <row r="667" customFormat="false" ht="15.75" hidden="false" customHeight="false" outlineLevel="0" collapsed="false">
      <c r="A667" s="76"/>
      <c r="B667" s="77"/>
      <c r="C667" s="77"/>
      <c r="D667" s="78"/>
      <c r="E667" s="72"/>
      <c r="F667" s="68"/>
      <c r="G667" s="15"/>
      <c r="H667" s="76" t="str">
        <f aca="false">IFERROR(__xludf.dummyfunction("""COMPUTED_VALUE"""),"")</f>
        <v/>
      </c>
      <c r="I667" s="50" t="str">
        <f aca="false">IFERROR(__xludf.dummyfunction("""COMPUTED_VALUE"""),"")</f>
        <v/>
      </c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  <c r="DY667" s="15"/>
      <c r="DZ667" s="15"/>
      <c r="EA667" s="15"/>
      <c r="EB667" s="15"/>
      <c r="EC667" s="15"/>
      <c r="ED667" s="15"/>
      <c r="EE667" s="15"/>
      <c r="EF667" s="15"/>
      <c r="EG667" s="15"/>
      <c r="EH667" s="15"/>
      <c r="EI667" s="15"/>
      <c r="EJ667" s="15"/>
      <c r="EK667" s="15"/>
      <c r="EL667" s="15"/>
      <c r="EM667" s="15"/>
      <c r="EN667" s="15"/>
      <c r="EO667" s="15"/>
      <c r="EP667" s="15"/>
      <c r="EQ667" s="15"/>
      <c r="ER667" s="15"/>
      <c r="ES667" s="15"/>
      <c r="ET667" s="15"/>
      <c r="EU667" s="15"/>
      <c r="EV667" s="15"/>
      <c r="EW667" s="15"/>
      <c r="EX667" s="15"/>
    </row>
    <row r="668" customFormat="false" ht="15.75" hidden="false" customHeight="false" outlineLevel="0" collapsed="false">
      <c r="A668" s="76"/>
      <c r="B668" s="77"/>
      <c r="C668" s="77"/>
      <c r="D668" s="78"/>
      <c r="E668" s="72"/>
      <c r="F668" s="68"/>
      <c r="G668" s="15"/>
      <c r="H668" s="76" t="str">
        <f aca="false">IFERROR(__xludf.dummyfunction("""COMPUTED_VALUE"""),"")</f>
        <v/>
      </c>
      <c r="I668" s="50" t="str">
        <f aca="false">IFERROR(__xludf.dummyfunction("""COMPUTED_VALUE"""),"")</f>
        <v/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  <c r="DY668" s="15"/>
      <c r="DZ668" s="15"/>
      <c r="EA668" s="15"/>
      <c r="EB668" s="15"/>
      <c r="EC668" s="15"/>
      <c r="ED668" s="15"/>
      <c r="EE668" s="15"/>
      <c r="EF668" s="15"/>
      <c r="EG668" s="15"/>
      <c r="EH668" s="15"/>
      <c r="EI668" s="15"/>
      <c r="EJ668" s="15"/>
      <c r="EK668" s="15"/>
      <c r="EL668" s="15"/>
      <c r="EM668" s="15"/>
      <c r="EN668" s="15"/>
      <c r="EO668" s="15"/>
      <c r="EP668" s="15"/>
      <c r="EQ668" s="15"/>
      <c r="ER668" s="15"/>
      <c r="ES668" s="15"/>
      <c r="ET668" s="15"/>
      <c r="EU668" s="15"/>
      <c r="EV668" s="15"/>
      <c r="EW668" s="15"/>
      <c r="EX668" s="15"/>
    </row>
    <row r="669" customFormat="false" ht="15.75" hidden="false" customHeight="false" outlineLevel="0" collapsed="false">
      <c r="A669" s="76"/>
      <c r="B669" s="77"/>
      <c r="C669" s="77"/>
      <c r="D669" s="78"/>
      <c r="E669" s="72"/>
      <c r="F669" s="68"/>
      <c r="G669" s="15"/>
      <c r="H669" s="76" t="str">
        <f aca="false">IFERROR(__xludf.dummyfunction("""COMPUTED_VALUE"""),"")</f>
        <v/>
      </c>
      <c r="I669" s="50" t="str">
        <f aca="false">IFERROR(__xludf.dummyfunction("""COMPUTED_VALUE"""),"")</f>
        <v/>
      </c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  <c r="DY669" s="15"/>
      <c r="DZ669" s="15"/>
      <c r="EA669" s="15"/>
      <c r="EB669" s="15"/>
      <c r="EC669" s="15"/>
      <c r="ED669" s="15"/>
      <c r="EE669" s="15"/>
      <c r="EF669" s="15"/>
      <c r="EG669" s="15"/>
      <c r="EH669" s="15"/>
      <c r="EI669" s="15"/>
      <c r="EJ669" s="15"/>
      <c r="EK669" s="15"/>
      <c r="EL669" s="15"/>
      <c r="EM669" s="15"/>
      <c r="EN669" s="15"/>
      <c r="EO669" s="15"/>
      <c r="EP669" s="15"/>
      <c r="EQ669" s="15"/>
      <c r="ER669" s="15"/>
      <c r="ES669" s="15"/>
      <c r="ET669" s="15"/>
      <c r="EU669" s="15"/>
      <c r="EV669" s="15"/>
      <c r="EW669" s="15"/>
      <c r="EX669" s="15"/>
    </row>
    <row r="670" customFormat="false" ht="15.75" hidden="false" customHeight="false" outlineLevel="0" collapsed="false">
      <c r="A670" s="76"/>
      <c r="B670" s="77"/>
      <c r="C670" s="77"/>
      <c r="D670" s="78"/>
      <c r="E670" s="72"/>
      <c r="F670" s="68"/>
      <c r="G670" s="15"/>
      <c r="H670" s="76" t="str">
        <f aca="false">IFERROR(__xludf.dummyfunction("""COMPUTED_VALUE"""),"")</f>
        <v/>
      </c>
      <c r="I670" s="50" t="str">
        <f aca="false">IFERROR(__xludf.dummyfunction("""COMPUTED_VALUE"""),"")</f>
        <v/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  <c r="DY670" s="15"/>
      <c r="DZ670" s="15"/>
      <c r="EA670" s="15"/>
      <c r="EB670" s="15"/>
      <c r="EC670" s="15"/>
      <c r="ED670" s="15"/>
      <c r="EE670" s="15"/>
      <c r="EF670" s="15"/>
      <c r="EG670" s="15"/>
      <c r="EH670" s="15"/>
      <c r="EI670" s="15"/>
      <c r="EJ670" s="15"/>
      <c r="EK670" s="15"/>
      <c r="EL670" s="15"/>
      <c r="EM670" s="15"/>
      <c r="EN670" s="15"/>
      <c r="EO670" s="15"/>
      <c r="EP670" s="15"/>
      <c r="EQ670" s="15"/>
      <c r="ER670" s="15"/>
      <c r="ES670" s="15"/>
      <c r="ET670" s="15"/>
      <c r="EU670" s="15"/>
      <c r="EV670" s="15"/>
      <c r="EW670" s="15"/>
      <c r="EX670" s="15"/>
    </row>
    <row r="671" customFormat="false" ht="15.75" hidden="false" customHeight="false" outlineLevel="0" collapsed="false">
      <c r="A671" s="76"/>
      <c r="B671" s="77"/>
      <c r="C671" s="77"/>
      <c r="D671" s="78"/>
      <c r="E671" s="72"/>
      <c r="F671" s="68"/>
      <c r="G671" s="15"/>
      <c r="H671" s="76" t="str">
        <f aca="false">IFERROR(__xludf.dummyfunction("""COMPUTED_VALUE"""),"")</f>
        <v/>
      </c>
      <c r="I671" s="50" t="str">
        <f aca="false">IFERROR(__xludf.dummyfunction("""COMPUTED_VALUE"""),"")</f>
        <v/>
      </c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  <c r="DY671" s="15"/>
      <c r="DZ671" s="15"/>
      <c r="EA671" s="15"/>
      <c r="EB671" s="15"/>
      <c r="EC671" s="15"/>
      <c r="ED671" s="15"/>
      <c r="EE671" s="15"/>
      <c r="EF671" s="15"/>
      <c r="EG671" s="15"/>
      <c r="EH671" s="15"/>
      <c r="EI671" s="15"/>
      <c r="EJ671" s="15"/>
      <c r="EK671" s="15"/>
      <c r="EL671" s="15"/>
      <c r="EM671" s="15"/>
      <c r="EN671" s="15"/>
      <c r="EO671" s="15"/>
      <c r="EP671" s="15"/>
      <c r="EQ671" s="15"/>
      <c r="ER671" s="15"/>
      <c r="ES671" s="15"/>
      <c r="ET671" s="15"/>
      <c r="EU671" s="15"/>
      <c r="EV671" s="15"/>
      <c r="EW671" s="15"/>
      <c r="EX671" s="15"/>
    </row>
    <row r="672" customFormat="false" ht="15.75" hidden="false" customHeight="false" outlineLevel="0" collapsed="false">
      <c r="A672" s="76"/>
      <c r="B672" s="77"/>
      <c r="C672" s="77"/>
      <c r="D672" s="78"/>
      <c r="E672" s="72"/>
      <c r="F672" s="68"/>
      <c r="G672" s="15"/>
      <c r="H672" s="76" t="str">
        <f aca="false">IFERROR(__xludf.dummyfunction("""COMPUTED_VALUE"""),"")</f>
        <v/>
      </c>
      <c r="I672" s="50" t="str">
        <f aca="false">IFERROR(__xludf.dummyfunction("""COMPUTED_VALUE"""),"")</f>
        <v/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  <c r="DY672" s="15"/>
      <c r="DZ672" s="15"/>
      <c r="EA672" s="15"/>
      <c r="EB672" s="15"/>
      <c r="EC672" s="15"/>
      <c r="ED672" s="15"/>
      <c r="EE672" s="15"/>
      <c r="EF672" s="15"/>
      <c r="EG672" s="15"/>
      <c r="EH672" s="15"/>
      <c r="EI672" s="15"/>
      <c r="EJ672" s="15"/>
      <c r="EK672" s="15"/>
      <c r="EL672" s="15"/>
      <c r="EM672" s="15"/>
      <c r="EN672" s="15"/>
      <c r="EO672" s="15"/>
      <c r="EP672" s="15"/>
      <c r="EQ672" s="15"/>
      <c r="ER672" s="15"/>
      <c r="ES672" s="15"/>
      <c r="ET672" s="15"/>
      <c r="EU672" s="15"/>
      <c r="EV672" s="15"/>
      <c r="EW672" s="15"/>
      <c r="EX672" s="15"/>
    </row>
    <row r="673" customFormat="false" ht="15.75" hidden="false" customHeight="false" outlineLevel="0" collapsed="false">
      <c r="A673" s="76"/>
      <c r="B673" s="77"/>
      <c r="C673" s="77"/>
      <c r="D673" s="78"/>
      <c r="E673" s="72"/>
      <c r="F673" s="68"/>
      <c r="G673" s="15"/>
      <c r="H673" s="76" t="str">
        <f aca="false">IFERROR(__xludf.dummyfunction("""COMPUTED_VALUE"""),"")</f>
        <v/>
      </c>
      <c r="I673" s="50" t="str">
        <f aca="false">IFERROR(__xludf.dummyfunction("""COMPUTED_VALUE"""),"")</f>
        <v/>
      </c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  <c r="DY673" s="15"/>
      <c r="DZ673" s="15"/>
      <c r="EA673" s="15"/>
      <c r="EB673" s="15"/>
      <c r="EC673" s="15"/>
      <c r="ED673" s="15"/>
      <c r="EE673" s="15"/>
      <c r="EF673" s="15"/>
      <c r="EG673" s="15"/>
      <c r="EH673" s="15"/>
      <c r="EI673" s="15"/>
      <c r="EJ673" s="15"/>
      <c r="EK673" s="15"/>
      <c r="EL673" s="15"/>
      <c r="EM673" s="15"/>
      <c r="EN673" s="15"/>
      <c r="EO673" s="15"/>
      <c r="EP673" s="15"/>
      <c r="EQ673" s="15"/>
      <c r="ER673" s="15"/>
      <c r="ES673" s="15"/>
      <c r="ET673" s="15"/>
      <c r="EU673" s="15"/>
      <c r="EV673" s="15"/>
      <c r="EW673" s="15"/>
      <c r="EX673" s="15"/>
    </row>
    <row r="674" customFormat="false" ht="15.75" hidden="false" customHeight="false" outlineLevel="0" collapsed="false">
      <c r="A674" s="76"/>
      <c r="B674" s="77"/>
      <c r="C674" s="77"/>
      <c r="D674" s="78"/>
      <c r="E674" s="72"/>
      <c r="F674" s="68"/>
      <c r="G674" s="15"/>
      <c r="H674" s="76" t="str">
        <f aca="false">IFERROR(__xludf.dummyfunction("""COMPUTED_VALUE"""),"")</f>
        <v/>
      </c>
      <c r="I674" s="50" t="str">
        <f aca="false">IFERROR(__xludf.dummyfunction("""COMPUTED_VALUE"""),"")</f>
        <v/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  <c r="DY674" s="15"/>
      <c r="DZ674" s="15"/>
      <c r="EA674" s="15"/>
      <c r="EB674" s="15"/>
      <c r="EC674" s="15"/>
      <c r="ED674" s="15"/>
      <c r="EE674" s="15"/>
      <c r="EF674" s="15"/>
      <c r="EG674" s="15"/>
      <c r="EH674" s="15"/>
      <c r="EI674" s="15"/>
      <c r="EJ674" s="15"/>
      <c r="EK674" s="15"/>
      <c r="EL674" s="15"/>
      <c r="EM674" s="15"/>
      <c r="EN674" s="15"/>
      <c r="EO674" s="15"/>
      <c r="EP674" s="15"/>
      <c r="EQ674" s="15"/>
      <c r="ER674" s="15"/>
      <c r="ES674" s="15"/>
      <c r="ET674" s="15"/>
      <c r="EU674" s="15"/>
      <c r="EV674" s="15"/>
      <c r="EW674" s="15"/>
      <c r="EX674" s="15"/>
    </row>
    <row r="675" customFormat="false" ht="15.75" hidden="false" customHeight="false" outlineLevel="0" collapsed="false">
      <c r="A675" s="76"/>
      <c r="B675" s="77"/>
      <c r="C675" s="77"/>
      <c r="D675" s="78"/>
      <c r="E675" s="72"/>
      <c r="F675" s="68"/>
      <c r="G675" s="15"/>
      <c r="H675" s="76" t="str">
        <f aca="false">IFERROR(__xludf.dummyfunction("""COMPUTED_VALUE"""),"")</f>
        <v/>
      </c>
      <c r="I675" s="50" t="str">
        <f aca="false">IFERROR(__xludf.dummyfunction("""COMPUTED_VALUE"""),"")</f>
        <v/>
      </c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  <c r="DY675" s="15"/>
      <c r="DZ675" s="15"/>
      <c r="EA675" s="15"/>
      <c r="EB675" s="15"/>
      <c r="EC675" s="15"/>
      <c r="ED675" s="15"/>
      <c r="EE675" s="15"/>
      <c r="EF675" s="15"/>
      <c r="EG675" s="15"/>
      <c r="EH675" s="15"/>
      <c r="EI675" s="15"/>
      <c r="EJ675" s="15"/>
      <c r="EK675" s="15"/>
      <c r="EL675" s="15"/>
      <c r="EM675" s="15"/>
      <c r="EN675" s="15"/>
      <c r="EO675" s="15"/>
      <c r="EP675" s="15"/>
      <c r="EQ675" s="15"/>
      <c r="ER675" s="15"/>
      <c r="ES675" s="15"/>
      <c r="ET675" s="15"/>
      <c r="EU675" s="15"/>
      <c r="EV675" s="15"/>
      <c r="EW675" s="15"/>
      <c r="EX675" s="15"/>
    </row>
    <row r="676" customFormat="false" ht="15.75" hidden="false" customHeight="false" outlineLevel="0" collapsed="false">
      <c r="A676" s="76"/>
      <c r="B676" s="77"/>
      <c r="C676" s="77"/>
      <c r="D676" s="78"/>
      <c r="E676" s="72"/>
      <c r="F676" s="68"/>
      <c r="G676" s="15"/>
      <c r="H676" s="76" t="str">
        <f aca="false">IFERROR(__xludf.dummyfunction("""COMPUTED_VALUE"""),"")</f>
        <v/>
      </c>
      <c r="I676" s="50" t="str">
        <f aca="false">IFERROR(__xludf.dummyfunction("""COMPUTED_VALUE"""),"")</f>
        <v/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  <c r="DY676" s="15"/>
      <c r="DZ676" s="15"/>
      <c r="EA676" s="15"/>
      <c r="EB676" s="15"/>
      <c r="EC676" s="15"/>
      <c r="ED676" s="15"/>
      <c r="EE676" s="15"/>
      <c r="EF676" s="15"/>
      <c r="EG676" s="15"/>
      <c r="EH676" s="15"/>
      <c r="EI676" s="15"/>
      <c r="EJ676" s="15"/>
      <c r="EK676" s="15"/>
      <c r="EL676" s="15"/>
      <c r="EM676" s="15"/>
      <c r="EN676" s="15"/>
      <c r="EO676" s="15"/>
      <c r="EP676" s="15"/>
      <c r="EQ676" s="15"/>
      <c r="ER676" s="15"/>
      <c r="ES676" s="15"/>
      <c r="ET676" s="15"/>
      <c r="EU676" s="15"/>
      <c r="EV676" s="15"/>
      <c r="EW676" s="15"/>
      <c r="EX676" s="15"/>
    </row>
    <row r="677" customFormat="false" ht="15.75" hidden="false" customHeight="false" outlineLevel="0" collapsed="false">
      <c r="A677" s="76"/>
      <c r="B677" s="77"/>
      <c r="C677" s="77"/>
      <c r="D677" s="78"/>
      <c r="E677" s="72"/>
      <c r="F677" s="68"/>
      <c r="G677" s="15"/>
      <c r="H677" s="76" t="str">
        <f aca="false">IFERROR(__xludf.dummyfunction("""COMPUTED_VALUE"""),"")</f>
        <v/>
      </c>
      <c r="I677" s="50" t="str">
        <f aca="false">IFERROR(__xludf.dummyfunction("""COMPUTED_VALUE"""),"")</f>
        <v/>
      </c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  <c r="DY677" s="15"/>
      <c r="DZ677" s="15"/>
      <c r="EA677" s="15"/>
      <c r="EB677" s="15"/>
      <c r="EC677" s="15"/>
      <c r="ED677" s="15"/>
      <c r="EE677" s="15"/>
      <c r="EF677" s="15"/>
      <c r="EG677" s="15"/>
      <c r="EH677" s="15"/>
      <c r="EI677" s="15"/>
      <c r="EJ677" s="15"/>
      <c r="EK677" s="15"/>
      <c r="EL677" s="15"/>
      <c r="EM677" s="15"/>
      <c r="EN677" s="15"/>
      <c r="EO677" s="15"/>
      <c r="EP677" s="15"/>
      <c r="EQ677" s="15"/>
      <c r="ER677" s="15"/>
      <c r="ES677" s="15"/>
      <c r="ET677" s="15"/>
      <c r="EU677" s="15"/>
      <c r="EV677" s="15"/>
      <c r="EW677" s="15"/>
      <c r="EX677" s="15"/>
    </row>
    <row r="678" customFormat="false" ht="15.75" hidden="false" customHeight="false" outlineLevel="0" collapsed="false">
      <c r="A678" s="76"/>
      <c r="B678" s="77"/>
      <c r="C678" s="77"/>
      <c r="D678" s="78"/>
      <c r="E678" s="72"/>
      <c r="F678" s="68"/>
      <c r="G678" s="15"/>
      <c r="H678" s="76" t="str">
        <f aca="false">IFERROR(__xludf.dummyfunction("""COMPUTED_VALUE"""),"")</f>
        <v/>
      </c>
      <c r="I678" s="50" t="str">
        <f aca="false">IFERROR(__xludf.dummyfunction("""COMPUTED_VALUE"""),"")</f>
        <v/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  <c r="DY678" s="15"/>
      <c r="DZ678" s="15"/>
      <c r="EA678" s="15"/>
      <c r="EB678" s="15"/>
      <c r="EC678" s="15"/>
      <c r="ED678" s="15"/>
      <c r="EE678" s="15"/>
      <c r="EF678" s="15"/>
      <c r="EG678" s="15"/>
      <c r="EH678" s="15"/>
      <c r="EI678" s="15"/>
      <c r="EJ678" s="15"/>
      <c r="EK678" s="15"/>
      <c r="EL678" s="15"/>
      <c r="EM678" s="15"/>
      <c r="EN678" s="15"/>
      <c r="EO678" s="15"/>
      <c r="EP678" s="15"/>
      <c r="EQ678" s="15"/>
      <c r="ER678" s="15"/>
      <c r="ES678" s="15"/>
      <c r="ET678" s="15"/>
      <c r="EU678" s="15"/>
      <c r="EV678" s="15"/>
      <c r="EW678" s="15"/>
      <c r="EX678" s="15"/>
    </row>
    <row r="679" customFormat="false" ht="15.75" hidden="false" customHeight="false" outlineLevel="0" collapsed="false">
      <c r="A679" s="76"/>
      <c r="B679" s="77"/>
      <c r="C679" s="77"/>
      <c r="D679" s="78"/>
      <c r="E679" s="72"/>
      <c r="F679" s="68"/>
      <c r="G679" s="15"/>
      <c r="H679" s="76" t="str">
        <f aca="false">IFERROR(__xludf.dummyfunction("""COMPUTED_VALUE"""),"")</f>
        <v/>
      </c>
      <c r="I679" s="50" t="str">
        <f aca="false">IFERROR(__xludf.dummyfunction("""COMPUTED_VALUE"""),"")</f>
        <v/>
      </c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  <c r="DY679" s="15"/>
      <c r="DZ679" s="15"/>
      <c r="EA679" s="15"/>
      <c r="EB679" s="15"/>
      <c r="EC679" s="15"/>
      <c r="ED679" s="15"/>
      <c r="EE679" s="15"/>
      <c r="EF679" s="15"/>
      <c r="EG679" s="15"/>
      <c r="EH679" s="15"/>
      <c r="EI679" s="15"/>
      <c r="EJ679" s="15"/>
      <c r="EK679" s="15"/>
      <c r="EL679" s="15"/>
      <c r="EM679" s="15"/>
      <c r="EN679" s="15"/>
      <c r="EO679" s="15"/>
      <c r="EP679" s="15"/>
      <c r="EQ679" s="15"/>
      <c r="ER679" s="15"/>
      <c r="ES679" s="15"/>
      <c r="ET679" s="15"/>
      <c r="EU679" s="15"/>
      <c r="EV679" s="15"/>
      <c r="EW679" s="15"/>
      <c r="EX679" s="15"/>
    </row>
    <row r="680" customFormat="false" ht="15.75" hidden="false" customHeight="false" outlineLevel="0" collapsed="false">
      <c r="A680" s="76"/>
      <c r="B680" s="77"/>
      <c r="C680" s="77"/>
      <c r="D680" s="78"/>
      <c r="E680" s="72"/>
      <c r="F680" s="68"/>
      <c r="G680" s="15"/>
      <c r="H680" s="76" t="str">
        <f aca="false">IFERROR(__xludf.dummyfunction("""COMPUTED_VALUE"""),"")</f>
        <v/>
      </c>
      <c r="I680" s="50" t="str">
        <f aca="false">IFERROR(__xludf.dummyfunction("""COMPUTED_VALUE"""),"")</f>
        <v/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  <c r="DY680" s="15"/>
      <c r="DZ680" s="15"/>
      <c r="EA680" s="15"/>
      <c r="EB680" s="15"/>
      <c r="EC680" s="15"/>
      <c r="ED680" s="15"/>
      <c r="EE680" s="15"/>
      <c r="EF680" s="15"/>
      <c r="EG680" s="15"/>
      <c r="EH680" s="15"/>
      <c r="EI680" s="15"/>
      <c r="EJ680" s="15"/>
      <c r="EK680" s="15"/>
      <c r="EL680" s="15"/>
      <c r="EM680" s="15"/>
      <c r="EN680" s="15"/>
      <c r="EO680" s="15"/>
      <c r="EP680" s="15"/>
      <c r="EQ680" s="15"/>
      <c r="ER680" s="15"/>
      <c r="ES680" s="15"/>
      <c r="ET680" s="15"/>
      <c r="EU680" s="15"/>
      <c r="EV680" s="15"/>
      <c r="EW680" s="15"/>
      <c r="EX680" s="15"/>
    </row>
    <row r="681" customFormat="false" ht="15.75" hidden="false" customHeight="false" outlineLevel="0" collapsed="false">
      <c r="A681" s="76"/>
      <c r="B681" s="77"/>
      <c r="C681" s="77"/>
      <c r="D681" s="78"/>
      <c r="E681" s="72"/>
      <c r="F681" s="68"/>
      <c r="G681" s="15"/>
      <c r="H681" s="76" t="str">
        <f aca="false">IFERROR(__xludf.dummyfunction("""COMPUTED_VALUE"""),"")</f>
        <v/>
      </c>
      <c r="I681" s="50" t="str">
        <f aca="false">IFERROR(__xludf.dummyfunction("""COMPUTED_VALUE"""),"")</f>
        <v/>
      </c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  <c r="DY681" s="15"/>
      <c r="DZ681" s="15"/>
      <c r="EA681" s="15"/>
      <c r="EB681" s="15"/>
      <c r="EC681" s="15"/>
      <c r="ED681" s="15"/>
      <c r="EE681" s="15"/>
      <c r="EF681" s="15"/>
      <c r="EG681" s="15"/>
      <c r="EH681" s="15"/>
      <c r="EI681" s="15"/>
      <c r="EJ681" s="15"/>
      <c r="EK681" s="15"/>
      <c r="EL681" s="15"/>
      <c r="EM681" s="15"/>
      <c r="EN681" s="15"/>
      <c r="EO681" s="15"/>
      <c r="EP681" s="15"/>
      <c r="EQ681" s="15"/>
      <c r="ER681" s="15"/>
      <c r="ES681" s="15"/>
      <c r="ET681" s="15"/>
      <c r="EU681" s="15"/>
      <c r="EV681" s="15"/>
      <c r="EW681" s="15"/>
      <c r="EX681" s="15"/>
    </row>
    <row r="682" customFormat="false" ht="15.75" hidden="false" customHeight="false" outlineLevel="0" collapsed="false">
      <c r="A682" s="76"/>
      <c r="B682" s="77"/>
      <c r="C682" s="77"/>
      <c r="D682" s="78"/>
      <c r="E682" s="72"/>
      <c r="F682" s="68"/>
      <c r="G682" s="15"/>
      <c r="H682" s="76" t="str">
        <f aca="false">IFERROR(__xludf.dummyfunction("""COMPUTED_VALUE"""),"")</f>
        <v/>
      </c>
      <c r="I682" s="50" t="str">
        <f aca="false">IFERROR(__xludf.dummyfunction("""COMPUTED_VALUE"""),"")</f>
        <v/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  <c r="DY682" s="15"/>
      <c r="DZ682" s="15"/>
      <c r="EA682" s="15"/>
      <c r="EB682" s="15"/>
      <c r="EC682" s="15"/>
      <c r="ED682" s="15"/>
      <c r="EE682" s="15"/>
      <c r="EF682" s="15"/>
      <c r="EG682" s="15"/>
      <c r="EH682" s="15"/>
      <c r="EI682" s="15"/>
      <c r="EJ682" s="15"/>
      <c r="EK682" s="15"/>
      <c r="EL682" s="15"/>
      <c r="EM682" s="15"/>
      <c r="EN682" s="15"/>
      <c r="EO682" s="15"/>
      <c r="EP682" s="15"/>
      <c r="EQ682" s="15"/>
      <c r="ER682" s="15"/>
      <c r="ES682" s="15"/>
      <c r="ET682" s="15"/>
      <c r="EU682" s="15"/>
      <c r="EV682" s="15"/>
      <c r="EW682" s="15"/>
      <c r="EX682" s="15"/>
    </row>
    <row r="683" customFormat="false" ht="15.75" hidden="false" customHeight="false" outlineLevel="0" collapsed="false">
      <c r="A683" s="76"/>
      <c r="B683" s="77"/>
      <c r="C683" s="77"/>
      <c r="D683" s="78"/>
      <c r="E683" s="72"/>
      <c r="F683" s="68"/>
      <c r="G683" s="15"/>
      <c r="H683" s="76" t="str">
        <f aca="false">IFERROR(__xludf.dummyfunction("""COMPUTED_VALUE"""),"")</f>
        <v/>
      </c>
      <c r="I683" s="50" t="str">
        <f aca="false">IFERROR(__xludf.dummyfunction("""COMPUTED_VALUE"""),"")</f>
        <v/>
      </c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  <c r="DY683" s="15"/>
      <c r="DZ683" s="15"/>
      <c r="EA683" s="15"/>
      <c r="EB683" s="15"/>
      <c r="EC683" s="15"/>
      <c r="ED683" s="15"/>
      <c r="EE683" s="15"/>
      <c r="EF683" s="15"/>
      <c r="EG683" s="15"/>
      <c r="EH683" s="15"/>
      <c r="EI683" s="15"/>
      <c r="EJ683" s="15"/>
      <c r="EK683" s="15"/>
      <c r="EL683" s="15"/>
      <c r="EM683" s="15"/>
      <c r="EN683" s="15"/>
      <c r="EO683" s="15"/>
      <c r="EP683" s="15"/>
      <c r="EQ683" s="15"/>
      <c r="ER683" s="15"/>
      <c r="ES683" s="15"/>
      <c r="ET683" s="15"/>
      <c r="EU683" s="15"/>
      <c r="EV683" s="15"/>
      <c r="EW683" s="15"/>
      <c r="EX683" s="15"/>
    </row>
    <row r="684" customFormat="false" ht="15.75" hidden="false" customHeight="false" outlineLevel="0" collapsed="false">
      <c r="A684" s="76"/>
      <c r="B684" s="77"/>
      <c r="C684" s="77"/>
      <c r="D684" s="78"/>
      <c r="E684" s="72"/>
      <c r="F684" s="68"/>
      <c r="G684" s="15"/>
      <c r="H684" s="76" t="str">
        <f aca="false">IFERROR(__xludf.dummyfunction("""COMPUTED_VALUE"""),"")</f>
        <v/>
      </c>
      <c r="I684" s="50" t="str">
        <f aca="false">IFERROR(__xludf.dummyfunction("""COMPUTED_VALUE"""),"")</f>
        <v/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  <c r="DY684" s="15"/>
      <c r="DZ684" s="15"/>
      <c r="EA684" s="15"/>
      <c r="EB684" s="15"/>
      <c r="EC684" s="15"/>
      <c r="ED684" s="15"/>
      <c r="EE684" s="15"/>
      <c r="EF684" s="15"/>
      <c r="EG684" s="15"/>
      <c r="EH684" s="15"/>
      <c r="EI684" s="15"/>
      <c r="EJ684" s="15"/>
      <c r="EK684" s="15"/>
      <c r="EL684" s="15"/>
      <c r="EM684" s="15"/>
      <c r="EN684" s="15"/>
      <c r="EO684" s="15"/>
      <c r="EP684" s="15"/>
      <c r="EQ684" s="15"/>
      <c r="ER684" s="15"/>
      <c r="ES684" s="15"/>
      <c r="ET684" s="15"/>
      <c r="EU684" s="15"/>
      <c r="EV684" s="15"/>
      <c r="EW684" s="15"/>
      <c r="EX684" s="15"/>
    </row>
    <row r="685" customFormat="false" ht="15.75" hidden="false" customHeight="false" outlineLevel="0" collapsed="false">
      <c r="A685" s="76"/>
      <c r="B685" s="77"/>
      <c r="C685" s="77"/>
      <c r="D685" s="78"/>
      <c r="E685" s="72"/>
      <c r="F685" s="68"/>
      <c r="G685" s="15"/>
      <c r="H685" s="76" t="str">
        <f aca="false">IFERROR(__xludf.dummyfunction("""COMPUTED_VALUE"""),"")</f>
        <v/>
      </c>
      <c r="I685" s="50" t="str">
        <f aca="false">IFERROR(__xludf.dummyfunction("""COMPUTED_VALUE"""),"")</f>
        <v/>
      </c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  <c r="DY685" s="15"/>
      <c r="DZ685" s="15"/>
      <c r="EA685" s="15"/>
      <c r="EB685" s="15"/>
      <c r="EC685" s="15"/>
      <c r="ED685" s="15"/>
      <c r="EE685" s="15"/>
      <c r="EF685" s="15"/>
      <c r="EG685" s="15"/>
      <c r="EH685" s="15"/>
      <c r="EI685" s="15"/>
      <c r="EJ685" s="15"/>
      <c r="EK685" s="15"/>
      <c r="EL685" s="15"/>
      <c r="EM685" s="15"/>
      <c r="EN685" s="15"/>
      <c r="EO685" s="15"/>
      <c r="EP685" s="15"/>
      <c r="EQ685" s="15"/>
      <c r="ER685" s="15"/>
      <c r="ES685" s="15"/>
      <c r="ET685" s="15"/>
      <c r="EU685" s="15"/>
      <c r="EV685" s="15"/>
      <c r="EW685" s="15"/>
      <c r="EX685" s="15"/>
    </row>
    <row r="686" customFormat="false" ht="15.75" hidden="false" customHeight="false" outlineLevel="0" collapsed="false">
      <c r="A686" s="76"/>
      <c r="B686" s="77"/>
      <c r="C686" s="77"/>
      <c r="D686" s="78"/>
      <c r="E686" s="72"/>
      <c r="F686" s="68"/>
      <c r="G686" s="15"/>
      <c r="H686" s="76" t="str">
        <f aca="false">IFERROR(__xludf.dummyfunction("""COMPUTED_VALUE"""),"")</f>
        <v/>
      </c>
      <c r="I686" s="50" t="str">
        <f aca="false">IFERROR(__xludf.dummyfunction("""COMPUTED_VALUE"""),"")</f>
        <v/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  <c r="DY686" s="15"/>
      <c r="DZ686" s="15"/>
      <c r="EA686" s="15"/>
      <c r="EB686" s="15"/>
      <c r="EC686" s="15"/>
      <c r="ED686" s="15"/>
      <c r="EE686" s="15"/>
      <c r="EF686" s="15"/>
      <c r="EG686" s="15"/>
      <c r="EH686" s="15"/>
      <c r="EI686" s="15"/>
      <c r="EJ686" s="15"/>
      <c r="EK686" s="15"/>
      <c r="EL686" s="15"/>
      <c r="EM686" s="15"/>
      <c r="EN686" s="15"/>
      <c r="EO686" s="15"/>
      <c r="EP686" s="15"/>
      <c r="EQ686" s="15"/>
      <c r="ER686" s="15"/>
      <c r="ES686" s="15"/>
      <c r="ET686" s="15"/>
      <c r="EU686" s="15"/>
      <c r="EV686" s="15"/>
      <c r="EW686" s="15"/>
      <c r="EX686" s="15"/>
    </row>
    <row r="687" customFormat="false" ht="15.75" hidden="false" customHeight="false" outlineLevel="0" collapsed="false">
      <c r="A687" s="76"/>
      <c r="B687" s="77"/>
      <c r="C687" s="77"/>
      <c r="D687" s="78"/>
      <c r="E687" s="72"/>
      <c r="F687" s="68"/>
      <c r="G687" s="15"/>
      <c r="H687" s="76" t="str">
        <f aca="false">IFERROR(__xludf.dummyfunction("""COMPUTED_VALUE"""),"")</f>
        <v/>
      </c>
      <c r="I687" s="50" t="str">
        <f aca="false">IFERROR(__xludf.dummyfunction("""COMPUTED_VALUE"""),"")</f>
        <v/>
      </c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  <c r="DY687" s="15"/>
      <c r="DZ687" s="15"/>
      <c r="EA687" s="15"/>
      <c r="EB687" s="15"/>
      <c r="EC687" s="15"/>
      <c r="ED687" s="15"/>
      <c r="EE687" s="15"/>
      <c r="EF687" s="15"/>
      <c r="EG687" s="15"/>
      <c r="EH687" s="15"/>
      <c r="EI687" s="15"/>
      <c r="EJ687" s="15"/>
      <c r="EK687" s="15"/>
      <c r="EL687" s="15"/>
      <c r="EM687" s="15"/>
      <c r="EN687" s="15"/>
      <c r="EO687" s="15"/>
      <c r="EP687" s="15"/>
      <c r="EQ687" s="15"/>
      <c r="ER687" s="15"/>
      <c r="ES687" s="15"/>
      <c r="ET687" s="15"/>
      <c r="EU687" s="15"/>
      <c r="EV687" s="15"/>
      <c r="EW687" s="15"/>
      <c r="EX687" s="15"/>
    </row>
    <row r="688" customFormat="false" ht="15.75" hidden="false" customHeight="false" outlineLevel="0" collapsed="false">
      <c r="A688" s="76"/>
      <c r="B688" s="77"/>
      <c r="C688" s="77"/>
      <c r="D688" s="78"/>
      <c r="E688" s="72"/>
      <c r="F688" s="68"/>
      <c r="G688" s="15"/>
      <c r="H688" s="76" t="str">
        <f aca="false">IFERROR(__xludf.dummyfunction("""COMPUTED_VALUE"""),"")</f>
        <v/>
      </c>
      <c r="I688" s="50" t="str">
        <f aca="false">IFERROR(__xludf.dummyfunction("""COMPUTED_VALUE"""),"")</f>
        <v/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  <c r="DY688" s="15"/>
      <c r="DZ688" s="15"/>
      <c r="EA688" s="15"/>
      <c r="EB688" s="15"/>
      <c r="EC688" s="15"/>
      <c r="ED688" s="15"/>
      <c r="EE688" s="15"/>
      <c r="EF688" s="15"/>
      <c r="EG688" s="15"/>
      <c r="EH688" s="15"/>
      <c r="EI688" s="15"/>
      <c r="EJ688" s="15"/>
      <c r="EK688" s="15"/>
      <c r="EL688" s="15"/>
      <c r="EM688" s="15"/>
      <c r="EN688" s="15"/>
      <c r="EO688" s="15"/>
      <c r="EP688" s="15"/>
      <c r="EQ688" s="15"/>
      <c r="ER688" s="15"/>
      <c r="ES688" s="15"/>
      <c r="ET688" s="15"/>
      <c r="EU688" s="15"/>
      <c r="EV688" s="15"/>
      <c r="EW688" s="15"/>
      <c r="EX688" s="15"/>
    </row>
    <row r="689" customFormat="false" ht="15.75" hidden="false" customHeight="false" outlineLevel="0" collapsed="false">
      <c r="A689" s="76"/>
      <c r="B689" s="77"/>
      <c r="C689" s="77"/>
      <c r="D689" s="78"/>
      <c r="E689" s="72"/>
      <c r="F689" s="68"/>
      <c r="G689" s="15"/>
      <c r="H689" s="76" t="str">
        <f aca="false">IFERROR(__xludf.dummyfunction("""COMPUTED_VALUE"""),"")</f>
        <v/>
      </c>
      <c r="I689" s="50" t="str">
        <f aca="false">IFERROR(__xludf.dummyfunction("""COMPUTED_VALUE"""),"")</f>
        <v/>
      </c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  <c r="DY689" s="15"/>
      <c r="DZ689" s="15"/>
      <c r="EA689" s="15"/>
      <c r="EB689" s="15"/>
      <c r="EC689" s="15"/>
      <c r="ED689" s="15"/>
      <c r="EE689" s="15"/>
      <c r="EF689" s="15"/>
      <c r="EG689" s="15"/>
      <c r="EH689" s="15"/>
      <c r="EI689" s="15"/>
      <c r="EJ689" s="15"/>
      <c r="EK689" s="15"/>
      <c r="EL689" s="15"/>
      <c r="EM689" s="15"/>
      <c r="EN689" s="15"/>
      <c r="EO689" s="15"/>
      <c r="EP689" s="15"/>
      <c r="EQ689" s="15"/>
      <c r="ER689" s="15"/>
      <c r="ES689" s="15"/>
      <c r="ET689" s="15"/>
      <c r="EU689" s="15"/>
      <c r="EV689" s="15"/>
      <c r="EW689" s="15"/>
      <c r="EX689" s="15"/>
    </row>
    <row r="690" customFormat="false" ht="15.75" hidden="false" customHeight="false" outlineLevel="0" collapsed="false">
      <c r="A690" s="76"/>
      <c r="B690" s="77"/>
      <c r="C690" s="77"/>
      <c r="D690" s="78"/>
      <c r="E690" s="72"/>
      <c r="F690" s="68"/>
      <c r="G690" s="15"/>
      <c r="H690" s="76" t="str">
        <f aca="false">IFERROR(__xludf.dummyfunction("""COMPUTED_VALUE"""),"")</f>
        <v/>
      </c>
      <c r="I690" s="50" t="str">
        <f aca="false">IFERROR(__xludf.dummyfunction("""COMPUTED_VALUE"""),"")</f>
        <v/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  <c r="DY690" s="15"/>
      <c r="DZ690" s="15"/>
      <c r="EA690" s="15"/>
      <c r="EB690" s="15"/>
      <c r="EC690" s="15"/>
      <c r="ED690" s="15"/>
      <c r="EE690" s="15"/>
      <c r="EF690" s="15"/>
      <c r="EG690" s="15"/>
      <c r="EH690" s="15"/>
      <c r="EI690" s="15"/>
      <c r="EJ690" s="15"/>
      <c r="EK690" s="15"/>
      <c r="EL690" s="15"/>
      <c r="EM690" s="15"/>
      <c r="EN690" s="15"/>
      <c r="EO690" s="15"/>
      <c r="EP690" s="15"/>
      <c r="EQ690" s="15"/>
      <c r="ER690" s="15"/>
      <c r="ES690" s="15"/>
      <c r="ET690" s="15"/>
      <c r="EU690" s="15"/>
      <c r="EV690" s="15"/>
      <c r="EW690" s="15"/>
      <c r="EX690" s="15"/>
    </row>
    <row r="691" customFormat="false" ht="15.75" hidden="false" customHeight="false" outlineLevel="0" collapsed="false">
      <c r="A691" s="76"/>
      <c r="B691" s="77"/>
      <c r="C691" s="77"/>
      <c r="D691" s="78"/>
      <c r="E691" s="72"/>
      <c r="F691" s="68"/>
      <c r="G691" s="15"/>
      <c r="H691" s="76" t="str">
        <f aca="false">IFERROR(__xludf.dummyfunction("""COMPUTED_VALUE"""),"")</f>
        <v/>
      </c>
      <c r="I691" s="50" t="str">
        <f aca="false">IFERROR(__xludf.dummyfunction("""COMPUTED_VALUE"""),"")</f>
        <v/>
      </c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  <c r="DY691" s="15"/>
      <c r="DZ691" s="15"/>
      <c r="EA691" s="15"/>
      <c r="EB691" s="15"/>
      <c r="EC691" s="15"/>
      <c r="ED691" s="15"/>
      <c r="EE691" s="15"/>
      <c r="EF691" s="15"/>
      <c r="EG691" s="15"/>
      <c r="EH691" s="15"/>
      <c r="EI691" s="15"/>
      <c r="EJ691" s="15"/>
      <c r="EK691" s="15"/>
      <c r="EL691" s="15"/>
      <c r="EM691" s="15"/>
      <c r="EN691" s="15"/>
      <c r="EO691" s="15"/>
      <c r="EP691" s="15"/>
      <c r="EQ691" s="15"/>
      <c r="ER691" s="15"/>
      <c r="ES691" s="15"/>
      <c r="ET691" s="15"/>
      <c r="EU691" s="15"/>
      <c r="EV691" s="15"/>
      <c r="EW691" s="15"/>
      <c r="EX691" s="15"/>
    </row>
    <row r="692" customFormat="false" ht="15.75" hidden="false" customHeight="false" outlineLevel="0" collapsed="false">
      <c r="A692" s="76"/>
      <c r="B692" s="77"/>
      <c r="C692" s="77"/>
      <c r="D692" s="78"/>
      <c r="E692" s="72"/>
      <c r="F692" s="68"/>
      <c r="G692" s="15"/>
      <c r="H692" s="76" t="str">
        <f aca="false">IFERROR(__xludf.dummyfunction("""COMPUTED_VALUE"""),"")</f>
        <v/>
      </c>
      <c r="I692" s="50" t="str">
        <f aca="false">IFERROR(__xludf.dummyfunction("""COMPUTED_VALUE"""),"")</f>
        <v/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  <c r="DY692" s="15"/>
      <c r="DZ692" s="15"/>
      <c r="EA692" s="15"/>
      <c r="EB692" s="15"/>
      <c r="EC692" s="15"/>
      <c r="ED692" s="15"/>
      <c r="EE692" s="15"/>
      <c r="EF692" s="15"/>
      <c r="EG692" s="15"/>
      <c r="EH692" s="15"/>
      <c r="EI692" s="15"/>
      <c r="EJ692" s="15"/>
      <c r="EK692" s="15"/>
      <c r="EL692" s="15"/>
      <c r="EM692" s="15"/>
      <c r="EN692" s="15"/>
      <c r="EO692" s="15"/>
      <c r="EP692" s="15"/>
      <c r="EQ692" s="15"/>
      <c r="ER692" s="15"/>
      <c r="ES692" s="15"/>
      <c r="ET692" s="15"/>
      <c r="EU692" s="15"/>
      <c r="EV692" s="15"/>
      <c r="EW692" s="15"/>
      <c r="EX692" s="15"/>
    </row>
    <row r="693" customFormat="false" ht="15.75" hidden="false" customHeight="false" outlineLevel="0" collapsed="false">
      <c r="A693" s="76"/>
      <c r="B693" s="77"/>
      <c r="C693" s="77"/>
      <c r="D693" s="78"/>
      <c r="E693" s="72"/>
      <c r="F693" s="68"/>
      <c r="G693" s="15"/>
      <c r="H693" s="76" t="str">
        <f aca="false">IFERROR(__xludf.dummyfunction("""COMPUTED_VALUE"""),"")</f>
        <v/>
      </c>
      <c r="I693" s="50" t="str">
        <f aca="false">IFERROR(__xludf.dummyfunction("""COMPUTED_VALUE"""),"")</f>
        <v/>
      </c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  <c r="DY693" s="15"/>
      <c r="DZ693" s="15"/>
      <c r="EA693" s="15"/>
      <c r="EB693" s="15"/>
      <c r="EC693" s="15"/>
      <c r="ED693" s="15"/>
      <c r="EE693" s="15"/>
      <c r="EF693" s="15"/>
      <c r="EG693" s="15"/>
      <c r="EH693" s="15"/>
      <c r="EI693" s="15"/>
      <c r="EJ693" s="15"/>
      <c r="EK693" s="15"/>
      <c r="EL693" s="15"/>
      <c r="EM693" s="15"/>
      <c r="EN693" s="15"/>
      <c r="EO693" s="15"/>
      <c r="EP693" s="15"/>
      <c r="EQ693" s="15"/>
      <c r="ER693" s="15"/>
      <c r="ES693" s="15"/>
      <c r="ET693" s="15"/>
      <c r="EU693" s="15"/>
      <c r="EV693" s="15"/>
      <c r="EW693" s="15"/>
      <c r="EX693" s="15"/>
    </row>
    <row r="694" customFormat="false" ht="15.75" hidden="false" customHeight="false" outlineLevel="0" collapsed="false">
      <c r="A694" s="76"/>
      <c r="B694" s="77"/>
      <c r="C694" s="77"/>
      <c r="D694" s="78"/>
      <c r="E694" s="72"/>
      <c r="F694" s="68"/>
      <c r="G694" s="15"/>
      <c r="H694" s="76" t="str">
        <f aca="false">IFERROR(__xludf.dummyfunction("""COMPUTED_VALUE"""),"")</f>
        <v/>
      </c>
      <c r="I694" s="50" t="str">
        <f aca="false">IFERROR(__xludf.dummyfunction("""COMPUTED_VALUE"""),"")</f>
        <v/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  <c r="DY694" s="15"/>
      <c r="DZ694" s="15"/>
      <c r="EA694" s="15"/>
      <c r="EB694" s="15"/>
      <c r="EC694" s="15"/>
      <c r="ED694" s="15"/>
      <c r="EE694" s="15"/>
      <c r="EF694" s="15"/>
      <c r="EG694" s="15"/>
      <c r="EH694" s="15"/>
      <c r="EI694" s="15"/>
      <c r="EJ694" s="15"/>
      <c r="EK694" s="15"/>
      <c r="EL694" s="15"/>
      <c r="EM694" s="15"/>
      <c r="EN694" s="15"/>
      <c r="EO694" s="15"/>
      <c r="EP694" s="15"/>
      <c r="EQ694" s="15"/>
      <c r="ER694" s="15"/>
      <c r="ES694" s="15"/>
      <c r="ET694" s="15"/>
      <c r="EU694" s="15"/>
      <c r="EV694" s="15"/>
      <c r="EW694" s="15"/>
      <c r="EX694" s="15"/>
    </row>
    <row r="695" customFormat="false" ht="15.75" hidden="false" customHeight="false" outlineLevel="0" collapsed="false">
      <c r="A695" s="76"/>
      <c r="B695" s="77"/>
      <c r="C695" s="77"/>
      <c r="D695" s="78"/>
      <c r="E695" s="72"/>
      <c r="F695" s="68"/>
      <c r="G695" s="15"/>
      <c r="H695" s="76" t="str">
        <f aca="false">IFERROR(__xludf.dummyfunction("""COMPUTED_VALUE"""),"")</f>
        <v/>
      </c>
      <c r="I695" s="50" t="str">
        <f aca="false">IFERROR(__xludf.dummyfunction("""COMPUTED_VALUE"""),"")</f>
        <v/>
      </c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  <c r="DY695" s="15"/>
      <c r="DZ695" s="15"/>
      <c r="EA695" s="15"/>
      <c r="EB695" s="15"/>
      <c r="EC695" s="15"/>
      <c r="ED695" s="15"/>
      <c r="EE695" s="15"/>
      <c r="EF695" s="15"/>
      <c r="EG695" s="15"/>
      <c r="EH695" s="15"/>
      <c r="EI695" s="15"/>
      <c r="EJ695" s="15"/>
      <c r="EK695" s="15"/>
      <c r="EL695" s="15"/>
      <c r="EM695" s="15"/>
      <c r="EN695" s="15"/>
      <c r="EO695" s="15"/>
      <c r="EP695" s="15"/>
      <c r="EQ695" s="15"/>
      <c r="ER695" s="15"/>
      <c r="ES695" s="15"/>
      <c r="ET695" s="15"/>
      <c r="EU695" s="15"/>
      <c r="EV695" s="15"/>
      <c r="EW695" s="15"/>
      <c r="EX695" s="15"/>
    </row>
    <row r="696" customFormat="false" ht="15.75" hidden="false" customHeight="false" outlineLevel="0" collapsed="false">
      <c r="A696" s="76"/>
      <c r="B696" s="77"/>
      <c r="C696" s="77"/>
      <c r="D696" s="78"/>
      <c r="E696" s="72"/>
      <c r="F696" s="68"/>
      <c r="G696" s="15"/>
      <c r="H696" s="76" t="str">
        <f aca="false">IFERROR(__xludf.dummyfunction("""COMPUTED_VALUE"""),"")</f>
        <v/>
      </c>
      <c r="I696" s="50" t="str">
        <f aca="false">IFERROR(__xludf.dummyfunction("""COMPUTED_VALUE"""),"")</f>
        <v/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  <c r="DY696" s="15"/>
      <c r="DZ696" s="15"/>
      <c r="EA696" s="15"/>
      <c r="EB696" s="15"/>
      <c r="EC696" s="15"/>
      <c r="ED696" s="15"/>
      <c r="EE696" s="15"/>
      <c r="EF696" s="15"/>
      <c r="EG696" s="15"/>
      <c r="EH696" s="15"/>
      <c r="EI696" s="15"/>
      <c r="EJ696" s="15"/>
      <c r="EK696" s="15"/>
      <c r="EL696" s="15"/>
      <c r="EM696" s="15"/>
      <c r="EN696" s="15"/>
      <c r="EO696" s="15"/>
      <c r="EP696" s="15"/>
      <c r="EQ696" s="15"/>
      <c r="ER696" s="15"/>
      <c r="ES696" s="15"/>
      <c r="ET696" s="15"/>
      <c r="EU696" s="15"/>
      <c r="EV696" s="15"/>
      <c r="EW696" s="15"/>
      <c r="EX696" s="15"/>
    </row>
    <row r="697" customFormat="false" ht="15.75" hidden="false" customHeight="false" outlineLevel="0" collapsed="false">
      <c r="A697" s="76"/>
      <c r="B697" s="77"/>
      <c r="C697" s="77"/>
      <c r="D697" s="78"/>
      <c r="E697" s="72"/>
      <c r="F697" s="68"/>
      <c r="G697" s="15"/>
      <c r="H697" s="76" t="str">
        <f aca="false">IFERROR(__xludf.dummyfunction("""COMPUTED_VALUE"""),"")</f>
        <v/>
      </c>
      <c r="I697" s="50" t="str">
        <f aca="false">IFERROR(__xludf.dummyfunction("""COMPUTED_VALUE"""),"")</f>
        <v/>
      </c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  <c r="DY697" s="15"/>
      <c r="DZ697" s="15"/>
      <c r="EA697" s="15"/>
      <c r="EB697" s="15"/>
      <c r="EC697" s="15"/>
      <c r="ED697" s="15"/>
      <c r="EE697" s="15"/>
      <c r="EF697" s="15"/>
      <c r="EG697" s="15"/>
      <c r="EH697" s="15"/>
      <c r="EI697" s="15"/>
      <c r="EJ697" s="15"/>
      <c r="EK697" s="15"/>
      <c r="EL697" s="15"/>
      <c r="EM697" s="15"/>
      <c r="EN697" s="15"/>
      <c r="EO697" s="15"/>
      <c r="EP697" s="15"/>
      <c r="EQ697" s="15"/>
      <c r="ER697" s="15"/>
      <c r="ES697" s="15"/>
      <c r="ET697" s="15"/>
      <c r="EU697" s="15"/>
      <c r="EV697" s="15"/>
      <c r="EW697" s="15"/>
      <c r="EX697" s="15"/>
    </row>
    <row r="698" customFormat="false" ht="15.75" hidden="false" customHeight="false" outlineLevel="0" collapsed="false">
      <c r="A698" s="76"/>
      <c r="B698" s="77"/>
      <c r="C698" s="77"/>
      <c r="D698" s="78"/>
      <c r="E698" s="72"/>
      <c r="F698" s="68"/>
      <c r="G698" s="15"/>
      <c r="H698" s="76" t="str">
        <f aca="false">IFERROR(__xludf.dummyfunction("""COMPUTED_VALUE"""),"")</f>
        <v/>
      </c>
      <c r="I698" s="50" t="str">
        <f aca="false">IFERROR(__xludf.dummyfunction("""COMPUTED_VALUE"""),"")</f>
        <v/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  <c r="DY698" s="15"/>
      <c r="DZ698" s="15"/>
      <c r="EA698" s="15"/>
      <c r="EB698" s="15"/>
      <c r="EC698" s="15"/>
      <c r="ED698" s="15"/>
      <c r="EE698" s="15"/>
      <c r="EF698" s="15"/>
      <c r="EG698" s="15"/>
      <c r="EH698" s="15"/>
      <c r="EI698" s="15"/>
      <c r="EJ698" s="15"/>
      <c r="EK698" s="15"/>
      <c r="EL698" s="15"/>
      <c r="EM698" s="15"/>
      <c r="EN698" s="15"/>
      <c r="EO698" s="15"/>
      <c r="EP698" s="15"/>
      <c r="EQ698" s="15"/>
      <c r="ER698" s="15"/>
      <c r="ES698" s="15"/>
      <c r="ET698" s="15"/>
      <c r="EU698" s="15"/>
      <c r="EV698" s="15"/>
      <c r="EW698" s="15"/>
      <c r="EX698" s="15"/>
    </row>
    <row r="699" customFormat="false" ht="15.75" hidden="false" customHeight="false" outlineLevel="0" collapsed="false">
      <c r="A699" s="76"/>
      <c r="B699" s="77"/>
      <c r="C699" s="77"/>
      <c r="D699" s="78"/>
      <c r="E699" s="72"/>
      <c r="F699" s="68"/>
      <c r="G699" s="15"/>
      <c r="H699" s="76" t="str">
        <f aca="false">IFERROR(__xludf.dummyfunction("""COMPUTED_VALUE"""),"")</f>
        <v/>
      </c>
      <c r="I699" s="50" t="str">
        <f aca="false">IFERROR(__xludf.dummyfunction("""COMPUTED_VALUE"""),"")</f>
        <v/>
      </c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  <c r="DY699" s="15"/>
      <c r="DZ699" s="15"/>
      <c r="EA699" s="15"/>
      <c r="EB699" s="15"/>
      <c r="EC699" s="15"/>
      <c r="ED699" s="15"/>
      <c r="EE699" s="15"/>
      <c r="EF699" s="15"/>
      <c r="EG699" s="15"/>
      <c r="EH699" s="15"/>
      <c r="EI699" s="15"/>
      <c r="EJ699" s="15"/>
      <c r="EK699" s="15"/>
      <c r="EL699" s="15"/>
      <c r="EM699" s="15"/>
      <c r="EN699" s="15"/>
      <c r="EO699" s="15"/>
      <c r="EP699" s="15"/>
      <c r="EQ699" s="15"/>
      <c r="ER699" s="15"/>
      <c r="ES699" s="15"/>
      <c r="ET699" s="15"/>
      <c r="EU699" s="15"/>
      <c r="EV699" s="15"/>
      <c r="EW699" s="15"/>
      <c r="EX699" s="15"/>
    </row>
    <row r="700" customFormat="false" ht="15.75" hidden="false" customHeight="false" outlineLevel="0" collapsed="false">
      <c r="A700" s="76"/>
      <c r="B700" s="77"/>
      <c r="C700" s="77"/>
      <c r="D700" s="78"/>
      <c r="E700" s="72"/>
      <c r="F700" s="68"/>
      <c r="G700" s="15"/>
      <c r="H700" s="76" t="str">
        <f aca="false">IFERROR(__xludf.dummyfunction("""COMPUTED_VALUE"""),"")</f>
        <v/>
      </c>
      <c r="I700" s="50" t="str">
        <f aca="false">IFERROR(__xludf.dummyfunction("""COMPUTED_VALUE"""),"")</f>
        <v/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  <c r="DY700" s="15"/>
      <c r="DZ700" s="15"/>
      <c r="EA700" s="15"/>
      <c r="EB700" s="15"/>
      <c r="EC700" s="15"/>
      <c r="ED700" s="15"/>
      <c r="EE700" s="15"/>
      <c r="EF700" s="15"/>
      <c r="EG700" s="15"/>
      <c r="EH700" s="15"/>
      <c r="EI700" s="15"/>
      <c r="EJ700" s="15"/>
      <c r="EK700" s="15"/>
      <c r="EL700" s="15"/>
      <c r="EM700" s="15"/>
      <c r="EN700" s="15"/>
      <c r="EO700" s="15"/>
      <c r="EP700" s="15"/>
      <c r="EQ700" s="15"/>
      <c r="ER700" s="15"/>
      <c r="ES700" s="15"/>
      <c r="ET700" s="15"/>
      <c r="EU700" s="15"/>
      <c r="EV700" s="15"/>
      <c r="EW700" s="15"/>
      <c r="EX700" s="15"/>
    </row>
    <row r="701" customFormat="false" ht="15.75" hidden="false" customHeight="false" outlineLevel="0" collapsed="false">
      <c r="A701" s="76"/>
      <c r="B701" s="77"/>
      <c r="C701" s="77"/>
      <c r="D701" s="78"/>
      <c r="E701" s="72"/>
      <c r="F701" s="68"/>
      <c r="G701" s="15"/>
      <c r="H701" s="76" t="str">
        <f aca="false">IFERROR(__xludf.dummyfunction("""COMPUTED_VALUE"""),"")</f>
        <v/>
      </c>
      <c r="I701" s="50" t="str">
        <f aca="false">IFERROR(__xludf.dummyfunction("""COMPUTED_VALUE"""),"")</f>
        <v/>
      </c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  <c r="DY701" s="15"/>
      <c r="DZ701" s="15"/>
      <c r="EA701" s="15"/>
      <c r="EB701" s="15"/>
      <c r="EC701" s="15"/>
      <c r="ED701" s="15"/>
      <c r="EE701" s="15"/>
      <c r="EF701" s="15"/>
      <c r="EG701" s="15"/>
      <c r="EH701" s="15"/>
      <c r="EI701" s="15"/>
      <c r="EJ701" s="15"/>
      <c r="EK701" s="15"/>
      <c r="EL701" s="15"/>
      <c r="EM701" s="15"/>
      <c r="EN701" s="15"/>
      <c r="EO701" s="15"/>
      <c r="EP701" s="15"/>
      <c r="EQ701" s="15"/>
      <c r="ER701" s="15"/>
      <c r="ES701" s="15"/>
      <c r="ET701" s="15"/>
      <c r="EU701" s="15"/>
      <c r="EV701" s="15"/>
      <c r="EW701" s="15"/>
      <c r="EX701" s="15"/>
    </row>
    <row r="702" customFormat="false" ht="15.75" hidden="false" customHeight="false" outlineLevel="0" collapsed="false">
      <c r="A702" s="76"/>
      <c r="B702" s="77"/>
      <c r="C702" s="77"/>
      <c r="D702" s="78"/>
      <c r="E702" s="72"/>
      <c r="F702" s="68"/>
      <c r="G702" s="15"/>
      <c r="H702" s="76" t="str">
        <f aca="false">IFERROR(__xludf.dummyfunction("""COMPUTED_VALUE"""),"")</f>
        <v/>
      </c>
      <c r="I702" s="50" t="str">
        <f aca="false">IFERROR(__xludf.dummyfunction("""COMPUTED_VALUE"""),"")</f>
        <v/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  <c r="DY702" s="15"/>
      <c r="DZ702" s="15"/>
      <c r="EA702" s="15"/>
      <c r="EB702" s="15"/>
      <c r="EC702" s="15"/>
      <c r="ED702" s="15"/>
      <c r="EE702" s="15"/>
      <c r="EF702" s="15"/>
      <c r="EG702" s="15"/>
      <c r="EH702" s="15"/>
      <c r="EI702" s="15"/>
      <c r="EJ702" s="15"/>
      <c r="EK702" s="15"/>
      <c r="EL702" s="15"/>
      <c r="EM702" s="15"/>
      <c r="EN702" s="15"/>
      <c r="EO702" s="15"/>
      <c r="EP702" s="15"/>
      <c r="EQ702" s="15"/>
      <c r="ER702" s="15"/>
      <c r="ES702" s="15"/>
      <c r="ET702" s="15"/>
      <c r="EU702" s="15"/>
      <c r="EV702" s="15"/>
      <c r="EW702" s="15"/>
      <c r="EX702" s="15"/>
    </row>
    <row r="703" customFormat="false" ht="15.75" hidden="false" customHeight="false" outlineLevel="0" collapsed="false">
      <c r="A703" s="76"/>
      <c r="B703" s="77"/>
      <c r="C703" s="77"/>
      <c r="D703" s="78"/>
      <c r="E703" s="72"/>
      <c r="F703" s="68"/>
      <c r="G703" s="15"/>
      <c r="H703" s="76" t="str">
        <f aca="false">IFERROR(__xludf.dummyfunction("""COMPUTED_VALUE"""),"")</f>
        <v/>
      </c>
      <c r="I703" s="50" t="str">
        <f aca="false">IFERROR(__xludf.dummyfunction("""COMPUTED_VALUE"""),"")</f>
        <v/>
      </c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  <c r="DY703" s="15"/>
      <c r="DZ703" s="15"/>
      <c r="EA703" s="15"/>
      <c r="EB703" s="15"/>
      <c r="EC703" s="15"/>
      <c r="ED703" s="15"/>
      <c r="EE703" s="15"/>
      <c r="EF703" s="15"/>
      <c r="EG703" s="15"/>
      <c r="EH703" s="15"/>
      <c r="EI703" s="15"/>
      <c r="EJ703" s="15"/>
      <c r="EK703" s="15"/>
      <c r="EL703" s="15"/>
      <c r="EM703" s="15"/>
      <c r="EN703" s="15"/>
      <c r="EO703" s="15"/>
      <c r="EP703" s="15"/>
      <c r="EQ703" s="15"/>
      <c r="ER703" s="15"/>
      <c r="ES703" s="15"/>
      <c r="ET703" s="15"/>
      <c r="EU703" s="15"/>
      <c r="EV703" s="15"/>
      <c r="EW703" s="15"/>
      <c r="EX703" s="15"/>
    </row>
    <row r="704" customFormat="false" ht="15.75" hidden="false" customHeight="false" outlineLevel="0" collapsed="false">
      <c r="A704" s="76"/>
      <c r="B704" s="77"/>
      <c r="C704" s="77"/>
      <c r="D704" s="78"/>
      <c r="E704" s="72"/>
      <c r="F704" s="68"/>
      <c r="G704" s="15"/>
      <c r="H704" s="76" t="str">
        <f aca="false">IFERROR(__xludf.dummyfunction("""COMPUTED_VALUE"""),"")</f>
        <v/>
      </c>
      <c r="I704" s="50" t="str">
        <f aca="false">IFERROR(__xludf.dummyfunction("""COMPUTED_VALUE"""),"")</f>
        <v/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  <c r="DY704" s="15"/>
      <c r="DZ704" s="15"/>
      <c r="EA704" s="15"/>
      <c r="EB704" s="15"/>
      <c r="EC704" s="15"/>
      <c r="ED704" s="15"/>
      <c r="EE704" s="15"/>
      <c r="EF704" s="15"/>
      <c r="EG704" s="15"/>
      <c r="EH704" s="15"/>
      <c r="EI704" s="15"/>
      <c r="EJ704" s="15"/>
      <c r="EK704" s="15"/>
      <c r="EL704" s="15"/>
      <c r="EM704" s="15"/>
      <c r="EN704" s="15"/>
      <c r="EO704" s="15"/>
      <c r="EP704" s="15"/>
      <c r="EQ704" s="15"/>
      <c r="ER704" s="15"/>
      <c r="ES704" s="15"/>
      <c r="ET704" s="15"/>
      <c r="EU704" s="15"/>
      <c r="EV704" s="15"/>
      <c r="EW704" s="15"/>
      <c r="EX704" s="15"/>
    </row>
    <row r="705" customFormat="false" ht="15.75" hidden="false" customHeight="false" outlineLevel="0" collapsed="false">
      <c r="A705" s="76"/>
      <c r="B705" s="77"/>
      <c r="C705" s="77"/>
      <c r="D705" s="78"/>
      <c r="E705" s="72"/>
      <c r="F705" s="68"/>
      <c r="G705" s="15"/>
      <c r="H705" s="76" t="str">
        <f aca="false">IFERROR(__xludf.dummyfunction("""COMPUTED_VALUE"""),"")</f>
        <v/>
      </c>
      <c r="I705" s="50" t="str">
        <f aca="false">IFERROR(__xludf.dummyfunction("""COMPUTED_VALUE"""),"")</f>
        <v/>
      </c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  <c r="DY705" s="15"/>
      <c r="DZ705" s="15"/>
      <c r="EA705" s="15"/>
      <c r="EB705" s="15"/>
      <c r="EC705" s="15"/>
      <c r="ED705" s="15"/>
      <c r="EE705" s="15"/>
      <c r="EF705" s="15"/>
      <c r="EG705" s="15"/>
      <c r="EH705" s="15"/>
      <c r="EI705" s="15"/>
      <c r="EJ705" s="15"/>
      <c r="EK705" s="15"/>
      <c r="EL705" s="15"/>
      <c r="EM705" s="15"/>
      <c r="EN705" s="15"/>
      <c r="EO705" s="15"/>
      <c r="EP705" s="15"/>
      <c r="EQ705" s="15"/>
      <c r="ER705" s="15"/>
      <c r="ES705" s="15"/>
      <c r="ET705" s="15"/>
      <c r="EU705" s="15"/>
      <c r="EV705" s="15"/>
      <c r="EW705" s="15"/>
      <c r="EX705" s="15"/>
    </row>
    <row r="706" customFormat="false" ht="15.75" hidden="false" customHeight="false" outlineLevel="0" collapsed="false">
      <c r="A706" s="76"/>
      <c r="B706" s="77"/>
      <c r="C706" s="77"/>
      <c r="D706" s="78"/>
      <c r="E706" s="72"/>
      <c r="F706" s="68"/>
      <c r="G706" s="15"/>
      <c r="H706" s="76" t="str">
        <f aca="false">IFERROR(__xludf.dummyfunction("""COMPUTED_VALUE"""),"")</f>
        <v/>
      </c>
      <c r="I706" s="50" t="str">
        <f aca="false">IFERROR(__xludf.dummyfunction("""COMPUTED_VALUE"""),"")</f>
        <v/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  <c r="DY706" s="15"/>
      <c r="DZ706" s="15"/>
      <c r="EA706" s="15"/>
      <c r="EB706" s="15"/>
      <c r="EC706" s="15"/>
      <c r="ED706" s="15"/>
      <c r="EE706" s="15"/>
      <c r="EF706" s="15"/>
      <c r="EG706" s="15"/>
      <c r="EH706" s="15"/>
      <c r="EI706" s="15"/>
      <c r="EJ706" s="15"/>
      <c r="EK706" s="15"/>
      <c r="EL706" s="15"/>
      <c r="EM706" s="15"/>
      <c r="EN706" s="15"/>
      <c r="EO706" s="15"/>
      <c r="EP706" s="15"/>
      <c r="EQ706" s="15"/>
      <c r="ER706" s="15"/>
      <c r="ES706" s="15"/>
      <c r="ET706" s="15"/>
      <c r="EU706" s="15"/>
      <c r="EV706" s="15"/>
      <c r="EW706" s="15"/>
      <c r="EX706" s="15"/>
    </row>
    <row r="707" customFormat="false" ht="15.75" hidden="false" customHeight="false" outlineLevel="0" collapsed="false">
      <c r="A707" s="76"/>
      <c r="B707" s="77"/>
      <c r="C707" s="77"/>
      <c r="D707" s="78"/>
      <c r="E707" s="72"/>
      <c r="F707" s="68"/>
      <c r="G707" s="15"/>
      <c r="H707" s="76" t="str">
        <f aca="false">IFERROR(__xludf.dummyfunction("""COMPUTED_VALUE"""),"")</f>
        <v/>
      </c>
      <c r="I707" s="50" t="str">
        <f aca="false">IFERROR(__xludf.dummyfunction("""COMPUTED_VALUE"""),"")</f>
        <v/>
      </c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  <c r="DY707" s="15"/>
      <c r="DZ707" s="15"/>
      <c r="EA707" s="15"/>
      <c r="EB707" s="15"/>
      <c r="EC707" s="15"/>
      <c r="ED707" s="15"/>
      <c r="EE707" s="15"/>
      <c r="EF707" s="15"/>
      <c r="EG707" s="15"/>
      <c r="EH707" s="15"/>
      <c r="EI707" s="15"/>
      <c r="EJ707" s="15"/>
      <c r="EK707" s="15"/>
      <c r="EL707" s="15"/>
      <c r="EM707" s="15"/>
      <c r="EN707" s="15"/>
      <c r="EO707" s="15"/>
      <c r="EP707" s="15"/>
      <c r="EQ707" s="15"/>
      <c r="ER707" s="15"/>
      <c r="ES707" s="15"/>
      <c r="ET707" s="15"/>
      <c r="EU707" s="15"/>
      <c r="EV707" s="15"/>
      <c r="EW707" s="15"/>
      <c r="EX707" s="15"/>
    </row>
    <row r="708" customFormat="false" ht="15.75" hidden="false" customHeight="false" outlineLevel="0" collapsed="false">
      <c r="A708" s="76"/>
      <c r="B708" s="77"/>
      <c r="C708" s="77"/>
      <c r="D708" s="78"/>
      <c r="E708" s="72"/>
      <c r="F708" s="68"/>
      <c r="G708" s="15"/>
      <c r="H708" s="76" t="str">
        <f aca="false">IFERROR(__xludf.dummyfunction("""COMPUTED_VALUE"""),"")</f>
        <v/>
      </c>
      <c r="I708" s="50" t="str">
        <f aca="false">IFERROR(__xludf.dummyfunction("""COMPUTED_VALUE"""),"")</f>
        <v/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  <c r="DY708" s="15"/>
      <c r="DZ708" s="15"/>
      <c r="EA708" s="15"/>
      <c r="EB708" s="15"/>
      <c r="EC708" s="15"/>
      <c r="ED708" s="15"/>
      <c r="EE708" s="15"/>
      <c r="EF708" s="15"/>
      <c r="EG708" s="15"/>
      <c r="EH708" s="15"/>
      <c r="EI708" s="15"/>
      <c r="EJ708" s="15"/>
      <c r="EK708" s="15"/>
      <c r="EL708" s="15"/>
      <c r="EM708" s="15"/>
      <c r="EN708" s="15"/>
      <c r="EO708" s="15"/>
      <c r="EP708" s="15"/>
      <c r="EQ708" s="15"/>
      <c r="ER708" s="15"/>
      <c r="ES708" s="15"/>
      <c r="ET708" s="15"/>
      <c r="EU708" s="15"/>
      <c r="EV708" s="15"/>
      <c r="EW708" s="15"/>
      <c r="EX708" s="15"/>
    </row>
    <row r="709" customFormat="false" ht="15.75" hidden="false" customHeight="false" outlineLevel="0" collapsed="false">
      <c r="A709" s="76"/>
      <c r="B709" s="77"/>
      <c r="C709" s="77"/>
      <c r="D709" s="78"/>
      <c r="E709" s="72"/>
      <c r="F709" s="68"/>
      <c r="G709" s="15"/>
      <c r="H709" s="76" t="str">
        <f aca="false">IFERROR(__xludf.dummyfunction("""COMPUTED_VALUE"""),"")</f>
        <v/>
      </c>
      <c r="I709" s="50" t="str">
        <f aca="false">IFERROR(__xludf.dummyfunction("""COMPUTED_VALUE"""),"")</f>
        <v/>
      </c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  <c r="DY709" s="15"/>
      <c r="DZ709" s="15"/>
      <c r="EA709" s="15"/>
      <c r="EB709" s="15"/>
      <c r="EC709" s="15"/>
      <c r="ED709" s="15"/>
      <c r="EE709" s="15"/>
      <c r="EF709" s="15"/>
      <c r="EG709" s="15"/>
      <c r="EH709" s="15"/>
      <c r="EI709" s="15"/>
      <c r="EJ709" s="15"/>
      <c r="EK709" s="15"/>
      <c r="EL709" s="15"/>
      <c r="EM709" s="15"/>
      <c r="EN709" s="15"/>
      <c r="EO709" s="15"/>
      <c r="EP709" s="15"/>
      <c r="EQ709" s="15"/>
      <c r="ER709" s="15"/>
      <c r="ES709" s="15"/>
      <c r="ET709" s="15"/>
      <c r="EU709" s="15"/>
      <c r="EV709" s="15"/>
      <c r="EW709" s="15"/>
      <c r="EX709" s="15"/>
    </row>
    <row r="710" customFormat="false" ht="15.75" hidden="false" customHeight="false" outlineLevel="0" collapsed="false">
      <c r="A710" s="76"/>
      <c r="B710" s="77"/>
      <c r="C710" s="77"/>
      <c r="D710" s="78"/>
      <c r="E710" s="72"/>
      <c r="F710" s="68"/>
      <c r="G710" s="15"/>
      <c r="H710" s="76" t="str">
        <f aca="false">IFERROR(__xludf.dummyfunction("""COMPUTED_VALUE"""),"")</f>
        <v/>
      </c>
      <c r="I710" s="50" t="str">
        <f aca="false">IFERROR(__xludf.dummyfunction("""COMPUTED_VALUE"""),"")</f>
        <v/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  <c r="DY710" s="15"/>
      <c r="DZ710" s="15"/>
      <c r="EA710" s="15"/>
      <c r="EB710" s="15"/>
      <c r="EC710" s="15"/>
      <c r="ED710" s="15"/>
      <c r="EE710" s="15"/>
      <c r="EF710" s="15"/>
      <c r="EG710" s="15"/>
      <c r="EH710" s="15"/>
      <c r="EI710" s="15"/>
      <c r="EJ710" s="15"/>
      <c r="EK710" s="15"/>
      <c r="EL710" s="15"/>
      <c r="EM710" s="15"/>
      <c r="EN710" s="15"/>
      <c r="EO710" s="15"/>
      <c r="EP710" s="15"/>
      <c r="EQ710" s="15"/>
      <c r="ER710" s="15"/>
      <c r="ES710" s="15"/>
      <c r="ET710" s="15"/>
      <c r="EU710" s="15"/>
      <c r="EV710" s="15"/>
      <c r="EW710" s="15"/>
      <c r="EX710" s="15"/>
    </row>
    <row r="711" customFormat="false" ht="15.75" hidden="false" customHeight="false" outlineLevel="0" collapsed="false">
      <c r="A711" s="76"/>
      <c r="B711" s="77"/>
      <c r="C711" s="77"/>
      <c r="D711" s="78"/>
      <c r="E711" s="72"/>
      <c r="F711" s="68"/>
      <c r="G711" s="15"/>
      <c r="H711" s="76" t="str">
        <f aca="false">IFERROR(__xludf.dummyfunction("""COMPUTED_VALUE"""),"")</f>
        <v/>
      </c>
      <c r="I711" s="50" t="str">
        <f aca="false">IFERROR(__xludf.dummyfunction("""COMPUTED_VALUE"""),"")</f>
        <v/>
      </c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  <c r="DY711" s="15"/>
      <c r="DZ711" s="15"/>
      <c r="EA711" s="15"/>
      <c r="EB711" s="15"/>
      <c r="EC711" s="15"/>
      <c r="ED711" s="15"/>
      <c r="EE711" s="15"/>
      <c r="EF711" s="15"/>
      <c r="EG711" s="15"/>
      <c r="EH711" s="15"/>
      <c r="EI711" s="15"/>
      <c r="EJ711" s="15"/>
      <c r="EK711" s="15"/>
      <c r="EL711" s="15"/>
      <c r="EM711" s="15"/>
      <c r="EN711" s="15"/>
      <c r="EO711" s="15"/>
      <c r="EP711" s="15"/>
      <c r="EQ711" s="15"/>
      <c r="ER711" s="15"/>
      <c r="ES711" s="15"/>
      <c r="ET711" s="15"/>
      <c r="EU711" s="15"/>
      <c r="EV711" s="15"/>
      <c r="EW711" s="15"/>
      <c r="EX711" s="15"/>
    </row>
    <row r="712" customFormat="false" ht="15.75" hidden="false" customHeight="false" outlineLevel="0" collapsed="false">
      <c r="A712" s="76"/>
      <c r="B712" s="77"/>
      <c r="C712" s="77"/>
      <c r="D712" s="78"/>
      <c r="E712" s="72"/>
      <c r="F712" s="68"/>
      <c r="G712" s="15"/>
      <c r="H712" s="76" t="str">
        <f aca="false">IFERROR(__xludf.dummyfunction("""COMPUTED_VALUE"""),"")</f>
        <v/>
      </c>
      <c r="I712" s="50" t="str">
        <f aca="false">IFERROR(__xludf.dummyfunction("""COMPUTED_VALUE"""),"")</f>
        <v/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  <c r="DY712" s="15"/>
      <c r="DZ712" s="15"/>
      <c r="EA712" s="15"/>
      <c r="EB712" s="15"/>
      <c r="EC712" s="15"/>
      <c r="ED712" s="15"/>
      <c r="EE712" s="15"/>
      <c r="EF712" s="15"/>
      <c r="EG712" s="15"/>
      <c r="EH712" s="15"/>
      <c r="EI712" s="15"/>
      <c r="EJ712" s="15"/>
      <c r="EK712" s="15"/>
      <c r="EL712" s="15"/>
      <c r="EM712" s="15"/>
      <c r="EN712" s="15"/>
      <c r="EO712" s="15"/>
      <c r="EP712" s="15"/>
      <c r="EQ712" s="15"/>
      <c r="ER712" s="15"/>
      <c r="ES712" s="15"/>
      <c r="ET712" s="15"/>
      <c r="EU712" s="15"/>
      <c r="EV712" s="15"/>
      <c r="EW712" s="15"/>
      <c r="EX712" s="15"/>
    </row>
    <row r="713" customFormat="false" ht="15.75" hidden="false" customHeight="false" outlineLevel="0" collapsed="false">
      <c r="A713" s="76"/>
      <c r="B713" s="77"/>
      <c r="C713" s="77"/>
      <c r="D713" s="78"/>
      <c r="E713" s="72"/>
      <c r="F713" s="68"/>
      <c r="G713" s="15"/>
      <c r="H713" s="76" t="str">
        <f aca="false">IFERROR(__xludf.dummyfunction("""COMPUTED_VALUE"""),"")</f>
        <v/>
      </c>
      <c r="I713" s="50" t="str">
        <f aca="false">IFERROR(__xludf.dummyfunction("""COMPUTED_VALUE"""),"")</f>
        <v/>
      </c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  <c r="DY713" s="15"/>
      <c r="DZ713" s="15"/>
      <c r="EA713" s="15"/>
      <c r="EB713" s="15"/>
      <c r="EC713" s="15"/>
      <c r="ED713" s="15"/>
      <c r="EE713" s="15"/>
      <c r="EF713" s="15"/>
      <c r="EG713" s="15"/>
      <c r="EH713" s="15"/>
      <c r="EI713" s="15"/>
      <c r="EJ713" s="15"/>
      <c r="EK713" s="15"/>
      <c r="EL713" s="15"/>
      <c r="EM713" s="15"/>
      <c r="EN713" s="15"/>
      <c r="EO713" s="15"/>
      <c r="EP713" s="15"/>
      <c r="EQ713" s="15"/>
      <c r="ER713" s="15"/>
      <c r="ES713" s="15"/>
      <c r="ET713" s="15"/>
      <c r="EU713" s="15"/>
      <c r="EV713" s="15"/>
      <c r="EW713" s="15"/>
      <c r="EX713" s="15"/>
    </row>
    <row r="714" customFormat="false" ht="15.75" hidden="false" customHeight="false" outlineLevel="0" collapsed="false">
      <c r="A714" s="76"/>
      <c r="B714" s="77"/>
      <c r="C714" s="77"/>
      <c r="D714" s="78"/>
      <c r="E714" s="72"/>
      <c r="F714" s="68"/>
      <c r="G714" s="15"/>
      <c r="H714" s="76" t="str">
        <f aca="false">IFERROR(__xludf.dummyfunction("""COMPUTED_VALUE"""),"")</f>
        <v/>
      </c>
      <c r="I714" s="50" t="str">
        <f aca="false">IFERROR(__xludf.dummyfunction("""COMPUTED_VALUE"""),"")</f>
        <v/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  <c r="DY714" s="15"/>
      <c r="DZ714" s="15"/>
      <c r="EA714" s="15"/>
      <c r="EB714" s="15"/>
      <c r="EC714" s="15"/>
      <c r="ED714" s="15"/>
      <c r="EE714" s="15"/>
      <c r="EF714" s="15"/>
      <c r="EG714" s="15"/>
      <c r="EH714" s="15"/>
      <c r="EI714" s="15"/>
      <c r="EJ714" s="15"/>
      <c r="EK714" s="15"/>
      <c r="EL714" s="15"/>
      <c r="EM714" s="15"/>
      <c r="EN714" s="15"/>
      <c r="EO714" s="15"/>
      <c r="EP714" s="15"/>
      <c r="EQ714" s="15"/>
      <c r="ER714" s="15"/>
      <c r="ES714" s="15"/>
      <c r="ET714" s="15"/>
      <c r="EU714" s="15"/>
      <c r="EV714" s="15"/>
      <c r="EW714" s="15"/>
      <c r="EX714" s="15"/>
    </row>
    <row r="715" customFormat="false" ht="15.75" hidden="false" customHeight="false" outlineLevel="0" collapsed="false">
      <c r="A715" s="76"/>
      <c r="B715" s="77"/>
      <c r="C715" s="77"/>
      <c r="D715" s="78"/>
      <c r="E715" s="72"/>
      <c r="F715" s="68"/>
      <c r="G715" s="15"/>
      <c r="H715" s="76" t="str">
        <f aca="false">IFERROR(__xludf.dummyfunction("""COMPUTED_VALUE"""),"")</f>
        <v/>
      </c>
      <c r="I715" s="50" t="str">
        <f aca="false">IFERROR(__xludf.dummyfunction("""COMPUTED_VALUE"""),"")</f>
        <v/>
      </c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  <c r="DY715" s="15"/>
      <c r="DZ715" s="15"/>
      <c r="EA715" s="15"/>
      <c r="EB715" s="15"/>
      <c r="EC715" s="15"/>
      <c r="ED715" s="15"/>
      <c r="EE715" s="15"/>
      <c r="EF715" s="15"/>
      <c r="EG715" s="15"/>
      <c r="EH715" s="15"/>
      <c r="EI715" s="15"/>
      <c r="EJ715" s="15"/>
      <c r="EK715" s="15"/>
      <c r="EL715" s="15"/>
      <c r="EM715" s="15"/>
      <c r="EN715" s="15"/>
      <c r="EO715" s="15"/>
      <c r="EP715" s="15"/>
      <c r="EQ715" s="15"/>
      <c r="ER715" s="15"/>
      <c r="ES715" s="15"/>
      <c r="ET715" s="15"/>
      <c r="EU715" s="15"/>
      <c r="EV715" s="15"/>
      <c r="EW715" s="15"/>
      <c r="EX715" s="15"/>
    </row>
    <row r="716" customFormat="false" ht="15.75" hidden="false" customHeight="false" outlineLevel="0" collapsed="false">
      <c r="A716" s="76"/>
      <c r="B716" s="77"/>
      <c r="C716" s="77"/>
      <c r="D716" s="78"/>
      <c r="E716" s="72"/>
      <c r="F716" s="68"/>
      <c r="G716" s="15"/>
      <c r="H716" s="76" t="str">
        <f aca="false">IFERROR(__xludf.dummyfunction("""COMPUTED_VALUE"""),"")</f>
        <v/>
      </c>
      <c r="I716" s="50" t="str">
        <f aca="false">IFERROR(__xludf.dummyfunction("""COMPUTED_VALUE"""),"")</f>
        <v/>
      </c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  <c r="DY716" s="15"/>
      <c r="DZ716" s="15"/>
      <c r="EA716" s="15"/>
      <c r="EB716" s="15"/>
      <c r="EC716" s="15"/>
      <c r="ED716" s="15"/>
      <c r="EE716" s="15"/>
      <c r="EF716" s="15"/>
      <c r="EG716" s="15"/>
      <c r="EH716" s="15"/>
      <c r="EI716" s="15"/>
      <c r="EJ716" s="15"/>
      <c r="EK716" s="15"/>
      <c r="EL716" s="15"/>
      <c r="EM716" s="15"/>
      <c r="EN716" s="15"/>
      <c r="EO716" s="15"/>
      <c r="EP716" s="15"/>
      <c r="EQ716" s="15"/>
      <c r="ER716" s="15"/>
      <c r="ES716" s="15"/>
      <c r="ET716" s="15"/>
      <c r="EU716" s="15"/>
      <c r="EV716" s="15"/>
      <c r="EW716" s="15"/>
      <c r="EX716" s="15"/>
    </row>
    <row r="717" customFormat="false" ht="15.75" hidden="false" customHeight="false" outlineLevel="0" collapsed="false">
      <c r="A717" s="76"/>
      <c r="B717" s="77"/>
      <c r="C717" s="77"/>
      <c r="D717" s="78"/>
      <c r="E717" s="72"/>
      <c r="F717" s="68"/>
      <c r="G717" s="15"/>
      <c r="H717" s="76" t="str">
        <f aca="false">IFERROR(__xludf.dummyfunction("""COMPUTED_VALUE"""),"")</f>
        <v/>
      </c>
      <c r="I717" s="50" t="str">
        <f aca="false">IFERROR(__xludf.dummyfunction("""COMPUTED_VALUE"""),"")</f>
        <v/>
      </c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  <c r="DY717" s="15"/>
      <c r="DZ717" s="15"/>
      <c r="EA717" s="15"/>
      <c r="EB717" s="15"/>
      <c r="EC717" s="15"/>
      <c r="ED717" s="15"/>
      <c r="EE717" s="15"/>
      <c r="EF717" s="15"/>
      <c r="EG717" s="15"/>
      <c r="EH717" s="15"/>
      <c r="EI717" s="15"/>
      <c r="EJ717" s="15"/>
      <c r="EK717" s="15"/>
      <c r="EL717" s="15"/>
      <c r="EM717" s="15"/>
      <c r="EN717" s="15"/>
      <c r="EO717" s="15"/>
      <c r="EP717" s="15"/>
      <c r="EQ717" s="15"/>
      <c r="ER717" s="15"/>
      <c r="ES717" s="15"/>
      <c r="ET717" s="15"/>
      <c r="EU717" s="15"/>
      <c r="EV717" s="15"/>
      <c r="EW717" s="15"/>
      <c r="EX717" s="15"/>
    </row>
    <row r="718" customFormat="false" ht="15.75" hidden="false" customHeight="false" outlineLevel="0" collapsed="false">
      <c r="A718" s="76"/>
      <c r="B718" s="77"/>
      <c r="C718" s="77"/>
      <c r="D718" s="78"/>
      <c r="E718" s="72"/>
      <c r="F718" s="68"/>
      <c r="G718" s="15"/>
      <c r="H718" s="76" t="str">
        <f aca="false">IFERROR(__xludf.dummyfunction("""COMPUTED_VALUE"""),"")</f>
        <v/>
      </c>
      <c r="I718" s="50" t="str">
        <f aca="false">IFERROR(__xludf.dummyfunction("""COMPUTED_VALUE"""),"")</f>
        <v/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  <c r="DY718" s="15"/>
      <c r="DZ718" s="15"/>
      <c r="EA718" s="15"/>
      <c r="EB718" s="15"/>
      <c r="EC718" s="15"/>
      <c r="ED718" s="15"/>
      <c r="EE718" s="15"/>
      <c r="EF718" s="15"/>
      <c r="EG718" s="15"/>
      <c r="EH718" s="15"/>
      <c r="EI718" s="15"/>
      <c r="EJ718" s="15"/>
      <c r="EK718" s="15"/>
      <c r="EL718" s="15"/>
      <c r="EM718" s="15"/>
      <c r="EN718" s="15"/>
      <c r="EO718" s="15"/>
      <c r="EP718" s="15"/>
      <c r="EQ718" s="15"/>
      <c r="ER718" s="15"/>
      <c r="ES718" s="15"/>
      <c r="ET718" s="15"/>
      <c r="EU718" s="15"/>
      <c r="EV718" s="15"/>
      <c r="EW718" s="15"/>
      <c r="EX718" s="15"/>
    </row>
    <row r="719" customFormat="false" ht="15.75" hidden="false" customHeight="false" outlineLevel="0" collapsed="false">
      <c r="A719" s="76"/>
      <c r="B719" s="77"/>
      <c r="C719" s="77"/>
      <c r="D719" s="78"/>
      <c r="E719" s="72"/>
      <c r="F719" s="68"/>
      <c r="G719" s="15"/>
      <c r="H719" s="76" t="str">
        <f aca="false">IFERROR(__xludf.dummyfunction("""COMPUTED_VALUE"""),"")</f>
        <v/>
      </c>
      <c r="I719" s="50" t="str">
        <f aca="false">IFERROR(__xludf.dummyfunction("""COMPUTED_VALUE"""),"")</f>
        <v/>
      </c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  <c r="DY719" s="15"/>
      <c r="DZ719" s="15"/>
      <c r="EA719" s="15"/>
      <c r="EB719" s="15"/>
      <c r="EC719" s="15"/>
      <c r="ED719" s="15"/>
      <c r="EE719" s="15"/>
      <c r="EF719" s="15"/>
      <c r="EG719" s="15"/>
      <c r="EH719" s="15"/>
      <c r="EI719" s="15"/>
      <c r="EJ719" s="15"/>
      <c r="EK719" s="15"/>
      <c r="EL719" s="15"/>
      <c r="EM719" s="15"/>
      <c r="EN719" s="15"/>
      <c r="EO719" s="15"/>
      <c r="EP719" s="15"/>
      <c r="EQ719" s="15"/>
      <c r="ER719" s="15"/>
      <c r="ES719" s="15"/>
      <c r="ET719" s="15"/>
      <c r="EU719" s="15"/>
      <c r="EV719" s="15"/>
      <c r="EW719" s="15"/>
      <c r="EX719" s="15"/>
    </row>
    <row r="720" customFormat="false" ht="15.75" hidden="false" customHeight="false" outlineLevel="0" collapsed="false">
      <c r="A720" s="76"/>
      <c r="B720" s="77"/>
      <c r="C720" s="77"/>
      <c r="D720" s="78"/>
      <c r="E720" s="72"/>
      <c r="F720" s="68"/>
      <c r="G720" s="15"/>
      <c r="H720" s="76" t="str">
        <f aca="false">IFERROR(__xludf.dummyfunction("""COMPUTED_VALUE"""),"")</f>
        <v/>
      </c>
      <c r="I720" s="50" t="str">
        <f aca="false">IFERROR(__xludf.dummyfunction("""COMPUTED_VALUE"""),"")</f>
        <v/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  <c r="DY720" s="15"/>
      <c r="DZ720" s="15"/>
      <c r="EA720" s="15"/>
      <c r="EB720" s="15"/>
      <c r="EC720" s="15"/>
      <c r="ED720" s="15"/>
      <c r="EE720" s="15"/>
      <c r="EF720" s="15"/>
      <c r="EG720" s="15"/>
      <c r="EH720" s="15"/>
      <c r="EI720" s="15"/>
      <c r="EJ720" s="15"/>
      <c r="EK720" s="15"/>
      <c r="EL720" s="15"/>
      <c r="EM720" s="15"/>
      <c r="EN720" s="15"/>
      <c r="EO720" s="15"/>
      <c r="EP720" s="15"/>
      <c r="EQ720" s="15"/>
      <c r="ER720" s="15"/>
      <c r="ES720" s="15"/>
      <c r="ET720" s="15"/>
      <c r="EU720" s="15"/>
      <c r="EV720" s="15"/>
      <c r="EW720" s="15"/>
      <c r="EX720" s="15"/>
    </row>
    <row r="721" customFormat="false" ht="15.75" hidden="false" customHeight="false" outlineLevel="0" collapsed="false">
      <c r="A721" s="76"/>
      <c r="B721" s="77"/>
      <c r="C721" s="77"/>
      <c r="D721" s="78"/>
      <c r="E721" s="72"/>
      <c r="F721" s="68"/>
      <c r="G721" s="15"/>
      <c r="H721" s="76" t="str">
        <f aca="false">IFERROR(__xludf.dummyfunction("""COMPUTED_VALUE"""),"")</f>
        <v/>
      </c>
      <c r="I721" s="50" t="str">
        <f aca="false">IFERROR(__xludf.dummyfunction("""COMPUTED_VALUE"""),"")</f>
        <v/>
      </c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  <c r="DY721" s="15"/>
      <c r="DZ721" s="15"/>
      <c r="EA721" s="15"/>
      <c r="EB721" s="15"/>
      <c r="EC721" s="15"/>
      <c r="ED721" s="15"/>
      <c r="EE721" s="15"/>
      <c r="EF721" s="15"/>
      <c r="EG721" s="15"/>
      <c r="EH721" s="15"/>
      <c r="EI721" s="15"/>
      <c r="EJ721" s="15"/>
      <c r="EK721" s="15"/>
      <c r="EL721" s="15"/>
      <c r="EM721" s="15"/>
      <c r="EN721" s="15"/>
      <c r="EO721" s="15"/>
      <c r="EP721" s="15"/>
      <c r="EQ721" s="15"/>
      <c r="ER721" s="15"/>
      <c r="ES721" s="15"/>
      <c r="ET721" s="15"/>
      <c r="EU721" s="15"/>
      <c r="EV721" s="15"/>
      <c r="EW721" s="15"/>
      <c r="EX721" s="15"/>
    </row>
    <row r="722" customFormat="false" ht="15.75" hidden="false" customHeight="false" outlineLevel="0" collapsed="false">
      <c r="A722" s="76"/>
      <c r="B722" s="77"/>
      <c r="C722" s="77"/>
      <c r="D722" s="78"/>
      <c r="E722" s="72"/>
      <c r="F722" s="68"/>
      <c r="G722" s="15"/>
      <c r="H722" s="76" t="str">
        <f aca="false">IFERROR(__xludf.dummyfunction("""COMPUTED_VALUE"""),"")</f>
        <v/>
      </c>
      <c r="I722" s="50" t="str">
        <f aca="false">IFERROR(__xludf.dummyfunction("""COMPUTED_VALUE"""),"")</f>
        <v/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  <c r="DY722" s="15"/>
      <c r="DZ722" s="15"/>
      <c r="EA722" s="15"/>
      <c r="EB722" s="15"/>
      <c r="EC722" s="15"/>
      <c r="ED722" s="15"/>
      <c r="EE722" s="15"/>
      <c r="EF722" s="15"/>
      <c r="EG722" s="15"/>
      <c r="EH722" s="15"/>
      <c r="EI722" s="15"/>
      <c r="EJ722" s="15"/>
      <c r="EK722" s="15"/>
      <c r="EL722" s="15"/>
      <c r="EM722" s="15"/>
      <c r="EN722" s="15"/>
      <c r="EO722" s="15"/>
      <c r="EP722" s="15"/>
      <c r="EQ722" s="15"/>
      <c r="ER722" s="15"/>
      <c r="ES722" s="15"/>
      <c r="ET722" s="15"/>
      <c r="EU722" s="15"/>
      <c r="EV722" s="15"/>
      <c r="EW722" s="15"/>
      <c r="EX722" s="15"/>
    </row>
    <row r="723" customFormat="false" ht="15.75" hidden="false" customHeight="false" outlineLevel="0" collapsed="false">
      <c r="A723" s="76"/>
      <c r="B723" s="77"/>
      <c r="C723" s="77"/>
      <c r="D723" s="78"/>
      <c r="E723" s="72"/>
      <c r="F723" s="68"/>
      <c r="G723" s="15"/>
      <c r="H723" s="76" t="str">
        <f aca="false">IFERROR(__xludf.dummyfunction("""COMPUTED_VALUE"""),"")</f>
        <v/>
      </c>
      <c r="I723" s="50" t="str">
        <f aca="false">IFERROR(__xludf.dummyfunction("""COMPUTED_VALUE"""),"")</f>
        <v/>
      </c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  <c r="DY723" s="15"/>
      <c r="DZ723" s="15"/>
      <c r="EA723" s="15"/>
      <c r="EB723" s="15"/>
      <c r="EC723" s="15"/>
      <c r="ED723" s="15"/>
      <c r="EE723" s="15"/>
      <c r="EF723" s="15"/>
      <c r="EG723" s="15"/>
      <c r="EH723" s="15"/>
      <c r="EI723" s="15"/>
      <c r="EJ723" s="15"/>
      <c r="EK723" s="15"/>
      <c r="EL723" s="15"/>
      <c r="EM723" s="15"/>
      <c r="EN723" s="15"/>
      <c r="EO723" s="15"/>
      <c r="EP723" s="15"/>
      <c r="EQ723" s="15"/>
      <c r="ER723" s="15"/>
      <c r="ES723" s="15"/>
      <c r="ET723" s="15"/>
      <c r="EU723" s="15"/>
      <c r="EV723" s="15"/>
      <c r="EW723" s="15"/>
      <c r="EX723" s="15"/>
    </row>
    <row r="724" customFormat="false" ht="15.75" hidden="false" customHeight="false" outlineLevel="0" collapsed="false">
      <c r="A724" s="76"/>
      <c r="B724" s="77"/>
      <c r="C724" s="77"/>
      <c r="D724" s="78"/>
      <c r="E724" s="72"/>
      <c r="F724" s="68"/>
      <c r="G724" s="15"/>
      <c r="H724" s="76" t="str">
        <f aca="false">IFERROR(__xludf.dummyfunction("""COMPUTED_VALUE"""),"")</f>
        <v/>
      </c>
      <c r="I724" s="50" t="str">
        <f aca="false">IFERROR(__xludf.dummyfunction("""COMPUTED_VALUE"""),"")</f>
        <v/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  <c r="DY724" s="15"/>
      <c r="DZ724" s="15"/>
      <c r="EA724" s="15"/>
      <c r="EB724" s="15"/>
      <c r="EC724" s="15"/>
      <c r="ED724" s="15"/>
      <c r="EE724" s="15"/>
      <c r="EF724" s="15"/>
      <c r="EG724" s="15"/>
      <c r="EH724" s="15"/>
      <c r="EI724" s="15"/>
      <c r="EJ724" s="15"/>
      <c r="EK724" s="15"/>
      <c r="EL724" s="15"/>
      <c r="EM724" s="15"/>
      <c r="EN724" s="15"/>
      <c r="EO724" s="15"/>
      <c r="EP724" s="15"/>
      <c r="EQ724" s="15"/>
      <c r="ER724" s="15"/>
      <c r="ES724" s="15"/>
      <c r="ET724" s="15"/>
      <c r="EU724" s="15"/>
      <c r="EV724" s="15"/>
      <c r="EW724" s="15"/>
      <c r="EX724" s="15"/>
    </row>
    <row r="725" customFormat="false" ht="15.75" hidden="false" customHeight="false" outlineLevel="0" collapsed="false">
      <c r="A725" s="76"/>
      <c r="B725" s="77"/>
      <c r="C725" s="77"/>
      <c r="D725" s="78"/>
      <c r="E725" s="72"/>
      <c r="F725" s="68"/>
      <c r="G725" s="15"/>
      <c r="H725" s="76" t="str">
        <f aca="false">IFERROR(__xludf.dummyfunction("""COMPUTED_VALUE"""),"")</f>
        <v/>
      </c>
      <c r="I725" s="50" t="str">
        <f aca="false">IFERROR(__xludf.dummyfunction("""COMPUTED_VALUE"""),"")</f>
        <v/>
      </c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  <c r="DY725" s="15"/>
      <c r="DZ725" s="15"/>
      <c r="EA725" s="15"/>
      <c r="EB725" s="15"/>
      <c r="EC725" s="15"/>
      <c r="ED725" s="15"/>
      <c r="EE725" s="15"/>
      <c r="EF725" s="15"/>
      <c r="EG725" s="15"/>
      <c r="EH725" s="15"/>
      <c r="EI725" s="15"/>
      <c r="EJ725" s="15"/>
      <c r="EK725" s="15"/>
      <c r="EL725" s="15"/>
      <c r="EM725" s="15"/>
      <c r="EN725" s="15"/>
      <c r="EO725" s="15"/>
      <c r="EP725" s="15"/>
      <c r="EQ725" s="15"/>
      <c r="ER725" s="15"/>
      <c r="ES725" s="15"/>
      <c r="ET725" s="15"/>
      <c r="EU725" s="15"/>
      <c r="EV725" s="15"/>
      <c r="EW725" s="15"/>
      <c r="EX725" s="15"/>
    </row>
    <row r="726" customFormat="false" ht="15.75" hidden="false" customHeight="false" outlineLevel="0" collapsed="false">
      <c r="A726" s="76"/>
      <c r="B726" s="77"/>
      <c r="C726" s="77"/>
      <c r="D726" s="78"/>
      <c r="E726" s="72"/>
      <c r="F726" s="68"/>
      <c r="G726" s="15"/>
      <c r="H726" s="76" t="str">
        <f aca="false">IFERROR(__xludf.dummyfunction("""COMPUTED_VALUE"""),"")</f>
        <v/>
      </c>
      <c r="I726" s="50" t="str">
        <f aca="false">IFERROR(__xludf.dummyfunction("""COMPUTED_VALUE"""),"")</f>
        <v/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  <c r="DY726" s="15"/>
      <c r="DZ726" s="15"/>
      <c r="EA726" s="15"/>
      <c r="EB726" s="15"/>
      <c r="EC726" s="15"/>
      <c r="ED726" s="15"/>
      <c r="EE726" s="15"/>
      <c r="EF726" s="15"/>
      <c r="EG726" s="15"/>
      <c r="EH726" s="15"/>
      <c r="EI726" s="15"/>
      <c r="EJ726" s="15"/>
      <c r="EK726" s="15"/>
      <c r="EL726" s="15"/>
      <c r="EM726" s="15"/>
      <c r="EN726" s="15"/>
      <c r="EO726" s="15"/>
      <c r="EP726" s="15"/>
      <c r="EQ726" s="15"/>
      <c r="ER726" s="15"/>
      <c r="ES726" s="15"/>
      <c r="ET726" s="15"/>
      <c r="EU726" s="15"/>
      <c r="EV726" s="15"/>
      <c r="EW726" s="15"/>
      <c r="EX726" s="15"/>
    </row>
    <row r="727" customFormat="false" ht="15.75" hidden="false" customHeight="false" outlineLevel="0" collapsed="false">
      <c r="A727" s="76"/>
      <c r="B727" s="77"/>
      <c r="C727" s="77"/>
      <c r="D727" s="78"/>
      <c r="E727" s="72"/>
      <c r="F727" s="68"/>
      <c r="G727" s="15"/>
      <c r="H727" s="76" t="str">
        <f aca="false">IFERROR(__xludf.dummyfunction("""COMPUTED_VALUE"""),"")</f>
        <v/>
      </c>
      <c r="I727" s="50" t="str">
        <f aca="false">IFERROR(__xludf.dummyfunction("""COMPUTED_VALUE"""),"")</f>
        <v/>
      </c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  <c r="DY727" s="15"/>
      <c r="DZ727" s="15"/>
      <c r="EA727" s="15"/>
      <c r="EB727" s="15"/>
      <c r="EC727" s="15"/>
      <c r="ED727" s="15"/>
      <c r="EE727" s="15"/>
      <c r="EF727" s="15"/>
      <c r="EG727" s="15"/>
      <c r="EH727" s="15"/>
      <c r="EI727" s="15"/>
      <c r="EJ727" s="15"/>
      <c r="EK727" s="15"/>
      <c r="EL727" s="15"/>
      <c r="EM727" s="15"/>
      <c r="EN727" s="15"/>
      <c r="EO727" s="15"/>
      <c r="EP727" s="15"/>
      <c r="EQ727" s="15"/>
      <c r="ER727" s="15"/>
      <c r="ES727" s="15"/>
      <c r="ET727" s="15"/>
      <c r="EU727" s="15"/>
      <c r="EV727" s="15"/>
      <c r="EW727" s="15"/>
      <c r="EX727" s="15"/>
    </row>
    <row r="728" customFormat="false" ht="15.75" hidden="false" customHeight="false" outlineLevel="0" collapsed="false">
      <c r="A728" s="76"/>
      <c r="B728" s="77"/>
      <c r="C728" s="77"/>
      <c r="D728" s="78"/>
      <c r="E728" s="72"/>
      <c r="F728" s="68"/>
      <c r="G728" s="15"/>
      <c r="H728" s="76" t="str">
        <f aca="false">IFERROR(__xludf.dummyfunction("""COMPUTED_VALUE"""),"")</f>
        <v/>
      </c>
      <c r="I728" s="50" t="str">
        <f aca="false">IFERROR(__xludf.dummyfunction("""COMPUTED_VALUE"""),"")</f>
        <v/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  <c r="DY728" s="15"/>
      <c r="DZ728" s="15"/>
      <c r="EA728" s="15"/>
      <c r="EB728" s="15"/>
      <c r="EC728" s="15"/>
      <c r="ED728" s="15"/>
      <c r="EE728" s="15"/>
      <c r="EF728" s="15"/>
      <c r="EG728" s="15"/>
      <c r="EH728" s="15"/>
      <c r="EI728" s="15"/>
      <c r="EJ728" s="15"/>
      <c r="EK728" s="15"/>
      <c r="EL728" s="15"/>
      <c r="EM728" s="15"/>
      <c r="EN728" s="15"/>
      <c r="EO728" s="15"/>
      <c r="EP728" s="15"/>
      <c r="EQ728" s="15"/>
      <c r="ER728" s="15"/>
      <c r="ES728" s="15"/>
      <c r="ET728" s="15"/>
      <c r="EU728" s="15"/>
      <c r="EV728" s="15"/>
      <c r="EW728" s="15"/>
      <c r="EX728" s="15"/>
    </row>
    <row r="729" customFormat="false" ht="15.75" hidden="false" customHeight="false" outlineLevel="0" collapsed="false">
      <c r="A729" s="76"/>
      <c r="B729" s="77"/>
      <c r="C729" s="77"/>
      <c r="D729" s="78"/>
      <c r="E729" s="72"/>
      <c r="F729" s="68"/>
      <c r="G729" s="15"/>
      <c r="H729" s="76" t="str">
        <f aca="false">IFERROR(__xludf.dummyfunction("""COMPUTED_VALUE"""),"")</f>
        <v/>
      </c>
      <c r="I729" s="50" t="str">
        <f aca="false">IFERROR(__xludf.dummyfunction("""COMPUTED_VALUE"""),"")</f>
        <v/>
      </c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  <c r="DY729" s="15"/>
      <c r="DZ729" s="15"/>
      <c r="EA729" s="15"/>
      <c r="EB729" s="15"/>
      <c r="EC729" s="15"/>
      <c r="ED729" s="15"/>
      <c r="EE729" s="15"/>
      <c r="EF729" s="15"/>
      <c r="EG729" s="15"/>
      <c r="EH729" s="15"/>
      <c r="EI729" s="15"/>
      <c r="EJ729" s="15"/>
      <c r="EK729" s="15"/>
      <c r="EL729" s="15"/>
      <c r="EM729" s="15"/>
      <c r="EN729" s="15"/>
      <c r="EO729" s="15"/>
      <c r="EP729" s="15"/>
      <c r="EQ729" s="15"/>
      <c r="ER729" s="15"/>
      <c r="ES729" s="15"/>
      <c r="ET729" s="15"/>
      <c r="EU729" s="15"/>
      <c r="EV729" s="15"/>
      <c r="EW729" s="15"/>
      <c r="EX729" s="15"/>
    </row>
    <row r="730" customFormat="false" ht="15.75" hidden="false" customHeight="false" outlineLevel="0" collapsed="false">
      <c r="A730" s="76"/>
      <c r="B730" s="77"/>
      <c r="C730" s="77"/>
      <c r="D730" s="78"/>
      <c r="E730" s="72"/>
      <c r="F730" s="68"/>
      <c r="G730" s="15"/>
      <c r="H730" s="76" t="str">
        <f aca="false">IFERROR(__xludf.dummyfunction("""COMPUTED_VALUE"""),"")</f>
        <v/>
      </c>
      <c r="I730" s="50" t="str">
        <f aca="false">IFERROR(__xludf.dummyfunction("""COMPUTED_VALUE"""),"")</f>
        <v/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  <c r="DY730" s="15"/>
      <c r="DZ730" s="15"/>
      <c r="EA730" s="15"/>
      <c r="EB730" s="15"/>
      <c r="EC730" s="15"/>
      <c r="ED730" s="15"/>
      <c r="EE730" s="15"/>
      <c r="EF730" s="15"/>
      <c r="EG730" s="15"/>
      <c r="EH730" s="15"/>
      <c r="EI730" s="15"/>
      <c r="EJ730" s="15"/>
      <c r="EK730" s="15"/>
      <c r="EL730" s="15"/>
      <c r="EM730" s="15"/>
      <c r="EN730" s="15"/>
      <c r="EO730" s="15"/>
      <c r="EP730" s="15"/>
      <c r="EQ730" s="15"/>
      <c r="ER730" s="15"/>
      <c r="ES730" s="15"/>
      <c r="ET730" s="15"/>
      <c r="EU730" s="15"/>
      <c r="EV730" s="15"/>
      <c r="EW730" s="15"/>
      <c r="EX730" s="15"/>
    </row>
    <row r="731" customFormat="false" ht="15.75" hidden="false" customHeight="false" outlineLevel="0" collapsed="false">
      <c r="A731" s="76"/>
      <c r="B731" s="77"/>
      <c r="C731" s="77"/>
      <c r="D731" s="78"/>
      <c r="E731" s="72"/>
      <c r="F731" s="68"/>
      <c r="G731" s="15"/>
      <c r="H731" s="76" t="str">
        <f aca="false">IFERROR(__xludf.dummyfunction("""COMPUTED_VALUE"""),"")</f>
        <v/>
      </c>
      <c r="I731" s="50" t="str">
        <f aca="false">IFERROR(__xludf.dummyfunction("""COMPUTED_VALUE"""),"")</f>
        <v/>
      </c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  <c r="DY731" s="15"/>
      <c r="DZ731" s="15"/>
      <c r="EA731" s="15"/>
      <c r="EB731" s="15"/>
      <c r="EC731" s="15"/>
      <c r="ED731" s="15"/>
      <c r="EE731" s="15"/>
      <c r="EF731" s="15"/>
      <c r="EG731" s="15"/>
      <c r="EH731" s="15"/>
      <c r="EI731" s="15"/>
      <c r="EJ731" s="15"/>
      <c r="EK731" s="15"/>
      <c r="EL731" s="15"/>
      <c r="EM731" s="15"/>
      <c r="EN731" s="15"/>
      <c r="EO731" s="15"/>
      <c r="EP731" s="15"/>
      <c r="EQ731" s="15"/>
      <c r="ER731" s="15"/>
      <c r="ES731" s="15"/>
      <c r="ET731" s="15"/>
      <c r="EU731" s="15"/>
      <c r="EV731" s="15"/>
      <c r="EW731" s="15"/>
      <c r="EX731" s="15"/>
    </row>
    <row r="732" customFormat="false" ht="15.75" hidden="false" customHeight="false" outlineLevel="0" collapsed="false">
      <c r="A732" s="76"/>
      <c r="B732" s="77"/>
      <c r="C732" s="77"/>
      <c r="D732" s="78"/>
      <c r="E732" s="72"/>
      <c r="F732" s="68"/>
      <c r="G732" s="15"/>
      <c r="H732" s="76" t="str">
        <f aca="false">IFERROR(__xludf.dummyfunction("""COMPUTED_VALUE"""),"")</f>
        <v/>
      </c>
      <c r="I732" s="50" t="str">
        <f aca="false">IFERROR(__xludf.dummyfunction("""COMPUTED_VALUE"""),"")</f>
        <v/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  <c r="DY732" s="15"/>
      <c r="DZ732" s="15"/>
      <c r="EA732" s="15"/>
      <c r="EB732" s="15"/>
      <c r="EC732" s="15"/>
      <c r="ED732" s="15"/>
      <c r="EE732" s="15"/>
      <c r="EF732" s="15"/>
      <c r="EG732" s="15"/>
      <c r="EH732" s="15"/>
      <c r="EI732" s="15"/>
      <c r="EJ732" s="15"/>
      <c r="EK732" s="15"/>
      <c r="EL732" s="15"/>
      <c r="EM732" s="15"/>
      <c r="EN732" s="15"/>
      <c r="EO732" s="15"/>
      <c r="EP732" s="15"/>
      <c r="EQ732" s="15"/>
      <c r="ER732" s="15"/>
      <c r="ES732" s="15"/>
      <c r="ET732" s="15"/>
      <c r="EU732" s="15"/>
      <c r="EV732" s="15"/>
      <c r="EW732" s="15"/>
      <c r="EX732" s="15"/>
    </row>
    <row r="733" customFormat="false" ht="15.75" hidden="false" customHeight="false" outlineLevel="0" collapsed="false">
      <c r="A733" s="76"/>
      <c r="B733" s="77"/>
      <c r="C733" s="77"/>
      <c r="D733" s="78"/>
      <c r="E733" s="72"/>
      <c r="F733" s="68"/>
      <c r="G733" s="15"/>
      <c r="H733" s="76" t="str">
        <f aca="false">IFERROR(__xludf.dummyfunction("""COMPUTED_VALUE"""),"")</f>
        <v/>
      </c>
      <c r="I733" s="50" t="str">
        <f aca="false">IFERROR(__xludf.dummyfunction("""COMPUTED_VALUE"""),"")</f>
        <v/>
      </c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  <c r="DY733" s="15"/>
      <c r="DZ733" s="15"/>
      <c r="EA733" s="15"/>
      <c r="EB733" s="15"/>
      <c r="EC733" s="15"/>
      <c r="ED733" s="15"/>
      <c r="EE733" s="15"/>
      <c r="EF733" s="15"/>
      <c r="EG733" s="15"/>
      <c r="EH733" s="15"/>
      <c r="EI733" s="15"/>
      <c r="EJ733" s="15"/>
      <c r="EK733" s="15"/>
      <c r="EL733" s="15"/>
      <c r="EM733" s="15"/>
      <c r="EN733" s="15"/>
      <c r="EO733" s="15"/>
      <c r="EP733" s="15"/>
      <c r="EQ733" s="15"/>
      <c r="ER733" s="15"/>
      <c r="ES733" s="15"/>
      <c r="ET733" s="15"/>
      <c r="EU733" s="15"/>
      <c r="EV733" s="15"/>
      <c r="EW733" s="15"/>
      <c r="EX733" s="15"/>
    </row>
    <row r="734" customFormat="false" ht="15.75" hidden="false" customHeight="false" outlineLevel="0" collapsed="false">
      <c r="A734" s="76"/>
      <c r="B734" s="77"/>
      <c r="C734" s="77"/>
      <c r="D734" s="78"/>
      <c r="E734" s="72"/>
      <c r="F734" s="68"/>
      <c r="G734" s="15"/>
      <c r="H734" s="76" t="str">
        <f aca="false">IFERROR(__xludf.dummyfunction("""COMPUTED_VALUE"""),"")</f>
        <v/>
      </c>
      <c r="I734" s="50" t="str">
        <f aca="false">IFERROR(__xludf.dummyfunction("""COMPUTED_VALUE"""),"")</f>
        <v/>
      </c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  <c r="DY734" s="15"/>
      <c r="DZ734" s="15"/>
      <c r="EA734" s="15"/>
      <c r="EB734" s="15"/>
      <c r="EC734" s="15"/>
      <c r="ED734" s="15"/>
      <c r="EE734" s="15"/>
      <c r="EF734" s="15"/>
      <c r="EG734" s="15"/>
      <c r="EH734" s="15"/>
      <c r="EI734" s="15"/>
      <c r="EJ734" s="15"/>
      <c r="EK734" s="15"/>
      <c r="EL734" s="15"/>
      <c r="EM734" s="15"/>
      <c r="EN734" s="15"/>
      <c r="EO734" s="15"/>
      <c r="EP734" s="15"/>
      <c r="EQ734" s="15"/>
      <c r="ER734" s="15"/>
      <c r="ES734" s="15"/>
      <c r="ET734" s="15"/>
      <c r="EU734" s="15"/>
      <c r="EV734" s="15"/>
      <c r="EW734" s="15"/>
      <c r="EX734" s="15"/>
    </row>
    <row r="735" customFormat="false" ht="15.75" hidden="false" customHeight="false" outlineLevel="0" collapsed="false">
      <c r="A735" s="76"/>
      <c r="B735" s="77"/>
      <c r="C735" s="77"/>
      <c r="D735" s="78"/>
      <c r="E735" s="72"/>
      <c r="F735" s="68"/>
      <c r="G735" s="15"/>
      <c r="H735" s="76" t="str">
        <f aca="false">IFERROR(__xludf.dummyfunction("""COMPUTED_VALUE"""),"")</f>
        <v/>
      </c>
      <c r="I735" s="50" t="str">
        <f aca="false">IFERROR(__xludf.dummyfunction("""COMPUTED_VALUE"""),"")</f>
        <v/>
      </c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  <c r="DY735" s="15"/>
      <c r="DZ735" s="15"/>
      <c r="EA735" s="15"/>
      <c r="EB735" s="15"/>
      <c r="EC735" s="15"/>
      <c r="ED735" s="15"/>
      <c r="EE735" s="15"/>
      <c r="EF735" s="15"/>
      <c r="EG735" s="15"/>
      <c r="EH735" s="15"/>
      <c r="EI735" s="15"/>
      <c r="EJ735" s="15"/>
      <c r="EK735" s="15"/>
      <c r="EL735" s="15"/>
      <c r="EM735" s="15"/>
      <c r="EN735" s="15"/>
      <c r="EO735" s="15"/>
      <c r="EP735" s="15"/>
      <c r="EQ735" s="15"/>
      <c r="ER735" s="15"/>
      <c r="ES735" s="15"/>
      <c r="ET735" s="15"/>
      <c r="EU735" s="15"/>
      <c r="EV735" s="15"/>
      <c r="EW735" s="15"/>
      <c r="EX735" s="15"/>
    </row>
    <row r="736" customFormat="false" ht="15.75" hidden="false" customHeight="false" outlineLevel="0" collapsed="false">
      <c r="A736" s="76"/>
      <c r="B736" s="77"/>
      <c r="C736" s="77"/>
      <c r="D736" s="78"/>
      <c r="E736" s="72"/>
      <c r="F736" s="68"/>
      <c r="G736" s="15"/>
      <c r="H736" s="76" t="str">
        <f aca="false">IFERROR(__xludf.dummyfunction("""COMPUTED_VALUE"""),"")</f>
        <v/>
      </c>
      <c r="I736" s="50" t="str">
        <f aca="false">IFERROR(__xludf.dummyfunction("""COMPUTED_VALUE"""),"")</f>
        <v/>
      </c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  <c r="DY736" s="15"/>
      <c r="DZ736" s="15"/>
      <c r="EA736" s="15"/>
      <c r="EB736" s="15"/>
      <c r="EC736" s="15"/>
      <c r="ED736" s="15"/>
      <c r="EE736" s="15"/>
      <c r="EF736" s="15"/>
      <c r="EG736" s="15"/>
      <c r="EH736" s="15"/>
      <c r="EI736" s="15"/>
      <c r="EJ736" s="15"/>
      <c r="EK736" s="15"/>
      <c r="EL736" s="15"/>
      <c r="EM736" s="15"/>
      <c r="EN736" s="15"/>
      <c r="EO736" s="15"/>
      <c r="EP736" s="15"/>
      <c r="EQ736" s="15"/>
      <c r="ER736" s="15"/>
      <c r="ES736" s="15"/>
      <c r="ET736" s="15"/>
      <c r="EU736" s="15"/>
      <c r="EV736" s="15"/>
      <c r="EW736" s="15"/>
      <c r="EX736" s="15"/>
    </row>
    <row r="737" customFormat="false" ht="15.75" hidden="false" customHeight="false" outlineLevel="0" collapsed="false">
      <c r="A737" s="76"/>
      <c r="B737" s="77"/>
      <c r="C737" s="77"/>
      <c r="D737" s="78"/>
      <c r="E737" s="72"/>
      <c r="F737" s="68"/>
      <c r="G737" s="15"/>
      <c r="H737" s="76" t="str">
        <f aca="false">IFERROR(__xludf.dummyfunction("""COMPUTED_VALUE"""),"")</f>
        <v/>
      </c>
      <c r="I737" s="50" t="str">
        <f aca="false">IFERROR(__xludf.dummyfunction("""COMPUTED_VALUE"""),"")</f>
        <v/>
      </c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  <c r="DY737" s="15"/>
      <c r="DZ737" s="15"/>
      <c r="EA737" s="15"/>
      <c r="EB737" s="15"/>
      <c r="EC737" s="15"/>
      <c r="ED737" s="15"/>
      <c r="EE737" s="15"/>
      <c r="EF737" s="15"/>
      <c r="EG737" s="15"/>
      <c r="EH737" s="15"/>
      <c r="EI737" s="15"/>
      <c r="EJ737" s="15"/>
      <c r="EK737" s="15"/>
      <c r="EL737" s="15"/>
      <c r="EM737" s="15"/>
      <c r="EN737" s="15"/>
      <c r="EO737" s="15"/>
      <c r="EP737" s="15"/>
      <c r="EQ737" s="15"/>
      <c r="ER737" s="15"/>
      <c r="ES737" s="15"/>
      <c r="ET737" s="15"/>
      <c r="EU737" s="15"/>
      <c r="EV737" s="15"/>
      <c r="EW737" s="15"/>
      <c r="EX737" s="15"/>
    </row>
    <row r="738" customFormat="false" ht="15.75" hidden="false" customHeight="false" outlineLevel="0" collapsed="false">
      <c r="A738" s="76"/>
      <c r="B738" s="77"/>
      <c r="C738" s="77"/>
      <c r="D738" s="78"/>
      <c r="E738" s="72"/>
      <c r="F738" s="68"/>
      <c r="G738" s="15"/>
      <c r="H738" s="76" t="str">
        <f aca="false">IFERROR(__xludf.dummyfunction("""COMPUTED_VALUE"""),"")</f>
        <v/>
      </c>
      <c r="I738" s="50" t="str">
        <f aca="false">IFERROR(__xludf.dummyfunction("""COMPUTED_VALUE"""),"")</f>
        <v/>
      </c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  <c r="DY738" s="15"/>
      <c r="DZ738" s="15"/>
      <c r="EA738" s="15"/>
      <c r="EB738" s="15"/>
      <c r="EC738" s="15"/>
      <c r="ED738" s="15"/>
      <c r="EE738" s="15"/>
      <c r="EF738" s="15"/>
      <c r="EG738" s="15"/>
      <c r="EH738" s="15"/>
      <c r="EI738" s="15"/>
      <c r="EJ738" s="15"/>
      <c r="EK738" s="15"/>
      <c r="EL738" s="15"/>
      <c r="EM738" s="15"/>
      <c r="EN738" s="15"/>
      <c r="EO738" s="15"/>
      <c r="EP738" s="15"/>
      <c r="EQ738" s="15"/>
      <c r="ER738" s="15"/>
      <c r="ES738" s="15"/>
      <c r="ET738" s="15"/>
      <c r="EU738" s="15"/>
      <c r="EV738" s="15"/>
      <c r="EW738" s="15"/>
      <c r="EX738" s="15"/>
    </row>
    <row r="739" customFormat="false" ht="15.75" hidden="false" customHeight="false" outlineLevel="0" collapsed="false">
      <c r="A739" s="76"/>
      <c r="B739" s="77"/>
      <c r="C739" s="77"/>
      <c r="D739" s="78"/>
      <c r="E739" s="72"/>
      <c r="F739" s="68"/>
      <c r="G739" s="15"/>
      <c r="H739" s="76" t="str">
        <f aca="false">IFERROR(__xludf.dummyfunction("""COMPUTED_VALUE"""),"")</f>
        <v/>
      </c>
      <c r="I739" s="50" t="str">
        <f aca="false">IFERROR(__xludf.dummyfunction("""COMPUTED_VALUE"""),"")</f>
        <v/>
      </c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  <c r="DY739" s="15"/>
      <c r="DZ739" s="15"/>
      <c r="EA739" s="15"/>
      <c r="EB739" s="15"/>
      <c r="EC739" s="15"/>
      <c r="ED739" s="15"/>
      <c r="EE739" s="15"/>
      <c r="EF739" s="15"/>
      <c r="EG739" s="15"/>
      <c r="EH739" s="15"/>
      <c r="EI739" s="15"/>
      <c r="EJ739" s="15"/>
      <c r="EK739" s="15"/>
      <c r="EL739" s="15"/>
      <c r="EM739" s="15"/>
      <c r="EN739" s="15"/>
      <c r="EO739" s="15"/>
      <c r="EP739" s="15"/>
      <c r="EQ739" s="15"/>
      <c r="ER739" s="15"/>
      <c r="ES739" s="15"/>
      <c r="ET739" s="15"/>
      <c r="EU739" s="15"/>
      <c r="EV739" s="15"/>
      <c r="EW739" s="15"/>
      <c r="EX739" s="15"/>
    </row>
    <row r="740" customFormat="false" ht="15.75" hidden="false" customHeight="false" outlineLevel="0" collapsed="false">
      <c r="A740" s="76"/>
      <c r="B740" s="77"/>
      <c r="C740" s="77"/>
      <c r="D740" s="78"/>
      <c r="E740" s="72"/>
      <c r="F740" s="68"/>
      <c r="G740" s="15"/>
      <c r="H740" s="76" t="str">
        <f aca="false">IFERROR(__xludf.dummyfunction("""COMPUTED_VALUE"""),"")</f>
        <v/>
      </c>
      <c r="I740" s="50" t="str">
        <f aca="false">IFERROR(__xludf.dummyfunction("""COMPUTED_VALUE"""),"")</f>
        <v/>
      </c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  <c r="DY740" s="15"/>
      <c r="DZ740" s="15"/>
      <c r="EA740" s="15"/>
      <c r="EB740" s="15"/>
      <c r="EC740" s="15"/>
      <c r="ED740" s="15"/>
      <c r="EE740" s="15"/>
      <c r="EF740" s="15"/>
      <c r="EG740" s="15"/>
      <c r="EH740" s="15"/>
      <c r="EI740" s="15"/>
      <c r="EJ740" s="15"/>
      <c r="EK740" s="15"/>
      <c r="EL740" s="15"/>
      <c r="EM740" s="15"/>
      <c r="EN740" s="15"/>
      <c r="EO740" s="15"/>
      <c r="EP740" s="15"/>
      <c r="EQ740" s="15"/>
      <c r="ER740" s="15"/>
      <c r="ES740" s="15"/>
      <c r="ET740" s="15"/>
      <c r="EU740" s="15"/>
      <c r="EV740" s="15"/>
      <c r="EW740" s="15"/>
      <c r="EX740" s="15"/>
    </row>
    <row r="741" customFormat="false" ht="15.75" hidden="false" customHeight="false" outlineLevel="0" collapsed="false">
      <c r="A741" s="76"/>
      <c r="B741" s="77"/>
      <c r="C741" s="77"/>
      <c r="D741" s="78"/>
      <c r="E741" s="72"/>
      <c r="F741" s="68"/>
      <c r="G741" s="15"/>
      <c r="H741" s="76" t="str">
        <f aca="false">IFERROR(__xludf.dummyfunction("""COMPUTED_VALUE"""),"")</f>
        <v/>
      </c>
      <c r="I741" s="50" t="str">
        <f aca="false">IFERROR(__xludf.dummyfunction("""COMPUTED_VALUE"""),"")</f>
        <v/>
      </c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  <c r="DY741" s="15"/>
      <c r="DZ741" s="15"/>
      <c r="EA741" s="15"/>
      <c r="EB741" s="15"/>
      <c r="EC741" s="15"/>
      <c r="ED741" s="15"/>
      <c r="EE741" s="15"/>
      <c r="EF741" s="15"/>
      <c r="EG741" s="15"/>
      <c r="EH741" s="15"/>
      <c r="EI741" s="15"/>
      <c r="EJ741" s="15"/>
      <c r="EK741" s="15"/>
      <c r="EL741" s="15"/>
      <c r="EM741" s="15"/>
      <c r="EN741" s="15"/>
      <c r="EO741" s="15"/>
      <c r="EP741" s="15"/>
      <c r="EQ741" s="15"/>
      <c r="ER741" s="15"/>
      <c r="ES741" s="15"/>
      <c r="ET741" s="15"/>
      <c r="EU741" s="15"/>
      <c r="EV741" s="15"/>
      <c r="EW741" s="15"/>
      <c r="EX741" s="15"/>
    </row>
    <row r="742" customFormat="false" ht="15.75" hidden="false" customHeight="false" outlineLevel="0" collapsed="false">
      <c r="A742" s="76"/>
      <c r="B742" s="77"/>
      <c r="C742" s="77"/>
      <c r="D742" s="78"/>
      <c r="E742" s="72"/>
      <c r="F742" s="68"/>
      <c r="G742" s="15"/>
      <c r="H742" s="76" t="str">
        <f aca="false">IFERROR(__xludf.dummyfunction("""COMPUTED_VALUE"""),"")</f>
        <v/>
      </c>
      <c r="I742" s="50" t="str">
        <f aca="false">IFERROR(__xludf.dummyfunction("""COMPUTED_VALUE"""),"")</f>
        <v/>
      </c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  <c r="DY742" s="15"/>
      <c r="DZ742" s="15"/>
      <c r="EA742" s="15"/>
      <c r="EB742" s="15"/>
      <c r="EC742" s="15"/>
      <c r="ED742" s="15"/>
      <c r="EE742" s="15"/>
      <c r="EF742" s="15"/>
      <c r="EG742" s="15"/>
      <c r="EH742" s="15"/>
      <c r="EI742" s="15"/>
      <c r="EJ742" s="15"/>
      <c r="EK742" s="15"/>
      <c r="EL742" s="15"/>
      <c r="EM742" s="15"/>
      <c r="EN742" s="15"/>
      <c r="EO742" s="15"/>
      <c r="EP742" s="15"/>
      <c r="EQ742" s="15"/>
      <c r="ER742" s="15"/>
      <c r="ES742" s="15"/>
      <c r="ET742" s="15"/>
      <c r="EU742" s="15"/>
      <c r="EV742" s="15"/>
      <c r="EW742" s="15"/>
      <c r="EX742" s="15"/>
    </row>
    <row r="743" customFormat="false" ht="15.75" hidden="false" customHeight="false" outlineLevel="0" collapsed="false">
      <c r="A743" s="76"/>
      <c r="B743" s="77"/>
      <c r="C743" s="77"/>
      <c r="D743" s="78"/>
      <c r="E743" s="72"/>
      <c r="F743" s="68"/>
      <c r="G743" s="15"/>
      <c r="H743" s="76" t="str">
        <f aca="false">IFERROR(__xludf.dummyfunction("""COMPUTED_VALUE"""),"")</f>
        <v/>
      </c>
      <c r="I743" s="50" t="str">
        <f aca="false">IFERROR(__xludf.dummyfunction("""COMPUTED_VALUE"""),"")</f>
        <v/>
      </c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  <c r="DY743" s="15"/>
      <c r="DZ743" s="15"/>
      <c r="EA743" s="15"/>
      <c r="EB743" s="15"/>
      <c r="EC743" s="15"/>
      <c r="ED743" s="15"/>
      <c r="EE743" s="15"/>
      <c r="EF743" s="15"/>
      <c r="EG743" s="15"/>
      <c r="EH743" s="15"/>
      <c r="EI743" s="15"/>
      <c r="EJ743" s="15"/>
      <c r="EK743" s="15"/>
      <c r="EL743" s="15"/>
      <c r="EM743" s="15"/>
      <c r="EN743" s="15"/>
      <c r="EO743" s="15"/>
      <c r="EP743" s="15"/>
      <c r="EQ743" s="15"/>
      <c r="ER743" s="15"/>
      <c r="ES743" s="15"/>
      <c r="ET743" s="15"/>
      <c r="EU743" s="15"/>
      <c r="EV743" s="15"/>
      <c r="EW743" s="15"/>
      <c r="EX743" s="15"/>
    </row>
    <row r="744" customFormat="false" ht="15.75" hidden="false" customHeight="false" outlineLevel="0" collapsed="false">
      <c r="A744" s="76"/>
      <c r="B744" s="77"/>
      <c r="C744" s="77"/>
      <c r="D744" s="78"/>
      <c r="E744" s="72"/>
      <c r="F744" s="68"/>
      <c r="G744" s="15"/>
      <c r="H744" s="76" t="str">
        <f aca="false">IFERROR(__xludf.dummyfunction("""COMPUTED_VALUE"""),"")</f>
        <v/>
      </c>
      <c r="I744" s="50" t="str">
        <f aca="false">IFERROR(__xludf.dummyfunction("""COMPUTED_VALUE"""),"")</f>
        <v/>
      </c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  <c r="DY744" s="15"/>
      <c r="DZ744" s="15"/>
      <c r="EA744" s="15"/>
      <c r="EB744" s="15"/>
      <c r="EC744" s="15"/>
      <c r="ED744" s="15"/>
      <c r="EE744" s="15"/>
      <c r="EF744" s="15"/>
      <c r="EG744" s="15"/>
      <c r="EH744" s="15"/>
      <c r="EI744" s="15"/>
      <c r="EJ744" s="15"/>
      <c r="EK744" s="15"/>
      <c r="EL744" s="15"/>
      <c r="EM744" s="15"/>
      <c r="EN744" s="15"/>
      <c r="EO744" s="15"/>
      <c r="EP744" s="15"/>
      <c r="EQ744" s="15"/>
      <c r="ER744" s="15"/>
      <c r="ES744" s="15"/>
      <c r="ET744" s="15"/>
      <c r="EU744" s="15"/>
      <c r="EV744" s="15"/>
      <c r="EW744" s="15"/>
      <c r="EX744" s="15"/>
    </row>
    <row r="745" customFormat="false" ht="15.75" hidden="false" customHeight="false" outlineLevel="0" collapsed="false">
      <c r="A745" s="76"/>
      <c r="B745" s="77"/>
      <c r="C745" s="77"/>
      <c r="D745" s="78"/>
      <c r="E745" s="72"/>
      <c r="F745" s="68"/>
      <c r="G745" s="15"/>
      <c r="H745" s="76" t="str">
        <f aca="false">IFERROR(__xludf.dummyfunction("""COMPUTED_VALUE"""),"")</f>
        <v/>
      </c>
      <c r="I745" s="50" t="str">
        <f aca="false">IFERROR(__xludf.dummyfunction("""COMPUTED_VALUE"""),"")</f>
        <v/>
      </c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  <c r="DY745" s="15"/>
      <c r="DZ745" s="15"/>
      <c r="EA745" s="15"/>
      <c r="EB745" s="15"/>
      <c r="EC745" s="15"/>
      <c r="ED745" s="15"/>
      <c r="EE745" s="15"/>
      <c r="EF745" s="15"/>
      <c r="EG745" s="15"/>
      <c r="EH745" s="15"/>
      <c r="EI745" s="15"/>
      <c r="EJ745" s="15"/>
      <c r="EK745" s="15"/>
      <c r="EL745" s="15"/>
      <c r="EM745" s="15"/>
      <c r="EN745" s="15"/>
      <c r="EO745" s="15"/>
      <c r="EP745" s="15"/>
      <c r="EQ745" s="15"/>
      <c r="ER745" s="15"/>
      <c r="ES745" s="15"/>
      <c r="ET745" s="15"/>
      <c r="EU745" s="15"/>
      <c r="EV745" s="15"/>
      <c r="EW745" s="15"/>
      <c r="EX745" s="15"/>
    </row>
    <row r="746" customFormat="false" ht="15.75" hidden="false" customHeight="false" outlineLevel="0" collapsed="false">
      <c r="A746" s="76"/>
      <c r="B746" s="77"/>
      <c r="C746" s="77"/>
      <c r="D746" s="78"/>
      <c r="E746" s="72"/>
      <c r="F746" s="68"/>
      <c r="G746" s="15"/>
      <c r="H746" s="76" t="str">
        <f aca="false">IFERROR(__xludf.dummyfunction("""COMPUTED_VALUE"""),"")</f>
        <v/>
      </c>
      <c r="I746" s="50" t="str">
        <f aca="false">IFERROR(__xludf.dummyfunction("""COMPUTED_VALUE"""),"")</f>
        <v/>
      </c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  <c r="DY746" s="15"/>
      <c r="DZ746" s="15"/>
      <c r="EA746" s="15"/>
      <c r="EB746" s="15"/>
      <c r="EC746" s="15"/>
      <c r="ED746" s="15"/>
      <c r="EE746" s="15"/>
      <c r="EF746" s="15"/>
      <c r="EG746" s="15"/>
      <c r="EH746" s="15"/>
      <c r="EI746" s="15"/>
      <c r="EJ746" s="15"/>
      <c r="EK746" s="15"/>
      <c r="EL746" s="15"/>
      <c r="EM746" s="15"/>
      <c r="EN746" s="15"/>
      <c r="EO746" s="15"/>
      <c r="EP746" s="15"/>
      <c r="EQ746" s="15"/>
      <c r="ER746" s="15"/>
      <c r="ES746" s="15"/>
      <c r="ET746" s="15"/>
      <c r="EU746" s="15"/>
      <c r="EV746" s="15"/>
      <c r="EW746" s="15"/>
      <c r="EX746" s="15"/>
    </row>
    <row r="747" customFormat="false" ht="15.75" hidden="false" customHeight="false" outlineLevel="0" collapsed="false">
      <c r="A747" s="76"/>
      <c r="B747" s="77"/>
      <c r="C747" s="77"/>
      <c r="D747" s="78"/>
      <c r="E747" s="72"/>
      <c r="F747" s="68"/>
      <c r="G747" s="15"/>
      <c r="H747" s="76" t="str">
        <f aca="false">IFERROR(__xludf.dummyfunction("""COMPUTED_VALUE"""),"")</f>
        <v/>
      </c>
      <c r="I747" s="50" t="str">
        <f aca="false">IFERROR(__xludf.dummyfunction("""COMPUTED_VALUE"""),"")</f>
        <v/>
      </c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  <c r="DY747" s="15"/>
      <c r="DZ747" s="15"/>
      <c r="EA747" s="15"/>
      <c r="EB747" s="15"/>
      <c r="EC747" s="15"/>
      <c r="ED747" s="15"/>
      <c r="EE747" s="15"/>
      <c r="EF747" s="15"/>
      <c r="EG747" s="15"/>
      <c r="EH747" s="15"/>
      <c r="EI747" s="15"/>
      <c r="EJ747" s="15"/>
      <c r="EK747" s="15"/>
      <c r="EL747" s="15"/>
      <c r="EM747" s="15"/>
      <c r="EN747" s="15"/>
      <c r="EO747" s="15"/>
      <c r="EP747" s="15"/>
      <c r="EQ747" s="15"/>
      <c r="ER747" s="15"/>
      <c r="ES747" s="15"/>
      <c r="ET747" s="15"/>
      <c r="EU747" s="15"/>
      <c r="EV747" s="15"/>
      <c r="EW747" s="15"/>
      <c r="EX747" s="15"/>
    </row>
    <row r="748" customFormat="false" ht="15.75" hidden="false" customHeight="false" outlineLevel="0" collapsed="false">
      <c r="A748" s="76"/>
      <c r="B748" s="77"/>
      <c r="C748" s="77"/>
      <c r="D748" s="78"/>
      <c r="E748" s="72"/>
      <c r="F748" s="68"/>
      <c r="G748" s="15"/>
      <c r="H748" s="76" t="str">
        <f aca="false">IFERROR(__xludf.dummyfunction("""COMPUTED_VALUE"""),"")</f>
        <v/>
      </c>
      <c r="I748" s="50" t="str">
        <f aca="false">IFERROR(__xludf.dummyfunction("""COMPUTED_VALUE"""),"")</f>
        <v/>
      </c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  <c r="DY748" s="15"/>
      <c r="DZ748" s="15"/>
      <c r="EA748" s="15"/>
      <c r="EB748" s="15"/>
      <c r="EC748" s="15"/>
      <c r="ED748" s="15"/>
      <c r="EE748" s="15"/>
      <c r="EF748" s="15"/>
      <c r="EG748" s="15"/>
      <c r="EH748" s="15"/>
      <c r="EI748" s="15"/>
      <c r="EJ748" s="15"/>
      <c r="EK748" s="15"/>
      <c r="EL748" s="15"/>
      <c r="EM748" s="15"/>
      <c r="EN748" s="15"/>
      <c r="EO748" s="15"/>
      <c r="EP748" s="15"/>
      <c r="EQ748" s="15"/>
      <c r="ER748" s="15"/>
      <c r="ES748" s="15"/>
      <c r="ET748" s="15"/>
      <c r="EU748" s="15"/>
      <c r="EV748" s="15"/>
      <c r="EW748" s="15"/>
      <c r="EX748" s="15"/>
    </row>
    <row r="749" customFormat="false" ht="15.75" hidden="false" customHeight="false" outlineLevel="0" collapsed="false">
      <c r="A749" s="76"/>
      <c r="B749" s="77"/>
      <c r="C749" s="77"/>
      <c r="D749" s="78"/>
      <c r="E749" s="72"/>
      <c r="F749" s="68"/>
      <c r="G749" s="15"/>
      <c r="H749" s="76" t="str">
        <f aca="false">IFERROR(__xludf.dummyfunction("""COMPUTED_VALUE"""),"")</f>
        <v/>
      </c>
      <c r="I749" s="50" t="str">
        <f aca="false">IFERROR(__xludf.dummyfunction("""COMPUTED_VALUE"""),"")</f>
        <v/>
      </c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  <c r="DY749" s="15"/>
      <c r="DZ749" s="15"/>
      <c r="EA749" s="15"/>
      <c r="EB749" s="15"/>
      <c r="EC749" s="15"/>
      <c r="ED749" s="15"/>
      <c r="EE749" s="15"/>
      <c r="EF749" s="15"/>
      <c r="EG749" s="15"/>
      <c r="EH749" s="15"/>
      <c r="EI749" s="15"/>
      <c r="EJ749" s="15"/>
      <c r="EK749" s="15"/>
      <c r="EL749" s="15"/>
      <c r="EM749" s="15"/>
      <c r="EN749" s="15"/>
      <c r="EO749" s="15"/>
      <c r="EP749" s="15"/>
      <c r="EQ749" s="15"/>
      <c r="ER749" s="15"/>
      <c r="ES749" s="15"/>
      <c r="ET749" s="15"/>
      <c r="EU749" s="15"/>
      <c r="EV749" s="15"/>
      <c r="EW749" s="15"/>
      <c r="EX749" s="15"/>
    </row>
    <row r="750" customFormat="false" ht="15.75" hidden="false" customHeight="false" outlineLevel="0" collapsed="false">
      <c r="A750" s="76"/>
      <c r="B750" s="77"/>
      <c r="C750" s="77"/>
      <c r="D750" s="78"/>
      <c r="E750" s="72"/>
      <c r="F750" s="68"/>
      <c r="G750" s="15"/>
      <c r="H750" s="76" t="str">
        <f aca="false">IFERROR(__xludf.dummyfunction("""COMPUTED_VALUE"""),"")</f>
        <v/>
      </c>
      <c r="I750" s="50" t="str">
        <f aca="false">IFERROR(__xludf.dummyfunction("""COMPUTED_VALUE"""),"")</f>
        <v/>
      </c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  <c r="DY750" s="15"/>
      <c r="DZ750" s="15"/>
      <c r="EA750" s="15"/>
      <c r="EB750" s="15"/>
      <c r="EC750" s="15"/>
      <c r="ED750" s="15"/>
      <c r="EE750" s="15"/>
      <c r="EF750" s="15"/>
      <c r="EG750" s="15"/>
      <c r="EH750" s="15"/>
      <c r="EI750" s="15"/>
      <c r="EJ750" s="15"/>
      <c r="EK750" s="15"/>
      <c r="EL750" s="15"/>
      <c r="EM750" s="15"/>
      <c r="EN750" s="15"/>
      <c r="EO750" s="15"/>
      <c r="EP750" s="15"/>
      <c r="EQ750" s="15"/>
      <c r="ER750" s="15"/>
      <c r="ES750" s="15"/>
      <c r="ET750" s="15"/>
      <c r="EU750" s="15"/>
      <c r="EV750" s="15"/>
      <c r="EW750" s="15"/>
      <c r="EX750" s="15"/>
    </row>
    <row r="751" customFormat="false" ht="15.75" hidden="false" customHeight="false" outlineLevel="0" collapsed="false">
      <c r="A751" s="76"/>
      <c r="B751" s="77"/>
      <c r="C751" s="77"/>
      <c r="D751" s="78"/>
      <c r="E751" s="72"/>
      <c r="F751" s="68"/>
      <c r="G751" s="15"/>
      <c r="H751" s="76" t="str">
        <f aca="false">IFERROR(__xludf.dummyfunction("""COMPUTED_VALUE"""),"")</f>
        <v/>
      </c>
      <c r="I751" s="50" t="str">
        <f aca="false">IFERROR(__xludf.dummyfunction("""COMPUTED_VALUE"""),"")</f>
        <v/>
      </c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  <c r="DY751" s="15"/>
      <c r="DZ751" s="15"/>
      <c r="EA751" s="15"/>
      <c r="EB751" s="15"/>
      <c r="EC751" s="15"/>
      <c r="ED751" s="15"/>
      <c r="EE751" s="15"/>
      <c r="EF751" s="15"/>
      <c r="EG751" s="15"/>
      <c r="EH751" s="15"/>
      <c r="EI751" s="15"/>
      <c r="EJ751" s="15"/>
      <c r="EK751" s="15"/>
      <c r="EL751" s="15"/>
      <c r="EM751" s="15"/>
      <c r="EN751" s="15"/>
      <c r="EO751" s="15"/>
      <c r="EP751" s="15"/>
      <c r="EQ751" s="15"/>
      <c r="ER751" s="15"/>
      <c r="ES751" s="15"/>
      <c r="ET751" s="15"/>
      <c r="EU751" s="15"/>
      <c r="EV751" s="15"/>
      <c r="EW751" s="15"/>
      <c r="EX751" s="15"/>
    </row>
    <row r="752" customFormat="false" ht="15.75" hidden="false" customHeight="false" outlineLevel="0" collapsed="false">
      <c r="A752" s="76"/>
      <c r="B752" s="77"/>
      <c r="C752" s="77"/>
      <c r="D752" s="78"/>
      <c r="E752" s="72"/>
      <c r="F752" s="68"/>
      <c r="G752" s="15"/>
      <c r="H752" s="76" t="str">
        <f aca="false">IFERROR(__xludf.dummyfunction("""COMPUTED_VALUE"""),"")</f>
        <v/>
      </c>
      <c r="I752" s="50" t="str">
        <f aca="false">IFERROR(__xludf.dummyfunction("""COMPUTED_VALUE"""),"")</f>
        <v/>
      </c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  <c r="DY752" s="15"/>
      <c r="DZ752" s="15"/>
      <c r="EA752" s="15"/>
      <c r="EB752" s="15"/>
      <c r="EC752" s="15"/>
      <c r="ED752" s="15"/>
      <c r="EE752" s="15"/>
      <c r="EF752" s="15"/>
      <c r="EG752" s="15"/>
      <c r="EH752" s="15"/>
      <c r="EI752" s="15"/>
      <c r="EJ752" s="15"/>
      <c r="EK752" s="15"/>
      <c r="EL752" s="15"/>
      <c r="EM752" s="15"/>
      <c r="EN752" s="15"/>
      <c r="EO752" s="15"/>
      <c r="EP752" s="15"/>
      <c r="EQ752" s="15"/>
      <c r="ER752" s="15"/>
      <c r="ES752" s="15"/>
      <c r="ET752" s="15"/>
      <c r="EU752" s="15"/>
      <c r="EV752" s="15"/>
      <c r="EW752" s="15"/>
      <c r="EX752" s="15"/>
    </row>
    <row r="753" customFormat="false" ht="15.75" hidden="false" customHeight="false" outlineLevel="0" collapsed="false">
      <c r="A753" s="76"/>
      <c r="B753" s="77"/>
      <c r="C753" s="77"/>
      <c r="D753" s="78"/>
      <c r="E753" s="72"/>
      <c r="F753" s="68"/>
      <c r="G753" s="15"/>
      <c r="H753" s="76" t="str">
        <f aca="false">IFERROR(__xludf.dummyfunction("""COMPUTED_VALUE"""),"")</f>
        <v/>
      </c>
      <c r="I753" s="50" t="str">
        <f aca="false">IFERROR(__xludf.dummyfunction("""COMPUTED_VALUE"""),"")</f>
        <v/>
      </c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  <c r="DY753" s="15"/>
      <c r="DZ753" s="15"/>
      <c r="EA753" s="15"/>
      <c r="EB753" s="15"/>
      <c r="EC753" s="15"/>
      <c r="ED753" s="15"/>
      <c r="EE753" s="15"/>
      <c r="EF753" s="15"/>
      <c r="EG753" s="15"/>
      <c r="EH753" s="15"/>
      <c r="EI753" s="15"/>
      <c r="EJ753" s="15"/>
      <c r="EK753" s="15"/>
      <c r="EL753" s="15"/>
      <c r="EM753" s="15"/>
      <c r="EN753" s="15"/>
      <c r="EO753" s="15"/>
      <c r="EP753" s="15"/>
      <c r="EQ753" s="15"/>
      <c r="ER753" s="15"/>
      <c r="ES753" s="15"/>
      <c r="ET753" s="15"/>
      <c r="EU753" s="15"/>
      <c r="EV753" s="15"/>
      <c r="EW753" s="15"/>
      <c r="EX753" s="15"/>
    </row>
    <row r="754" customFormat="false" ht="15.75" hidden="false" customHeight="false" outlineLevel="0" collapsed="false">
      <c r="A754" s="76"/>
      <c r="B754" s="77"/>
      <c r="C754" s="77"/>
      <c r="D754" s="78"/>
      <c r="E754" s="72"/>
      <c r="F754" s="68"/>
      <c r="G754" s="15"/>
      <c r="H754" s="76" t="str">
        <f aca="false">IFERROR(__xludf.dummyfunction("""COMPUTED_VALUE"""),"")</f>
        <v/>
      </c>
      <c r="I754" s="50" t="str">
        <f aca="false">IFERROR(__xludf.dummyfunction("""COMPUTED_VALUE"""),"")</f>
        <v/>
      </c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  <c r="DY754" s="15"/>
      <c r="DZ754" s="15"/>
      <c r="EA754" s="15"/>
      <c r="EB754" s="15"/>
      <c r="EC754" s="15"/>
      <c r="ED754" s="15"/>
      <c r="EE754" s="15"/>
      <c r="EF754" s="15"/>
      <c r="EG754" s="15"/>
      <c r="EH754" s="15"/>
      <c r="EI754" s="15"/>
      <c r="EJ754" s="15"/>
      <c r="EK754" s="15"/>
      <c r="EL754" s="15"/>
      <c r="EM754" s="15"/>
      <c r="EN754" s="15"/>
      <c r="EO754" s="15"/>
      <c r="EP754" s="15"/>
      <c r="EQ754" s="15"/>
      <c r="ER754" s="15"/>
      <c r="ES754" s="15"/>
      <c r="ET754" s="15"/>
      <c r="EU754" s="15"/>
      <c r="EV754" s="15"/>
      <c r="EW754" s="15"/>
      <c r="EX754" s="15"/>
    </row>
    <row r="755" customFormat="false" ht="15.75" hidden="false" customHeight="false" outlineLevel="0" collapsed="false">
      <c r="A755" s="76"/>
      <c r="B755" s="77"/>
      <c r="C755" s="77"/>
      <c r="D755" s="78"/>
      <c r="E755" s="72"/>
      <c r="F755" s="68"/>
      <c r="G755" s="15"/>
      <c r="H755" s="76" t="str">
        <f aca="false">IFERROR(__xludf.dummyfunction("""COMPUTED_VALUE"""),"")</f>
        <v/>
      </c>
      <c r="I755" s="50" t="str">
        <f aca="false">IFERROR(__xludf.dummyfunction("""COMPUTED_VALUE"""),"")</f>
        <v/>
      </c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  <c r="DY755" s="15"/>
      <c r="DZ755" s="15"/>
      <c r="EA755" s="15"/>
      <c r="EB755" s="15"/>
      <c r="EC755" s="15"/>
      <c r="ED755" s="15"/>
      <c r="EE755" s="15"/>
      <c r="EF755" s="15"/>
      <c r="EG755" s="15"/>
      <c r="EH755" s="15"/>
      <c r="EI755" s="15"/>
      <c r="EJ755" s="15"/>
      <c r="EK755" s="15"/>
      <c r="EL755" s="15"/>
      <c r="EM755" s="15"/>
      <c r="EN755" s="15"/>
      <c r="EO755" s="15"/>
      <c r="EP755" s="15"/>
      <c r="EQ755" s="15"/>
      <c r="ER755" s="15"/>
      <c r="ES755" s="15"/>
      <c r="ET755" s="15"/>
      <c r="EU755" s="15"/>
      <c r="EV755" s="15"/>
      <c r="EW755" s="15"/>
      <c r="EX755" s="15"/>
    </row>
    <row r="756" customFormat="false" ht="15.75" hidden="false" customHeight="false" outlineLevel="0" collapsed="false">
      <c r="A756" s="76"/>
      <c r="B756" s="77"/>
      <c r="C756" s="77"/>
      <c r="D756" s="78"/>
      <c r="E756" s="72"/>
      <c r="F756" s="68"/>
      <c r="G756" s="15"/>
      <c r="H756" s="76" t="str">
        <f aca="false">IFERROR(__xludf.dummyfunction("""COMPUTED_VALUE"""),"")</f>
        <v/>
      </c>
      <c r="I756" s="50" t="str">
        <f aca="false">IFERROR(__xludf.dummyfunction("""COMPUTED_VALUE"""),"")</f>
        <v/>
      </c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  <c r="DY756" s="15"/>
      <c r="DZ756" s="15"/>
      <c r="EA756" s="15"/>
      <c r="EB756" s="15"/>
      <c r="EC756" s="15"/>
      <c r="ED756" s="15"/>
      <c r="EE756" s="15"/>
      <c r="EF756" s="15"/>
      <c r="EG756" s="15"/>
      <c r="EH756" s="15"/>
      <c r="EI756" s="15"/>
      <c r="EJ756" s="15"/>
      <c r="EK756" s="15"/>
      <c r="EL756" s="15"/>
      <c r="EM756" s="15"/>
      <c r="EN756" s="15"/>
      <c r="EO756" s="15"/>
      <c r="EP756" s="15"/>
      <c r="EQ756" s="15"/>
      <c r="ER756" s="15"/>
      <c r="ES756" s="15"/>
      <c r="ET756" s="15"/>
      <c r="EU756" s="15"/>
      <c r="EV756" s="15"/>
      <c r="EW756" s="15"/>
      <c r="EX756" s="15"/>
    </row>
    <row r="757" customFormat="false" ht="15.75" hidden="false" customHeight="false" outlineLevel="0" collapsed="false">
      <c r="A757" s="76"/>
      <c r="B757" s="77"/>
      <c r="C757" s="77"/>
      <c r="D757" s="78"/>
      <c r="E757" s="72"/>
      <c r="F757" s="68"/>
      <c r="G757" s="15"/>
      <c r="H757" s="76" t="str">
        <f aca="false">IFERROR(__xludf.dummyfunction("""COMPUTED_VALUE"""),"")</f>
        <v/>
      </c>
      <c r="I757" s="50" t="str">
        <f aca="false">IFERROR(__xludf.dummyfunction("""COMPUTED_VALUE"""),"")</f>
        <v/>
      </c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  <c r="DY757" s="15"/>
      <c r="DZ757" s="15"/>
      <c r="EA757" s="15"/>
      <c r="EB757" s="15"/>
      <c r="EC757" s="15"/>
      <c r="ED757" s="15"/>
      <c r="EE757" s="15"/>
      <c r="EF757" s="15"/>
      <c r="EG757" s="15"/>
      <c r="EH757" s="15"/>
      <c r="EI757" s="15"/>
      <c r="EJ757" s="15"/>
      <c r="EK757" s="15"/>
      <c r="EL757" s="15"/>
      <c r="EM757" s="15"/>
      <c r="EN757" s="15"/>
      <c r="EO757" s="15"/>
      <c r="EP757" s="15"/>
      <c r="EQ757" s="15"/>
      <c r="ER757" s="15"/>
      <c r="ES757" s="15"/>
      <c r="ET757" s="15"/>
      <c r="EU757" s="15"/>
      <c r="EV757" s="15"/>
      <c r="EW757" s="15"/>
      <c r="EX757" s="15"/>
    </row>
    <row r="758" customFormat="false" ht="15.75" hidden="false" customHeight="false" outlineLevel="0" collapsed="false">
      <c r="A758" s="76"/>
      <c r="B758" s="77"/>
      <c r="C758" s="77"/>
      <c r="D758" s="78"/>
      <c r="E758" s="72"/>
      <c r="F758" s="68"/>
      <c r="G758" s="15"/>
      <c r="H758" s="76" t="str">
        <f aca="false">IFERROR(__xludf.dummyfunction("""COMPUTED_VALUE"""),"")</f>
        <v/>
      </c>
      <c r="I758" s="50" t="str">
        <f aca="false">IFERROR(__xludf.dummyfunction("""COMPUTED_VALUE"""),"")</f>
        <v/>
      </c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  <c r="DY758" s="15"/>
      <c r="DZ758" s="15"/>
      <c r="EA758" s="15"/>
      <c r="EB758" s="15"/>
      <c r="EC758" s="15"/>
      <c r="ED758" s="15"/>
      <c r="EE758" s="15"/>
      <c r="EF758" s="15"/>
      <c r="EG758" s="15"/>
      <c r="EH758" s="15"/>
      <c r="EI758" s="15"/>
      <c r="EJ758" s="15"/>
      <c r="EK758" s="15"/>
      <c r="EL758" s="15"/>
      <c r="EM758" s="15"/>
      <c r="EN758" s="15"/>
      <c r="EO758" s="15"/>
      <c r="EP758" s="15"/>
      <c r="EQ758" s="15"/>
      <c r="ER758" s="15"/>
      <c r="ES758" s="15"/>
      <c r="ET758" s="15"/>
      <c r="EU758" s="15"/>
      <c r="EV758" s="15"/>
      <c r="EW758" s="15"/>
      <c r="EX758" s="15"/>
    </row>
    <row r="759" customFormat="false" ht="15.75" hidden="false" customHeight="false" outlineLevel="0" collapsed="false">
      <c r="A759" s="76"/>
      <c r="B759" s="77"/>
      <c r="C759" s="77"/>
      <c r="D759" s="78"/>
      <c r="E759" s="72"/>
      <c r="F759" s="68"/>
      <c r="G759" s="15"/>
      <c r="H759" s="76" t="str">
        <f aca="false">IFERROR(__xludf.dummyfunction("""COMPUTED_VALUE"""),"")</f>
        <v/>
      </c>
      <c r="I759" s="50" t="str">
        <f aca="false">IFERROR(__xludf.dummyfunction("""COMPUTED_VALUE"""),"")</f>
        <v/>
      </c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  <c r="DY759" s="15"/>
      <c r="DZ759" s="15"/>
      <c r="EA759" s="15"/>
      <c r="EB759" s="15"/>
      <c r="EC759" s="15"/>
      <c r="ED759" s="15"/>
      <c r="EE759" s="15"/>
      <c r="EF759" s="15"/>
      <c r="EG759" s="15"/>
      <c r="EH759" s="15"/>
      <c r="EI759" s="15"/>
      <c r="EJ759" s="15"/>
      <c r="EK759" s="15"/>
      <c r="EL759" s="15"/>
      <c r="EM759" s="15"/>
      <c r="EN759" s="15"/>
      <c r="EO759" s="15"/>
      <c r="EP759" s="15"/>
      <c r="EQ759" s="15"/>
      <c r="ER759" s="15"/>
      <c r="ES759" s="15"/>
      <c r="ET759" s="15"/>
      <c r="EU759" s="15"/>
      <c r="EV759" s="15"/>
      <c r="EW759" s="15"/>
      <c r="EX759" s="15"/>
    </row>
    <row r="760" customFormat="false" ht="15.75" hidden="false" customHeight="false" outlineLevel="0" collapsed="false">
      <c r="A760" s="76"/>
      <c r="B760" s="77"/>
      <c r="C760" s="77"/>
      <c r="D760" s="78"/>
      <c r="E760" s="72"/>
      <c r="F760" s="68"/>
      <c r="G760" s="15"/>
      <c r="H760" s="76" t="str">
        <f aca="false">IFERROR(__xludf.dummyfunction("""COMPUTED_VALUE"""),"")</f>
        <v/>
      </c>
      <c r="I760" s="50" t="str">
        <f aca="false">IFERROR(__xludf.dummyfunction("""COMPUTED_VALUE"""),"")</f>
        <v/>
      </c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  <c r="DY760" s="15"/>
      <c r="DZ760" s="15"/>
      <c r="EA760" s="15"/>
      <c r="EB760" s="15"/>
      <c r="EC760" s="15"/>
      <c r="ED760" s="15"/>
      <c r="EE760" s="15"/>
      <c r="EF760" s="15"/>
      <c r="EG760" s="15"/>
      <c r="EH760" s="15"/>
      <c r="EI760" s="15"/>
      <c r="EJ760" s="15"/>
      <c r="EK760" s="15"/>
      <c r="EL760" s="15"/>
      <c r="EM760" s="15"/>
      <c r="EN760" s="15"/>
      <c r="EO760" s="15"/>
      <c r="EP760" s="15"/>
      <c r="EQ760" s="15"/>
      <c r="ER760" s="15"/>
      <c r="ES760" s="15"/>
      <c r="ET760" s="15"/>
      <c r="EU760" s="15"/>
      <c r="EV760" s="15"/>
      <c r="EW760" s="15"/>
      <c r="EX760" s="15"/>
    </row>
    <row r="761" customFormat="false" ht="15.75" hidden="false" customHeight="false" outlineLevel="0" collapsed="false">
      <c r="A761" s="76"/>
      <c r="B761" s="77"/>
      <c r="C761" s="77"/>
      <c r="D761" s="78"/>
      <c r="E761" s="72"/>
      <c r="F761" s="68"/>
      <c r="G761" s="15"/>
      <c r="H761" s="76" t="str">
        <f aca="false">IFERROR(__xludf.dummyfunction("""COMPUTED_VALUE"""),"")</f>
        <v/>
      </c>
      <c r="I761" s="50" t="str">
        <f aca="false">IFERROR(__xludf.dummyfunction("""COMPUTED_VALUE"""),"")</f>
        <v/>
      </c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  <c r="DY761" s="15"/>
      <c r="DZ761" s="15"/>
      <c r="EA761" s="15"/>
      <c r="EB761" s="15"/>
      <c r="EC761" s="15"/>
      <c r="ED761" s="15"/>
      <c r="EE761" s="15"/>
      <c r="EF761" s="15"/>
      <c r="EG761" s="15"/>
      <c r="EH761" s="15"/>
      <c r="EI761" s="15"/>
      <c r="EJ761" s="15"/>
      <c r="EK761" s="15"/>
      <c r="EL761" s="15"/>
      <c r="EM761" s="15"/>
      <c r="EN761" s="15"/>
      <c r="EO761" s="15"/>
      <c r="EP761" s="15"/>
      <c r="EQ761" s="15"/>
      <c r="ER761" s="15"/>
      <c r="ES761" s="15"/>
      <c r="ET761" s="15"/>
      <c r="EU761" s="15"/>
      <c r="EV761" s="15"/>
      <c r="EW761" s="15"/>
      <c r="EX761" s="15"/>
    </row>
    <row r="762" customFormat="false" ht="15.75" hidden="false" customHeight="false" outlineLevel="0" collapsed="false">
      <c r="A762" s="76"/>
      <c r="B762" s="77"/>
      <c r="C762" s="77"/>
      <c r="D762" s="78"/>
      <c r="E762" s="72"/>
      <c r="F762" s="68"/>
      <c r="G762" s="15"/>
      <c r="H762" s="76" t="str">
        <f aca="false">IFERROR(__xludf.dummyfunction("""COMPUTED_VALUE"""),"")</f>
        <v/>
      </c>
      <c r="I762" s="50" t="str">
        <f aca="false">IFERROR(__xludf.dummyfunction("""COMPUTED_VALUE"""),"")</f>
        <v/>
      </c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  <c r="DY762" s="15"/>
      <c r="DZ762" s="15"/>
      <c r="EA762" s="15"/>
      <c r="EB762" s="15"/>
      <c r="EC762" s="15"/>
      <c r="ED762" s="15"/>
      <c r="EE762" s="15"/>
      <c r="EF762" s="15"/>
      <c r="EG762" s="15"/>
      <c r="EH762" s="15"/>
      <c r="EI762" s="15"/>
      <c r="EJ762" s="15"/>
      <c r="EK762" s="15"/>
      <c r="EL762" s="15"/>
      <c r="EM762" s="15"/>
      <c r="EN762" s="15"/>
      <c r="EO762" s="15"/>
      <c r="EP762" s="15"/>
      <c r="EQ762" s="15"/>
      <c r="ER762" s="15"/>
      <c r="ES762" s="15"/>
      <c r="ET762" s="15"/>
      <c r="EU762" s="15"/>
      <c r="EV762" s="15"/>
      <c r="EW762" s="15"/>
      <c r="EX762" s="15"/>
    </row>
    <row r="763" customFormat="false" ht="15.75" hidden="false" customHeight="false" outlineLevel="0" collapsed="false">
      <c r="A763" s="76"/>
      <c r="B763" s="77"/>
      <c r="C763" s="77"/>
      <c r="D763" s="78"/>
      <c r="E763" s="72"/>
      <c r="F763" s="68"/>
      <c r="G763" s="15"/>
      <c r="H763" s="76" t="str">
        <f aca="false">IFERROR(__xludf.dummyfunction("""COMPUTED_VALUE"""),"")</f>
        <v/>
      </c>
      <c r="I763" s="50" t="str">
        <f aca="false">IFERROR(__xludf.dummyfunction("""COMPUTED_VALUE"""),"")</f>
        <v/>
      </c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  <c r="DY763" s="15"/>
      <c r="DZ763" s="15"/>
      <c r="EA763" s="15"/>
      <c r="EB763" s="15"/>
      <c r="EC763" s="15"/>
      <c r="ED763" s="15"/>
      <c r="EE763" s="15"/>
      <c r="EF763" s="15"/>
      <c r="EG763" s="15"/>
      <c r="EH763" s="15"/>
      <c r="EI763" s="15"/>
      <c r="EJ763" s="15"/>
      <c r="EK763" s="15"/>
      <c r="EL763" s="15"/>
      <c r="EM763" s="15"/>
      <c r="EN763" s="15"/>
      <c r="EO763" s="15"/>
      <c r="EP763" s="15"/>
      <c r="EQ763" s="15"/>
      <c r="ER763" s="15"/>
      <c r="ES763" s="15"/>
      <c r="ET763" s="15"/>
      <c r="EU763" s="15"/>
      <c r="EV763" s="15"/>
      <c r="EW763" s="15"/>
      <c r="EX763" s="15"/>
    </row>
    <row r="764" customFormat="false" ht="15.75" hidden="false" customHeight="false" outlineLevel="0" collapsed="false">
      <c r="A764" s="76"/>
      <c r="B764" s="77"/>
      <c r="C764" s="77"/>
      <c r="D764" s="78"/>
      <c r="E764" s="72"/>
      <c r="F764" s="68"/>
      <c r="G764" s="15"/>
      <c r="H764" s="76" t="str">
        <f aca="false">IFERROR(__xludf.dummyfunction("""COMPUTED_VALUE"""),"")</f>
        <v/>
      </c>
      <c r="I764" s="50" t="str">
        <f aca="false">IFERROR(__xludf.dummyfunction("""COMPUTED_VALUE"""),"")</f>
        <v/>
      </c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  <c r="DY764" s="15"/>
      <c r="DZ764" s="15"/>
      <c r="EA764" s="15"/>
      <c r="EB764" s="15"/>
      <c r="EC764" s="15"/>
      <c r="ED764" s="15"/>
      <c r="EE764" s="15"/>
      <c r="EF764" s="15"/>
      <c r="EG764" s="15"/>
      <c r="EH764" s="15"/>
      <c r="EI764" s="15"/>
      <c r="EJ764" s="15"/>
      <c r="EK764" s="15"/>
      <c r="EL764" s="15"/>
      <c r="EM764" s="15"/>
      <c r="EN764" s="15"/>
      <c r="EO764" s="15"/>
      <c r="EP764" s="15"/>
      <c r="EQ764" s="15"/>
      <c r="ER764" s="15"/>
      <c r="ES764" s="15"/>
      <c r="ET764" s="15"/>
      <c r="EU764" s="15"/>
      <c r="EV764" s="15"/>
      <c r="EW764" s="15"/>
      <c r="EX764" s="15"/>
    </row>
    <row r="765" customFormat="false" ht="15.75" hidden="false" customHeight="false" outlineLevel="0" collapsed="false">
      <c r="A765" s="76"/>
      <c r="B765" s="77"/>
      <c r="C765" s="77"/>
      <c r="D765" s="78"/>
      <c r="E765" s="72"/>
      <c r="F765" s="68"/>
      <c r="G765" s="15"/>
      <c r="H765" s="76" t="str">
        <f aca="false">IFERROR(__xludf.dummyfunction("""COMPUTED_VALUE"""),"")</f>
        <v/>
      </c>
      <c r="I765" s="50" t="str">
        <f aca="false">IFERROR(__xludf.dummyfunction("""COMPUTED_VALUE"""),"")</f>
        <v/>
      </c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  <c r="DY765" s="15"/>
      <c r="DZ765" s="15"/>
      <c r="EA765" s="15"/>
      <c r="EB765" s="15"/>
      <c r="EC765" s="15"/>
      <c r="ED765" s="15"/>
      <c r="EE765" s="15"/>
      <c r="EF765" s="15"/>
      <c r="EG765" s="15"/>
      <c r="EH765" s="15"/>
      <c r="EI765" s="15"/>
      <c r="EJ765" s="15"/>
      <c r="EK765" s="15"/>
      <c r="EL765" s="15"/>
      <c r="EM765" s="15"/>
      <c r="EN765" s="15"/>
      <c r="EO765" s="15"/>
      <c r="EP765" s="15"/>
      <c r="EQ765" s="15"/>
      <c r="ER765" s="15"/>
      <c r="ES765" s="15"/>
      <c r="ET765" s="15"/>
      <c r="EU765" s="15"/>
      <c r="EV765" s="15"/>
      <c r="EW765" s="15"/>
      <c r="EX765" s="15"/>
    </row>
    <row r="766" customFormat="false" ht="15.75" hidden="false" customHeight="false" outlineLevel="0" collapsed="false">
      <c r="A766" s="76"/>
      <c r="B766" s="77"/>
      <c r="C766" s="77"/>
      <c r="D766" s="78"/>
      <c r="E766" s="72"/>
      <c r="F766" s="68"/>
      <c r="G766" s="15"/>
      <c r="H766" s="76" t="str">
        <f aca="false">IFERROR(__xludf.dummyfunction("""COMPUTED_VALUE"""),"")</f>
        <v/>
      </c>
      <c r="I766" s="50" t="str">
        <f aca="false">IFERROR(__xludf.dummyfunction("""COMPUTED_VALUE"""),"")</f>
        <v/>
      </c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  <c r="DY766" s="15"/>
      <c r="DZ766" s="15"/>
      <c r="EA766" s="15"/>
      <c r="EB766" s="15"/>
      <c r="EC766" s="15"/>
      <c r="ED766" s="15"/>
      <c r="EE766" s="15"/>
      <c r="EF766" s="15"/>
      <c r="EG766" s="15"/>
      <c r="EH766" s="15"/>
      <c r="EI766" s="15"/>
      <c r="EJ766" s="15"/>
      <c r="EK766" s="15"/>
      <c r="EL766" s="15"/>
      <c r="EM766" s="15"/>
      <c r="EN766" s="15"/>
      <c r="EO766" s="15"/>
      <c r="EP766" s="15"/>
      <c r="EQ766" s="15"/>
      <c r="ER766" s="15"/>
      <c r="ES766" s="15"/>
      <c r="ET766" s="15"/>
      <c r="EU766" s="15"/>
      <c r="EV766" s="15"/>
      <c r="EW766" s="15"/>
      <c r="EX766" s="15"/>
    </row>
    <row r="767" customFormat="false" ht="15.75" hidden="false" customHeight="false" outlineLevel="0" collapsed="false">
      <c r="A767" s="76"/>
      <c r="B767" s="77"/>
      <c r="C767" s="77"/>
      <c r="D767" s="78"/>
      <c r="E767" s="72"/>
      <c r="F767" s="68"/>
      <c r="G767" s="15"/>
      <c r="H767" s="76" t="str">
        <f aca="false">IFERROR(__xludf.dummyfunction("""COMPUTED_VALUE"""),"")</f>
        <v/>
      </c>
      <c r="I767" s="50" t="str">
        <f aca="false">IFERROR(__xludf.dummyfunction("""COMPUTED_VALUE"""),"")</f>
        <v/>
      </c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  <c r="DY767" s="15"/>
      <c r="DZ767" s="15"/>
      <c r="EA767" s="15"/>
      <c r="EB767" s="15"/>
      <c r="EC767" s="15"/>
      <c r="ED767" s="15"/>
      <c r="EE767" s="15"/>
      <c r="EF767" s="15"/>
      <c r="EG767" s="15"/>
      <c r="EH767" s="15"/>
      <c r="EI767" s="15"/>
      <c r="EJ767" s="15"/>
      <c r="EK767" s="15"/>
      <c r="EL767" s="15"/>
      <c r="EM767" s="15"/>
      <c r="EN767" s="15"/>
      <c r="EO767" s="15"/>
      <c r="EP767" s="15"/>
      <c r="EQ767" s="15"/>
      <c r="ER767" s="15"/>
      <c r="ES767" s="15"/>
      <c r="ET767" s="15"/>
      <c r="EU767" s="15"/>
      <c r="EV767" s="15"/>
      <c r="EW767" s="15"/>
      <c r="EX767" s="15"/>
    </row>
    <row r="768" customFormat="false" ht="15.75" hidden="false" customHeight="false" outlineLevel="0" collapsed="false">
      <c r="A768" s="76"/>
      <c r="B768" s="77"/>
      <c r="C768" s="77"/>
      <c r="D768" s="78"/>
      <c r="E768" s="72"/>
      <c r="F768" s="68"/>
      <c r="G768" s="15"/>
      <c r="H768" s="76" t="str">
        <f aca="false">IFERROR(__xludf.dummyfunction("""COMPUTED_VALUE"""),"")</f>
        <v/>
      </c>
      <c r="I768" s="50" t="str">
        <f aca="false">IFERROR(__xludf.dummyfunction("""COMPUTED_VALUE"""),"")</f>
        <v/>
      </c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  <c r="DY768" s="15"/>
      <c r="DZ768" s="15"/>
      <c r="EA768" s="15"/>
      <c r="EB768" s="15"/>
      <c r="EC768" s="15"/>
      <c r="ED768" s="15"/>
      <c r="EE768" s="15"/>
      <c r="EF768" s="15"/>
      <c r="EG768" s="15"/>
      <c r="EH768" s="15"/>
      <c r="EI768" s="15"/>
      <c r="EJ768" s="15"/>
      <c r="EK768" s="15"/>
      <c r="EL768" s="15"/>
      <c r="EM768" s="15"/>
      <c r="EN768" s="15"/>
      <c r="EO768" s="15"/>
      <c r="EP768" s="15"/>
      <c r="EQ768" s="15"/>
      <c r="ER768" s="15"/>
      <c r="ES768" s="15"/>
      <c r="ET768" s="15"/>
      <c r="EU768" s="15"/>
      <c r="EV768" s="15"/>
      <c r="EW768" s="15"/>
      <c r="EX768" s="15"/>
    </row>
    <row r="769" customFormat="false" ht="15.75" hidden="false" customHeight="false" outlineLevel="0" collapsed="false">
      <c r="A769" s="76"/>
      <c r="B769" s="77"/>
      <c r="C769" s="77"/>
      <c r="D769" s="78"/>
      <c r="E769" s="72"/>
      <c r="F769" s="68"/>
      <c r="G769" s="15"/>
      <c r="H769" s="76" t="str">
        <f aca="false">IFERROR(__xludf.dummyfunction("""COMPUTED_VALUE"""),"")</f>
        <v/>
      </c>
      <c r="I769" s="50" t="str">
        <f aca="false">IFERROR(__xludf.dummyfunction("""COMPUTED_VALUE"""),"")</f>
        <v/>
      </c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  <c r="DY769" s="15"/>
      <c r="DZ769" s="15"/>
      <c r="EA769" s="15"/>
      <c r="EB769" s="15"/>
      <c r="EC769" s="15"/>
      <c r="ED769" s="15"/>
      <c r="EE769" s="15"/>
      <c r="EF769" s="15"/>
      <c r="EG769" s="15"/>
      <c r="EH769" s="15"/>
      <c r="EI769" s="15"/>
      <c r="EJ769" s="15"/>
      <c r="EK769" s="15"/>
      <c r="EL769" s="15"/>
      <c r="EM769" s="15"/>
      <c r="EN769" s="15"/>
      <c r="EO769" s="15"/>
      <c r="EP769" s="15"/>
      <c r="EQ769" s="15"/>
      <c r="ER769" s="15"/>
      <c r="ES769" s="15"/>
      <c r="ET769" s="15"/>
      <c r="EU769" s="15"/>
      <c r="EV769" s="15"/>
      <c r="EW769" s="15"/>
      <c r="EX769" s="15"/>
    </row>
    <row r="770" customFormat="false" ht="15.75" hidden="false" customHeight="false" outlineLevel="0" collapsed="false">
      <c r="A770" s="76"/>
      <c r="B770" s="77"/>
      <c r="C770" s="77"/>
      <c r="D770" s="78"/>
      <c r="E770" s="72"/>
      <c r="F770" s="68"/>
      <c r="G770" s="15"/>
      <c r="H770" s="76" t="str">
        <f aca="false">IFERROR(__xludf.dummyfunction("""COMPUTED_VALUE"""),"")</f>
        <v/>
      </c>
      <c r="I770" s="50" t="str">
        <f aca="false">IFERROR(__xludf.dummyfunction("""COMPUTED_VALUE"""),"")</f>
        <v/>
      </c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  <c r="DY770" s="15"/>
      <c r="DZ770" s="15"/>
      <c r="EA770" s="15"/>
      <c r="EB770" s="15"/>
      <c r="EC770" s="15"/>
      <c r="ED770" s="15"/>
      <c r="EE770" s="15"/>
      <c r="EF770" s="15"/>
      <c r="EG770" s="15"/>
      <c r="EH770" s="15"/>
      <c r="EI770" s="15"/>
      <c r="EJ770" s="15"/>
      <c r="EK770" s="15"/>
      <c r="EL770" s="15"/>
      <c r="EM770" s="15"/>
      <c r="EN770" s="15"/>
      <c r="EO770" s="15"/>
      <c r="EP770" s="15"/>
      <c r="EQ770" s="15"/>
      <c r="ER770" s="15"/>
      <c r="ES770" s="15"/>
      <c r="ET770" s="15"/>
      <c r="EU770" s="15"/>
      <c r="EV770" s="15"/>
      <c r="EW770" s="15"/>
      <c r="EX770" s="15"/>
    </row>
    <row r="771" customFormat="false" ht="15.75" hidden="false" customHeight="false" outlineLevel="0" collapsed="false">
      <c r="A771" s="76"/>
      <c r="B771" s="77"/>
      <c r="C771" s="77"/>
      <c r="D771" s="78"/>
      <c r="E771" s="72"/>
      <c r="F771" s="68"/>
      <c r="G771" s="15"/>
      <c r="H771" s="76" t="str">
        <f aca="false">IFERROR(__xludf.dummyfunction("""COMPUTED_VALUE"""),"")</f>
        <v/>
      </c>
      <c r="I771" s="50" t="str">
        <f aca="false">IFERROR(__xludf.dummyfunction("""COMPUTED_VALUE"""),"")</f>
        <v/>
      </c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  <c r="DY771" s="15"/>
      <c r="DZ771" s="15"/>
      <c r="EA771" s="15"/>
      <c r="EB771" s="15"/>
      <c r="EC771" s="15"/>
      <c r="ED771" s="15"/>
      <c r="EE771" s="15"/>
      <c r="EF771" s="15"/>
      <c r="EG771" s="15"/>
      <c r="EH771" s="15"/>
      <c r="EI771" s="15"/>
      <c r="EJ771" s="15"/>
      <c r="EK771" s="15"/>
      <c r="EL771" s="15"/>
      <c r="EM771" s="15"/>
      <c r="EN771" s="15"/>
      <c r="EO771" s="15"/>
      <c r="EP771" s="15"/>
      <c r="EQ771" s="15"/>
      <c r="ER771" s="15"/>
      <c r="ES771" s="15"/>
      <c r="ET771" s="15"/>
      <c r="EU771" s="15"/>
      <c r="EV771" s="15"/>
      <c r="EW771" s="15"/>
      <c r="EX771" s="15"/>
    </row>
    <row r="772" customFormat="false" ht="15.75" hidden="false" customHeight="false" outlineLevel="0" collapsed="false">
      <c r="A772" s="76"/>
      <c r="B772" s="77"/>
      <c r="C772" s="77"/>
      <c r="D772" s="78"/>
      <c r="E772" s="72"/>
      <c r="F772" s="68"/>
      <c r="G772" s="15"/>
      <c r="H772" s="76" t="str">
        <f aca="false">IFERROR(__xludf.dummyfunction("""COMPUTED_VALUE"""),"")</f>
        <v/>
      </c>
      <c r="I772" s="50" t="str">
        <f aca="false">IFERROR(__xludf.dummyfunction("""COMPUTED_VALUE"""),"")</f>
        <v/>
      </c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  <c r="DY772" s="15"/>
      <c r="DZ772" s="15"/>
      <c r="EA772" s="15"/>
      <c r="EB772" s="15"/>
      <c r="EC772" s="15"/>
      <c r="ED772" s="15"/>
      <c r="EE772" s="15"/>
      <c r="EF772" s="15"/>
      <c r="EG772" s="15"/>
      <c r="EH772" s="15"/>
      <c r="EI772" s="15"/>
      <c r="EJ772" s="15"/>
      <c r="EK772" s="15"/>
      <c r="EL772" s="15"/>
      <c r="EM772" s="15"/>
      <c r="EN772" s="15"/>
      <c r="EO772" s="15"/>
      <c r="EP772" s="15"/>
      <c r="EQ772" s="15"/>
      <c r="ER772" s="15"/>
      <c r="ES772" s="15"/>
      <c r="ET772" s="15"/>
      <c r="EU772" s="15"/>
      <c r="EV772" s="15"/>
      <c r="EW772" s="15"/>
      <c r="EX772" s="15"/>
    </row>
    <row r="773" customFormat="false" ht="15.75" hidden="false" customHeight="false" outlineLevel="0" collapsed="false">
      <c r="A773" s="76"/>
      <c r="B773" s="77"/>
      <c r="C773" s="77"/>
      <c r="D773" s="78"/>
      <c r="E773" s="72"/>
      <c r="F773" s="68"/>
      <c r="G773" s="15"/>
      <c r="H773" s="76" t="str">
        <f aca="false">IFERROR(__xludf.dummyfunction("""COMPUTED_VALUE"""),"")</f>
        <v/>
      </c>
      <c r="I773" s="50" t="str">
        <f aca="false">IFERROR(__xludf.dummyfunction("""COMPUTED_VALUE"""),"")</f>
        <v/>
      </c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  <c r="DY773" s="15"/>
      <c r="DZ773" s="15"/>
      <c r="EA773" s="15"/>
      <c r="EB773" s="15"/>
      <c r="EC773" s="15"/>
      <c r="ED773" s="15"/>
      <c r="EE773" s="15"/>
      <c r="EF773" s="15"/>
      <c r="EG773" s="15"/>
      <c r="EH773" s="15"/>
      <c r="EI773" s="15"/>
      <c r="EJ773" s="15"/>
      <c r="EK773" s="15"/>
      <c r="EL773" s="15"/>
      <c r="EM773" s="15"/>
      <c r="EN773" s="15"/>
      <c r="EO773" s="15"/>
      <c r="EP773" s="15"/>
      <c r="EQ773" s="15"/>
      <c r="ER773" s="15"/>
      <c r="ES773" s="15"/>
      <c r="ET773" s="15"/>
      <c r="EU773" s="15"/>
      <c r="EV773" s="15"/>
      <c r="EW773" s="15"/>
      <c r="EX773" s="15"/>
    </row>
    <row r="774" customFormat="false" ht="15.75" hidden="false" customHeight="false" outlineLevel="0" collapsed="false">
      <c r="A774" s="76"/>
      <c r="B774" s="77"/>
      <c r="C774" s="77"/>
      <c r="D774" s="78"/>
      <c r="E774" s="72"/>
      <c r="F774" s="68"/>
      <c r="G774" s="15"/>
      <c r="H774" s="76" t="str">
        <f aca="false">IFERROR(__xludf.dummyfunction("""COMPUTED_VALUE"""),"")</f>
        <v/>
      </c>
      <c r="I774" s="50" t="str">
        <f aca="false">IFERROR(__xludf.dummyfunction("""COMPUTED_VALUE"""),"")</f>
        <v/>
      </c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  <c r="DY774" s="15"/>
      <c r="DZ774" s="15"/>
      <c r="EA774" s="15"/>
      <c r="EB774" s="15"/>
      <c r="EC774" s="15"/>
      <c r="ED774" s="15"/>
      <c r="EE774" s="15"/>
      <c r="EF774" s="15"/>
      <c r="EG774" s="15"/>
      <c r="EH774" s="15"/>
      <c r="EI774" s="15"/>
      <c r="EJ774" s="15"/>
      <c r="EK774" s="15"/>
      <c r="EL774" s="15"/>
      <c r="EM774" s="15"/>
      <c r="EN774" s="15"/>
      <c r="EO774" s="15"/>
      <c r="EP774" s="15"/>
      <c r="EQ774" s="15"/>
      <c r="ER774" s="15"/>
      <c r="ES774" s="15"/>
      <c r="ET774" s="15"/>
      <c r="EU774" s="15"/>
      <c r="EV774" s="15"/>
      <c r="EW774" s="15"/>
      <c r="EX774" s="15"/>
    </row>
    <row r="775" customFormat="false" ht="15.75" hidden="false" customHeight="false" outlineLevel="0" collapsed="false">
      <c r="A775" s="76"/>
      <c r="B775" s="77"/>
      <c r="C775" s="77"/>
      <c r="D775" s="78"/>
      <c r="E775" s="72"/>
      <c r="F775" s="68"/>
      <c r="G775" s="15"/>
      <c r="H775" s="76" t="str">
        <f aca="false">IFERROR(__xludf.dummyfunction("""COMPUTED_VALUE"""),"")</f>
        <v/>
      </c>
      <c r="I775" s="50" t="str">
        <f aca="false">IFERROR(__xludf.dummyfunction("""COMPUTED_VALUE"""),"")</f>
        <v/>
      </c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  <c r="DY775" s="15"/>
      <c r="DZ775" s="15"/>
      <c r="EA775" s="15"/>
      <c r="EB775" s="15"/>
      <c r="EC775" s="15"/>
      <c r="ED775" s="15"/>
      <c r="EE775" s="15"/>
      <c r="EF775" s="15"/>
      <c r="EG775" s="15"/>
      <c r="EH775" s="15"/>
      <c r="EI775" s="15"/>
      <c r="EJ775" s="15"/>
      <c r="EK775" s="15"/>
      <c r="EL775" s="15"/>
      <c r="EM775" s="15"/>
      <c r="EN775" s="15"/>
      <c r="EO775" s="15"/>
      <c r="EP775" s="15"/>
      <c r="EQ775" s="15"/>
      <c r="ER775" s="15"/>
      <c r="ES775" s="15"/>
      <c r="ET775" s="15"/>
      <c r="EU775" s="15"/>
      <c r="EV775" s="15"/>
      <c r="EW775" s="15"/>
      <c r="EX775" s="15"/>
    </row>
    <row r="776" customFormat="false" ht="15.75" hidden="false" customHeight="false" outlineLevel="0" collapsed="false">
      <c r="A776" s="76"/>
      <c r="B776" s="77"/>
      <c r="C776" s="77"/>
      <c r="D776" s="78"/>
      <c r="E776" s="72"/>
      <c r="F776" s="68"/>
      <c r="G776" s="15"/>
      <c r="H776" s="76" t="str">
        <f aca="false">IFERROR(__xludf.dummyfunction("""COMPUTED_VALUE"""),"")</f>
        <v/>
      </c>
      <c r="I776" s="50" t="str">
        <f aca="false">IFERROR(__xludf.dummyfunction("""COMPUTED_VALUE"""),"")</f>
        <v/>
      </c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  <c r="DY776" s="15"/>
      <c r="DZ776" s="15"/>
      <c r="EA776" s="15"/>
      <c r="EB776" s="15"/>
      <c r="EC776" s="15"/>
      <c r="ED776" s="15"/>
      <c r="EE776" s="15"/>
      <c r="EF776" s="15"/>
      <c r="EG776" s="15"/>
      <c r="EH776" s="15"/>
      <c r="EI776" s="15"/>
      <c r="EJ776" s="15"/>
      <c r="EK776" s="15"/>
      <c r="EL776" s="15"/>
      <c r="EM776" s="15"/>
      <c r="EN776" s="15"/>
      <c r="EO776" s="15"/>
      <c r="EP776" s="15"/>
      <c r="EQ776" s="15"/>
      <c r="ER776" s="15"/>
      <c r="ES776" s="15"/>
      <c r="ET776" s="15"/>
      <c r="EU776" s="15"/>
      <c r="EV776" s="15"/>
      <c r="EW776" s="15"/>
      <c r="EX776" s="15"/>
    </row>
    <row r="777" customFormat="false" ht="15.75" hidden="false" customHeight="false" outlineLevel="0" collapsed="false">
      <c r="A777" s="76"/>
      <c r="B777" s="77"/>
      <c r="C777" s="77"/>
      <c r="D777" s="78"/>
      <c r="E777" s="72"/>
      <c r="F777" s="68"/>
      <c r="G777" s="15"/>
      <c r="H777" s="76" t="str">
        <f aca="false">IFERROR(__xludf.dummyfunction("""COMPUTED_VALUE"""),"")</f>
        <v/>
      </c>
      <c r="I777" s="50" t="str">
        <f aca="false">IFERROR(__xludf.dummyfunction("""COMPUTED_VALUE"""),"")</f>
        <v/>
      </c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  <c r="DY777" s="15"/>
      <c r="DZ777" s="15"/>
      <c r="EA777" s="15"/>
      <c r="EB777" s="15"/>
      <c r="EC777" s="15"/>
      <c r="ED777" s="15"/>
      <c r="EE777" s="15"/>
      <c r="EF777" s="15"/>
      <c r="EG777" s="15"/>
      <c r="EH777" s="15"/>
      <c r="EI777" s="15"/>
      <c r="EJ777" s="15"/>
      <c r="EK777" s="15"/>
      <c r="EL777" s="15"/>
      <c r="EM777" s="15"/>
      <c r="EN777" s="15"/>
      <c r="EO777" s="15"/>
      <c r="EP777" s="15"/>
      <c r="EQ777" s="15"/>
      <c r="ER777" s="15"/>
      <c r="ES777" s="15"/>
      <c r="ET777" s="15"/>
      <c r="EU777" s="15"/>
      <c r="EV777" s="15"/>
      <c r="EW777" s="15"/>
      <c r="EX777" s="15"/>
    </row>
    <row r="778" customFormat="false" ht="15.75" hidden="false" customHeight="false" outlineLevel="0" collapsed="false">
      <c r="A778" s="76"/>
      <c r="B778" s="77"/>
      <c r="C778" s="77"/>
      <c r="D778" s="78"/>
      <c r="E778" s="72"/>
      <c r="F778" s="68"/>
      <c r="G778" s="15"/>
      <c r="H778" s="76" t="str">
        <f aca="false">IFERROR(__xludf.dummyfunction("""COMPUTED_VALUE"""),"")</f>
        <v/>
      </c>
      <c r="I778" s="50" t="str">
        <f aca="false">IFERROR(__xludf.dummyfunction("""COMPUTED_VALUE"""),"")</f>
        <v/>
      </c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  <c r="DY778" s="15"/>
      <c r="DZ778" s="15"/>
      <c r="EA778" s="15"/>
      <c r="EB778" s="15"/>
      <c r="EC778" s="15"/>
      <c r="ED778" s="15"/>
      <c r="EE778" s="15"/>
      <c r="EF778" s="15"/>
      <c r="EG778" s="15"/>
      <c r="EH778" s="15"/>
      <c r="EI778" s="15"/>
      <c r="EJ778" s="15"/>
      <c r="EK778" s="15"/>
      <c r="EL778" s="15"/>
      <c r="EM778" s="15"/>
      <c r="EN778" s="15"/>
      <c r="EO778" s="15"/>
      <c r="EP778" s="15"/>
      <c r="EQ778" s="15"/>
      <c r="ER778" s="15"/>
      <c r="ES778" s="15"/>
      <c r="ET778" s="15"/>
      <c r="EU778" s="15"/>
      <c r="EV778" s="15"/>
      <c r="EW778" s="15"/>
      <c r="EX778" s="15"/>
    </row>
    <row r="779" customFormat="false" ht="15.75" hidden="false" customHeight="false" outlineLevel="0" collapsed="false">
      <c r="A779" s="76"/>
      <c r="B779" s="77"/>
      <c r="C779" s="77"/>
      <c r="D779" s="78"/>
      <c r="E779" s="72"/>
      <c r="F779" s="68"/>
      <c r="G779" s="15"/>
      <c r="H779" s="76" t="str">
        <f aca="false">IFERROR(__xludf.dummyfunction("""COMPUTED_VALUE"""),"")</f>
        <v/>
      </c>
      <c r="I779" s="50" t="str">
        <f aca="false">IFERROR(__xludf.dummyfunction("""COMPUTED_VALUE"""),"")</f>
        <v/>
      </c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  <c r="DY779" s="15"/>
      <c r="DZ779" s="15"/>
      <c r="EA779" s="15"/>
      <c r="EB779" s="15"/>
      <c r="EC779" s="15"/>
      <c r="ED779" s="15"/>
      <c r="EE779" s="15"/>
      <c r="EF779" s="15"/>
      <c r="EG779" s="15"/>
      <c r="EH779" s="15"/>
      <c r="EI779" s="15"/>
      <c r="EJ779" s="15"/>
      <c r="EK779" s="15"/>
      <c r="EL779" s="15"/>
      <c r="EM779" s="15"/>
      <c r="EN779" s="15"/>
      <c r="EO779" s="15"/>
      <c r="EP779" s="15"/>
      <c r="EQ779" s="15"/>
      <c r="ER779" s="15"/>
      <c r="ES779" s="15"/>
      <c r="ET779" s="15"/>
      <c r="EU779" s="15"/>
      <c r="EV779" s="15"/>
      <c r="EW779" s="15"/>
      <c r="EX779" s="15"/>
    </row>
    <row r="780" customFormat="false" ht="15.75" hidden="false" customHeight="false" outlineLevel="0" collapsed="false">
      <c r="A780" s="76"/>
      <c r="B780" s="77"/>
      <c r="C780" s="77"/>
      <c r="D780" s="78"/>
      <c r="E780" s="72"/>
      <c r="F780" s="68"/>
      <c r="G780" s="15"/>
      <c r="H780" s="76" t="str">
        <f aca="false">IFERROR(__xludf.dummyfunction("""COMPUTED_VALUE"""),"")</f>
        <v/>
      </c>
      <c r="I780" s="50" t="str">
        <f aca="false">IFERROR(__xludf.dummyfunction("""COMPUTED_VALUE"""),"")</f>
        <v/>
      </c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  <c r="DY780" s="15"/>
      <c r="DZ780" s="15"/>
      <c r="EA780" s="15"/>
      <c r="EB780" s="15"/>
      <c r="EC780" s="15"/>
      <c r="ED780" s="15"/>
      <c r="EE780" s="15"/>
      <c r="EF780" s="15"/>
      <c r="EG780" s="15"/>
      <c r="EH780" s="15"/>
      <c r="EI780" s="15"/>
      <c r="EJ780" s="15"/>
      <c r="EK780" s="15"/>
      <c r="EL780" s="15"/>
      <c r="EM780" s="15"/>
      <c r="EN780" s="15"/>
      <c r="EO780" s="15"/>
      <c r="EP780" s="15"/>
      <c r="EQ780" s="15"/>
      <c r="ER780" s="15"/>
      <c r="ES780" s="15"/>
      <c r="ET780" s="15"/>
      <c r="EU780" s="15"/>
      <c r="EV780" s="15"/>
      <c r="EW780" s="15"/>
      <c r="EX780" s="15"/>
    </row>
    <row r="781" customFormat="false" ht="15.75" hidden="false" customHeight="false" outlineLevel="0" collapsed="false">
      <c r="A781" s="76"/>
      <c r="B781" s="77"/>
      <c r="C781" s="77"/>
      <c r="D781" s="78"/>
      <c r="E781" s="72"/>
      <c r="F781" s="68"/>
      <c r="G781" s="15"/>
      <c r="H781" s="76" t="str">
        <f aca="false">IFERROR(__xludf.dummyfunction("""COMPUTED_VALUE"""),"")</f>
        <v/>
      </c>
      <c r="I781" s="50" t="str">
        <f aca="false">IFERROR(__xludf.dummyfunction("""COMPUTED_VALUE"""),"")</f>
        <v/>
      </c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  <c r="DY781" s="15"/>
      <c r="DZ781" s="15"/>
      <c r="EA781" s="15"/>
      <c r="EB781" s="15"/>
      <c r="EC781" s="15"/>
      <c r="ED781" s="15"/>
      <c r="EE781" s="15"/>
      <c r="EF781" s="15"/>
      <c r="EG781" s="15"/>
      <c r="EH781" s="15"/>
      <c r="EI781" s="15"/>
      <c r="EJ781" s="15"/>
      <c r="EK781" s="15"/>
      <c r="EL781" s="15"/>
      <c r="EM781" s="15"/>
      <c r="EN781" s="15"/>
      <c r="EO781" s="15"/>
      <c r="EP781" s="15"/>
      <c r="EQ781" s="15"/>
      <c r="ER781" s="15"/>
      <c r="ES781" s="15"/>
      <c r="ET781" s="15"/>
      <c r="EU781" s="15"/>
      <c r="EV781" s="15"/>
      <c r="EW781" s="15"/>
      <c r="EX781" s="15"/>
    </row>
    <row r="782" customFormat="false" ht="15.75" hidden="false" customHeight="false" outlineLevel="0" collapsed="false">
      <c r="A782" s="76"/>
      <c r="B782" s="77"/>
      <c r="C782" s="77"/>
      <c r="D782" s="78"/>
      <c r="E782" s="72"/>
      <c r="F782" s="68"/>
      <c r="G782" s="15"/>
      <c r="H782" s="76" t="str">
        <f aca="false">IFERROR(__xludf.dummyfunction("""COMPUTED_VALUE"""),"")</f>
        <v/>
      </c>
      <c r="I782" s="50" t="str">
        <f aca="false">IFERROR(__xludf.dummyfunction("""COMPUTED_VALUE"""),"")</f>
        <v/>
      </c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  <c r="DY782" s="15"/>
      <c r="DZ782" s="15"/>
      <c r="EA782" s="15"/>
      <c r="EB782" s="15"/>
      <c r="EC782" s="15"/>
      <c r="ED782" s="15"/>
      <c r="EE782" s="15"/>
      <c r="EF782" s="15"/>
      <c r="EG782" s="15"/>
      <c r="EH782" s="15"/>
      <c r="EI782" s="15"/>
      <c r="EJ782" s="15"/>
      <c r="EK782" s="15"/>
      <c r="EL782" s="15"/>
      <c r="EM782" s="15"/>
      <c r="EN782" s="15"/>
      <c r="EO782" s="15"/>
      <c r="EP782" s="15"/>
      <c r="EQ782" s="15"/>
      <c r="ER782" s="15"/>
      <c r="ES782" s="15"/>
      <c r="ET782" s="15"/>
      <c r="EU782" s="15"/>
      <c r="EV782" s="15"/>
      <c r="EW782" s="15"/>
      <c r="EX782" s="15"/>
    </row>
    <row r="783" customFormat="false" ht="15.75" hidden="false" customHeight="false" outlineLevel="0" collapsed="false">
      <c r="A783" s="76"/>
      <c r="B783" s="77"/>
      <c r="C783" s="77"/>
      <c r="D783" s="78"/>
      <c r="E783" s="72"/>
      <c r="F783" s="68"/>
      <c r="G783" s="15"/>
      <c r="H783" s="76" t="str">
        <f aca="false">IFERROR(__xludf.dummyfunction("""COMPUTED_VALUE"""),"")</f>
        <v/>
      </c>
      <c r="I783" s="50" t="str">
        <f aca="false">IFERROR(__xludf.dummyfunction("""COMPUTED_VALUE"""),"")</f>
        <v/>
      </c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  <c r="DY783" s="15"/>
      <c r="DZ783" s="15"/>
      <c r="EA783" s="15"/>
      <c r="EB783" s="15"/>
      <c r="EC783" s="15"/>
      <c r="ED783" s="15"/>
      <c r="EE783" s="15"/>
      <c r="EF783" s="15"/>
      <c r="EG783" s="15"/>
      <c r="EH783" s="15"/>
      <c r="EI783" s="15"/>
      <c r="EJ783" s="15"/>
      <c r="EK783" s="15"/>
      <c r="EL783" s="15"/>
      <c r="EM783" s="15"/>
      <c r="EN783" s="15"/>
      <c r="EO783" s="15"/>
      <c r="EP783" s="15"/>
      <c r="EQ783" s="15"/>
      <c r="ER783" s="15"/>
      <c r="ES783" s="15"/>
      <c r="ET783" s="15"/>
      <c r="EU783" s="15"/>
      <c r="EV783" s="15"/>
      <c r="EW783" s="15"/>
      <c r="EX783" s="15"/>
    </row>
    <row r="784" customFormat="false" ht="15.75" hidden="false" customHeight="false" outlineLevel="0" collapsed="false">
      <c r="A784" s="76"/>
      <c r="B784" s="77"/>
      <c r="C784" s="77"/>
      <c r="D784" s="78"/>
      <c r="E784" s="72"/>
      <c r="F784" s="68"/>
      <c r="G784" s="15"/>
      <c r="H784" s="76" t="str">
        <f aca="false">IFERROR(__xludf.dummyfunction("""COMPUTED_VALUE"""),"")</f>
        <v/>
      </c>
      <c r="I784" s="50" t="str">
        <f aca="false">IFERROR(__xludf.dummyfunction("""COMPUTED_VALUE"""),"")</f>
        <v/>
      </c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  <c r="DY784" s="15"/>
      <c r="DZ784" s="15"/>
      <c r="EA784" s="15"/>
      <c r="EB784" s="15"/>
      <c r="EC784" s="15"/>
      <c r="ED784" s="15"/>
      <c r="EE784" s="15"/>
      <c r="EF784" s="15"/>
      <c r="EG784" s="15"/>
      <c r="EH784" s="15"/>
      <c r="EI784" s="15"/>
      <c r="EJ784" s="15"/>
      <c r="EK784" s="15"/>
      <c r="EL784" s="15"/>
      <c r="EM784" s="15"/>
      <c r="EN784" s="15"/>
      <c r="EO784" s="15"/>
      <c r="EP784" s="15"/>
      <c r="EQ784" s="15"/>
      <c r="ER784" s="15"/>
      <c r="ES784" s="15"/>
      <c r="ET784" s="15"/>
      <c r="EU784" s="15"/>
      <c r="EV784" s="15"/>
      <c r="EW784" s="15"/>
      <c r="EX784" s="15"/>
    </row>
    <row r="785" customFormat="false" ht="15.75" hidden="false" customHeight="false" outlineLevel="0" collapsed="false">
      <c r="A785" s="76"/>
      <c r="B785" s="77"/>
      <c r="C785" s="77"/>
      <c r="D785" s="78"/>
      <c r="E785" s="72"/>
      <c r="F785" s="68"/>
      <c r="G785" s="15"/>
      <c r="H785" s="76" t="str">
        <f aca="false">IFERROR(__xludf.dummyfunction("""COMPUTED_VALUE"""),"")</f>
        <v/>
      </c>
      <c r="I785" s="50" t="str">
        <f aca="false">IFERROR(__xludf.dummyfunction("""COMPUTED_VALUE"""),"")</f>
        <v/>
      </c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  <c r="DY785" s="15"/>
      <c r="DZ785" s="15"/>
      <c r="EA785" s="15"/>
      <c r="EB785" s="15"/>
      <c r="EC785" s="15"/>
      <c r="ED785" s="15"/>
      <c r="EE785" s="15"/>
      <c r="EF785" s="15"/>
      <c r="EG785" s="15"/>
      <c r="EH785" s="15"/>
      <c r="EI785" s="15"/>
      <c r="EJ785" s="15"/>
      <c r="EK785" s="15"/>
      <c r="EL785" s="15"/>
      <c r="EM785" s="15"/>
      <c r="EN785" s="15"/>
      <c r="EO785" s="15"/>
      <c r="EP785" s="15"/>
      <c r="EQ785" s="15"/>
      <c r="ER785" s="15"/>
      <c r="ES785" s="15"/>
      <c r="ET785" s="15"/>
      <c r="EU785" s="15"/>
      <c r="EV785" s="15"/>
      <c r="EW785" s="15"/>
      <c r="EX785" s="15"/>
    </row>
    <row r="786" customFormat="false" ht="15.75" hidden="false" customHeight="false" outlineLevel="0" collapsed="false">
      <c r="A786" s="76"/>
      <c r="B786" s="77"/>
      <c r="C786" s="77"/>
      <c r="D786" s="78"/>
      <c r="E786" s="72"/>
      <c r="F786" s="68"/>
      <c r="G786" s="15"/>
      <c r="H786" s="76" t="str">
        <f aca="false">IFERROR(__xludf.dummyfunction("""COMPUTED_VALUE"""),"")</f>
        <v/>
      </c>
      <c r="I786" s="50" t="str">
        <f aca="false">IFERROR(__xludf.dummyfunction("""COMPUTED_VALUE"""),"")</f>
        <v/>
      </c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  <c r="DY786" s="15"/>
      <c r="DZ786" s="15"/>
      <c r="EA786" s="15"/>
      <c r="EB786" s="15"/>
      <c r="EC786" s="15"/>
      <c r="ED786" s="15"/>
      <c r="EE786" s="15"/>
      <c r="EF786" s="15"/>
      <c r="EG786" s="15"/>
      <c r="EH786" s="15"/>
      <c r="EI786" s="15"/>
      <c r="EJ786" s="15"/>
      <c r="EK786" s="15"/>
      <c r="EL786" s="15"/>
      <c r="EM786" s="15"/>
      <c r="EN786" s="15"/>
      <c r="EO786" s="15"/>
      <c r="EP786" s="15"/>
      <c r="EQ786" s="15"/>
      <c r="ER786" s="15"/>
      <c r="ES786" s="15"/>
      <c r="ET786" s="15"/>
      <c r="EU786" s="15"/>
      <c r="EV786" s="15"/>
      <c r="EW786" s="15"/>
      <c r="EX786" s="15"/>
    </row>
    <row r="787" customFormat="false" ht="15.75" hidden="false" customHeight="false" outlineLevel="0" collapsed="false">
      <c r="A787" s="76"/>
      <c r="B787" s="77"/>
      <c r="C787" s="77"/>
      <c r="D787" s="78"/>
      <c r="E787" s="72"/>
      <c r="F787" s="68"/>
      <c r="G787" s="15"/>
      <c r="H787" s="76" t="str">
        <f aca="false">IFERROR(__xludf.dummyfunction("""COMPUTED_VALUE"""),"")</f>
        <v/>
      </c>
      <c r="I787" s="50" t="str">
        <f aca="false">IFERROR(__xludf.dummyfunction("""COMPUTED_VALUE"""),"")</f>
        <v/>
      </c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  <c r="DY787" s="15"/>
      <c r="DZ787" s="15"/>
      <c r="EA787" s="15"/>
      <c r="EB787" s="15"/>
      <c r="EC787" s="15"/>
      <c r="ED787" s="15"/>
      <c r="EE787" s="15"/>
      <c r="EF787" s="15"/>
      <c r="EG787" s="15"/>
      <c r="EH787" s="15"/>
      <c r="EI787" s="15"/>
      <c r="EJ787" s="15"/>
      <c r="EK787" s="15"/>
      <c r="EL787" s="15"/>
      <c r="EM787" s="15"/>
      <c r="EN787" s="15"/>
      <c r="EO787" s="15"/>
      <c r="EP787" s="15"/>
      <c r="EQ787" s="15"/>
      <c r="ER787" s="15"/>
      <c r="ES787" s="15"/>
      <c r="ET787" s="15"/>
      <c r="EU787" s="15"/>
      <c r="EV787" s="15"/>
      <c r="EW787" s="15"/>
      <c r="EX787" s="15"/>
    </row>
    <row r="788" customFormat="false" ht="15.75" hidden="false" customHeight="false" outlineLevel="0" collapsed="false">
      <c r="A788" s="76"/>
      <c r="B788" s="77"/>
      <c r="C788" s="77"/>
      <c r="D788" s="78"/>
      <c r="E788" s="72"/>
      <c r="F788" s="68"/>
      <c r="G788" s="15"/>
      <c r="H788" s="76" t="str">
        <f aca="false">IFERROR(__xludf.dummyfunction("""COMPUTED_VALUE"""),"")</f>
        <v/>
      </c>
      <c r="I788" s="50" t="str">
        <f aca="false">IFERROR(__xludf.dummyfunction("""COMPUTED_VALUE"""),"")</f>
        <v/>
      </c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  <c r="DY788" s="15"/>
      <c r="DZ788" s="15"/>
      <c r="EA788" s="15"/>
      <c r="EB788" s="15"/>
      <c r="EC788" s="15"/>
      <c r="ED788" s="15"/>
      <c r="EE788" s="15"/>
      <c r="EF788" s="15"/>
      <c r="EG788" s="15"/>
      <c r="EH788" s="15"/>
      <c r="EI788" s="15"/>
      <c r="EJ788" s="15"/>
      <c r="EK788" s="15"/>
      <c r="EL788" s="15"/>
      <c r="EM788" s="15"/>
      <c r="EN788" s="15"/>
      <c r="EO788" s="15"/>
      <c r="EP788" s="15"/>
      <c r="EQ788" s="15"/>
      <c r="ER788" s="15"/>
      <c r="ES788" s="15"/>
      <c r="ET788" s="15"/>
      <c r="EU788" s="15"/>
      <c r="EV788" s="15"/>
      <c r="EW788" s="15"/>
      <c r="EX788" s="15"/>
    </row>
    <row r="789" customFormat="false" ht="15.75" hidden="false" customHeight="false" outlineLevel="0" collapsed="false">
      <c r="A789" s="76"/>
      <c r="B789" s="77"/>
      <c r="C789" s="77"/>
      <c r="D789" s="78"/>
      <c r="E789" s="72"/>
      <c r="F789" s="68"/>
      <c r="G789" s="15"/>
      <c r="H789" s="76" t="str">
        <f aca="false">IFERROR(__xludf.dummyfunction("""COMPUTED_VALUE"""),"")</f>
        <v/>
      </c>
      <c r="I789" s="50" t="str">
        <f aca="false">IFERROR(__xludf.dummyfunction("""COMPUTED_VALUE"""),"")</f>
        <v/>
      </c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  <c r="DY789" s="15"/>
      <c r="DZ789" s="15"/>
      <c r="EA789" s="15"/>
      <c r="EB789" s="15"/>
      <c r="EC789" s="15"/>
      <c r="ED789" s="15"/>
      <c r="EE789" s="15"/>
      <c r="EF789" s="15"/>
      <c r="EG789" s="15"/>
      <c r="EH789" s="15"/>
      <c r="EI789" s="15"/>
      <c r="EJ789" s="15"/>
      <c r="EK789" s="15"/>
      <c r="EL789" s="15"/>
      <c r="EM789" s="15"/>
      <c r="EN789" s="15"/>
      <c r="EO789" s="15"/>
      <c r="EP789" s="15"/>
      <c r="EQ789" s="15"/>
      <c r="ER789" s="15"/>
      <c r="ES789" s="15"/>
      <c r="ET789" s="15"/>
      <c r="EU789" s="15"/>
      <c r="EV789" s="15"/>
      <c r="EW789" s="15"/>
      <c r="EX789" s="15"/>
    </row>
    <row r="790" customFormat="false" ht="15.75" hidden="false" customHeight="false" outlineLevel="0" collapsed="false">
      <c r="A790" s="76"/>
      <c r="B790" s="77"/>
      <c r="C790" s="77"/>
      <c r="D790" s="78"/>
      <c r="E790" s="72"/>
      <c r="F790" s="68"/>
      <c r="G790" s="15"/>
      <c r="H790" s="76" t="str">
        <f aca="false">IFERROR(__xludf.dummyfunction("""COMPUTED_VALUE"""),"")</f>
        <v/>
      </c>
      <c r="I790" s="50" t="str">
        <f aca="false">IFERROR(__xludf.dummyfunction("""COMPUTED_VALUE"""),"")</f>
        <v/>
      </c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  <c r="DY790" s="15"/>
      <c r="DZ790" s="15"/>
      <c r="EA790" s="15"/>
      <c r="EB790" s="15"/>
      <c r="EC790" s="15"/>
      <c r="ED790" s="15"/>
      <c r="EE790" s="15"/>
      <c r="EF790" s="15"/>
      <c r="EG790" s="15"/>
      <c r="EH790" s="15"/>
      <c r="EI790" s="15"/>
      <c r="EJ790" s="15"/>
      <c r="EK790" s="15"/>
      <c r="EL790" s="15"/>
      <c r="EM790" s="15"/>
      <c r="EN790" s="15"/>
      <c r="EO790" s="15"/>
      <c r="EP790" s="15"/>
      <c r="EQ790" s="15"/>
      <c r="ER790" s="15"/>
      <c r="ES790" s="15"/>
      <c r="ET790" s="15"/>
      <c r="EU790" s="15"/>
      <c r="EV790" s="15"/>
      <c r="EW790" s="15"/>
      <c r="EX790" s="15"/>
    </row>
    <row r="791" customFormat="false" ht="15.75" hidden="false" customHeight="false" outlineLevel="0" collapsed="false">
      <c r="A791" s="76"/>
      <c r="B791" s="77"/>
      <c r="C791" s="77"/>
      <c r="D791" s="78"/>
      <c r="E791" s="72"/>
      <c r="F791" s="68"/>
      <c r="G791" s="15"/>
      <c r="H791" s="76" t="str">
        <f aca="false">IFERROR(__xludf.dummyfunction("""COMPUTED_VALUE"""),"")</f>
        <v/>
      </c>
      <c r="I791" s="50" t="str">
        <f aca="false">IFERROR(__xludf.dummyfunction("""COMPUTED_VALUE"""),"")</f>
        <v/>
      </c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  <c r="DY791" s="15"/>
      <c r="DZ791" s="15"/>
      <c r="EA791" s="15"/>
      <c r="EB791" s="15"/>
      <c r="EC791" s="15"/>
      <c r="ED791" s="15"/>
      <c r="EE791" s="15"/>
      <c r="EF791" s="15"/>
      <c r="EG791" s="15"/>
      <c r="EH791" s="15"/>
      <c r="EI791" s="15"/>
      <c r="EJ791" s="15"/>
      <c r="EK791" s="15"/>
      <c r="EL791" s="15"/>
      <c r="EM791" s="15"/>
      <c r="EN791" s="15"/>
      <c r="EO791" s="15"/>
      <c r="EP791" s="15"/>
      <c r="EQ791" s="15"/>
      <c r="ER791" s="15"/>
      <c r="ES791" s="15"/>
      <c r="ET791" s="15"/>
      <c r="EU791" s="15"/>
      <c r="EV791" s="15"/>
      <c r="EW791" s="15"/>
      <c r="EX791" s="15"/>
    </row>
    <row r="792" customFormat="false" ht="15.75" hidden="false" customHeight="false" outlineLevel="0" collapsed="false">
      <c r="A792" s="76"/>
      <c r="B792" s="77"/>
      <c r="C792" s="77"/>
      <c r="D792" s="78"/>
      <c r="E792" s="72"/>
      <c r="F792" s="68"/>
      <c r="G792" s="15"/>
      <c r="H792" s="76" t="str">
        <f aca="false">IFERROR(__xludf.dummyfunction("""COMPUTED_VALUE"""),"")</f>
        <v/>
      </c>
      <c r="I792" s="50" t="str">
        <f aca="false">IFERROR(__xludf.dummyfunction("""COMPUTED_VALUE"""),"")</f>
        <v/>
      </c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  <c r="DY792" s="15"/>
      <c r="DZ792" s="15"/>
      <c r="EA792" s="15"/>
      <c r="EB792" s="15"/>
      <c r="EC792" s="15"/>
      <c r="ED792" s="15"/>
      <c r="EE792" s="15"/>
      <c r="EF792" s="15"/>
      <c r="EG792" s="15"/>
      <c r="EH792" s="15"/>
      <c r="EI792" s="15"/>
      <c r="EJ792" s="15"/>
      <c r="EK792" s="15"/>
      <c r="EL792" s="15"/>
      <c r="EM792" s="15"/>
      <c r="EN792" s="15"/>
      <c r="EO792" s="15"/>
      <c r="EP792" s="15"/>
      <c r="EQ792" s="15"/>
      <c r="ER792" s="15"/>
      <c r="ES792" s="15"/>
      <c r="ET792" s="15"/>
      <c r="EU792" s="15"/>
      <c r="EV792" s="15"/>
      <c r="EW792" s="15"/>
      <c r="EX792" s="15"/>
    </row>
    <row r="793" customFormat="false" ht="15.75" hidden="false" customHeight="false" outlineLevel="0" collapsed="false">
      <c r="A793" s="76"/>
      <c r="B793" s="77"/>
      <c r="C793" s="77"/>
      <c r="D793" s="78"/>
      <c r="E793" s="72"/>
      <c r="F793" s="68"/>
      <c r="G793" s="15"/>
      <c r="H793" s="76" t="str">
        <f aca="false">IFERROR(__xludf.dummyfunction("""COMPUTED_VALUE"""),"")</f>
        <v/>
      </c>
      <c r="I793" s="50" t="str">
        <f aca="false">IFERROR(__xludf.dummyfunction("""COMPUTED_VALUE"""),"")</f>
        <v/>
      </c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  <c r="DY793" s="15"/>
      <c r="DZ793" s="15"/>
      <c r="EA793" s="15"/>
      <c r="EB793" s="15"/>
      <c r="EC793" s="15"/>
      <c r="ED793" s="15"/>
      <c r="EE793" s="15"/>
      <c r="EF793" s="15"/>
      <c r="EG793" s="15"/>
      <c r="EH793" s="15"/>
      <c r="EI793" s="15"/>
      <c r="EJ793" s="15"/>
      <c r="EK793" s="15"/>
      <c r="EL793" s="15"/>
      <c r="EM793" s="15"/>
      <c r="EN793" s="15"/>
      <c r="EO793" s="15"/>
      <c r="EP793" s="15"/>
      <c r="EQ793" s="15"/>
      <c r="ER793" s="15"/>
      <c r="ES793" s="15"/>
      <c r="ET793" s="15"/>
      <c r="EU793" s="15"/>
      <c r="EV793" s="15"/>
      <c r="EW793" s="15"/>
      <c r="EX793" s="15"/>
    </row>
    <row r="794" customFormat="false" ht="15.75" hidden="false" customHeight="false" outlineLevel="0" collapsed="false">
      <c r="A794" s="76"/>
      <c r="B794" s="77"/>
      <c r="C794" s="77"/>
      <c r="D794" s="78"/>
      <c r="E794" s="72"/>
      <c r="F794" s="68"/>
      <c r="G794" s="15"/>
      <c r="H794" s="76" t="str">
        <f aca="false">IFERROR(__xludf.dummyfunction("""COMPUTED_VALUE"""),"")</f>
        <v/>
      </c>
      <c r="I794" s="50" t="str">
        <f aca="false">IFERROR(__xludf.dummyfunction("""COMPUTED_VALUE"""),"")</f>
        <v/>
      </c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  <c r="DY794" s="15"/>
      <c r="DZ794" s="15"/>
      <c r="EA794" s="15"/>
      <c r="EB794" s="15"/>
      <c r="EC794" s="15"/>
      <c r="ED794" s="15"/>
      <c r="EE794" s="15"/>
      <c r="EF794" s="15"/>
      <c r="EG794" s="15"/>
      <c r="EH794" s="15"/>
      <c r="EI794" s="15"/>
      <c r="EJ794" s="15"/>
      <c r="EK794" s="15"/>
      <c r="EL794" s="15"/>
      <c r="EM794" s="15"/>
      <c r="EN794" s="15"/>
      <c r="EO794" s="15"/>
      <c r="EP794" s="15"/>
      <c r="EQ794" s="15"/>
      <c r="ER794" s="15"/>
      <c r="ES794" s="15"/>
      <c r="ET794" s="15"/>
      <c r="EU794" s="15"/>
      <c r="EV794" s="15"/>
      <c r="EW794" s="15"/>
      <c r="EX794" s="15"/>
    </row>
    <row r="795" customFormat="false" ht="15.75" hidden="false" customHeight="false" outlineLevel="0" collapsed="false">
      <c r="A795" s="76"/>
      <c r="B795" s="77"/>
      <c r="C795" s="77"/>
      <c r="D795" s="78"/>
      <c r="E795" s="72"/>
      <c r="F795" s="68"/>
      <c r="G795" s="15"/>
      <c r="H795" s="76" t="str">
        <f aca="false">IFERROR(__xludf.dummyfunction("""COMPUTED_VALUE"""),"")</f>
        <v/>
      </c>
      <c r="I795" s="50" t="str">
        <f aca="false">IFERROR(__xludf.dummyfunction("""COMPUTED_VALUE"""),"")</f>
        <v/>
      </c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  <c r="DY795" s="15"/>
      <c r="DZ795" s="15"/>
      <c r="EA795" s="15"/>
      <c r="EB795" s="15"/>
      <c r="EC795" s="15"/>
      <c r="ED795" s="15"/>
      <c r="EE795" s="15"/>
      <c r="EF795" s="15"/>
      <c r="EG795" s="15"/>
      <c r="EH795" s="15"/>
      <c r="EI795" s="15"/>
      <c r="EJ795" s="15"/>
      <c r="EK795" s="15"/>
      <c r="EL795" s="15"/>
      <c r="EM795" s="15"/>
      <c r="EN795" s="15"/>
      <c r="EO795" s="15"/>
      <c r="EP795" s="15"/>
      <c r="EQ795" s="15"/>
      <c r="ER795" s="15"/>
      <c r="ES795" s="15"/>
      <c r="ET795" s="15"/>
      <c r="EU795" s="15"/>
      <c r="EV795" s="15"/>
      <c r="EW795" s="15"/>
      <c r="EX795" s="15"/>
    </row>
    <row r="796" customFormat="false" ht="15.75" hidden="false" customHeight="false" outlineLevel="0" collapsed="false">
      <c r="A796" s="76"/>
      <c r="B796" s="77"/>
      <c r="C796" s="77"/>
      <c r="D796" s="78"/>
      <c r="E796" s="72"/>
      <c r="F796" s="68"/>
      <c r="G796" s="15"/>
      <c r="H796" s="76" t="str">
        <f aca="false">IFERROR(__xludf.dummyfunction("""COMPUTED_VALUE"""),"")</f>
        <v/>
      </c>
      <c r="I796" s="50" t="str">
        <f aca="false">IFERROR(__xludf.dummyfunction("""COMPUTED_VALUE"""),"")</f>
        <v/>
      </c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  <c r="DY796" s="15"/>
      <c r="DZ796" s="15"/>
      <c r="EA796" s="15"/>
      <c r="EB796" s="15"/>
      <c r="EC796" s="15"/>
      <c r="ED796" s="15"/>
      <c r="EE796" s="15"/>
      <c r="EF796" s="15"/>
      <c r="EG796" s="15"/>
      <c r="EH796" s="15"/>
      <c r="EI796" s="15"/>
      <c r="EJ796" s="15"/>
      <c r="EK796" s="15"/>
      <c r="EL796" s="15"/>
      <c r="EM796" s="15"/>
      <c r="EN796" s="15"/>
      <c r="EO796" s="15"/>
      <c r="EP796" s="15"/>
      <c r="EQ796" s="15"/>
      <c r="ER796" s="15"/>
      <c r="ES796" s="15"/>
      <c r="ET796" s="15"/>
      <c r="EU796" s="15"/>
      <c r="EV796" s="15"/>
      <c r="EW796" s="15"/>
      <c r="EX796" s="15"/>
    </row>
    <row r="797" customFormat="false" ht="15.75" hidden="false" customHeight="false" outlineLevel="0" collapsed="false">
      <c r="A797" s="76"/>
      <c r="B797" s="77"/>
      <c r="C797" s="77"/>
      <c r="D797" s="78"/>
      <c r="E797" s="72"/>
      <c r="F797" s="68"/>
      <c r="G797" s="15"/>
      <c r="H797" s="76" t="str">
        <f aca="false">IFERROR(__xludf.dummyfunction("""COMPUTED_VALUE"""),"")</f>
        <v/>
      </c>
      <c r="I797" s="50" t="str">
        <f aca="false">IFERROR(__xludf.dummyfunction("""COMPUTED_VALUE"""),"")</f>
        <v/>
      </c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  <c r="DY797" s="15"/>
      <c r="DZ797" s="15"/>
      <c r="EA797" s="15"/>
      <c r="EB797" s="15"/>
      <c r="EC797" s="15"/>
      <c r="ED797" s="15"/>
      <c r="EE797" s="15"/>
      <c r="EF797" s="15"/>
      <c r="EG797" s="15"/>
      <c r="EH797" s="15"/>
      <c r="EI797" s="15"/>
      <c r="EJ797" s="15"/>
      <c r="EK797" s="15"/>
      <c r="EL797" s="15"/>
      <c r="EM797" s="15"/>
      <c r="EN797" s="15"/>
      <c r="EO797" s="15"/>
      <c r="EP797" s="15"/>
      <c r="EQ797" s="15"/>
      <c r="ER797" s="15"/>
      <c r="ES797" s="15"/>
      <c r="ET797" s="15"/>
      <c r="EU797" s="15"/>
      <c r="EV797" s="15"/>
      <c r="EW797" s="15"/>
      <c r="EX797" s="15"/>
    </row>
    <row r="798" customFormat="false" ht="15.75" hidden="false" customHeight="false" outlineLevel="0" collapsed="false">
      <c r="A798" s="76"/>
      <c r="B798" s="77"/>
      <c r="C798" s="77"/>
      <c r="D798" s="78"/>
      <c r="E798" s="72"/>
      <c r="F798" s="68"/>
      <c r="G798" s="15"/>
      <c r="H798" s="76" t="str">
        <f aca="false">IFERROR(__xludf.dummyfunction("""COMPUTED_VALUE"""),"")</f>
        <v/>
      </c>
      <c r="I798" s="50" t="str">
        <f aca="false">IFERROR(__xludf.dummyfunction("""COMPUTED_VALUE"""),"")</f>
        <v/>
      </c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  <c r="DY798" s="15"/>
      <c r="DZ798" s="15"/>
      <c r="EA798" s="15"/>
      <c r="EB798" s="15"/>
      <c r="EC798" s="15"/>
      <c r="ED798" s="15"/>
      <c r="EE798" s="15"/>
      <c r="EF798" s="15"/>
      <c r="EG798" s="15"/>
      <c r="EH798" s="15"/>
      <c r="EI798" s="15"/>
      <c r="EJ798" s="15"/>
      <c r="EK798" s="15"/>
      <c r="EL798" s="15"/>
      <c r="EM798" s="15"/>
      <c r="EN798" s="15"/>
      <c r="EO798" s="15"/>
      <c r="EP798" s="15"/>
      <c r="EQ798" s="15"/>
      <c r="ER798" s="15"/>
      <c r="ES798" s="15"/>
      <c r="ET798" s="15"/>
      <c r="EU798" s="15"/>
      <c r="EV798" s="15"/>
      <c r="EW798" s="15"/>
      <c r="EX798" s="15"/>
    </row>
    <row r="799" customFormat="false" ht="15.75" hidden="false" customHeight="false" outlineLevel="0" collapsed="false">
      <c r="A799" s="76"/>
      <c r="B799" s="77"/>
      <c r="C799" s="77"/>
      <c r="D799" s="78"/>
      <c r="E799" s="72"/>
      <c r="F799" s="68"/>
      <c r="G799" s="15"/>
      <c r="H799" s="76" t="str">
        <f aca="false">IFERROR(__xludf.dummyfunction("""COMPUTED_VALUE"""),"")</f>
        <v/>
      </c>
      <c r="I799" s="50" t="str">
        <f aca="false">IFERROR(__xludf.dummyfunction("""COMPUTED_VALUE"""),"")</f>
        <v/>
      </c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  <c r="DY799" s="15"/>
      <c r="DZ799" s="15"/>
      <c r="EA799" s="15"/>
      <c r="EB799" s="15"/>
      <c r="EC799" s="15"/>
      <c r="ED799" s="15"/>
      <c r="EE799" s="15"/>
      <c r="EF799" s="15"/>
      <c r="EG799" s="15"/>
      <c r="EH799" s="15"/>
      <c r="EI799" s="15"/>
      <c r="EJ799" s="15"/>
      <c r="EK799" s="15"/>
      <c r="EL799" s="15"/>
      <c r="EM799" s="15"/>
      <c r="EN799" s="15"/>
      <c r="EO799" s="15"/>
      <c r="EP799" s="15"/>
      <c r="EQ799" s="15"/>
      <c r="ER799" s="15"/>
      <c r="ES799" s="15"/>
      <c r="ET799" s="15"/>
      <c r="EU799" s="15"/>
      <c r="EV799" s="15"/>
      <c r="EW799" s="15"/>
      <c r="EX799" s="15"/>
    </row>
    <row r="800" customFormat="false" ht="15.75" hidden="false" customHeight="false" outlineLevel="0" collapsed="false">
      <c r="A800" s="76"/>
      <c r="B800" s="77"/>
      <c r="C800" s="77"/>
      <c r="D800" s="78"/>
      <c r="E800" s="72"/>
      <c r="F800" s="68"/>
      <c r="G800" s="15"/>
      <c r="H800" s="76" t="str">
        <f aca="false">IFERROR(__xludf.dummyfunction("""COMPUTED_VALUE"""),"")</f>
        <v/>
      </c>
      <c r="I800" s="50" t="str">
        <f aca="false">IFERROR(__xludf.dummyfunction("""COMPUTED_VALUE"""),"")</f>
        <v/>
      </c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  <c r="DY800" s="15"/>
      <c r="DZ800" s="15"/>
      <c r="EA800" s="15"/>
      <c r="EB800" s="15"/>
      <c r="EC800" s="15"/>
      <c r="ED800" s="15"/>
      <c r="EE800" s="15"/>
      <c r="EF800" s="15"/>
      <c r="EG800" s="15"/>
      <c r="EH800" s="15"/>
      <c r="EI800" s="15"/>
      <c r="EJ800" s="15"/>
      <c r="EK800" s="15"/>
      <c r="EL800" s="15"/>
      <c r="EM800" s="15"/>
      <c r="EN800" s="15"/>
      <c r="EO800" s="15"/>
      <c r="EP800" s="15"/>
      <c r="EQ800" s="15"/>
      <c r="ER800" s="15"/>
      <c r="ES800" s="15"/>
      <c r="ET800" s="15"/>
      <c r="EU800" s="15"/>
      <c r="EV800" s="15"/>
      <c r="EW800" s="15"/>
      <c r="EX800" s="15"/>
    </row>
    <row r="801" customFormat="false" ht="15.75" hidden="false" customHeight="false" outlineLevel="0" collapsed="false">
      <c r="A801" s="76"/>
      <c r="B801" s="77"/>
      <c r="C801" s="77"/>
      <c r="D801" s="78"/>
      <c r="E801" s="72"/>
      <c r="F801" s="68"/>
      <c r="G801" s="15"/>
      <c r="H801" s="76" t="str">
        <f aca="false">IFERROR(__xludf.dummyfunction("""COMPUTED_VALUE"""),"")</f>
        <v/>
      </c>
      <c r="I801" s="50" t="str">
        <f aca="false">IFERROR(__xludf.dummyfunction("""COMPUTED_VALUE"""),"")</f>
        <v/>
      </c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  <c r="DY801" s="15"/>
      <c r="DZ801" s="15"/>
      <c r="EA801" s="15"/>
      <c r="EB801" s="15"/>
      <c r="EC801" s="15"/>
      <c r="ED801" s="15"/>
      <c r="EE801" s="15"/>
      <c r="EF801" s="15"/>
      <c r="EG801" s="15"/>
      <c r="EH801" s="15"/>
      <c r="EI801" s="15"/>
      <c r="EJ801" s="15"/>
      <c r="EK801" s="15"/>
      <c r="EL801" s="15"/>
      <c r="EM801" s="15"/>
      <c r="EN801" s="15"/>
      <c r="EO801" s="15"/>
      <c r="EP801" s="15"/>
      <c r="EQ801" s="15"/>
      <c r="ER801" s="15"/>
      <c r="ES801" s="15"/>
      <c r="ET801" s="15"/>
      <c r="EU801" s="15"/>
      <c r="EV801" s="15"/>
      <c r="EW801" s="15"/>
      <c r="EX801" s="15"/>
    </row>
    <row r="802" customFormat="false" ht="15.75" hidden="false" customHeight="false" outlineLevel="0" collapsed="false">
      <c r="A802" s="76"/>
      <c r="B802" s="77"/>
      <c r="C802" s="77"/>
      <c r="D802" s="78"/>
      <c r="E802" s="72"/>
      <c r="F802" s="68"/>
      <c r="G802" s="15"/>
      <c r="H802" s="76" t="str">
        <f aca="false">IFERROR(__xludf.dummyfunction("""COMPUTED_VALUE"""),"")</f>
        <v/>
      </c>
      <c r="I802" s="50" t="str">
        <f aca="false">IFERROR(__xludf.dummyfunction("""COMPUTED_VALUE"""),"")</f>
        <v/>
      </c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  <c r="DY802" s="15"/>
      <c r="DZ802" s="15"/>
      <c r="EA802" s="15"/>
      <c r="EB802" s="15"/>
      <c r="EC802" s="15"/>
      <c r="ED802" s="15"/>
      <c r="EE802" s="15"/>
      <c r="EF802" s="15"/>
      <c r="EG802" s="15"/>
      <c r="EH802" s="15"/>
      <c r="EI802" s="15"/>
      <c r="EJ802" s="15"/>
      <c r="EK802" s="15"/>
      <c r="EL802" s="15"/>
      <c r="EM802" s="15"/>
      <c r="EN802" s="15"/>
      <c r="EO802" s="15"/>
      <c r="EP802" s="15"/>
      <c r="EQ802" s="15"/>
      <c r="ER802" s="15"/>
      <c r="ES802" s="15"/>
      <c r="ET802" s="15"/>
      <c r="EU802" s="15"/>
      <c r="EV802" s="15"/>
      <c r="EW802" s="15"/>
      <c r="EX802" s="15"/>
    </row>
    <row r="803" customFormat="false" ht="15.75" hidden="false" customHeight="false" outlineLevel="0" collapsed="false">
      <c r="A803" s="76"/>
      <c r="B803" s="77"/>
      <c r="C803" s="77"/>
      <c r="D803" s="78"/>
      <c r="E803" s="72"/>
      <c r="F803" s="68"/>
      <c r="G803" s="15"/>
      <c r="H803" s="76" t="str">
        <f aca="false">IFERROR(__xludf.dummyfunction("""COMPUTED_VALUE"""),"")</f>
        <v/>
      </c>
      <c r="I803" s="50" t="str">
        <f aca="false">IFERROR(__xludf.dummyfunction("""COMPUTED_VALUE"""),"")</f>
        <v/>
      </c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  <c r="DY803" s="15"/>
      <c r="DZ803" s="15"/>
      <c r="EA803" s="15"/>
      <c r="EB803" s="15"/>
      <c r="EC803" s="15"/>
      <c r="ED803" s="15"/>
      <c r="EE803" s="15"/>
      <c r="EF803" s="15"/>
      <c r="EG803" s="15"/>
      <c r="EH803" s="15"/>
      <c r="EI803" s="15"/>
      <c r="EJ803" s="15"/>
      <c r="EK803" s="15"/>
      <c r="EL803" s="15"/>
      <c r="EM803" s="15"/>
      <c r="EN803" s="15"/>
      <c r="EO803" s="15"/>
      <c r="EP803" s="15"/>
      <c r="EQ803" s="15"/>
      <c r="ER803" s="15"/>
      <c r="ES803" s="15"/>
      <c r="ET803" s="15"/>
      <c r="EU803" s="15"/>
      <c r="EV803" s="15"/>
      <c r="EW803" s="15"/>
      <c r="EX803" s="15"/>
    </row>
    <row r="804" customFormat="false" ht="15.75" hidden="false" customHeight="false" outlineLevel="0" collapsed="false">
      <c r="A804" s="76"/>
      <c r="B804" s="77"/>
      <c r="C804" s="77"/>
      <c r="D804" s="78"/>
      <c r="E804" s="72"/>
      <c r="F804" s="68"/>
      <c r="G804" s="15"/>
      <c r="H804" s="76" t="str">
        <f aca="false">IFERROR(__xludf.dummyfunction("""COMPUTED_VALUE"""),"")</f>
        <v/>
      </c>
      <c r="I804" s="50" t="str">
        <f aca="false">IFERROR(__xludf.dummyfunction("""COMPUTED_VALUE"""),"")</f>
        <v/>
      </c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  <c r="DY804" s="15"/>
      <c r="DZ804" s="15"/>
      <c r="EA804" s="15"/>
      <c r="EB804" s="15"/>
      <c r="EC804" s="15"/>
      <c r="ED804" s="15"/>
      <c r="EE804" s="15"/>
      <c r="EF804" s="15"/>
      <c r="EG804" s="15"/>
      <c r="EH804" s="15"/>
      <c r="EI804" s="15"/>
      <c r="EJ804" s="15"/>
      <c r="EK804" s="15"/>
      <c r="EL804" s="15"/>
      <c r="EM804" s="15"/>
      <c r="EN804" s="15"/>
      <c r="EO804" s="15"/>
      <c r="EP804" s="15"/>
      <c r="EQ804" s="15"/>
      <c r="ER804" s="15"/>
      <c r="ES804" s="15"/>
      <c r="ET804" s="15"/>
      <c r="EU804" s="15"/>
      <c r="EV804" s="15"/>
      <c r="EW804" s="15"/>
      <c r="EX804" s="15"/>
    </row>
    <row r="805" customFormat="false" ht="15.75" hidden="false" customHeight="false" outlineLevel="0" collapsed="false">
      <c r="A805" s="76"/>
      <c r="B805" s="77"/>
      <c r="C805" s="77"/>
      <c r="D805" s="78"/>
      <c r="E805" s="72"/>
      <c r="F805" s="68"/>
      <c r="G805" s="15"/>
      <c r="H805" s="76" t="str">
        <f aca="false">IFERROR(__xludf.dummyfunction("""COMPUTED_VALUE"""),"")</f>
        <v/>
      </c>
      <c r="I805" s="50" t="str">
        <f aca="false">IFERROR(__xludf.dummyfunction("""COMPUTED_VALUE"""),"")</f>
        <v/>
      </c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  <c r="DY805" s="15"/>
      <c r="DZ805" s="15"/>
      <c r="EA805" s="15"/>
      <c r="EB805" s="15"/>
      <c r="EC805" s="15"/>
      <c r="ED805" s="15"/>
      <c r="EE805" s="15"/>
      <c r="EF805" s="15"/>
      <c r="EG805" s="15"/>
      <c r="EH805" s="15"/>
      <c r="EI805" s="15"/>
      <c r="EJ805" s="15"/>
      <c r="EK805" s="15"/>
      <c r="EL805" s="15"/>
      <c r="EM805" s="15"/>
      <c r="EN805" s="15"/>
      <c r="EO805" s="15"/>
      <c r="EP805" s="15"/>
      <c r="EQ805" s="15"/>
      <c r="ER805" s="15"/>
      <c r="ES805" s="15"/>
      <c r="ET805" s="15"/>
      <c r="EU805" s="15"/>
      <c r="EV805" s="15"/>
      <c r="EW805" s="15"/>
      <c r="EX805" s="15"/>
    </row>
    <row r="806" customFormat="false" ht="15.75" hidden="false" customHeight="false" outlineLevel="0" collapsed="false">
      <c r="A806" s="76"/>
      <c r="B806" s="77"/>
      <c r="C806" s="77"/>
      <c r="D806" s="78"/>
      <c r="E806" s="72"/>
      <c r="F806" s="68"/>
      <c r="G806" s="15"/>
      <c r="H806" s="76" t="str">
        <f aca="false">IFERROR(__xludf.dummyfunction("""COMPUTED_VALUE"""),"")</f>
        <v/>
      </c>
      <c r="I806" s="50" t="str">
        <f aca="false">IFERROR(__xludf.dummyfunction("""COMPUTED_VALUE"""),"")</f>
        <v/>
      </c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  <c r="DY806" s="15"/>
      <c r="DZ806" s="15"/>
      <c r="EA806" s="15"/>
      <c r="EB806" s="15"/>
      <c r="EC806" s="15"/>
      <c r="ED806" s="15"/>
      <c r="EE806" s="15"/>
      <c r="EF806" s="15"/>
      <c r="EG806" s="15"/>
      <c r="EH806" s="15"/>
      <c r="EI806" s="15"/>
      <c r="EJ806" s="15"/>
      <c r="EK806" s="15"/>
      <c r="EL806" s="15"/>
      <c r="EM806" s="15"/>
      <c r="EN806" s="15"/>
      <c r="EO806" s="15"/>
      <c r="EP806" s="15"/>
      <c r="EQ806" s="15"/>
      <c r="ER806" s="15"/>
      <c r="ES806" s="15"/>
      <c r="ET806" s="15"/>
      <c r="EU806" s="15"/>
      <c r="EV806" s="15"/>
      <c r="EW806" s="15"/>
      <c r="EX806" s="15"/>
    </row>
    <row r="807" customFormat="false" ht="15.75" hidden="false" customHeight="false" outlineLevel="0" collapsed="false">
      <c r="A807" s="76"/>
      <c r="B807" s="77"/>
      <c r="C807" s="77"/>
      <c r="D807" s="78"/>
      <c r="E807" s="72"/>
      <c r="F807" s="68"/>
      <c r="G807" s="15"/>
      <c r="H807" s="76" t="str">
        <f aca="false">IFERROR(__xludf.dummyfunction("""COMPUTED_VALUE"""),"")</f>
        <v/>
      </c>
      <c r="I807" s="50" t="str">
        <f aca="false">IFERROR(__xludf.dummyfunction("""COMPUTED_VALUE"""),"")</f>
        <v/>
      </c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  <c r="DY807" s="15"/>
      <c r="DZ807" s="15"/>
      <c r="EA807" s="15"/>
      <c r="EB807" s="15"/>
      <c r="EC807" s="15"/>
      <c r="ED807" s="15"/>
      <c r="EE807" s="15"/>
      <c r="EF807" s="15"/>
      <c r="EG807" s="15"/>
      <c r="EH807" s="15"/>
      <c r="EI807" s="15"/>
      <c r="EJ807" s="15"/>
      <c r="EK807" s="15"/>
      <c r="EL807" s="15"/>
      <c r="EM807" s="15"/>
      <c r="EN807" s="15"/>
      <c r="EO807" s="15"/>
      <c r="EP807" s="15"/>
      <c r="EQ807" s="15"/>
      <c r="ER807" s="15"/>
      <c r="ES807" s="15"/>
      <c r="ET807" s="15"/>
      <c r="EU807" s="15"/>
      <c r="EV807" s="15"/>
      <c r="EW807" s="15"/>
      <c r="EX807" s="15"/>
    </row>
    <row r="808" customFormat="false" ht="15.75" hidden="false" customHeight="false" outlineLevel="0" collapsed="false">
      <c r="A808" s="76"/>
      <c r="B808" s="77"/>
      <c r="C808" s="77"/>
      <c r="D808" s="78"/>
      <c r="E808" s="72"/>
      <c r="F808" s="68"/>
      <c r="G808" s="15"/>
      <c r="H808" s="76" t="str">
        <f aca="false">IFERROR(__xludf.dummyfunction("""COMPUTED_VALUE"""),"")</f>
        <v/>
      </c>
      <c r="I808" s="50" t="str">
        <f aca="false">IFERROR(__xludf.dummyfunction("""COMPUTED_VALUE"""),"")</f>
        <v/>
      </c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  <c r="DY808" s="15"/>
      <c r="DZ808" s="15"/>
      <c r="EA808" s="15"/>
      <c r="EB808" s="15"/>
      <c r="EC808" s="15"/>
      <c r="ED808" s="15"/>
      <c r="EE808" s="15"/>
      <c r="EF808" s="15"/>
      <c r="EG808" s="15"/>
      <c r="EH808" s="15"/>
      <c r="EI808" s="15"/>
      <c r="EJ808" s="15"/>
      <c r="EK808" s="15"/>
      <c r="EL808" s="15"/>
      <c r="EM808" s="15"/>
      <c r="EN808" s="15"/>
      <c r="EO808" s="15"/>
      <c r="EP808" s="15"/>
      <c r="EQ808" s="15"/>
      <c r="ER808" s="15"/>
      <c r="ES808" s="15"/>
      <c r="ET808" s="15"/>
      <c r="EU808" s="15"/>
      <c r="EV808" s="15"/>
      <c r="EW808" s="15"/>
      <c r="EX808" s="15"/>
    </row>
    <row r="809" customFormat="false" ht="15.75" hidden="false" customHeight="false" outlineLevel="0" collapsed="false">
      <c r="A809" s="76"/>
      <c r="B809" s="77"/>
      <c r="C809" s="77"/>
      <c r="D809" s="78"/>
      <c r="E809" s="72"/>
      <c r="F809" s="68"/>
      <c r="G809" s="15"/>
      <c r="H809" s="76" t="str">
        <f aca="false">IFERROR(__xludf.dummyfunction("""COMPUTED_VALUE"""),"")</f>
        <v/>
      </c>
      <c r="I809" s="50" t="str">
        <f aca="false">IFERROR(__xludf.dummyfunction("""COMPUTED_VALUE"""),"")</f>
        <v/>
      </c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  <c r="DY809" s="15"/>
      <c r="DZ809" s="15"/>
      <c r="EA809" s="15"/>
      <c r="EB809" s="15"/>
      <c r="EC809" s="15"/>
      <c r="ED809" s="15"/>
      <c r="EE809" s="15"/>
      <c r="EF809" s="15"/>
      <c r="EG809" s="15"/>
      <c r="EH809" s="15"/>
      <c r="EI809" s="15"/>
      <c r="EJ809" s="15"/>
      <c r="EK809" s="15"/>
      <c r="EL809" s="15"/>
      <c r="EM809" s="15"/>
      <c r="EN809" s="15"/>
      <c r="EO809" s="15"/>
      <c r="EP809" s="15"/>
      <c r="EQ809" s="15"/>
      <c r="ER809" s="15"/>
      <c r="ES809" s="15"/>
      <c r="ET809" s="15"/>
      <c r="EU809" s="15"/>
      <c r="EV809" s="15"/>
      <c r="EW809" s="15"/>
      <c r="EX809" s="15"/>
    </row>
    <row r="810" customFormat="false" ht="15.75" hidden="false" customHeight="false" outlineLevel="0" collapsed="false">
      <c r="A810" s="76"/>
      <c r="B810" s="77"/>
      <c r="C810" s="77"/>
      <c r="D810" s="78"/>
      <c r="E810" s="72"/>
      <c r="F810" s="68"/>
      <c r="G810" s="15"/>
      <c r="H810" s="76" t="str">
        <f aca="false">IFERROR(__xludf.dummyfunction("""COMPUTED_VALUE"""),"")</f>
        <v/>
      </c>
      <c r="I810" s="50" t="str">
        <f aca="false">IFERROR(__xludf.dummyfunction("""COMPUTED_VALUE"""),"")</f>
        <v/>
      </c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  <c r="DY810" s="15"/>
      <c r="DZ810" s="15"/>
      <c r="EA810" s="15"/>
      <c r="EB810" s="15"/>
      <c r="EC810" s="15"/>
      <c r="ED810" s="15"/>
      <c r="EE810" s="15"/>
      <c r="EF810" s="15"/>
      <c r="EG810" s="15"/>
      <c r="EH810" s="15"/>
      <c r="EI810" s="15"/>
      <c r="EJ810" s="15"/>
      <c r="EK810" s="15"/>
      <c r="EL810" s="15"/>
      <c r="EM810" s="15"/>
      <c r="EN810" s="15"/>
      <c r="EO810" s="15"/>
      <c r="EP810" s="15"/>
      <c r="EQ810" s="15"/>
      <c r="ER810" s="15"/>
      <c r="ES810" s="15"/>
      <c r="ET810" s="15"/>
      <c r="EU810" s="15"/>
      <c r="EV810" s="15"/>
      <c r="EW810" s="15"/>
      <c r="EX810" s="15"/>
    </row>
    <row r="811" customFormat="false" ht="15.75" hidden="false" customHeight="false" outlineLevel="0" collapsed="false">
      <c r="A811" s="76"/>
      <c r="B811" s="77"/>
      <c r="C811" s="77"/>
      <c r="D811" s="78"/>
      <c r="E811" s="72"/>
      <c r="F811" s="68"/>
      <c r="G811" s="15"/>
      <c r="H811" s="76" t="str">
        <f aca="false">IFERROR(__xludf.dummyfunction("""COMPUTED_VALUE"""),"")</f>
        <v/>
      </c>
      <c r="I811" s="50" t="str">
        <f aca="false">IFERROR(__xludf.dummyfunction("""COMPUTED_VALUE"""),"")</f>
        <v/>
      </c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  <c r="DY811" s="15"/>
      <c r="DZ811" s="15"/>
      <c r="EA811" s="15"/>
      <c r="EB811" s="15"/>
      <c r="EC811" s="15"/>
      <c r="ED811" s="15"/>
      <c r="EE811" s="15"/>
      <c r="EF811" s="15"/>
      <c r="EG811" s="15"/>
      <c r="EH811" s="15"/>
      <c r="EI811" s="15"/>
      <c r="EJ811" s="15"/>
      <c r="EK811" s="15"/>
      <c r="EL811" s="15"/>
      <c r="EM811" s="15"/>
      <c r="EN811" s="15"/>
      <c r="EO811" s="15"/>
      <c r="EP811" s="15"/>
      <c r="EQ811" s="15"/>
      <c r="ER811" s="15"/>
      <c r="ES811" s="15"/>
      <c r="ET811" s="15"/>
      <c r="EU811" s="15"/>
      <c r="EV811" s="15"/>
      <c r="EW811" s="15"/>
      <c r="EX811" s="15"/>
    </row>
    <row r="812" customFormat="false" ht="15.75" hidden="false" customHeight="false" outlineLevel="0" collapsed="false">
      <c r="A812" s="76"/>
      <c r="B812" s="77"/>
      <c r="C812" s="77"/>
      <c r="D812" s="78"/>
      <c r="E812" s="72"/>
      <c r="F812" s="68"/>
      <c r="G812" s="15"/>
      <c r="H812" s="76" t="str">
        <f aca="false">IFERROR(__xludf.dummyfunction("""COMPUTED_VALUE"""),"")</f>
        <v/>
      </c>
      <c r="I812" s="50" t="str">
        <f aca="false">IFERROR(__xludf.dummyfunction("""COMPUTED_VALUE"""),"")</f>
        <v/>
      </c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  <c r="DY812" s="15"/>
      <c r="DZ812" s="15"/>
      <c r="EA812" s="15"/>
      <c r="EB812" s="15"/>
      <c r="EC812" s="15"/>
      <c r="ED812" s="15"/>
      <c r="EE812" s="15"/>
      <c r="EF812" s="15"/>
      <c r="EG812" s="15"/>
      <c r="EH812" s="15"/>
      <c r="EI812" s="15"/>
      <c r="EJ812" s="15"/>
      <c r="EK812" s="15"/>
      <c r="EL812" s="15"/>
      <c r="EM812" s="15"/>
      <c r="EN812" s="15"/>
      <c r="EO812" s="15"/>
      <c r="EP812" s="15"/>
      <c r="EQ812" s="15"/>
      <c r="ER812" s="15"/>
      <c r="ES812" s="15"/>
      <c r="ET812" s="15"/>
      <c r="EU812" s="15"/>
      <c r="EV812" s="15"/>
      <c r="EW812" s="15"/>
      <c r="EX812" s="15"/>
    </row>
    <row r="813" customFormat="false" ht="15.75" hidden="false" customHeight="false" outlineLevel="0" collapsed="false">
      <c r="A813" s="76"/>
      <c r="B813" s="77"/>
      <c r="C813" s="77"/>
      <c r="D813" s="78"/>
      <c r="E813" s="72"/>
      <c r="F813" s="68"/>
      <c r="G813" s="15"/>
      <c r="H813" s="76" t="str">
        <f aca="false">IFERROR(__xludf.dummyfunction("""COMPUTED_VALUE"""),"")</f>
        <v/>
      </c>
      <c r="I813" s="50" t="str">
        <f aca="false">IFERROR(__xludf.dummyfunction("""COMPUTED_VALUE"""),"")</f>
        <v/>
      </c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  <c r="DY813" s="15"/>
      <c r="DZ813" s="15"/>
      <c r="EA813" s="15"/>
      <c r="EB813" s="15"/>
      <c r="EC813" s="15"/>
      <c r="ED813" s="15"/>
      <c r="EE813" s="15"/>
      <c r="EF813" s="15"/>
      <c r="EG813" s="15"/>
      <c r="EH813" s="15"/>
      <c r="EI813" s="15"/>
      <c r="EJ813" s="15"/>
      <c r="EK813" s="15"/>
      <c r="EL813" s="15"/>
      <c r="EM813" s="15"/>
      <c r="EN813" s="15"/>
      <c r="EO813" s="15"/>
      <c r="EP813" s="15"/>
      <c r="EQ813" s="15"/>
      <c r="ER813" s="15"/>
      <c r="ES813" s="15"/>
      <c r="ET813" s="15"/>
      <c r="EU813" s="15"/>
      <c r="EV813" s="15"/>
      <c r="EW813" s="15"/>
      <c r="EX813" s="15"/>
    </row>
    <row r="814" customFormat="false" ht="15.75" hidden="false" customHeight="false" outlineLevel="0" collapsed="false">
      <c r="A814" s="76"/>
      <c r="B814" s="77"/>
      <c r="C814" s="77"/>
      <c r="D814" s="78"/>
      <c r="E814" s="72"/>
      <c r="F814" s="68"/>
      <c r="G814" s="15"/>
      <c r="H814" s="76" t="str">
        <f aca="false">IFERROR(__xludf.dummyfunction("""COMPUTED_VALUE"""),"")</f>
        <v/>
      </c>
      <c r="I814" s="50" t="str">
        <f aca="false">IFERROR(__xludf.dummyfunction("""COMPUTED_VALUE"""),"")</f>
        <v/>
      </c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  <c r="DY814" s="15"/>
      <c r="DZ814" s="15"/>
      <c r="EA814" s="15"/>
      <c r="EB814" s="15"/>
      <c r="EC814" s="15"/>
      <c r="ED814" s="15"/>
      <c r="EE814" s="15"/>
      <c r="EF814" s="15"/>
      <c r="EG814" s="15"/>
      <c r="EH814" s="15"/>
      <c r="EI814" s="15"/>
      <c r="EJ814" s="15"/>
      <c r="EK814" s="15"/>
      <c r="EL814" s="15"/>
      <c r="EM814" s="15"/>
      <c r="EN814" s="15"/>
      <c r="EO814" s="15"/>
      <c r="EP814" s="15"/>
      <c r="EQ814" s="15"/>
      <c r="ER814" s="15"/>
      <c r="ES814" s="15"/>
      <c r="ET814" s="15"/>
      <c r="EU814" s="15"/>
      <c r="EV814" s="15"/>
      <c r="EW814" s="15"/>
      <c r="EX814" s="15"/>
    </row>
    <row r="815" customFormat="false" ht="15.75" hidden="false" customHeight="false" outlineLevel="0" collapsed="false">
      <c r="A815" s="76"/>
      <c r="B815" s="77"/>
      <c r="C815" s="77"/>
      <c r="D815" s="78"/>
      <c r="E815" s="72"/>
      <c r="F815" s="68"/>
      <c r="G815" s="15"/>
      <c r="H815" s="76" t="str">
        <f aca="false">IFERROR(__xludf.dummyfunction("""COMPUTED_VALUE"""),"")</f>
        <v/>
      </c>
      <c r="I815" s="50" t="str">
        <f aca="false">IFERROR(__xludf.dummyfunction("""COMPUTED_VALUE"""),"")</f>
        <v/>
      </c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  <c r="DY815" s="15"/>
      <c r="DZ815" s="15"/>
      <c r="EA815" s="15"/>
      <c r="EB815" s="15"/>
      <c r="EC815" s="15"/>
      <c r="ED815" s="15"/>
      <c r="EE815" s="15"/>
      <c r="EF815" s="15"/>
      <c r="EG815" s="15"/>
      <c r="EH815" s="15"/>
      <c r="EI815" s="15"/>
      <c r="EJ815" s="15"/>
      <c r="EK815" s="15"/>
      <c r="EL815" s="15"/>
      <c r="EM815" s="15"/>
      <c r="EN815" s="15"/>
      <c r="EO815" s="15"/>
      <c r="EP815" s="15"/>
      <c r="EQ815" s="15"/>
      <c r="ER815" s="15"/>
      <c r="ES815" s="15"/>
      <c r="ET815" s="15"/>
      <c r="EU815" s="15"/>
      <c r="EV815" s="15"/>
      <c r="EW815" s="15"/>
      <c r="EX815" s="15"/>
    </row>
    <row r="816" customFormat="false" ht="15.75" hidden="false" customHeight="false" outlineLevel="0" collapsed="false">
      <c r="A816" s="76"/>
      <c r="B816" s="77"/>
      <c r="C816" s="77"/>
      <c r="D816" s="78"/>
      <c r="E816" s="72"/>
      <c r="F816" s="68"/>
      <c r="G816" s="15"/>
      <c r="H816" s="76" t="str">
        <f aca="false">IFERROR(__xludf.dummyfunction("""COMPUTED_VALUE"""),"")</f>
        <v/>
      </c>
      <c r="I816" s="50" t="str">
        <f aca="false">IFERROR(__xludf.dummyfunction("""COMPUTED_VALUE"""),"")</f>
        <v/>
      </c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  <c r="DY816" s="15"/>
      <c r="DZ816" s="15"/>
      <c r="EA816" s="15"/>
      <c r="EB816" s="15"/>
      <c r="EC816" s="15"/>
      <c r="ED816" s="15"/>
      <c r="EE816" s="15"/>
      <c r="EF816" s="15"/>
      <c r="EG816" s="15"/>
      <c r="EH816" s="15"/>
      <c r="EI816" s="15"/>
      <c r="EJ816" s="15"/>
      <c r="EK816" s="15"/>
      <c r="EL816" s="15"/>
      <c r="EM816" s="15"/>
      <c r="EN816" s="15"/>
      <c r="EO816" s="15"/>
      <c r="EP816" s="15"/>
      <c r="EQ816" s="15"/>
      <c r="ER816" s="15"/>
      <c r="ES816" s="15"/>
      <c r="ET816" s="15"/>
      <c r="EU816" s="15"/>
      <c r="EV816" s="15"/>
      <c r="EW816" s="15"/>
      <c r="EX816" s="15"/>
    </row>
    <row r="817" customFormat="false" ht="15.75" hidden="false" customHeight="false" outlineLevel="0" collapsed="false">
      <c r="A817" s="76"/>
      <c r="B817" s="77"/>
      <c r="C817" s="77"/>
      <c r="D817" s="78"/>
      <c r="E817" s="72"/>
      <c r="F817" s="68"/>
      <c r="G817" s="15"/>
      <c r="H817" s="76" t="str">
        <f aca="false">IFERROR(__xludf.dummyfunction("""COMPUTED_VALUE"""),"")</f>
        <v/>
      </c>
      <c r="I817" s="50" t="str">
        <f aca="false">IFERROR(__xludf.dummyfunction("""COMPUTED_VALUE"""),"")</f>
        <v/>
      </c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  <c r="DY817" s="15"/>
      <c r="DZ817" s="15"/>
      <c r="EA817" s="15"/>
      <c r="EB817" s="15"/>
      <c r="EC817" s="15"/>
      <c r="ED817" s="15"/>
      <c r="EE817" s="15"/>
      <c r="EF817" s="15"/>
      <c r="EG817" s="15"/>
      <c r="EH817" s="15"/>
      <c r="EI817" s="15"/>
      <c r="EJ817" s="15"/>
      <c r="EK817" s="15"/>
      <c r="EL817" s="15"/>
      <c r="EM817" s="15"/>
      <c r="EN817" s="15"/>
      <c r="EO817" s="15"/>
      <c r="EP817" s="15"/>
      <c r="EQ817" s="15"/>
      <c r="ER817" s="15"/>
      <c r="ES817" s="15"/>
      <c r="ET817" s="15"/>
      <c r="EU817" s="15"/>
      <c r="EV817" s="15"/>
      <c r="EW817" s="15"/>
      <c r="EX817" s="15"/>
    </row>
    <row r="818" customFormat="false" ht="15.75" hidden="false" customHeight="false" outlineLevel="0" collapsed="false">
      <c r="A818" s="76"/>
      <c r="B818" s="77"/>
      <c r="C818" s="77"/>
      <c r="D818" s="78"/>
      <c r="E818" s="72"/>
      <c r="F818" s="68"/>
      <c r="G818" s="15"/>
      <c r="H818" s="76" t="str">
        <f aca="false">IFERROR(__xludf.dummyfunction("""COMPUTED_VALUE"""),"")</f>
        <v/>
      </c>
      <c r="I818" s="50" t="str">
        <f aca="false">IFERROR(__xludf.dummyfunction("""COMPUTED_VALUE"""),"")</f>
        <v/>
      </c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  <c r="DY818" s="15"/>
      <c r="DZ818" s="15"/>
      <c r="EA818" s="15"/>
      <c r="EB818" s="15"/>
      <c r="EC818" s="15"/>
      <c r="ED818" s="15"/>
      <c r="EE818" s="15"/>
      <c r="EF818" s="15"/>
      <c r="EG818" s="15"/>
      <c r="EH818" s="15"/>
      <c r="EI818" s="15"/>
      <c r="EJ818" s="15"/>
      <c r="EK818" s="15"/>
      <c r="EL818" s="15"/>
      <c r="EM818" s="15"/>
      <c r="EN818" s="15"/>
      <c r="EO818" s="15"/>
      <c r="EP818" s="15"/>
      <c r="EQ818" s="15"/>
      <c r="ER818" s="15"/>
      <c r="ES818" s="15"/>
      <c r="ET818" s="15"/>
      <c r="EU818" s="15"/>
      <c r="EV818" s="15"/>
      <c r="EW818" s="15"/>
      <c r="EX818" s="15"/>
    </row>
    <row r="819" customFormat="false" ht="15.75" hidden="false" customHeight="false" outlineLevel="0" collapsed="false">
      <c r="A819" s="76"/>
      <c r="B819" s="77"/>
      <c r="C819" s="77"/>
      <c r="D819" s="78"/>
      <c r="E819" s="72"/>
      <c r="F819" s="68"/>
      <c r="G819" s="15"/>
      <c r="H819" s="76" t="str">
        <f aca="false">IFERROR(__xludf.dummyfunction("""COMPUTED_VALUE"""),"")</f>
        <v/>
      </c>
      <c r="I819" s="50" t="str">
        <f aca="false">IFERROR(__xludf.dummyfunction("""COMPUTED_VALUE"""),"")</f>
        <v/>
      </c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  <c r="DY819" s="15"/>
      <c r="DZ819" s="15"/>
      <c r="EA819" s="15"/>
      <c r="EB819" s="15"/>
      <c r="EC819" s="15"/>
      <c r="ED819" s="15"/>
      <c r="EE819" s="15"/>
      <c r="EF819" s="15"/>
      <c r="EG819" s="15"/>
      <c r="EH819" s="15"/>
      <c r="EI819" s="15"/>
      <c r="EJ819" s="15"/>
      <c r="EK819" s="15"/>
      <c r="EL819" s="15"/>
      <c r="EM819" s="15"/>
      <c r="EN819" s="15"/>
      <c r="EO819" s="15"/>
      <c r="EP819" s="15"/>
      <c r="EQ819" s="15"/>
      <c r="ER819" s="15"/>
      <c r="ES819" s="15"/>
      <c r="ET819" s="15"/>
      <c r="EU819" s="15"/>
      <c r="EV819" s="15"/>
      <c r="EW819" s="15"/>
      <c r="EX819" s="15"/>
    </row>
    <row r="820" customFormat="false" ht="15.75" hidden="false" customHeight="false" outlineLevel="0" collapsed="false">
      <c r="A820" s="76"/>
      <c r="B820" s="77"/>
      <c r="C820" s="77"/>
      <c r="D820" s="78"/>
      <c r="E820" s="72"/>
      <c r="F820" s="68"/>
      <c r="G820" s="15"/>
      <c r="H820" s="76" t="str">
        <f aca="false">IFERROR(__xludf.dummyfunction("""COMPUTED_VALUE"""),"")</f>
        <v/>
      </c>
      <c r="I820" s="50" t="str">
        <f aca="false">IFERROR(__xludf.dummyfunction("""COMPUTED_VALUE"""),"")</f>
        <v/>
      </c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  <c r="DY820" s="15"/>
      <c r="DZ820" s="15"/>
      <c r="EA820" s="15"/>
      <c r="EB820" s="15"/>
      <c r="EC820" s="15"/>
      <c r="ED820" s="15"/>
      <c r="EE820" s="15"/>
      <c r="EF820" s="15"/>
      <c r="EG820" s="15"/>
      <c r="EH820" s="15"/>
      <c r="EI820" s="15"/>
      <c r="EJ820" s="15"/>
      <c r="EK820" s="15"/>
      <c r="EL820" s="15"/>
      <c r="EM820" s="15"/>
      <c r="EN820" s="15"/>
      <c r="EO820" s="15"/>
      <c r="EP820" s="15"/>
      <c r="EQ820" s="15"/>
      <c r="ER820" s="15"/>
      <c r="ES820" s="15"/>
      <c r="ET820" s="15"/>
      <c r="EU820" s="15"/>
      <c r="EV820" s="15"/>
      <c r="EW820" s="15"/>
      <c r="EX820" s="15"/>
    </row>
    <row r="821" customFormat="false" ht="15.75" hidden="false" customHeight="false" outlineLevel="0" collapsed="false">
      <c r="A821" s="76"/>
      <c r="B821" s="77"/>
      <c r="C821" s="77"/>
      <c r="D821" s="78"/>
      <c r="E821" s="72"/>
      <c r="F821" s="68"/>
      <c r="G821" s="15"/>
      <c r="H821" s="76" t="str">
        <f aca="false">IFERROR(__xludf.dummyfunction("""COMPUTED_VALUE"""),"")</f>
        <v/>
      </c>
      <c r="I821" s="50" t="str">
        <f aca="false">IFERROR(__xludf.dummyfunction("""COMPUTED_VALUE"""),"")</f>
        <v/>
      </c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  <c r="DY821" s="15"/>
      <c r="DZ821" s="15"/>
      <c r="EA821" s="15"/>
      <c r="EB821" s="15"/>
      <c r="EC821" s="15"/>
      <c r="ED821" s="15"/>
      <c r="EE821" s="15"/>
      <c r="EF821" s="15"/>
      <c r="EG821" s="15"/>
      <c r="EH821" s="15"/>
      <c r="EI821" s="15"/>
      <c r="EJ821" s="15"/>
      <c r="EK821" s="15"/>
      <c r="EL821" s="15"/>
      <c r="EM821" s="15"/>
      <c r="EN821" s="15"/>
      <c r="EO821" s="15"/>
      <c r="EP821" s="15"/>
      <c r="EQ821" s="15"/>
      <c r="ER821" s="15"/>
      <c r="ES821" s="15"/>
      <c r="ET821" s="15"/>
      <c r="EU821" s="15"/>
      <c r="EV821" s="15"/>
      <c r="EW821" s="15"/>
      <c r="EX821" s="15"/>
    </row>
    <row r="822" customFormat="false" ht="15.75" hidden="false" customHeight="false" outlineLevel="0" collapsed="false">
      <c r="A822" s="76"/>
      <c r="B822" s="77"/>
      <c r="C822" s="77"/>
      <c r="D822" s="78"/>
      <c r="E822" s="72"/>
      <c r="F822" s="68"/>
      <c r="G822" s="15"/>
      <c r="H822" s="76" t="str">
        <f aca="false">IFERROR(__xludf.dummyfunction("""COMPUTED_VALUE"""),"")</f>
        <v/>
      </c>
      <c r="I822" s="50" t="str">
        <f aca="false">IFERROR(__xludf.dummyfunction("""COMPUTED_VALUE"""),"")</f>
        <v/>
      </c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  <c r="DY822" s="15"/>
      <c r="DZ822" s="15"/>
      <c r="EA822" s="15"/>
      <c r="EB822" s="15"/>
      <c r="EC822" s="15"/>
      <c r="ED822" s="15"/>
      <c r="EE822" s="15"/>
      <c r="EF822" s="15"/>
      <c r="EG822" s="15"/>
      <c r="EH822" s="15"/>
      <c r="EI822" s="15"/>
      <c r="EJ822" s="15"/>
      <c r="EK822" s="15"/>
      <c r="EL822" s="15"/>
      <c r="EM822" s="15"/>
      <c r="EN822" s="15"/>
      <c r="EO822" s="15"/>
      <c r="EP822" s="15"/>
      <c r="EQ822" s="15"/>
      <c r="ER822" s="15"/>
      <c r="ES822" s="15"/>
      <c r="ET822" s="15"/>
      <c r="EU822" s="15"/>
      <c r="EV822" s="15"/>
      <c r="EW822" s="15"/>
      <c r="EX822" s="15"/>
    </row>
    <row r="823" customFormat="false" ht="15.75" hidden="false" customHeight="false" outlineLevel="0" collapsed="false">
      <c r="A823" s="76"/>
      <c r="B823" s="77"/>
      <c r="C823" s="77"/>
      <c r="D823" s="78"/>
      <c r="E823" s="72"/>
      <c r="F823" s="68"/>
      <c r="G823" s="15"/>
      <c r="H823" s="76" t="str">
        <f aca="false">IFERROR(__xludf.dummyfunction("""COMPUTED_VALUE"""),"")</f>
        <v/>
      </c>
      <c r="I823" s="50" t="str">
        <f aca="false">IFERROR(__xludf.dummyfunction("""COMPUTED_VALUE"""),"")</f>
        <v/>
      </c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  <c r="DY823" s="15"/>
      <c r="DZ823" s="15"/>
      <c r="EA823" s="15"/>
      <c r="EB823" s="15"/>
      <c r="EC823" s="15"/>
      <c r="ED823" s="15"/>
      <c r="EE823" s="15"/>
      <c r="EF823" s="15"/>
      <c r="EG823" s="15"/>
      <c r="EH823" s="15"/>
      <c r="EI823" s="15"/>
      <c r="EJ823" s="15"/>
      <c r="EK823" s="15"/>
      <c r="EL823" s="15"/>
      <c r="EM823" s="15"/>
      <c r="EN823" s="15"/>
      <c r="EO823" s="15"/>
      <c r="EP823" s="15"/>
      <c r="EQ823" s="15"/>
      <c r="ER823" s="15"/>
      <c r="ES823" s="15"/>
      <c r="ET823" s="15"/>
      <c r="EU823" s="15"/>
      <c r="EV823" s="15"/>
      <c r="EW823" s="15"/>
      <c r="EX823" s="15"/>
    </row>
    <row r="824" customFormat="false" ht="15.75" hidden="false" customHeight="false" outlineLevel="0" collapsed="false">
      <c r="A824" s="76"/>
      <c r="B824" s="77"/>
      <c r="C824" s="77"/>
      <c r="D824" s="78"/>
      <c r="E824" s="72"/>
      <c r="F824" s="68"/>
      <c r="G824" s="15"/>
      <c r="H824" s="76" t="str">
        <f aca="false">IFERROR(__xludf.dummyfunction("""COMPUTED_VALUE"""),"")</f>
        <v/>
      </c>
      <c r="I824" s="50" t="str">
        <f aca="false">IFERROR(__xludf.dummyfunction("""COMPUTED_VALUE"""),"")</f>
        <v/>
      </c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  <c r="DY824" s="15"/>
      <c r="DZ824" s="15"/>
      <c r="EA824" s="15"/>
      <c r="EB824" s="15"/>
      <c r="EC824" s="15"/>
      <c r="ED824" s="15"/>
      <c r="EE824" s="15"/>
      <c r="EF824" s="15"/>
      <c r="EG824" s="15"/>
      <c r="EH824" s="15"/>
      <c r="EI824" s="15"/>
      <c r="EJ824" s="15"/>
      <c r="EK824" s="15"/>
      <c r="EL824" s="15"/>
      <c r="EM824" s="15"/>
      <c r="EN824" s="15"/>
      <c r="EO824" s="15"/>
      <c r="EP824" s="15"/>
      <c r="EQ824" s="15"/>
      <c r="ER824" s="15"/>
      <c r="ES824" s="15"/>
      <c r="ET824" s="15"/>
      <c r="EU824" s="15"/>
      <c r="EV824" s="15"/>
      <c r="EW824" s="15"/>
      <c r="EX824" s="15"/>
    </row>
    <row r="825" customFormat="false" ht="15.75" hidden="false" customHeight="false" outlineLevel="0" collapsed="false">
      <c r="A825" s="76"/>
      <c r="B825" s="77"/>
      <c r="C825" s="77"/>
      <c r="D825" s="78"/>
      <c r="E825" s="72"/>
      <c r="F825" s="68"/>
      <c r="G825" s="15"/>
      <c r="H825" s="76" t="str">
        <f aca="false">IFERROR(__xludf.dummyfunction("""COMPUTED_VALUE"""),"")</f>
        <v/>
      </c>
      <c r="I825" s="50" t="str">
        <f aca="false">IFERROR(__xludf.dummyfunction("""COMPUTED_VALUE"""),"")</f>
        <v/>
      </c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  <c r="DY825" s="15"/>
      <c r="DZ825" s="15"/>
      <c r="EA825" s="15"/>
      <c r="EB825" s="15"/>
      <c r="EC825" s="15"/>
      <c r="ED825" s="15"/>
      <c r="EE825" s="15"/>
      <c r="EF825" s="15"/>
      <c r="EG825" s="15"/>
      <c r="EH825" s="15"/>
      <c r="EI825" s="15"/>
      <c r="EJ825" s="15"/>
      <c r="EK825" s="15"/>
      <c r="EL825" s="15"/>
      <c r="EM825" s="15"/>
      <c r="EN825" s="15"/>
      <c r="EO825" s="15"/>
      <c r="EP825" s="15"/>
      <c r="EQ825" s="15"/>
      <c r="ER825" s="15"/>
      <c r="ES825" s="15"/>
      <c r="ET825" s="15"/>
      <c r="EU825" s="15"/>
      <c r="EV825" s="15"/>
      <c r="EW825" s="15"/>
      <c r="EX825" s="15"/>
    </row>
    <row r="826" customFormat="false" ht="15.75" hidden="false" customHeight="false" outlineLevel="0" collapsed="false">
      <c r="A826" s="76"/>
      <c r="B826" s="77"/>
      <c r="C826" s="77"/>
      <c r="D826" s="78"/>
      <c r="E826" s="72"/>
      <c r="F826" s="68"/>
      <c r="G826" s="15"/>
      <c r="H826" s="76" t="str">
        <f aca="false">IFERROR(__xludf.dummyfunction("""COMPUTED_VALUE"""),"")</f>
        <v/>
      </c>
      <c r="I826" s="50" t="str">
        <f aca="false">IFERROR(__xludf.dummyfunction("""COMPUTED_VALUE"""),"")</f>
        <v/>
      </c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  <c r="DY826" s="15"/>
      <c r="DZ826" s="15"/>
      <c r="EA826" s="15"/>
      <c r="EB826" s="15"/>
      <c r="EC826" s="15"/>
      <c r="ED826" s="15"/>
      <c r="EE826" s="15"/>
      <c r="EF826" s="15"/>
      <c r="EG826" s="15"/>
      <c r="EH826" s="15"/>
      <c r="EI826" s="15"/>
      <c r="EJ826" s="15"/>
      <c r="EK826" s="15"/>
      <c r="EL826" s="15"/>
      <c r="EM826" s="15"/>
      <c r="EN826" s="15"/>
      <c r="EO826" s="15"/>
      <c r="EP826" s="15"/>
      <c r="EQ826" s="15"/>
      <c r="ER826" s="15"/>
      <c r="ES826" s="15"/>
      <c r="ET826" s="15"/>
      <c r="EU826" s="15"/>
      <c r="EV826" s="15"/>
      <c r="EW826" s="15"/>
      <c r="EX826" s="15"/>
    </row>
    <row r="827" customFormat="false" ht="15.75" hidden="false" customHeight="false" outlineLevel="0" collapsed="false">
      <c r="A827" s="76"/>
      <c r="B827" s="77"/>
      <c r="C827" s="77"/>
      <c r="D827" s="78"/>
      <c r="E827" s="72"/>
      <c r="F827" s="68"/>
      <c r="G827" s="15"/>
      <c r="H827" s="76" t="str">
        <f aca="false">IFERROR(__xludf.dummyfunction("""COMPUTED_VALUE"""),"")</f>
        <v/>
      </c>
      <c r="I827" s="50" t="str">
        <f aca="false">IFERROR(__xludf.dummyfunction("""COMPUTED_VALUE"""),"")</f>
        <v/>
      </c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  <c r="DM827" s="15"/>
      <c r="DN827" s="15"/>
      <c r="DO827" s="15"/>
      <c r="DP827" s="15"/>
      <c r="DQ827" s="15"/>
      <c r="DR827" s="15"/>
      <c r="DS827" s="15"/>
      <c r="DT827" s="15"/>
      <c r="DU827" s="15"/>
      <c r="DV827" s="15"/>
      <c r="DW827" s="15"/>
      <c r="DX827" s="15"/>
      <c r="DY827" s="15"/>
      <c r="DZ827" s="15"/>
      <c r="EA827" s="15"/>
      <c r="EB827" s="15"/>
      <c r="EC827" s="15"/>
      <c r="ED827" s="15"/>
      <c r="EE827" s="15"/>
      <c r="EF827" s="15"/>
      <c r="EG827" s="15"/>
      <c r="EH827" s="15"/>
      <c r="EI827" s="15"/>
      <c r="EJ827" s="15"/>
      <c r="EK827" s="15"/>
      <c r="EL827" s="15"/>
      <c r="EM827" s="15"/>
      <c r="EN827" s="15"/>
      <c r="EO827" s="15"/>
      <c r="EP827" s="15"/>
      <c r="EQ827" s="15"/>
      <c r="ER827" s="15"/>
      <c r="ES827" s="15"/>
      <c r="ET827" s="15"/>
      <c r="EU827" s="15"/>
      <c r="EV827" s="15"/>
      <c r="EW827" s="15"/>
      <c r="EX827" s="15"/>
    </row>
    <row r="828" customFormat="false" ht="15.75" hidden="false" customHeight="false" outlineLevel="0" collapsed="false">
      <c r="A828" s="76"/>
      <c r="B828" s="77"/>
      <c r="C828" s="77"/>
      <c r="D828" s="78"/>
      <c r="E828" s="72"/>
      <c r="F828" s="68"/>
      <c r="G828" s="15"/>
      <c r="H828" s="76" t="str">
        <f aca="false">IFERROR(__xludf.dummyfunction("""COMPUTED_VALUE"""),"")</f>
        <v/>
      </c>
      <c r="I828" s="50" t="str">
        <f aca="false">IFERROR(__xludf.dummyfunction("""COMPUTED_VALUE"""),"")</f>
        <v/>
      </c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  <c r="DM828" s="15"/>
      <c r="DN828" s="15"/>
      <c r="DO828" s="15"/>
      <c r="DP828" s="15"/>
      <c r="DQ828" s="15"/>
      <c r="DR828" s="15"/>
      <c r="DS828" s="15"/>
      <c r="DT828" s="15"/>
      <c r="DU828" s="15"/>
      <c r="DV828" s="15"/>
      <c r="DW828" s="15"/>
      <c r="DX828" s="15"/>
      <c r="DY828" s="15"/>
      <c r="DZ828" s="15"/>
      <c r="EA828" s="15"/>
      <c r="EB828" s="15"/>
      <c r="EC828" s="15"/>
      <c r="ED828" s="15"/>
      <c r="EE828" s="15"/>
      <c r="EF828" s="15"/>
      <c r="EG828" s="15"/>
      <c r="EH828" s="15"/>
      <c r="EI828" s="15"/>
      <c r="EJ828" s="15"/>
      <c r="EK828" s="15"/>
      <c r="EL828" s="15"/>
      <c r="EM828" s="15"/>
      <c r="EN828" s="15"/>
      <c r="EO828" s="15"/>
      <c r="EP828" s="15"/>
      <c r="EQ828" s="15"/>
      <c r="ER828" s="15"/>
      <c r="ES828" s="15"/>
      <c r="ET828" s="15"/>
      <c r="EU828" s="15"/>
      <c r="EV828" s="15"/>
      <c r="EW828" s="15"/>
      <c r="EX828" s="15"/>
    </row>
    <row r="829" customFormat="false" ht="15.75" hidden="false" customHeight="false" outlineLevel="0" collapsed="false">
      <c r="A829" s="76"/>
      <c r="B829" s="77"/>
      <c r="C829" s="77"/>
      <c r="D829" s="78"/>
      <c r="E829" s="72"/>
      <c r="F829" s="68"/>
      <c r="G829" s="15"/>
      <c r="H829" s="76" t="str">
        <f aca="false">IFERROR(__xludf.dummyfunction("""COMPUTED_VALUE"""),"")</f>
        <v/>
      </c>
      <c r="I829" s="50" t="str">
        <f aca="false">IFERROR(__xludf.dummyfunction("""COMPUTED_VALUE"""),"")</f>
        <v/>
      </c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  <c r="DM829" s="15"/>
      <c r="DN829" s="15"/>
      <c r="DO829" s="15"/>
      <c r="DP829" s="15"/>
      <c r="DQ829" s="15"/>
      <c r="DR829" s="15"/>
      <c r="DS829" s="15"/>
      <c r="DT829" s="15"/>
      <c r="DU829" s="15"/>
      <c r="DV829" s="15"/>
      <c r="DW829" s="15"/>
      <c r="DX829" s="15"/>
      <c r="DY829" s="15"/>
      <c r="DZ829" s="15"/>
      <c r="EA829" s="15"/>
      <c r="EB829" s="15"/>
      <c r="EC829" s="15"/>
      <c r="ED829" s="15"/>
      <c r="EE829" s="15"/>
      <c r="EF829" s="15"/>
      <c r="EG829" s="15"/>
      <c r="EH829" s="15"/>
      <c r="EI829" s="15"/>
      <c r="EJ829" s="15"/>
      <c r="EK829" s="15"/>
      <c r="EL829" s="15"/>
      <c r="EM829" s="15"/>
      <c r="EN829" s="15"/>
      <c r="EO829" s="15"/>
      <c r="EP829" s="15"/>
      <c r="EQ829" s="15"/>
      <c r="ER829" s="15"/>
      <c r="ES829" s="15"/>
      <c r="ET829" s="15"/>
      <c r="EU829" s="15"/>
      <c r="EV829" s="15"/>
      <c r="EW829" s="15"/>
      <c r="EX829" s="15"/>
    </row>
    <row r="830" customFormat="false" ht="15.75" hidden="false" customHeight="false" outlineLevel="0" collapsed="false">
      <c r="A830" s="76"/>
      <c r="B830" s="77"/>
      <c r="C830" s="77"/>
      <c r="D830" s="78"/>
      <c r="E830" s="72"/>
      <c r="F830" s="68"/>
      <c r="G830" s="15"/>
      <c r="H830" s="76" t="str">
        <f aca="false">IFERROR(__xludf.dummyfunction("""COMPUTED_VALUE"""),"")</f>
        <v/>
      </c>
      <c r="I830" s="50" t="str">
        <f aca="false">IFERROR(__xludf.dummyfunction("""COMPUTED_VALUE"""),"")</f>
        <v/>
      </c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  <c r="DM830" s="15"/>
      <c r="DN830" s="15"/>
      <c r="DO830" s="15"/>
      <c r="DP830" s="15"/>
      <c r="DQ830" s="15"/>
      <c r="DR830" s="15"/>
      <c r="DS830" s="15"/>
      <c r="DT830" s="15"/>
      <c r="DU830" s="15"/>
      <c r="DV830" s="15"/>
      <c r="DW830" s="15"/>
      <c r="DX830" s="15"/>
      <c r="DY830" s="15"/>
      <c r="DZ830" s="15"/>
      <c r="EA830" s="15"/>
      <c r="EB830" s="15"/>
      <c r="EC830" s="15"/>
      <c r="ED830" s="15"/>
      <c r="EE830" s="15"/>
      <c r="EF830" s="15"/>
      <c r="EG830" s="15"/>
      <c r="EH830" s="15"/>
      <c r="EI830" s="15"/>
      <c r="EJ830" s="15"/>
      <c r="EK830" s="15"/>
      <c r="EL830" s="15"/>
      <c r="EM830" s="15"/>
      <c r="EN830" s="15"/>
      <c r="EO830" s="15"/>
      <c r="EP830" s="15"/>
      <c r="EQ830" s="15"/>
      <c r="ER830" s="15"/>
      <c r="ES830" s="15"/>
      <c r="ET830" s="15"/>
      <c r="EU830" s="15"/>
      <c r="EV830" s="15"/>
      <c r="EW830" s="15"/>
      <c r="EX830" s="15"/>
    </row>
    <row r="831" customFormat="false" ht="15.75" hidden="false" customHeight="false" outlineLevel="0" collapsed="false">
      <c r="A831" s="76"/>
      <c r="B831" s="77"/>
      <c r="C831" s="77"/>
      <c r="D831" s="78"/>
      <c r="E831" s="72"/>
      <c r="F831" s="68"/>
      <c r="G831" s="15"/>
      <c r="H831" s="76" t="str">
        <f aca="false">IFERROR(__xludf.dummyfunction("""COMPUTED_VALUE"""),"")</f>
        <v/>
      </c>
      <c r="I831" s="50" t="str">
        <f aca="false">IFERROR(__xludf.dummyfunction("""COMPUTED_VALUE"""),"")</f>
        <v/>
      </c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  <c r="DM831" s="15"/>
      <c r="DN831" s="15"/>
      <c r="DO831" s="15"/>
      <c r="DP831" s="15"/>
      <c r="DQ831" s="15"/>
      <c r="DR831" s="15"/>
      <c r="DS831" s="15"/>
      <c r="DT831" s="15"/>
      <c r="DU831" s="15"/>
      <c r="DV831" s="15"/>
      <c r="DW831" s="15"/>
      <c r="DX831" s="15"/>
      <c r="DY831" s="15"/>
      <c r="DZ831" s="15"/>
      <c r="EA831" s="15"/>
      <c r="EB831" s="15"/>
      <c r="EC831" s="15"/>
      <c r="ED831" s="15"/>
      <c r="EE831" s="15"/>
      <c r="EF831" s="15"/>
      <c r="EG831" s="15"/>
      <c r="EH831" s="15"/>
      <c r="EI831" s="15"/>
      <c r="EJ831" s="15"/>
      <c r="EK831" s="15"/>
      <c r="EL831" s="15"/>
      <c r="EM831" s="15"/>
      <c r="EN831" s="15"/>
      <c r="EO831" s="15"/>
      <c r="EP831" s="15"/>
      <c r="EQ831" s="15"/>
      <c r="ER831" s="15"/>
      <c r="ES831" s="15"/>
      <c r="ET831" s="15"/>
      <c r="EU831" s="15"/>
      <c r="EV831" s="15"/>
      <c r="EW831" s="15"/>
      <c r="EX831" s="15"/>
    </row>
    <row r="832" customFormat="false" ht="15.75" hidden="false" customHeight="false" outlineLevel="0" collapsed="false">
      <c r="A832" s="76"/>
      <c r="B832" s="77"/>
      <c r="C832" s="77"/>
      <c r="D832" s="78"/>
      <c r="E832" s="72"/>
      <c r="F832" s="68"/>
      <c r="G832" s="15"/>
      <c r="H832" s="76" t="str">
        <f aca="false">IFERROR(__xludf.dummyfunction("""COMPUTED_VALUE"""),"")</f>
        <v/>
      </c>
      <c r="I832" s="50" t="str">
        <f aca="false">IFERROR(__xludf.dummyfunction("""COMPUTED_VALUE"""),"")</f>
        <v/>
      </c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  <c r="DM832" s="15"/>
      <c r="DN832" s="15"/>
      <c r="DO832" s="15"/>
      <c r="DP832" s="15"/>
      <c r="DQ832" s="15"/>
      <c r="DR832" s="15"/>
      <c r="DS832" s="15"/>
      <c r="DT832" s="15"/>
      <c r="DU832" s="15"/>
      <c r="DV832" s="15"/>
      <c r="DW832" s="15"/>
      <c r="DX832" s="15"/>
      <c r="DY832" s="15"/>
      <c r="DZ832" s="15"/>
      <c r="EA832" s="15"/>
      <c r="EB832" s="15"/>
      <c r="EC832" s="15"/>
      <c r="ED832" s="15"/>
      <c r="EE832" s="15"/>
      <c r="EF832" s="15"/>
      <c r="EG832" s="15"/>
      <c r="EH832" s="15"/>
      <c r="EI832" s="15"/>
      <c r="EJ832" s="15"/>
      <c r="EK832" s="15"/>
      <c r="EL832" s="15"/>
      <c r="EM832" s="15"/>
      <c r="EN832" s="15"/>
      <c r="EO832" s="15"/>
      <c r="EP832" s="15"/>
      <c r="EQ832" s="15"/>
      <c r="ER832" s="15"/>
      <c r="ES832" s="15"/>
      <c r="ET832" s="15"/>
      <c r="EU832" s="15"/>
      <c r="EV832" s="15"/>
      <c r="EW832" s="15"/>
      <c r="EX832" s="15"/>
    </row>
    <row r="833" customFormat="false" ht="15.75" hidden="false" customHeight="false" outlineLevel="0" collapsed="false">
      <c r="A833" s="76"/>
      <c r="B833" s="77"/>
      <c r="C833" s="77"/>
      <c r="D833" s="78"/>
      <c r="E833" s="72"/>
      <c r="F833" s="68"/>
      <c r="G833" s="15"/>
      <c r="H833" s="76" t="str">
        <f aca="false">IFERROR(__xludf.dummyfunction("""COMPUTED_VALUE"""),"")</f>
        <v/>
      </c>
      <c r="I833" s="50" t="str">
        <f aca="false">IFERROR(__xludf.dummyfunction("""COMPUTED_VALUE"""),"")</f>
        <v/>
      </c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  <c r="DM833" s="15"/>
      <c r="DN833" s="15"/>
      <c r="DO833" s="15"/>
      <c r="DP833" s="15"/>
      <c r="DQ833" s="15"/>
      <c r="DR833" s="15"/>
      <c r="DS833" s="15"/>
      <c r="DT833" s="15"/>
      <c r="DU833" s="15"/>
      <c r="DV833" s="15"/>
      <c r="DW833" s="15"/>
      <c r="DX833" s="15"/>
      <c r="DY833" s="15"/>
      <c r="DZ833" s="15"/>
      <c r="EA833" s="15"/>
      <c r="EB833" s="15"/>
      <c r="EC833" s="15"/>
      <c r="ED833" s="15"/>
      <c r="EE833" s="15"/>
      <c r="EF833" s="15"/>
      <c r="EG833" s="15"/>
      <c r="EH833" s="15"/>
      <c r="EI833" s="15"/>
      <c r="EJ833" s="15"/>
      <c r="EK833" s="15"/>
      <c r="EL833" s="15"/>
      <c r="EM833" s="15"/>
      <c r="EN833" s="15"/>
      <c r="EO833" s="15"/>
      <c r="EP833" s="15"/>
      <c r="EQ833" s="15"/>
      <c r="ER833" s="15"/>
      <c r="ES833" s="15"/>
      <c r="ET833" s="15"/>
      <c r="EU833" s="15"/>
      <c r="EV833" s="15"/>
      <c r="EW833" s="15"/>
      <c r="EX833" s="15"/>
    </row>
    <row r="834" customFormat="false" ht="15.75" hidden="false" customHeight="false" outlineLevel="0" collapsed="false">
      <c r="A834" s="76"/>
      <c r="B834" s="77"/>
      <c r="C834" s="77"/>
      <c r="D834" s="78"/>
      <c r="E834" s="72"/>
      <c r="F834" s="68"/>
      <c r="G834" s="15"/>
      <c r="H834" s="76" t="str">
        <f aca="false">IFERROR(__xludf.dummyfunction("""COMPUTED_VALUE"""),"")</f>
        <v/>
      </c>
      <c r="I834" s="50" t="str">
        <f aca="false">IFERROR(__xludf.dummyfunction("""COMPUTED_VALUE"""),"")</f>
        <v/>
      </c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  <c r="DY834" s="15"/>
      <c r="DZ834" s="15"/>
      <c r="EA834" s="15"/>
      <c r="EB834" s="15"/>
      <c r="EC834" s="15"/>
      <c r="ED834" s="15"/>
      <c r="EE834" s="15"/>
      <c r="EF834" s="15"/>
      <c r="EG834" s="15"/>
      <c r="EH834" s="15"/>
      <c r="EI834" s="15"/>
      <c r="EJ834" s="15"/>
      <c r="EK834" s="15"/>
      <c r="EL834" s="15"/>
      <c r="EM834" s="15"/>
      <c r="EN834" s="15"/>
      <c r="EO834" s="15"/>
      <c r="EP834" s="15"/>
      <c r="EQ834" s="15"/>
      <c r="ER834" s="15"/>
      <c r="ES834" s="15"/>
      <c r="ET834" s="15"/>
      <c r="EU834" s="15"/>
      <c r="EV834" s="15"/>
      <c r="EW834" s="15"/>
      <c r="EX834" s="15"/>
    </row>
    <row r="835" customFormat="false" ht="15.75" hidden="false" customHeight="false" outlineLevel="0" collapsed="false">
      <c r="A835" s="76"/>
      <c r="B835" s="77"/>
      <c r="C835" s="77"/>
      <c r="D835" s="78"/>
      <c r="E835" s="72"/>
      <c r="F835" s="68"/>
      <c r="G835" s="15"/>
      <c r="H835" s="76" t="str">
        <f aca="false">IFERROR(__xludf.dummyfunction("""COMPUTED_VALUE"""),"")</f>
        <v/>
      </c>
      <c r="I835" s="50" t="str">
        <f aca="false">IFERROR(__xludf.dummyfunction("""COMPUTED_VALUE"""),"")</f>
        <v/>
      </c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  <c r="DY835" s="15"/>
      <c r="DZ835" s="15"/>
      <c r="EA835" s="15"/>
      <c r="EB835" s="15"/>
      <c r="EC835" s="15"/>
      <c r="ED835" s="15"/>
      <c r="EE835" s="15"/>
      <c r="EF835" s="15"/>
      <c r="EG835" s="15"/>
      <c r="EH835" s="15"/>
      <c r="EI835" s="15"/>
      <c r="EJ835" s="15"/>
      <c r="EK835" s="15"/>
      <c r="EL835" s="15"/>
      <c r="EM835" s="15"/>
      <c r="EN835" s="15"/>
      <c r="EO835" s="15"/>
      <c r="EP835" s="15"/>
      <c r="EQ835" s="15"/>
      <c r="ER835" s="15"/>
      <c r="ES835" s="15"/>
      <c r="ET835" s="15"/>
      <c r="EU835" s="15"/>
      <c r="EV835" s="15"/>
      <c r="EW835" s="15"/>
      <c r="EX835" s="15"/>
    </row>
    <row r="836" customFormat="false" ht="15.75" hidden="false" customHeight="false" outlineLevel="0" collapsed="false">
      <c r="A836" s="76"/>
      <c r="B836" s="77"/>
      <c r="C836" s="77"/>
      <c r="D836" s="78"/>
      <c r="E836" s="72"/>
      <c r="F836" s="68"/>
      <c r="G836" s="15"/>
      <c r="H836" s="76" t="str">
        <f aca="false">IFERROR(__xludf.dummyfunction("""COMPUTED_VALUE"""),"")</f>
        <v/>
      </c>
      <c r="I836" s="50" t="str">
        <f aca="false">IFERROR(__xludf.dummyfunction("""COMPUTED_VALUE"""),"")</f>
        <v/>
      </c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  <c r="DM836" s="15"/>
      <c r="DN836" s="15"/>
      <c r="DO836" s="15"/>
      <c r="DP836" s="15"/>
      <c r="DQ836" s="15"/>
      <c r="DR836" s="15"/>
      <c r="DS836" s="15"/>
      <c r="DT836" s="15"/>
      <c r="DU836" s="15"/>
      <c r="DV836" s="15"/>
      <c r="DW836" s="15"/>
      <c r="DX836" s="15"/>
      <c r="DY836" s="15"/>
      <c r="DZ836" s="15"/>
      <c r="EA836" s="15"/>
      <c r="EB836" s="15"/>
      <c r="EC836" s="15"/>
      <c r="ED836" s="15"/>
      <c r="EE836" s="15"/>
      <c r="EF836" s="15"/>
      <c r="EG836" s="15"/>
      <c r="EH836" s="15"/>
      <c r="EI836" s="15"/>
      <c r="EJ836" s="15"/>
      <c r="EK836" s="15"/>
      <c r="EL836" s="15"/>
      <c r="EM836" s="15"/>
      <c r="EN836" s="15"/>
      <c r="EO836" s="15"/>
      <c r="EP836" s="15"/>
      <c r="EQ836" s="15"/>
      <c r="ER836" s="15"/>
      <c r="ES836" s="15"/>
      <c r="ET836" s="15"/>
      <c r="EU836" s="15"/>
      <c r="EV836" s="15"/>
      <c r="EW836" s="15"/>
      <c r="EX836" s="15"/>
    </row>
    <row r="837" customFormat="false" ht="15.75" hidden="false" customHeight="false" outlineLevel="0" collapsed="false">
      <c r="A837" s="76"/>
      <c r="B837" s="77"/>
      <c r="C837" s="77"/>
      <c r="D837" s="78"/>
      <c r="E837" s="72"/>
      <c r="F837" s="68"/>
      <c r="G837" s="15"/>
      <c r="H837" s="76" t="str">
        <f aca="false">IFERROR(__xludf.dummyfunction("""COMPUTED_VALUE"""),"")</f>
        <v/>
      </c>
      <c r="I837" s="50" t="str">
        <f aca="false">IFERROR(__xludf.dummyfunction("""COMPUTED_VALUE"""),"")</f>
        <v/>
      </c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  <c r="DM837" s="15"/>
      <c r="DN837" s="15"/>
      <c r="DO837" s="15"/>
      <c r="DP837" s="15"/>
      <c r="DQ837" s="15"/>
      <c r="DR837" s="15"/>
      <c r="DS837" s="15"/>
      <c r="DT837" s="15"/>
      <c r="DU837" s="15"/>
      <c r="DV837" s="15"/>
      <c r="DW837" s="15"/>
      <c r="DX837" s="15"/>
      <c r="DY837" s="15"/>
      <c r="DZ837" s="15"/>
      <c r="EA837" s="15"/>
      <c r="EB837" s="15"/>
      <c r="EC837" s="15"/>
      <c r="ED837" s="15"/>
      <c r="EE837" s="15"/>
      <c r="EF837" s="15"/>
      <c r="EG837" s="15"/>
      <c r="EH837" s="15"/>
      <c r="EI837" s="15"/>
      <c r="EJ837" s="15"/>
      <c r="EK837" s="15"/>
      <c r="EL837" s="15"/>
      <c r="EM837" s="15"/>
      <c r="EN837" s="15"/>
      <c r="EO837" s="15"/>
      <c r="EP837" s="15"/>
      <c r="EQ837" s="15"/>
      <c r="ER837" s="15"/>
      <c r="ES837" s="15"/>
      <c r="ET837" s="15"/>
      <c r="EU837" s="15"/>
      <c r="EV837" s="15"/>
      <c r="EW837" s="15"/>
      <c r="EX837" s="15"/>
    </row>
    <row r="838" customFormat="false" ht="15.75" hidden="false" customHeight="false" outlineLevel="0" collapsed="false">
      <c r="A838" s="76"/>
      <c r="B838" s="77"/>
      <c r="C838" s="77"/>
      <c r="D838" s="78"/>
      <c r="E838" s="72"/>
      <c r="F838" s="68"/>
      <c r="G838" s="15"/>
      <c r="H838" s="76" t="str">
        <f aca="false">IFERROR(__xludf.dummyfunction("""COMPUTED_VALUE"""),"")</f>
        <v/>
      </c>
      <c r="I838" s="50" t="str">
        <f aca="false">IFERROR(__xludf.dummyfunction("""COMPUTED_VALUE"""),"")</f>
        <v/>
      </c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  <c r="DM838" s="15"/>
      <c r="DN838" s="15"/>
      <c r="DO838" s="15"/>
      <c r="DP838" s="15"/>
      <c r="DQ838" s="15"/>
      <c r="DR838" s="15"/>
      <c r="DS838" s="15"/>
      <c r="DT838" s="15"/>
      <c r="DU838" s="15"/>
      <c r="DV838" s="15"/>
      <c r="DW838" s="15"/>
      <c r="DX838" s="15"/>
      <c r="DY838" s="15"/>
      <c r="DZ838" s="15"/>
      <c r="EA838" s="15"/>
      <c r="EB838" s="15"/>
      <c r="EC838" s="15"/>
      <c r="ED838" s="15"/>
      <c r="EE838" s="15"/>
      <c r="EF838" s="15"/>
      <c r="EG838" s="15"/>
      <c r="EH838" s="15"/>
      <c r="EI838" s="15"/>
      <c r="EJ838" s="15"/>
      <c r="EK838" s="15"/>
      <c r="EL838" s="15"/>
      <c r="EM838" s="15"/>
      <c r="EN838" s="15"/>
      <c r="EO838" s="15"/>
      <c r="EP838" s="15"/>
      <c r="EQ838" s="15"/>
      <c r="ER838" s="15"/>
      <c r="ES838" s="15"/>
      <c r="ET838" s="15"/>
      <c r="EU838" s="15"/>
      <c r="EV838" s="15"/>
      <c r="EW838" s="15"/>
      <c r="EX838" s="15"/>
    </row>
    <row r="839" customFormat="false" ht="15.75" hidden="false" customHeight="false" outlineLevel="0" collapsed="false">
      <c r="A839" s="76"/>
      <c r="B839" s="77"/>
      <c r="C839" s="77"/>
      <c r="D839" s="78"/>
      <c r="E839" s="72"/>
      <c r="F839" s="68"/>
      <c r="G839" s="15"/>
      <c r="H839" s="76" t="str">
        <f aca="false">IFERROR(__xludf.dummyfunction("""COMPUTED_VALUE"""),"")</f>
        <v/>
      </c>
      <c r="I839" s="50" t="str">
        <f aca="false">IFERROR(__xludf.dummyfunction("""COMPUTED_VALUE"""),"")</f>
        <v/>
      </c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  <c r="DM839" s="15"/>
      <c r="DN839" s="15"/>
      <c r="DO839" s="15"/>
      <c r="DP839" s="15"/>
      <c r="DQ839" s="15"/>
      <c r="DR839" s="15"/>
      <c r="DS839" s="15"/>
      <c r="DT839" s="15"/>
      <c r="DU839" s="15"/>
      <c r="DV839" s="15"/>
      <c r="DW839" s="15"/>
      <c r="DX839" s="15"/>
      <c r="DY839" s="15"/>
      <c r="DZ839" s="15"/>
      <c r="EA839" s="15"/>
      <c r="EB839" s="15"/>
      <c r="EC839" s="15"/>
      <c r="ED839" s="15"/>
      <c r="EE839" s="15"/>
      <c r="EF839" s="15"/>
      <c r="EG839" s="15"/>
      <c r="EH839" s="15"/>
      <c r="EI839" s="15"/>
      <c r="EJ839" s="15"/>
      <c r="EK839" s="15"/>
      <c r="EL839" s="15"/>
      <c r="EM839" s="15"/>
      <c r="EN839" s="15"/>
      <c r="EO839" s="15"/>
      <c r="EP839" s="15"/>
      <c r="EQ839" s="15"/>
      <c r="ER839" s="15"/>
      <c r="ES839" s="15"/>
      <c r="ET839" s="15"/>
      <c r="EU839" s="15"/>
      <c r="EV839" s="15"/>
      <c r="EW839" s="15"/>
      <c r="EX839" s="15"/>
    </row>
    <row r="840" customFormat="false" ht="15.75" hidden="false" customHeight="false" outlineLevel="0" collapsed="false">
      <c r="A840" s="76"/>
      <c r="B840" s="77"/>
      <c r="C840" s="77"/>
      <c r="D840" s="78"/>
      <c r="E840" s="72"/>
      <c r="F840" s="68"/>
      <c r="G840" s="15"/>
      <c r="H840" s="76" t="str">
        <f aca="false">IFERROR(__xludf.dummyfunction("""COMPUTED_VALUE"""),"")</f>
        <v/>
      </c>
      <c r="I840" s="50" t="str">
        <f aca="false">IFERROR(__xludf.dummyfunction("""COMPUTED_VALUE"""),"")</f>
        <v/>
      </c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  <c r="DM840" s="15"/>
      <c r="DN840" s="15"/>
      <c r="DO840" s="15"/>
      <c r="DP840" s="15"/>
      <c r="DQ840" s="15"/>
      <c r="DR840" s="15"/>
      <c r="DS840" s="15"/>
      <c r="DT840" s="15"/>
      <c r="DU840" s="15"/>
      <c r="DV840" s="15"/>
      <c r="DW840" s="15"/>
      <c r="DX840" s="15"/>
      <c r="DY840" s="15"/>
      <c r="DZ840" s="15"/>
      <c r="EA840" s="15"/>
      <c r="EB840" s="15"/>
      <c r="EC840" s="15"/>
      <c r="ED840" s="15"/>
      <c r="EE840" s="15"/>
      <c r="EF840" s="15"/>
      <c r="EG840" s="15"/>
      <c r="EH840" s="15"/>
      <c r="EI840" s="15"/>
      <c r="EJ840" s="15"/>
      <c r="EK840" s="15"/>
      <c r="EL840" s="15"/>
      <c r="EM840" s="15"/>
      <c r="EN840" s="15"/>
      <c r="EO840" s="15"/>
      <c r="EP840" s="15"/>
      <c r="EQ840" s="15"/>
      <c r="ER840" s="15"/>
      <c r="ES840" s="15"/>
      <c r="ET840" s="15"/>
      <c r="EU840" s="15"/>
      <c r="EV840" s="15"/>
      <c r="EW840" s="15"/>
      <c r="EX840" s="15"/>
    </row>
    <row r="841" customFormat="false" ht="15.75" hidden="false" customHeight="false" outlineLevel="0" collapsed="false">
      <c r="A841" s="76"/>
      <c r="B841" s="77"/>
      <c r="C841" s="77"/>
      <c r="D841" s="78"/>
      <c r="E841" s="72"/>
      <c r="F841" s="68"/>
      <c r="G841" s="15"/>
      <c r="H841" s="76" t="str">
        <f aca="false">IFERROR(__xludf.dummyfunction("""COMPUTED_VALUE"""),"")</f>
        <v/>
      </c>
      <c r="I841" s="50" t="str">
        <f aca="false">IFERROR(__xludf.dummyfunction("""COMPUTED_VALUE"""),"")</f>
        <v/>
      </c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  <c r="DM841" s="15"/>
      <c r="DN841" s="15"/>
      <c r="DO841" s="15"/>
      <c r="DP841" s="15"/>
      <c r="DQ841" s="15"/>
      <c r="DR841" s="15"/>
      <c r="DS841" s="15"/>
      <c r="DT841" s="15"/>
      <c r="DU841" s="15"/>
      <c r="DV841" s="15"/>
      <c r="DW841" s="15"/>
      <c r="DX841" s="15"/>
      <c r="DY841" s="15"/>
      <c r="DZ841" s="15"/>
      <c r="EA841" s="15"/>
      <c r="EB841" s="15"/>
      <c r="EC841" s="15"/>
      <c r="ED841" s="15"/>
      <c r="EE841" s="15"/>
      <c r="EF841" s="15"/>
      <c r="EG841" s="15"/>
      <c r="EH841" s="15"/>
      <c r="EI841" s="15"/>
      <c r="EJ841" s="15"/>
      <c r="EK841" s="15"/>
      <c r="EL841" s="15"/>
      <c r="EM841" s="15"/>
      <c r="EN841" s="15"/>
      <c r="EO841" s="15"/>
      <c r="EP841" s="15"/>
      <c r="EQ841" s="15"/>
      <c r="ER841" s="15"/>
      <c r="ES841" s="15"/>
      <c r="ET841" s="15"/>
      <c r="EU841" s="15"/>
      <c r="EV841" s="15"/>
      <c r="EW841" s="15"/>
      <c r="EX841" s="15"/>
    </row>
    <row r="842" customFormat="false" ht="15.75" hidden="false" customHeight="false" outlineLevel="0" collapsed="false">
      <c r="A842" s="76"/>
      <c r="B842" s="77"/>
      <c r="C842" s="77"/>
      <c r="D842" s="78"/>
      <c r="E842" s="72"/>
      <c r="F842" s="68"/>
      <c r="G842" s="15"/>
      <c r="H842" s="76" t="str">
        <f aca="false">IFERROR(__xludf.dummyfunction("""COMPUTED_VALUE"""),"")</f>
        <v/>
      </c>
      <c r="I842" s="50" t="str">
        <f aca="false">IFERROR(__xludf.dummyfunction("""COMPUTED_VALUE"""),"")</f>
        <v/>
      </c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  <c r="DM842" s="15"/>
      <c r="DN842" s="15"/>
      <c r="DO842" s="15"/>
      <c r="DP842" s="15"/>
      <c r="DQ842" s="15"/>
      <c r="DR842" s="15"/>
      <c r="DS842" s="15"/>
      <c r="DT842" s="15"/>
      <c r="DU842" s="15"/>
      <c r="DV842" s="15"/>
      <c r="DW842" s="15"/>
      <c r="DX842" s="15"/>
      <c r="DY842" s="15"/>
      <c r="DZ842" s="15"/>
      <c r="EA842" s="15"/>
      <c r="EB842" s="15"/>
      <c r="EC842" s="15"/>
      <c r="ED842" s="15"/>
      <c r="EE842" s="15"/>
      <c r="EF842" s="15"/>
      <c r="EG842" s="15"/>
      <c r="EH842" s="15"/>
      <c r="EI842" s="15"/>
      <c r="EJ842" s="15"/>
      <c r="EK842" s="15"/>
      <c r="EL842" s="15"/>
      <c r="EM842" s="15"/>
      <c r="EN842" s="15"/>
      <c r="EO842" s="15"/>
      <c r="EP842" s="15"/>
      <c r="EQ842" s="15"/>
      <c r="ER842" s="15"/>
      <c r="ES842" s="15"/>
      <c r="ET842" s="15"/>
      <c r="EU842" s="15"/>
      <c r="EV842" s="15"/>
      <c r="EW842" s="15"/>
      <c r="EX842" s="15"/>
    </row>
    <row r="843" customFormat="false" ht="15.75" hidden="false" customHeight="false" outlineLevel="0" collapsed="false">
      <c r="A843" s="76"/>
      <c r="B843" s="77"/>
      <c r="C843" s="77"/>
      <c r="D843" s="78"/>
      <c r="E843" s="72"/>
      <c r="F843" s="68"/>
      <c r="G843" s="15"/>
      <c r="H843" s="76" t="str">
        <f aca="false">IFERROR(__xludf.dummyfunction("""COMPUTED_VALUE"""),"")</f>
        <v/>
      </c>
      <c r="I843" s="50" t="str">
        <f aca="false">IFERROR(__xludf.dummyfunction("""COMPUTED_VALUE"""),"")</f>
        <v/>
      </c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  <c r="DY843" s="15"/>
      <c r="DZ843" s="15"/>
      <c r="EA843" s="15"/>
      <c r="EB843" s="15"/>
      <c r="EC843" s="15"/>
      <c r="ED843" s="15"/>
      <c r="EE843" s="15"/>
      <c r="EF843" s="15"/>
      <c r="EG843" s="15"/>
      <c r="EH843" s="15"/>
      <c r="EI843" s="15"/>
      <c r="EJ843" s="15"/>
      <c r="EK843" s="15"/>
      <c r="EL843" s="15"/>
      <c r="EM843" s="15"/>
      <c r="EN843" s="15"/>
      <c r="EO843" s="15"/>
      <c r="EP843" s="15"/>
      <c r="EQ843" s="15"/>
      <c r="ER843" s="15"/>
      <c r="ES843" s="15"/>
      <c r="ET843" s="15"/>
      <c r="EU843" s="15"/>
      <c r="EV843" s="15"/>
      <c r="EW843" s="15"/>
      <c r="EX843" s="15"/>
    </row>
    <row r="844" customFormat="false" ht="15.75" hidden="false" customHeight="false" outlineLevel="0" collapsed="false">
      <c r="A844" s="76"/>
      <c r="B844" s="77"/>
      <c r="C844" s="77"/>
      <c r="D844" s="78"/>
      <c r="E844" s="72"/>
      <c r="F844" s="68"/>
      <c r="G844" s="15"/>
      <c r="H844" s="76" t="str">
        <f aca="false">IFERROR(__xludf.dummyfunction("""COMPUTED_VALUE"""),"")</f>
        <v/>
      </c>
      <c r="I844" s="50" t="str">
        <f aca="false">IFERROR(__xludf.dummyfunction("""COMPUTED_VALUE"""),"")</f>
        <v/>
      </c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  <c r="DM844" s="15"/>
      <c r="DN844" s="15"/>
      <c r="DO844" s="15"/>
      <c r="DP844" s="15"/>
      <c r="DQ844" s="15"/>
      <c r="DR844" s="15"/>
      <c r="DS844" s="15"/>
      <c r="DT844" s="15"/>
      <c r="DU844" s="15"/>
      <c r="DV844" s="15"/>
      <c r="DW844" s="15"/>
      <c r="DX844" s="15"/>
      <c r="DY844" s="15"/>
      <c r="DZ844" s="15"/>
      <c r="EA844" s="15"/>
      <c r="EB844" s="15"/>
      <c r="EC844" s="15"/>
      <c r="ED844" s="15"/>
      <c r="EE844" s="15"/>
      <c r="EF844" s="15"/>
      <c r="EG844" s="15"/>
      <c r="EH844" s="15"/>
      <c r="EI844" s="15"/>
      <c r="EJ844" s="15"/>
      <c r="EK844" s="15"/>
      <c r="EL844" s="15"/>
      <c r="EM844" s="15"/>
      <c r="EN844" s="15"/>
      <c r="EO844" s="15"/>
      <c r="EP844" s="15"/>
      <c r="EQ844" s="15"/>
      <c r="ER844" s="15"/>
      <c r="ES844" s="15"/>
      <c r="ET844" s="15"/>
      <c r="EU844" s="15"/>
      <c r="EV844" s="15"/>
      <c r="EW844" s="15"/>
      <c r="EX844" s="15"/>
    </row>
    <row r="845" customFormat="false" ht="15.75" hidden="false" customHeight="false" outlineLevel="0" collapsed="false">
      <c r="A845" s="76"/>
      <c r="B845" s="77"/>
      <c r="C845" s="77"/>
      <c r="D845" s="78"/>
      <c r="E845" s="72"/>
      <c r="F845" s="68"/>
      <c r="G845" s="15"/>
      <c r="H845" s="76" t="str">
        <f aca="false">IFERROR(__xludf.dummyfunction("""COMPUTED_VALUE"""),"")</f>
        <v/>
      </c>
      <c r="I845" s="50" t="str">
        <f aca="false">IFERROR(__xludf.dummyfunction("""COMPUTED_VALUE"""),"")</f>
        <v/>
      </c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  <c r="DM845" s="15"/>
      <c r="DN845" s="15"/>
      <c r="DO845" s="15"/>
      <c r="DP845" s="15"/>
      <c r="DQ845" s="15"/>
      <c r="DR845" s="15"/>
      <c r="DS845" s="15"/>
      <c r="DT845" s="15"/>
      <c r="DU845" s="15"/>
      <c r="DV845" s="15"/>
      <c r="DW845" s="15"/>
      <c r="DX845" s="15"/>
      <c r="DY845" s="15"/>
      <c r="DZ845" s="15"/>
      <c r="EA845" s="15"/>
      <c r="EB845" s="15"/>
      <c r="EC845" s="15"/>
      <c r="ED845" s="15"/>
      <c r="EE845" s="15"/>
      <c r="EF845" s="15"/>
      <c r="EG845" s="15"/>
      <c r="EH845" s="15"/>
      <c r="EI845" s="15"/>
      <c r="EJ845" s="15"/>
      <c r="EK845" s="15"/>
      <c r="EL845" s="15"/>
      <c r="EM845" s="15"/>
      <c r="EN845" s="15"/>
      <c r="EO845" s="15"/>
      <c r="EP845" s="15"/>
      <c r="EQ845" s="15"/>
      <c r="ER845" s="15"/>
      <c r="ES845" s="15"/>
      <c r="ET845" s="15"/>
      <c r="EU845" s="15"/>
      <c r="EV845" s="15"/>
      <c r="EW845" s="15"/>
      <c r="EX845" s="15"/>
    </row>
    <row r="846" customFormat="false" ht="15.75" hidden="false" customHeight="false" outlineLevel="0" collapsed="false">
      <c r="A846" s="76"/>
      <c r="B846" s="77"/>
      <c r="C846" s="77"/>
      <c r="D846" s="78"/>
      <c r="E846" s="72"/>
      <c r="F846" s="68"/>
      <c r="G846" s="15"/>
      <c r="H846" s="76" t="str">
        <f aca="false">IFERROR(__xludf.dummyfunction("""COMPUTED_VALUE"""),"")</f>
        <v/>
      </c>
      <c r="I846" s="50" t="str">
        <f aca="false">IFERROR(__xludf.dummyfunction("""COMPUTED_VALUE"""),"")</f>
        <v/>
      </c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  <c r="DM846" s="15"/>
      <c r="DN846" s="15"/>
      <c r="DO846" s="15"/>
      <c r="DP846" s="15"/>
      <c r="DQ846" s="15"/>
      <c r="DR846" s="15"/>
      <c r="DS846" s="15"/>
      <c r="DT846" s="15"/>
      <c r="DU846" s="15"/>
      <c r="DV846" s="15"/>
      <c r="DW846" s="15"/>
      <c r="DX846" s="15"/>
      <c r="DY846" s="15"/>
      <c r="DZ846" s="15"/>
      <c r="EA846" s="15"/>
      <c r="EB846" s="15"/>
      <c r="EC846" s="15"/>
      <c r="ED846" s="15"/>
      <c r="EE846" s="15"/>
      <c r="EF846" s="15"/>
      <c r="EG846" s="15"/>
      <c r="EH846" s="15"/>
      <c r="EI846" s="15"/>
      <c r="EJ846" s="15"/>
      <c r="EK846" s="15"/>
      <c r="EL846" s="15"/>
      <c r="EM846" s="15"/>
      <c r="EN846" s="15"/>
      <c r="EO846" s="15"/>
      <c r="EP846" s="15"/>
      <c r="EQ846" s="15"/>
      <c r="ER846" s="15"/>
      <c r="ES846" s="15"/>
      <c r="ET846" s="15"/>
      <c r="EU846" s="15"/>
      <c r="EV846" s="15"/>
      <c r="EW846" s="15"/>
      <c r="EX846" s="15"/>
    </row>
    <row r="847" customFormat="false" ht="15.75" hidden="false" customHeight="false" outlineLevel="0" collapsed="false">
      <c r="A847" s="76"/>
      <c r="B847" s="77"/>
      <c r="C847" s="77"/>
      <c r="D847" s="78"/>
      <c r="E847" s="72"/>
      <c r="F847" s="68"/>
      <c r="G847" s="15"/>
      <c r="H847" s="76" t="str">
        <f aca="false">IFERROR(__xludf.dummyfunction("""COMPUTED_VALUE"""),"")</f>
        <v/>
      </c>
      <c r="I847" s="50" t="str">
        <f aca="false">IFERROR(__xludf.dummyfunction("""COMPUTED_VALUE"""),"")</f>
        <v/>
      </c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  <c r="DM847" s="15"/>
      <c r="DN847" s="15"/>
      <c r="DO847" s="15"/>
      <c r="DP847" s="15"/>
      <c r="DQ847" s="15"/>
      <c r="DR847" s="15"/>
      <c r="DS847" s="15"/>
      <c r="DT847" s="15"/>
      <c r="DU847" s="15"/>
      <c r="DV847" s="15"/>
      <c r="DW847" s="15"/>
      <c r="DX847" s="15"/>
      <c r="DY847" s="15"/>
      <c r="DZ847" s="15"/>
      <c r="EA847" s="15"/>
      <c r="EB847" s="15"/>
      <c r="EC847" s="15"/>
      <c r="ED847" s="15"/>
      <c r="EE847" s="15"/>
      <c r="EF847" s="15"/>
      <c r="EG847" s="15"/>
      <c r="EH847" s="15"/>
      <c r="EI847" s="15"/>
      <c r="EJ847" s="15"/>
      <c r="EK847" s="15"/>
      <c r="EL847" s="15"/>
      <c r="EM847" s="15"/>
      <c r="EN847" s="15"/>
      <c r="EO847" s="15"/>
      <c r="EP847" s="15"/>
      <c r="EQ847" s="15"/>
      <c r="ER847" s="15"/>
      <c r="ES847" s="15"/>
      <c r="ET847" s="15"/>
      <c r="EU847" s="15"/>
      <c r="EV847" s="15"/>
      <c r="EW847" s="15"/>
      <c r="EX847" s="15"/>
    </row>
    <row r="848" customFormat="false" ht="15.75" hidden="false" customHeight="false" outlineLevel="0" collapsed="false">
      <c r="A848" s="76"/>
      <c r="B848" s="77"/>
      <c r="C848" s="77"/>
      <c r="D848" s="78"/>
      <c r="E848" s="72"/>
      <c r="F848" s="68"/>
      <c r="G848" s="15"/>
      <c r="H848" s="76" t="str">
        <f aca="false">IFERROR(__xludf.dummyfunction("""COMPUTED_VALUE"""),"")</f>
        <v/>
      </c>
      <c r="I848" s="50" t="str">
        <f aca="false">IFERROR(__xludf.dummyfunction("""COMPUTED_VALUE"""),"")</f>
        <v/>
      </c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  <c r="DM848" s="15"/>
      <c r="DN848" s="15"/>
      <c r="DO848" s="15"/>
      <c r="DP848" s="15"/>
      <c r="DQ848" s="15"/>
      <c r="DR848" s="15"/>
      <c r="DS848" s="15"/>
      <c r="DT848" s="15"/>
      <c r="DU848" s="15"/>
      <c r="DV848" s="15"/>
      <c r="DW848" s="15"/>
      <c r="DX848" s="15"/>
      <c r="DY848" s="15"/>
      <c r="DZ848" s="15"/>
      <c r="EA848" s="15"/>
      <c r="EB848" s="15"/>
      <c r="EC848" s="15"/>
      <c r="ED848" s="15"/>
      <c r="EE848" s="15"/>
      <c r="EF848" s="15"/>
      <c r="EG848" s="15"/>
      <c r="EH848" s="15"/>
      <c r="EI848" s="15"/>
      <c r="EJ848" s="15"/>
      <c r="EK848" s="15"/>
      <c r="EL848" s="15"/>
      <c r="EM848" s="15"/>
      <c r="EN848" s="15"/>
      <c r="EO848" s="15"/>
      <c r="EP848" s="15"/>
      <c r="EQ848" s="15"/>
      <c r="ER848" s="15"/>
      <c r="ES848" s="15"/>
      <c r="ET848" s="15"/>
      <c r="EU848" s="15"/>
      <c r="EV848" s="15"/>
      <c r="EW848" s="15"/>
      <c r="EX848" s="15"/>
    </row>
    <row r="849" customFormat="false" ht="15.75" hidden="false" customHeight="false" outlineLevel="0" collapsed="false">
      <c r="A849" s="76"/>
      <c r="B849" s="77"/>
      <c r="C849" s="77"/>
      <c r="D849" s="78"/>
      <c r="E849" s="72"/>
      <c r="F849" s="68"/>
      <c r="G849" s="15"/>
      <c r="H849" s="76" t="str">
        <f aca="false">IFERROR(__xludf.dummyfunction("""COMPUTED_VALUE"""),"")</f>
        <v/>
      </c>
      <c r="I849" s="50" t="str">
        <f aca="false">IFERROR(__xludf.dummyfunction("""COMPUTED_VALUE"""),"")</f>
        <v/>
      </c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  <c r="DM849" s="15"/>
      <c r="DN849" s="15"/>
      <c r="DO849" s="15"/>
      <c r="DP849" s="15"/>
      <c r="DQ849" s="15"/>
      <c r="DR849" s="15"/>
      <c r="DS849" s="15"/>
      <c r="DT849" s="15"/>
      <c r="DU849" s="15"/>
      <c r="DV849" s="15"/>
      <c r="DW849" s="15"/>
      <c r="DX849" s="15"/>
      <c r="DY849" s="15"/>
      <c r="DZ849" s="15"/>
      <c r="EA849" s="15"/>
      <c r="EB849" s="15"/>
      <c r="EC849" s="15"/>
      <c r="ED849" s="15"/>
      <c r="EE849" s="15"/>
      <c r="EF849" s="15"/>
      <c r="EG849" s="15"/>
      <c r="EH849" s="15"/>
      <c r="EI849" s="15"/>
      <c r="EJ849" s="15"/>
      <c r="EK849" s="15"/>
      <c r="EL849" s="15"/>
      <c r="EM849" s="15"/>
      <c r="EN849" s="15"/>
      <c r="EO849" s="15"/>
      <c r="EP849" s="15"/>
      <c r="EQ849" s="15"/>
      <c r="ER849" s="15"/>
      <c r="ES849" s="15"/>
      <c r="ET849" s="15"/>
      <c r="EU849" s="15"/>
      <c r="EV849" s="15"/>
      <c r="EW849" s="15"/>
      <c r="EX849" s="15"/>
    </row>
    <row r="850" customFormat="false" ht="15.75" hidden="false" customHeight="false" outlineLevel="0" collapsed="false">
      <c r="A850" s="76"/>
      <c r="B850" s="77"/>
      <c r="C850" s="77"/>
      <c r="D850" s="78"/>
      <c r="E850" s="72"/>
      <c r="F850" s="68"/>
      <c r="G850" s="15"/>
      <c r="H850" s="76" t="str">
        <f aca="false">IFERROR(__xludf.dummyfunction("""COMPUTED_VALUE"""),"")</f>
        <v/>
      </c>
      <c r="I850" s="50" t="str">
        <f aca="false">IFERROR(__xludf.dummyfunction("""COMPUTED_VALUE"""),"")</f>
        <v/>
      </c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  <c r="DY850" s="15"/>
      <c r="DZ850" s="15"/>
      <c r="EA850" s="15"/>
      <c r="EB850" s="15"/>
      <c r="EC850" s="15"/>
      <c r="ED850" s="15"/>
      <c r="EE850" s="15"/>
      <c r="EF850" s="15"/>
      <c r="EG850" s="15"/>
      <c r="EH850" s="15"/>
      <c r="EI850" s="15"/>
      <c r="EJ850" s="15"/>
      <c r="EK850" s="15"/>
      <c r="EL850" s="15"/>
      <c r="EM850" s="15"/>
      <c r="EN850" s="15"/>
      <c r="EO850" s="15"/>
      <c r="EP850" s="15"/>
      <c r="EQ850" s="15"/>
      <c r="ER850" s="15"/>
      <c r="ES850" s="15"/>
      <c r="ET850" s="15"/>
      <c r="EU850" s="15"/>
      <c r="EV850" s="15"/>
      <c r="EW850" s="15"/>
      <c r="EX850" s="15"/>
    </row>
    <row r="851" customFormat="false" ht="15.75" hidden="false" customHeight="false" outlineLevel="0" collapsed="false">
      <c r="A851" s="76"/>
      <c r="B851" s="77"/>
      <c r="C851" s="77"/>
      <c r="D851" s="78"/>
      <c r="E851" s="72"/>
      <c r="F851" s="68"/>
      <c r="G851" s="15"/>
      <c r="H851" s="76" t="str">
        <f aca="false">IFERROR(__xludf.dummyfunction("""COMPUTED_VALUE"""),"")</f>
        <v/>
      </c>
      <c r="I851" s="50" t="str">
        <f aca="false">IFERROR(__xludf.dummyfunction("""COMPUTED_VALUE"""),"")</f>
        <v/>
      </c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  <c r="DM851" s="15"/>
      <c r="DN851" s="15"/>
      <c r="DO851" s="15"/>
      <c r="DP851" s="15"/>
      <c r="DQ851" s="15"/>
      <c r="DR851" s="15"/>
      <c r="DS851" s="15"/>
      <c r="DT851" s="15"/>
      <c r="DU851" s="15"/>
      <c r="DV851" s="15"/>
      <c r="DW851" s="15"/>
      <c r="DX851" s="15"/>
      <c r="DY851" s="15"/>
      <c r="DZ851" s="15"/>
      <c r="EA851" s="15"/>
      <c r="EB851" s="15"/>
      <c r="EC851" s="15"/>
      <c r="ED851" s="15"/>
      <c r="EE851" s="15"/>
      <c r="EF851" s="15"/>
      <c r="EG851" s="15"/>
      <c r="EH851" s="15"/>
      <c r="EI851" s="15"/>
      <c r="EJ851" s="15"/>
      <c r="EK851" s="15"/>
      <c r="EL851" s="15"/>
      <c r="EM851" s="15"/>
      <c r="EN851" s="15"/>
      <c r="EO851" s="15"/>
      <c r="EP851" s="15"/>
      <c r="EQ851" s="15"/>
      <c r="ER851" s="15"/>
      <c r="ES851" s="15"/>
      <c r="ET851" s="15"/>
      <c r="EU851" s="15"/>
      <c r="EV851" s="15"/>
      <c r="EW851" s="15"/>
      <c r="EX851" s="15"/>
    </row>
    <row r="852" customFormat="false" ht="15.75" hidden="false" customHeight="false" outlineLevel="0" collapsed="false">
      <c r="A852" s="76"/>
      <c r="B852" s="77"/>
      <c r="C852" s="77"/>
      <c r="D852" s="78"/>
      <c r="E852" s="72"/>
      <c r="F852" s="68"/>
      <c r="G852" s="15"/>
      <c r="H852" s="76" t="str">
        <f aca="false">IFERROR(__xludf.dummyfunction("""COMPUTED_VALUE"""),"")</f>
        <v/>
      </c>
      <c r="I852" s="50" t="str">
        <f aca="false">IFERROR(__xludf.dummyfunction("""COMPUTED_VALUE"""),"")</f>
        <v/>
      </c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  <c r="DM852" s="15"/>
      <c r="DN852" s="15"/>
      <c r="DO852" s="15"/>
      <c r="DP852" s="15"/>
      <c r="DQ852" s="15"/>
      <c r="DR852" s="15"/>
      <c r="DS852" s="15"/>
      <c r="DT852" s="15"/>
      <c r="DU852" s="15"/>
      <c r="DV852" s="15"/>
      <c r="DW852" s="15"/>
      <c r="DX852" s="15"/>
      <c r="DY852" s="15"/>
      <c r="DZ852" s="15"/>
      <c r="EA852" s="15"/>
      <c r="EB852" s="15"/>
      <c r="EC852" s="15"/>
      <c r="ED852" s="15"/>
      <c r="EE852" s="15"/>
      <c r="EF852" s="15"/>
      <c r="EG852" s="15"/>
      <c r="EH852" s="15"/>
      <c r="EI852" s="15"/>
      <c r="EJ852" s="15"/>
      <c r="EK852" s="15"/>
      <c r="EL852" s="15"/>
      <c r="EM852" s="15"/>
      <c r="EN852" s="15"/>
      <c r="EO852" s="15"/>
      <c r="EP852" s="15"/>
      <c r="EQ852" s="15"/>
      <c r="ER852" s="15"/>
      <c r="ES852" s="15"/>
      <c r="ET852" s="15"/>
      <c r="EU852" s="15"/>
      <c r="EV852" s="15"/>
      <c r="EW852" s="15"/>
      <c r="EX852" s="15"/>
    </row>
    <row r="853" customFormat="false" ht="15.75" hidden="false" customHeight="false" outlineLevel="0" collapsed="false">
      <c r="A853" s="76"/>
      <c r="B853" s="77"/>
      <c r="C853" s="77"/>
      <c r="D853" s="78"/>
      <c r="E853" s="72"/>
      <c r="F853" s="68"/>
      <c r="G853" s="15"/>
      <c r="H853" s="76" t="str">
        <f aca="false">IFERROR(__xludf.dummyfunction("""COMPUTED_VALUE"""),"")</f>
        <v/>
      </c>
      <c r="I853" s="50" t="str">
        <f aca="false">IFERROR(__xludf.dummyfunction("""COMPUTED_VALUE"""),"")</f>
        <v/>
      </c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  <c r="DN853" s="15"/>
      <c r="DO853" s="15"/>
      <c r="DP853" s="15"/>
      <c r="DQ853" s="15"/>
      <c r="DR853" s="15"/>
      <c r="DS853" s="15"/>
      <c r="DT853" s="15"/>
      <c r="DU853" s="15"/>
      <c r="DV853" s="15"/>
      <c r="DW853" s="15"/>
      <c r="DX853" s="15"/>
      <c r="DY853" s="15"/>
      <c r="DZ853" s="15"/>
      <c r="EA853" s="15"/>
      <c r="EB853" s="15"/>
      <c r="EC853" s="15"/>
      <c r="ED853" s="15"/>
      <c r="EE853" s="15"/>
      <c r="EF853" s="15"/>
      <c r="EG853" s="15"/>
      <c r="EH853" s="15"/>
      <c r="EI853" s="15"/>
      <c r="EJ853" s="15"/>
      <c r="EK853" s="15"/>
      <c r="EL853" s="15"/>
      <c r="EM853" s="15"/>
      <c r="EN853" s="15"/>
      <c r="EO853" s="15"/>
      <c r="EP853" s="15"/>
      <c r="EQ853" s="15"/>
      <c r="ER853" s="15"/>
      <c r="ES853" s="15"/>
      <c r="ET853" s="15"/>
      <c r="EU853" s="15"/>
      <c r="EV853" s="15"/>
      <c r="EW853" s="15"/>
      <c r="EX853" s="15"/>
    </row>
    <row r="854" customFormat="false" ht="15.75" hidden="false" customHeight="false" outlineLevel="0" collapsed="false">
      <c r="A854" s="76"/>
      <c r="B854" s="77"/>
      <c r="C854" s="77"/>
      <c r="D854" s="78"/>
      <c r="E854" s="72"/>
      <c r="F854" s="68"/>
      <c r="G854" s="15"/>
      <c r="H854" s="76" t="str">
        <f aca="false">IFERROR(__xludf.dummyfunction("""COMPUTED_VALUE"""),"")</f>
        <v/>
      </c>
      <c r="I854" s="50" t="str">
        <f aca="false">IFERROR(__xludf.dummyfunction("""COMPUTED_VALUE"""),"")</f>
        <v/>
      </c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  <c r="DC854" s="15"/>
      <c r="DD854" s="15"/>
      <c r="DE854" s="15"/>
      <c r="DF854" s="15"/>
      <c r="DG854" s="15"/>
      <c r="DH854" s="15"/>
      <c r="DI854" s="15"/>
      <c r="DJ854" s="15"/>
      <c r="DK854" s="15"/>
      <c r="DL854" s="15"/>
      <c r="DM854" s="15"/>
      <c r="DN854" s="15"/>
      <c r="DO854" s="15"/>
      <c r="DP854" s="15"/>
      <c r="DQ854" s="15"/>
      <c r="DR854" s="15"/>
      <c r="DS854" s="15"/>
      <c r="DT854" s="15"/>
      <c r="DU854" s="15"/>
      <c r="DV854" s="15"/>
      <c r="DW854" s="15"/>
      <c r="DX854" s="15"/>
      <c r="DY854" s="15"/>
      <c r="DZ854" s="15"/>
      <c r="EA854" s="15"/>
      <c r="EB854" s="15"/>
      <c r="EC854" s="15"/>
      <c r="ED854" s="15"/>
      <c r="EE854" s="15"/>
      <c r="EF854" s="15"/>
      <c r="EG854" s="15"/>
      <c r="EH854" s="15"/>
      <c r="EI854" s="15"/>
      <c r="EJ854" s="15"/>
      <c r="EK854" s="15"/>
      <c r="EL854" s="15"/>
      <c r="EM854" s="15"/>
      <c r="EN854" s="15"/>
      <c r="EO854" s="15"/>
      <c r="EP854" s="15"/>
      <c r="EQ854" s="15"/>
      <c r="ER854" s="15"/>
      <c r="ES854" s="15"/>
      <c r="ET854" s="15"/>
      <c r="EU854" s="15"/>
      <c r="EV854" s="15"/>
      <c r="EW854" s="15"/>
      <c r="EX854" s="15"/>
    </row>
    <row r="855" customFormat="false" ht="15.75" hidden="false" customHeight="false" outlineLevel="0" collapsed="false">
      <c r="A855" s="76"/>
      <c r="B855" s="77"/>
      <c r="C855" s="77"/>
      <c r="D855" s="78"/>
      <c r="E855" s="72"/>
      <c r="F855" s="68"/>
      <c r="G855" s="15"/>
      <c r="H855" s="76" t="str">
        <f aca="false">IFERROR(__xludf.dummyfunction("""COMPUTED_VALUE"""),"")</f>
        <v/>
      </c>
      <c r="I855" s="50" t="str">
        <f aca="false">IFERROR(__xludf.dummyfunction("""COMPUTED_VALUE"""),"")</f>
        <v/>
      </c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  <c r="DY855" s="15"/>
      <c r="DZ855" s="15"/>
      <c r="EA855" s="15"/>
      <c r="EB855" s="15"/>
      <c r="EC855" s="15"/>
      <c r="ED855" s="15"/>
      <c r="EE855" s="15"/>
      <c r="EF855" s="15"/>
      <c r="EG855" s="15"/>
      <c r="EH855" s="15"/>
      <c r="EI855" s="15"/>
      <c r="EJ855" s="15"/>
      <c r="EK855" s="15"/>
      <c r="EL855" s="15"/>
      <c r="EM855" s="15"/>
      <c r="EN855" s="15"/>
      <c r="EO855" s="15"/>
      <c r="EP855" s="15"/>
      <c r="EQ855" s="15"/>
      <c r="ER855" s="15"/>
      <c r="ES855" s="15"/>
      <c r="ET855" s="15"/>
      <c r="EU855" s="15"/>
      <c r="EV855" s="15"/>
      <c r="EW855" s="15"/>
      <c r="EX855" s="15"/>
    </row>
    <row r="856" customFormat="false" ht="15.75" hidden="false" customHeight="false" outlineLevel="0" collapsed="false">
      <c r="A856" s="76"/>
      <c r="B856" s="77"/>
      <c r="C856" s="77"/>
      <c r="D856" s="78"/>
      <c r="E856" s="72"/>
      <c r="F856" s="68"/>
      <c r="G856" s="15"/>
      <c r="H856" s="76" t="str">
        <f aca="false">IFERROR(__xludf.dummyfunction("""COMPUTED_VALUE"""),"")</f>
        <v/>
      </c>
      <c r="I856" s="50" t="str">
        <f aca="false">IFERROR(__xludf.dummyfunction("""COMPUTED_VALUE"""),"")</f>
        <v/>
      </c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  <c r="DC856" s="15"/>
      <c r="DD856" s="15"/>
      <c r="DE856" s="15"/>
      <c r="DF856" s="15"/>
      <c r="DG856" s="15"/>
      <c r="DH856" s="15"/>
      <c r="DI856" s="15"/>
      <c r="DJ856" s="15"/>
      <c r="DK856" s="15"/>
      <c r="DL856" s="15"/>
      <c r="DM856" s="15"/>
      <c r="DN856" s="15"/>
      <c r="DO856" s="15"/>
      <c r="DP856" s="15"/>
      <c r="DQ856" s="15"/>
      <c r="DR856" s="15"/>
      <c r="DS856" s="15"/>
      <c r="DT856" s="15"/>
      <c r="DU856" s="15"/>
      <c r="DV856" s="15"/>
      <c r="DW856" s="15"/>
      <c r="DX856" s="15"/>
      <c r="DY856" s="15"/>
      <c r="DZ856" s="15"/>
      <c r="EA856" s="15"/>
      <c r="EB856" s="15"/>
      <c r="EC856" s="15"/>
      <c r="ED856" s="15"/>
      <c r="EE856" s="15"/>
      <c r="EF856" s="15"/>
      <c r="EG856" s="15"/>
      <c r="EH856" s="15"/>
      <c r="EI856" s="15"/>
      <c r="EJ856" s="15"/>
      <c r="EK856" s="15"/>
      <c r="EL856" s="15"/>
      <c r="EM856" s="15"/>
      <c r="EN856" s="15"/>
      <c r="EO856" s="15"/>
      <c r="EP856" s="15"/>
      <c r="EQ856" s="15"/>
      <c r="ER856" s="15"/>
      <c r="ES856" s="15"/>
      <c r="ET856" s="15"/>
      <c r="EU856" s="15"/>
      <c r="EV856" s="15"/>
      <c r="EW856" s="15"/>
      <c r="EX856" s="15"/>
    </row>
    <row r="857" customFormat="false" ht="15.75" hidden="false" customHeight="false" outlineLevel="0" collapsed="false">
      <c r="A857" s="76"/>
      <c r="B857" s="77"/>
      <c r="C857" s="77"/>
      <c r="D857" s="78"/>
      <c r="E857" s="72"/>
      <c r="F857" s="68"/>
      <c r="G857" s="15"/>
      <c r="H857" s="76" t="str">
        <f aca="false">IFERROR(__xludf.dummyfunction("""COMPUTED_VALUE"""),"")</f>
        <v/>
      </c>
      <c r="I857" s="50" t="str">
        <f aca="false">IFERROR(__xludf.dummyfunction("""COMPUTED_VALUE"""),"")</f>
        <v/>
      </c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  <c r="DC857" s="15"/>
      <c r="DD857" s="15"/>
      <c r="DE857" s="15"/>
      <c r="DF857" s="15"/>
      <c r="DG857" s="15"/>
      <c r="DH857" s="15"/>
      <c r="DI857" s="15"/>
      <c r="DJ857" s="15"/>
      <c r="DK857" s="15"/>
      <c r="DL857" s="15"/>
      <c r="DM857" s="15"/>
      <c r="DN857" s="15"/>
      <c r="DO857" s="15"/>
      <c r="DP857" s="15"/>
      <c r="DQ857" s="15"/>
      <c r="DR857" s="15"/>
      <c r="DS857" s="15"/>
      <c r="DT857" s="15"/>
      <c r="DU857" s="15"/>
      <c r="DV857" s="15"/>
      <c r="DW857" s="15"/>
      <c r="DX857" s="15"/>
      <c r="DY857" s="15"/>
      <c r="DZ857" s="15"/>
      <c r="EA857" s="15"/>
      <c r="EB857" s="15"/>
      <c r="EC857" s="15"/>
      <c r="ED857" s="15"/>
      <c r="EE857" s="15"/>
      <c r="EF857" s="15"/>
      <c r="EG857" s="15"/>
      <c r="EH857" s="15"/>
      <c r="EI857" s="15"/>
      <c r="EJ857" s="15"/>
      <c r="EK857" s="15"/>
      <c r="EL857" s="15"/>
      <c r="EM857" s="15"/>
      <c r="EN857" s="15"/>
      <c r="EO857" s="15"/>
      <c r="EP857" s="15"/>
      <c r="EQ857" s="15"/>
      <c r="ER857" s="15"/>
      <c r="ES857" s="15"/>
      <c r="ET857" s="15"/>
      <c r="EU857" s="15"/>
      <c r="EV857" s="15"/>
      <c r="EW857" s="15"/>
      <c r="EX857" s="15"/>
    </row>
    <row r="858" customFormat="false" ht="15.75" hidden="false" customHeight="false" outlineLevel="0" collapsed="false">
      <c r="A858" s="76"/>
      <c r="B858" s="77"/>
      <c r="C858" s="77"/>
      <c r="D858" s="78"/>
      <c r="E858" s="72"/>
      <c r="F858" s="68"/>
      <c r="G858" s="15"/>
      <c r="H858" s="76" t="str">
        <f aca="false">IFERROR(__xludf.dummyfunction("""COMPUTED_VALUE"""),"")</f>
        <v/>
      </c>
      <c r="I858" s="50" t="str">
        <f aca="false">IFERROR(__xludf.dummyfunction("""COMPUTED_VALUE"""),"")</f>
        <v/>
      </c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  <c r="DC858" s="15"/>
      <c r="DD858" s="15"/>
      <c r="DE858" s="15"/>
      <c r="DF858" s="15"/>
      <c r="DG858" s="15"/>
      <c r="DH858" s="15"/>
      <c r="DI858" s="15"/>
      <c r="DJ858" s="15"/>
      <c r="DK858" s="15"/>
      <c r="DL858" s="15"/>
      <c r="DM858" s="15"/>
      <c r="DN858" s="15"/>
      <c r="DO858" s="15"/>
      <c r="DP858" s="15"/>
      <c r="DQ858" s="15"/>
      <c r="DR858" s="15"/>
      <c r="DS858" s="15"/>
      <c r="DT858" s="15"/>
      <c r="DU858" s="15"/>
      <c r="DV858" s="15"/>
      <c r="DW858" s="15"/>
      <c r="DX858" s="15"/>
      <c r="DY858" s="15"/>
      <c r="DZ858" s="15"/>
      <c r="EA858" s="15"/>
      <c r="EB858" s="15"/>
      <c r="EC858" s="15"/>
      <c r="ED858" s="15"/>
      <c r="EE858" s="15"/>
      <c r="EF858" s="15"/>
      <c r="EG858" s="15"/>
      <c r="EH858" s="15"/>
      <c r="EI858" s="15"/>
      <c r="EJ858" s="15"/>
      <c r="EK858" s="15"/>
      <c r="EL858" s="15"/>
      <c r="EM858" s="15"/>
      <c r="EN858" s="15"/>
      <c r="EO858" s="15"/>
      <c r="EP858" s="15"/>
      <c r="EQ858" s="15"/>
      <c r="ER858" s="15"/>
      <c r="ES858" s="15"/>
      <c r="ET858" s="15"/>
      <c r="EU858" s="15"/>
      <c r="EV858" s="15"/>
      <c r="EW858" s="15"/>
      <c r="EX858" s="15"/>
    </row>
    <row r="859" customFormat="false" ht="15.75" hidden="false" customHeight="false" outlineLevel="0" collapsed="false">
      <c r="A859" s="76"/>
      <c r="B859" s="77"/>
      <c r="C859" s="77"/>
      <c r="D859" s="78"/>
      <c r="E859" s="72"/>
      <c r="F859" s="68"/>
      <c r="G859" s="15"/>
      <c r="H859" s="76" t="str">
        <f aca="false">IFERROR(__xludf.dummyfunction("""COMPUTED_VALUE"""),"")</f>
        <v/>
      </c>
      <c r="I859" s="50" t="str">
        <f aca="false">IFERROR(__xludf.dummyfunction("""COMPUTED_VALUE"""),"")</f>
        <v/>
      </c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  <c r="DC859" s="15"/>
      <c r="DD859" s="15"/>
      <c r="DE859" s="15"/>
      <c r="DF859" s="15"/>
      <c r="DG859" s="15"/>
      <c r="DH859" s="15"/>
      <c r="DI859" s="15"/>
      <c r="DJ859" s="15"/>
      <c r="DK859" s="15"/>
      <c r="DL859" s="15"/>
      <c r="DM859" s="15"/>
      <c r="DN859" s="15"/>
      <c r="DO859" s="15"/>
      <c r="DP859" s="15"/>
      <c r="DQ859" s="15"/>
      <c r="DR859" s="15"/>
      <c r="DS859" s="15"/>
      <c r="DT859" s="15"/>
      <c r="DU859" s="15"/>
      <c r="DV859" s="15"/>
      <c r="DW859" s="15"/>
      <c r="DX859" s="15"/>
      <c r="DY859" s="15"/>
      <c r="DZ859" s="15"/>
      <c r="EA859" s="15"/>
      <c r="EB859" s="15"/>
      <c r="EC859" s="15"/>
      <c r="ED859" s="15"/>
      <c r="EE859" s="15"/>
      <c r="EF859" s="15"/>
      <c r="EG859" s="15"/>
      <c r="EH859" s="15"/>
      <c r="EI859" s="15"/>
      <c r="EJ859" s="15"/>
      <c r="EK859" s="15"/>
      <c r="EL859" s="15"/>
      <c r="EM859" s="15"/>
      <c r="EN859" s="15"/>
      <c r="EO859" s="15"/>
      <c r="EP859" s="15"/>
      <c r="EQ859" s="15"/>
      <c r="ER859" s="15"/>
      <c r="ES859" s="15"/>
      <c r="ET859" s="15"/>
      <c r="EU859" s="15"/>
      <c r="EV859" s="15"/>
      <c r="EW859" s="15"/>
      <c r="EX859" s="15"/>
    </row>
    <row r="860" customFormat="false" ht="15.75" hidden="false" customHeight="false" outlineLevel="0" collapsed="false">
      <c r="A860" s="76"/>
      <c r="B860" s="77"/>
      <c r="C860" s="77"/>
      <c r="D860" s="78"/>
      <c r="E860" s="72"/>
      <c r="F860" s="68"/>
      <c r="G860" s="15"/>
      <c r="H860" s="76" t="str">
        <f aca="false">IFERROR(__xludf.dummyfunction("""COMPUTED_VALUE"""),"")</f>
        <v/>
      </c>
      <c r="I860" s="50" t="str">
        <f aca="false">IFERROR(__xludf.dummyfunction("""COMPUTED_VALUE"""),"")</f>
        <v/>
      </c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  <c r="DC860" s="15"/>
      <c r="DD860" s="15"/>
      <c r="DE860" s="15"/>
      <c r="DF860" s="15"/>
      <c r="DG860" s="15"/>
      <c r="DH860" s="15"/>
      <c r="DI860" s="15"/>
      <c r="DJ860" s="15"/>
      <c r="DK860" s="15"/>
      <c r="DL860" s="15"/>
      <c r="DM860" s="15"/>
      <c r="DN860" s="15"/>
      <c r="DO860" s="15"/>
      <c r="DP860" s="15"/>
      <c r="DQ860" s="15"/>
      <c r="DR860" s="15"/>
      <c r="DS860" s="15"/>
      <c r="DT860" s="15"/>
      <c r="DU860" s="15"/>
      <c r="DV860" s="15"/>
      <c r="DW860" s="15"/>
      <c r="DX860" s="15"/>
      <c r="DY860" s="15"/>
      <c r="DZ860" s="15"/>
      <c r="EA860" s="15"/>
      <c r="EB860" s="15"/>
      <c r="EC860" s="15"/>
      <c r="ED860" s="15"/>
      <c r="EE860" s="15"/>
      <c r="EF860" s="15"/>
      <c r="EG860" s="15"/>
      <c r="EH860" s="15"/>
      <c r="EI860" s="15"/>
      <c r="EJ860" s="15"/>
      <c r="EK860" s="15"/>
      <c r="EL860" s="15"/>
      <c r="EM860" s="15"/>
      <c r="EN860" s="15"/>
      <c r="EO860" s="15"/>
      <c r="EP860" s="15"/>
      <c r="EQ860" s="15"/>
      <c r="ER860" s="15"/>
      <c r="ES860" s="15"/>
      <c r="ET860" s="15"/>
      <c r="EU860" s="15"/>
      <c r="EV860" s="15"/>
      <c r="EW860" s="15"/>
      <c r="EX860" s="15"/>
    </row>
    <row r="861" customFormat="false" ht="15.75" hidden="false" customHeight="false" outlineLevel="0" collapsed="false">
      <c r="A861" s="76"/>
      <c r="B861" s="77"/>
      <c r="C861" s="77"/>
      <c r="D861" s="78"/>
      <c r="E861" s="72"/>
      <c r="F861" s="68"/>
      <c r="G861" s="15"/>
      <c r="H861" s="76" t="str">
        <f aca="false">IFERROR(__xludf.dummyfunction("""COMPUTED_VALUE"""),"")</f>
        <v/>
      </c>
      <c r="I861" s="50" t="str">
        <f aca="false">IFERROR(__xludf.dummyfunction("""COMPUTED_VALUE"""),"")</f>
        <v/>
      </c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  <c r="DC861" s="15"/>
      <c r="DD861" s="15"/>
      <c r="DE861" s="15"/>
      <c r="DF861" s="15"/>
      <c r="DG861" s="15"/>
      <c r="DH861" s="15"/>
      <c r="DI861" s="15"/>
      <c r="DJ861" s="15"/>
      <c r="DK861" s="15"/>
      <c r="DL861" s="15"/>
      <c r="DM861" s="15"/>
      <c r="DN861" s="15"/>
      <c r="DO861" s="15"/>
      <c r="DP861" s="15"/>
      <c r="DQ861" s="15"/>
      <c r="DR861" s="15"/>
      <c r="DS861" s="15"/>
      <c r="DT861" s="15"/>
      <c r="DU861" s="15"/>
      <c r="DV861" s="15"/>
      <c r="DW861" s="15"/>
      <c r="DX861" s="15"/>
      <c r="DY861" s="15"/>
      <c r="DZ861" s="15"/>
      <c r="EA861" s="15"/>
      <c r="EB861" s="15"/>
      <c r="EC861" s="15"/>
      <c r="ED861" s="15"/>
      <c r="EE861" s="15"/>
      <c r="EF861" s="15"/>
      <c r="EG861" s="15"/>
      <c r="EH861" s="15"/>
      <c r="EI861" s="15"/>
      <c r="EJ861" s="15"/>
      <c r="EK861" s="15"/>
      <c r="EL861" s="15"/>
      <c r="EM861" s="15"/>
      <c r="EN861" s="15"/>
      <c r="EO861" s="15"/>
      <c r="EP861" s="15"/>
      <c r="EQ861" s="15"/>
      <c r="ER861" s="15"/>
      <c r="ES861" s="15"/>
      <c r="ET861" s="15"/>
      <c r="EU861" s="15"/>
      <c r="EV861" s="15"/>
      <c r="EW861" s="15"/>
      <c r="EX861" s="15"/>
    </row>
    <row r="862" customFormat="false" ht="15.75" hidden="false" customHeight="false" outlineLevel="0" collapsed="false">
      <c r="A862" s="76"/>
      <c r="B862" s="77"/>
      <c r="C862" s="77"/>
      <c r="D862" s="78"/>
      <c r="E862" s="72"/>
      <c r="F862" s="68"/>
      <c r="G862" s="15"/>
      <c r="H862" s="76" t="str">
        <f aca="false">IFERROR(__xludf.dummyfunction("""COMPUTED_VALUE"""),"")</f>
        <v/>
      </c>
      <c r="I862" s="50" t="str">
        <f aca="false">IFERROR(__xludf.dummyfunction("""COMPUTED_VALUE"""),"")</f>
        <v/>
      </c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  <c r="DC862" s="15"/>
      <c r="DD862" s="15"/>
      <c r="DE862" s="15"/>
      <c r="DF862" s="15"/>
      <c r="DG862" s="15"/>
      <c r="DH862" s="15"/>
      <c r="DI862" s="15"/>
      <c r="DJ862" s="15"/>
      <c r="DK862" s="15"/>
      <c r="DL862" s="15"/>
      <c r="DM862" s="15"/>
      <c r="DN862" s="15"/>
      <c r="DO862" s="15"/>
      <c r="DP862" s="15"/>
      <c r="DQ862" s="15"/>
      <c r="DR862" s="15"/>
      <c r="DS862" s="15"/>
      <c r="DT862" s="15"/>
      <c r="DU862" s="15"/>
      <c r="DV862" s="15"/>
      <c r="DW862" s="15"/>
      <c r="DX862" s="15"/>
      <c r="DY862" s="15"/>
      <c r="DZ862" s="15"/>
      <c r="EA862" s="15"/>
      <c r="EB862" s="15"/>
      <c r="EC862" s="15"/>
      <c r="ED862" s="15"/>
      <c r="EE862" s="15"/>
      <c r="EF862" s="15"/>
      <c r="EG862" s="15"/>
      <c r="EH862" s="15"/>
      <c r="EI862" s="15"/>
      <c r="EJ862" s="15"/>
      <c r="EK862" s="15"/>
      <c r="EL862" s="15"/>
      <c r="EM862" s="15"/>
      <c r="EN862" s="15"/>
      <c r="EO862" s="15"/>
      <c r="EP862" s="15"/>
      <c r="EQ862" s="15"/>
      <c r="ER862" s="15"/>
      <c r="ES862" s="15"/>
      <c r="ET862" s="15"/>
      <c r="EU862" s="15"/>
      <c r="EV862" s="15"/>
      <c r="EW862" s="15"/>
      <c r="EX862" s="15"/>
    </row>
    <row r="863" customFormat="false" ht="15.75" hidden="false" customHeight="false" outlineLevel="0" collapsed="false">
      <c r="A863" s="76"/>
      <c r="B863" s="77"/>
      <c r="C863" s="77"/>
      <c r="D863" s="78"/>
      <c r="E863" s="72"/>
      <c r="F863" s="68"/>
      <c r="G863" s="15"/>
      <c r="H863" s="76" t="str">
        <f aca="false">IFERROR(__xludf.dummyfunction("""COMPUTED_VALUE"""),"")</f>
        <v/>
      </c>
      <c r="I863" s="50" t="str">
        <f aca="false">IFERROR(__xludf.dummyfunction("""COMPUTED_VALUE"""),"")</f>
        <v/>
      </c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  <c r="DC863" s="15"/>
      <c r="DD863" s="15"/>
      <c r="DE863" s="15"/>
      <c r="DF863" s="15"/>
      <c r="DG863" s="15"/>
      <c r="DH863" s="15"/>
      <c r="DI863" s="15"/>
      <c r="DJ863" s="15"/>
      <c r="DK863" s="15"/>
      <c r="DL863" s="15"/>
      <c r="DM863" s="15"/>
      <c r="DN863" s="15"/>
      <c r="DO863" s="15"/>
      <c r="DP863" s="15"/>
      <c r="DQ863" s="15"/>
      <c r="DR863" s="15"/>
      <c r="DS863" s="15"/>
      <c r="DT863" s="15"/>
      <c r="DU863" s="15"/>
      <c r="DV863" s="15"/>
      <c r="DW863" s="15"/>
      <c r="DX863" s="15"/>
      <c r="DY863" s="15"/>
      <c r="DZ863" s="15"/>
      <c r="EA863" s="15"/>
      <c r="EB863" s="15"/>
      <c r="EC863" s="15"/>
      <c r="ED863" s="15"/>
      <c r="EE863" s="15"/>
      <c r="EF863" s="15"/>
      <c r="EG863" s="15"/>
      <c r="EH863" s="15"/>
      <c r="EI863" s="15"/>
      <c r="EJ863" s="15"/>
      <c r="EK863" s="15"/>
      <c r="EL863" s="15"/>
      <c r="EM863" s="15"/>
      <c r="EN863" s="15"/>
      <c r="EO863" s="15"/>
      <c r="EP863" s="15"/>
      <c r="EQ863" s="15"/>
      <c r="ER863" s="15"/>
      <c r="ES863" s="15"/>
      <c r="ET863" s="15"/>
      <c r="EU863" s="15"/>
      <c r="EV863" s="15"/>
      <c r="EW863" s="15"/>
      <c r="EX863" s="15"/>
    </row>
    <row r="864" customFormat="false" ht="15.75" hidden="false" customHeight="false" outlineLevel="0" collapsed="false">
      <c r="A864" s="76"/>
      <c r="B864" s="77"/>
      <c r="C864" s="77"/>
      <c r="D864" s="78"/>
      <c r="E864" s="72"/>
      <c r="F864" s="68"/>
      <c r="G864" s="15"/>
      <c r="H864" s="76" t="str">
        <f aca="false">IFERROR(__xludf.dummyfunction("""COMPUTED_VALUE"""),"")</f>
        <v/>
      </c>
      <c r="I864" s="50" t="str">
        <f aca="false">IFERROR(__xludf.dummyfunction("""COMPUTED_VALUE"""),"")</f>
        <v/>
      </c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  <c r="DC864" s="15"/>
      <c r="DD864" s="15"/>
      <c r="DE864" s="15"/>
      <c r="DF864" s="15"/>
      <c r="DG864" s="15"/>
      <c r="DH864" s="15"/>
      <c r="DI864" s="15"/>
      <c r="DJ864" s="15"/>
      <c r="DK864" s="15"/>
      <c r="DL864" s="15"/>
      <c r="DM864" s="15"/>
      <c r="DN864" s="15"/>
      <c r="DO864" s="15"/>
      <c r="DP864" s="15"/>
      <c r="DQ864" s="15"/>
      <c r="DR864" s="15"/>
      <c r="DS864" s="15"/>
      <c r="DT864" s="15"/>
      <c r="DU864" s="15"/>
      <c r="DV864" s="15"/>
      <c r="DW864" s="15"/>
      <c r="DX864" s="15"/>
      <c r="DY864" s="15"/>
      <c r="DZ864" s="15"/>
      <c r="EA864" s="15"/>
      <c r="EB864" s="15"/>
      <c r="EC864" s="15"/>
      <c r="ED864" s="15"/>
      <c r="EE864" s="15"/>
      <c r="EF864" s="15"/>
      <c r="EG864" s="15"/>
      <c r="EH864" s="15"/>
      <c r="EI864" s="15"/>
      <c r="EJ864" s="15"/>
      <c r="EK864" s="15"/>
      <c r="EL864" s="15"/>
      <c r="EM864" s="15"/>
      <c r="EN864" s="15"/>
      <c r="EO864" s="15"/>
      <c r="EP864" s="15"/>
      <c r="EQ864" s="15"/>
      <c r="ER864" s="15"/>
      <c r="ES864" s="15"/>
      <c r="ET864" s="15"/>
      <c r="EU864" s="15"/>
      <c r="EV864" s="15"/>
      <c r="EW864" s="15"/>
      <c r="EX864" s="15"/>
    </row>
    <row r="865" customFormat="false" ht="15.75" hidden="false" customHeight="false" outlineLevel="0" collapsed="false">
      <c r="A865" s="76"/>
      <c r="B865" s="77"/>
      <c r="C865" s="77"/>
      <c r="D865" s="78"/>
      <c r="E865" s="72"/>
      <c r="F865" s="68"/>
      <c r="G865" s="15"/>
      <c r="H865" s="76" t="str">
        <f aca="false">IFERROR(__xludf.dummyfunction("""COMPUTED_VALUE"""),"")</f>
        <v/>
      </c>
      <c r="I865" s="50" t="str">
        <f aca="false">IFERROR(__xludf.dummyfunction("""COMPUTED_VALUE"""),"")</f>
        <v/>
      </c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  <c r="DC865" s="15"/>
      <c r="DD865" s="15"/>
      <c r="DE865" s="15"/>
      <c r="DF865" s="15"/>
      <c r="DG865" s="15"/>
      <c r="DH865" s="15"/>
      <c r="DI865" s="15"/>
      <c r="DJ865" s="15"/>
      <c r="DK865" s="15"/>
      <c r="DL865" s="15"/>
      <c r="DM865" s="15"/>
      <c r="DN865" s="15"/>
      <c r="DO865" s="15"/>
      <c r="DP865" s="15"/>
      <c r="DQ865" s="15"/>
      <c r="DR865" s="15"/>
      <c r="DS865" s="15"/>
      <c r="DT865" s="15"/>
      <c r="DU865" s="15"/>
      <c r="DV865" s="15"/>
      <c r="DW865" s="15"/>
      <c r="DX865" s="15"/>
      <c r="DY865" s="15"/>
      <c r="DZ865" s="15"/>
      <c r="EA865" s="15"/>
      <c r="EB865" s="15"/>
      <c r="EC865" s="15"/>
      <c r="ED865" s="15"/>
      <c r="EE865" s="15"/>
      <c r="EF865" s="15"/>
      <c r="EG865" s="15"/>
      <c r="EH865" s="15"/>
      <c r="EI865" s="15"/>
      <c r="EJ865" s="15"/>
      <c r="EK865" s="15"/>
      <c r="EL865" s="15"/>
      <c r="EM865" s="15"/>
      <c r="EN865" s="15"/>
      <c r="EO865" s="15"/>
      <c r="EP865" s="15"/>
      <c r="EQ865" s="15"/>
      <c r="ER865" s="15"/>
      <c r="ES865" s="15"/>
      <c r="ET865" s="15"/>
      <c r="EU865" s="15"/>
      <c r="EV865" s="15"/>
      <c r="EW865" s="15"/>
      <c r="EX865" s="15"/>
    </row>
    <row r="866" customFormat="false" ht="15.75" hidden="false" customHeight="false" outlineLevel="0" collapsed="false">
      <c r="A866" s="76"/>
      <c r="B866" s="77"/>
      <c r="C866" s="77"/>
      <c r="D866" s="78"/>
      <c r="E866" s="72"/>
      <c r="F866" s="68"/>
      <c r="G866" s="15"/>
      <c r="H866" s="76" t="str">
        <f aca="false">IFERROR(__xludf.dummyfunction("""COMPUTED_VALUE"""),"")</f>
        <v/>
      </c>
      <c r="I866" s="50" t="str">
        <f aca="false">IFERROR(__xludf.dummyfunction("""COMPUTED_VALUE"""),"")</f>
        <v/>
      </c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  <c r="DC866" s="15"/>
      <c r="DD866" s="15"/>
      <c r="DE866" s="15"/>
      <c r="DF866" s="15"/>
      <c r="DG866" s="15"/>
      <c r="DH866" s="15"/>
      <c r="DI866" s="15"/>
      <c r="DJ866" s="15"/>
      <c r="DK866" s="15"/>
      <c r="DL866" s="15"/>
      <c r="DM866" s="15"/>
      <c r="DN866" s="15"/>
      <c r="DO866" s="15"/>
      <c r="DP866" s="15"/>
      <c r="DQ866" s="15"/>
      <c r="DR866" s="15"/>
      <c r="DS866" s="15"/>
      <c r="DT866" s="15"/>
      <c r="DU866" s="15"/>
      <c r="DV866" s="15"/>
      <c r="DW866" s="15"/>
      <c r="DX866" s="15"/>
      <c r="DY866" s="15"/>
      <c r="DZ866" s="15"/>
      <c r="EA866" s="15"/>
      <c r="EB866" s="15"/>
      <c r="EC866" s="15"/>
      <c r="ED866" s="15"/>
      <c r="EE866" s="15"/>
      <c r="EF866" s="15"/>
      <c r="EG866" s="15"/>
      <c r="EH866" s="15"/>
      <c r="EI866" s="15"/>
      <c r="EJ866" s="15"/>
      <c r="EK866" s="15"/>
      <c r="EL866" s="15"/>
      <c r="EM866" s="15"/>
      <c r="EN866" s="15"/>
      <c r="EO866" s="15"/>
      <c r="EP866" s="15"/>
      <c r="EQ866" s="15"/>
      <c r="ER866" s="15"/>
      <c r="ES866" s="15"/>
      <c r="ET866" s="15"/>
      <c r="EU866" s="15"/>
      <c r="EV866" s="15"/>
      <c r="EW866" s="15"/>
      <c r="EX866" s="15"/>
    </row>
    <row r="867" customFormat="false" ht="15.75" hidden="false" customHeight="false" outlineLevel="0" collapsed="false">
      <c r="A867" s="76"/>
      <c r="B867" s="77"/>
      <c r="C867" s="77"/>
      <c r="D867" s="78"/>
      <c r="E867" s="72"/>
      <c r="F867" s="68"/>
      <c r="G867" s="15"/>
      <c r="H867" s="76" t="str">
        <f aca="false">IFERROR(__xludf.dummyfunction("""COMPUTED_VALUE"""),"")</f>
        <v/>
      </c>
      <c r="I867" s="50" t="str">
        <f aca="false">IFERROR(__xludf.dummyfunction("""COMPUTED_VALUE"""),"")</f>
        <v/>
      </c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  <c r="DC867" s="15"/>
      <c r="DD867" s="15"/>
      <c r="DE867" s="15"/>
      <c r="DF867" s="15"/>
      <c r="DG867" s="15"/>
      <c r="DH867" s="15"/>
      <c r="DI867" s="15"/>
      <c r="DJ867" s="15"/>
      <c r="DK867" s="15"/>
      <c r="DL867" s="15"/>
      <c r="DM867" s="15"/>
      <c r="DN867" s="15"/>
      <c r="DO867" s="15"/>
      <c r="DP867" s="15"/>
      <c r="DQ867" s="15"/>
      <c r="DR867" s="15"/>
      <c r="DS867" s="15"/>
      <c r="DT867" s="15"/>
      <c r="DU867" s="15"/>
      <c r="DV867" s="15"/>
      <c r="DW867" s="15"/>
      <c r="DX867" s="15"/>
      <c r="DY867" s="15"/>
      <c r="DZ867" s="15"/>
      <c r="EA867" s="15"/>
      <c r="EB867" s="15"/>
      <c r="EC867" s="15"/>
      <c r="ED867" s="15"/>
      <c r="EE867" s="15"/>
      <c r="EF867" s="15"/>
      <c r="EG867" s="15"/>
      <c r="EH867" s="15"/>
      <c r="EI867" s="15"/>
      <c r="EJ867" s="15"/>
      <c r="EK867" s="15"/>
      <c r="EL867" s="15"/>
      <c r="EM867" s="15"/>
      <c r="EN867" s="15"/>
      <c r="EO867" s="15"/>
      <c r="EP867" s="15"/>
      <c r="EQ867" s="15"/>
      <c r="ER867" s="15"/>
      <c r="ES867" s="15"/>
      <c r="ET867" s="15"/>
      <c r="EU867" s="15"/>
      <c r="EV867" s="15"/>
      <c r="EW867" s="15"/>
      <c r="EX867" s="15"/>
    </row>
    <row r="868" customFormat="false" ht="15.75" hidden="false" customHeight="false" outlineLevel="0" collapsed="false">
      <c r="A868" s="76"/>
      <c r="B868" s="77"/>
      <c r="C868" s="77"/>
      <c r="D868" s="78"/>
      <c r="E868" s="72"/>
      <c r="F868" s="68"/>
      <c r="G868" s="15"/>
      <c r="H868" s="76" t="str">
        <f aca="false">IFERROR(__xludf.dummyfunction("""COMPUTED_VALUE"""),"")</f>
        <v/>
      </c>
      <c r="I868" s="50" t="str">
        <f aca="false">IFERROR(__xludf.dummyfunction("""COMPUTED_VALUE"""),"")</f>
        <v/>
      </c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  <c r="DY868" s="15"/>
      <c r="DZ868" s="15"/>
      <c r="EA868" s="15"/>
      <c r="EB868" s="15"/>
      <c r="EC868" s="15"/>
      <c r="ED868" s="15"/>
      <c r="EE868" s="15"/>
      <c r="EF868" s="15"/>
      <c r="EG868" s="15"/>
      <c r="EH868" s="15"/>
      <c r="EI868" s="15"/>
      <c r="EJ868" s="15"/>
      <c r="EK868" s="15"/>
      <c r="EL868" s="15"/>
      <c r="EM868" s="15"/>
      <c r="EN868" s="15"/>
      <c r="EO868" s="15"/>
      <c r="EP868" s="15"/>
      <c r="EQ868" s="15"/>
      <c r="ER868" s="15"/>
      <c r="ES868" s="15"/>
      <c r="ET868" s="15"/>
      <c r="EU868" s="15"/>
      <c r="EV868" s="15"/>
      <c r="EW868" s="15"/>
      <c r="EX868" s="15"/>
    </row>
    <row r="869" customFormat="false" ht="15.75" hidden="false" customHeight="false" outlineLevel="0" collapsed="false">
      <c r="A869" s="76"/>
      <c r="B869" s="77"/>
      <c r="C869" s="77"/>
      <c r="D869" s="78"/>
      <c r="E869" s="72"/>
      <c r="F869" s="68"/>
      <c r="G869" s="15"/>
      <c r="H869" s="76" t="str">
        <f aca="false">IFERROR(__xludf.dummyfunction("""COMPUTED_VALUE"""),"")</f>
        <v/>
      </c>
      <c r="I869" s="50" t="str">
        <f aca="false">IFERROR(__xludf.dummyfunction("""COMPUTED_VALUE"""),"")</f>
        <v/>
      </c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  <c r="DY869" s="15"/>
      <c r="DZ869" s="15"/>
      <c r="EA869" s="15"/>
      <c r="EB869" s="15"/>
      <c r="EC869" s="15"/>
      <c r="ED869" s="15"/>
      <c r="EE869" s="15"/>
      <c r="EF869" s="15"/>
      <c r="EG869" s="15"/>
      <c r="EH869" s="15"/>
      <c r="EI869" s="15"/>
      <c r="EJ869" s="15"/>
      <c r="EK869" s="15"/>
      <c r="EL869" s="15"/>
      <c r="EM869" s="15"/>
      <c r="EN869" s="15"/>
      <c r="EO869" s="15"/>
      <c r="EP869" s="15"/>
      <c r="EQ869" s="15"/>
      <c r="ER869" s="15"/>
      <c r="ES869" s="15"/>
      <c r="ET869" s="15"/>
      <c r="EU869" s="15"/>
      <c r="EV869" s="15"/>
      <c r="EW869" s="15"/>
      <c r="EX869" s="15"/>
    </row>
    <row r="870" customFormat="false" ht="15.75" hidden="false" customHeight="false" outlineLevel="0" collapsed="false">
      <c r="A870" s="76"/>
      <c r="B870" s="77"/>
      <c r="C870" s="77"/>
      <c r="D870" s="78"/>
      <c r="E870" s="72"/>
      <c r="F870" s="68"/>
      <c r="G870" s="15"/>
      <c r="H870" s="76" t="str">
        <f aca="false">IFERROR(__xludf.dummyfunction("""COMPUTED_VALUE"""),"")</f>
        <v/>
      </c>
      <c r="I870" s="50" t="str">
        <f aca="false">IFERROR(__xludf.dummyfunction("""COMPUTED_VALUE"""),"")</f>
        <v/>
      </c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  <c r="DC870" s="15"/>
      <c r="DD870" s="15"/>
      <c r="DE870" s="15"/>
      <c r="DF870" s="15"/>
      <c r="DG870" s="15"/>
      <c r="DH870" s="15"/>
      <c r="DI870" s="15"/>
      <c r="DJ870" s="15"/>
      <c r="DK870" s="15"/>
      <c r="DL870" s="15"/>
      <c r="DM870" s="15"/>
      <c r="DN870" s="15"/>
      <c r="DO870" s="15"/>
      <c r="DP870" s="15"/>
      <c r="DQ870" s="15"/>
      <c r="DR870" s="15"/>
      <c r="DS870" s="15"/>
      <c r="DT870" s="15"/>
      <c r="DU870" s="15"/>
      <c r="DV870" s="15"/>
      <c r="DW870" s="15"/>
      <c r="DX870" s="15"/>
      <c r="DY870" s="15"/>
      <c r="DZ870" s="15"/>
      <c r="EA870" s="15"/>
      <c r="EB870" s="15"/>
      <c r="EC870" s="15"/>
      <c r="ED870" s="15"/>
      <c r="EE870" s="15"/>
      <c r="EF870" s="15"/>
      <c r="EG870" s="15"/>
      <c r="EH870" s="15"/>
      <c r="EI870" s="15"/>
      <c r="EJ870" s="15"/>
      <c r="EK870" s="15"/>
      <c r="EL870" s="15"/>
      <c r="EM870" s="15"/>
      <c r="EN870" s="15"/>
      <c r="EO870" s="15"/>
      <c r="EP870" s="15"/>
      <c r="EQ870" s="15"/>
      <c r="ER870" s="15"/>
      <c r="ES870" s="15"/>
      <c r="ET870" s="15"/>
      <c r="EU870" s="15"/>
      <c r="EV870" s="15"/>
      <c r="EW870" s="15"/>
      <c r="EX870" s="15"/>
    </row>
    <row r="871" customFormat="false" ht="15.75" hidden="false" customHeight="false" outlineLevel="0" collapsed="false">
      <c r="A871" s="76"/>
      <c r="B871" s="77"/>
      <c r="C871" s="77"/>
      <c r="D871" s="78"/>
      <c r="E871" s="72"/>
      <c r="F871" s="68"/>
      <c r="G871" s="15"/>
      <c r="H871" s="76" t="str">
        <f aca="false">IFERROR(__xludf.dummyfunction("""COMPUTED_VALUE"""),"")</f>
        <v/>
      </c>
      <c r="I871" s="50" t="str">
        <f aca="false">IFERROR(__xludf.dummyfunction("""COMPUTED_VALUE"""),"")</f>
        <v/>
      </c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  <c r="DC871" s="15"/>
      <c r="DD871" s="15"/>
      <c r="DE871" s="15"/>
      <c r="DF871" s="15"/>
      <c r="DG871" s="15"/>
      <c r="DH871" s="15"/>
      <c r="DI871" s="15"/>
      <c r="DJ871" s="15"/>
      <c r="DK871" s="15"/>
      <c r="DL871" s="15"/>
      <c r="DM871" s="15"/>
      <c r="DN871" s="15"/>
      <c r="DO871" s="15"/>
      <c r="DP871" s="15"/>
      <c r="DQ871" s="15"/>
      <c r="DR871" s="15"/>
      <c r="DS871" s="15"/>
      <c r="DT871" s="15"/>
      <c r="DU871" s="15"/>
      <c r="DV871" s="15"/>
      <c r="DW871" s="15"/>
      <c r="DX871" s="15"/>
      <c r="DY871" s="15"/>
      <c r="DZ871" s="15"/>
      <c r="EA871" s="15"/>
      <c r="EB871" s="15"/>
      <c r="EC871" s="15"/>
      <c r="ED871" s="15"/>
      <c r="EE871" s="15"/>
      <c r="EF871" s="15"/>
      <c r="EG871" s="15"/>
      <c r="EH871" s="15"/>
      <c r="EI871" s="15"/>
      <c r="EJ871" s="15"/>
      <c r="EK871" s="15"/>
      <c r="EL871" s="15"/>
      <c r="EM871" s="15"/>
      <c r="EN871" s="15"/>
      <c r="EO871" s="15"/>
      <c r="EP871" s="15"/>
      <c r="EQ871" s="15"/>
      <c r="ER871" s="15"/>
      <c r="ES871" s="15"/>
      <c r="ET871" s="15"/>
      <c r="EU871" s="15"/>
      <c r="EV871" s="15"/>
      <c r="EW871" s="15"/>
      <c r="EX871" s="15"/>
    </row>
    <row r="872" customFormat="false" ht="15.75" hidden="false" customHeight="false" outlineLevel="0" collapsed="false">
      <c r="A872" s="76"/>
      <c r="B872" s="77"/>
      <c r="C872" s="77"/>
      <c r="D872" s="78"/>
      <c r="E872" s="72"/>
      <c r="F872" s="68"/>
      <c r="G872" s="15"/>
      <c r="H872" s="76" t="str">
        <f aca="false">IFERROR(__xludf.dummyfunction("""COMPUTED_VALUE"""),"")</f>
        <v/>
      </c>
      <c r="I872" s="50" t="str">
        <f aca="false">IFERROR(__xludf.dummyfunction("""COMPUTED_VALUE"""),"")</f>
        <v/>
      </c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  <c r="DC872" s="15"/>
      <c r="DD872" s="15"/>
      <c r="DE872" s="15"/>
      <c r="DF872" s="15"/>
      <c r="DG872" s="15"/>
      <c r="DH872" s="15"/>
      <c r="DI872" s="15"/>
      <c r="DJ872" s="15"/>
      <c r="DK872" s="15"/>
      <c r="DL872" s="15"/>
      <c r="DM872" s="15"/>
      <c r="DN872" s="15"/>
      <c r="DO872" s="15"/>
      <c r="DP872" s="15"/>
      <c r="DQ872" s="15"/>
      <c r="DR872" s="15"/>
      <c r="DS872" s="15"/>
      <c r="DT872" s="15"/>
      <c r="DU872" s="15"/>
      <c r="DV872" s="15"/>
      <c r="DW872" s="15"/>
      <c r="DX872" s="15"/>
      <c r="DY872" s="15"/>
      <c r="DZ872" s="15"/>
      <c r="EA872" s="15"/>
      <c r="EB872" s="15"/>
      <c r="EC872" s="15"/>
      <c r="ED872" s="15"/>
      <c r="EE872" s="15"/>
      <c r="EF872" s="15"/>
      <c r="EG872" s="15"/>
      <c r="EH872" s="15"/>
      <c r="EI872" s="15"/>
      <c r="EJ872" s="15"/>
      <c r="EK872" s="15"/>
      <c r="EL872" s="15"/>
      <c r="EM872" s="15"/>
      <c r="EN872" s="15"/>
      <c r="EO872" s="15"/>
      <c r="EP872" s="15"/>
      <c r="EQ872" s="15"/>
      <c r="ER872" s="15"/>
      <c r="ES872" s="15"/>
      <c r="ET872" s="15"/>
      <c r="EU872" s="15"/>
      <c r="EV872" s="15"/>
      <c r="EW872" s="15"/>
      <c r="EX872" s="15"/>
    </row>
    <row r="873" customFormat="false" ht="15.75" hidden="false" customHeight="false" outlineLevel="0" collapsed="false">
      <c r="A873" s="76"/>
      <c r="B873" s="77"/>
      <c r="C873" s="77"/>
      <c r="D873" s="78"/>
      <c r="E873" s="72"/>
      <c r="F873" s="68"/>
      <c r="G873" s="15"/>
      <c r="H873" s="76" t="str">
        <f aca="false">IFERROR(__xludf.dummyfunction("""COMPUTED_VALUE"""),"")</f>
        <v/>
      </c>
      <c r="I873" s="50" t="str">
        <f aca="false">IFERROR(__xludf.dummyfunction("""COMPUTED_VALUE"""),"")</f>
        <v/>
      </c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  <c r="DC873" s="15"/>
      <c r="DD873" s="15"/>
      <c r="DE873" s="15"/>
      <c r="DF873" s="15"/>
      <c r="DG873" s="15"/>
      <c r="DH873" s="15"/>
      <c r="DI873" s="15"/>
      <c r="DJ873" s="15"/>
      <c r="DK873" s="15"/>
      <c r="DL873" s="15"/>
      <c r="DM873" s="15"/>
      <c r="DN873" s="15"/>
      <c r="DO873" s="15"/>
      <c r="DP873" s="15"/>
      <c r="DQ873" s="15"/>
      <c r="DR873" s="15"/>
      <c r="DS873" s="15"/>
      <c r="DT873" s="15"/>
      <c r="DU873" s="15"/>
      <c r="DV873" s="15"/>
      <c r="DW873" s="15"/>
      <c r="DX873" s="15"/>
      <c r="DY873" s="15"/>
      <c r="DZ873" s="15"/>
      <c r="EA873" s="15"/>
      <c r="EB873" s="15"/>
      <c r="EC873" s="15"/>
      <c r="ED873" s="15"/>
      <c r="EE873" s="15"/>
      <c r="EF873" s="15"/>
      <c r="EG873" s="15"/>
      <c r="EH873" s="15"/>
      <c r="EI873" s="15"/>
      <c r="EJ873" s="15"/>
      <c r="EK873" s="15"/>
      <c r="EL873" s="15"/>
      <c r="EM873" s="15"/>
      <c r="EN873" s="15"/>
      <c r="EO873" s="15"/>
      <c r="EP873" s="15"/>
      <c r="EQ873" s="15"/>
      <c r="ER873" s="15"/>
      <c r="ES873" s="15"/>
      <c r="ET873" s="15"/>
      <c r="EU873" s="15"/>
      <c r="EV873" s="15"/>
      <c r="EW873" s="15"/>
      <c r="EX873" s="15"/>
    </row>
    <row r="874" customFormat="false" ht="15.75" hidden="false" customHeight="false" outlineLevel="0" collapsed="false">
      <c r="A874" s="76"/>
      <c r="B874" s="77"/>
      <c r="C874" s="77"/>
      <c r="D874" s="78"/>
      <c r="E874" s="72"/>
      <c r="F874" s="68"/>
      <c r="G874" s="15"/>
      <c r="H874" s="76" t="str">
        <f aca="false">IFERROR(__xludf.dummyfunction("""COMPUTED_VALUE"""),"")</f>
        <v/>
      </c>
      <c r="I874" s="50" t="str">
        <f aca="false">IFERROR(__xludf.dummyfunction("""COMPUTED_VALUE"""),"")</f>
        <v/>
      </c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5"/>
      <c r="DN874" s="15"/>
      <c r="DO874" s="15"/>
      <c r="DP874" s="15"/>
      <c r="DQ874" s="15"/>
      <c r="DR874" s="15"/>
      <c r="DS874" s="15"/>
      <c r="DT874" s="15"/>
      <c r="DU874" s="15"/>
      <c r="DV874" s="15"/>
      <c r="DW874" s="15"/>
      <c r="DX874" s="15"/>
      <c r="DY874" s="15"/>
      <c r="DZ874" s="15"/>
      <c r="EA874" s="15"/>
      <c r="EB874" s="15"/>
      <c r="EC874" s="15"/>
      <c r="ED874" s="15"/>
      <c r="EE874" s="15"/>
      <c r="EF874" s="15"/>
      <c r="EG874" s="15"/>
      <c r="EH874" s="15"/>
      <c r="EI874" s="15"/>
      <c r="EJ874" s="15"/>
      <c r="EK874" s="15"/>
      <c r="EL874" s="15"/>
      <c r="EM874" s="15"/>
      <c r="EN874" s="15"/>
      <c r="EO874" s="15"/>
      <c r="EP874" s="15"/>
      <c r="EQ874" s="15"/>
      <c r="ER874" s="15"/>
      <c r="ES874" s="15"/>
      <c r="ET874" s="15"/>
      <c r="EU874" s="15"/>
      <c r="EV874" s="15"/>
      <c r="EW874" s="15"/>
      <c r="EX874" s="15"/>
    </row>
    <row r="875" customFormat="false" ht="15.75" hidden="false" customHeight="false" outlineLevel="0" collapsed="false">
      <c r="A875" s="76"/>
      <c r="B875" s="77"/>
      <c r="C875" s="77"/>
      <c r="D875" s="78"/>
      <c r="E875" s="72"/>
      <c r="F875" s="68"/>
      <c r="G875" s="15"/>
      <c r="H875" s="76" t="str">
        <f aca="false">IFERROR(__xludf.dummyfunction("""COMPUTED_VALUE"""),"")</f>
        <v/>
      </c>
      <c r="I875" s="50" t="str">
        <f aca="false">IFERROR(__xludf.dummyfunction("""COMPUTED_VALUE"""),"")</f>
        <v/>
      </c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  <c r="DC875" s="15"/>
      <c r="DD875" s="15"/>
      <c r="DE875" s="15"/>
      <c r="DF875" s="15"/>
      <c r="DG875" s="15"/>
      <c r="DH875" s="15"/>
      <c r="DI875" s="15"/>
      <c r="DJ875" s="15"/>
      <c r="DK875" s="15"/>
      <c r="DL875" s="15"/>
      <c r="DM875" s="15"/>
      <c r="DN875" s="15"/>
      <c r="DO875" s="15"/>
      <c r="DP875" s="15"/>
      <c r="DQ875" s="15"/>
      <c r="DR875" s="15"/>
      <c r="DS875" s="15"/>
      <c r="DT875" s="15"/>
      <c r="DU875" s="15"/>
      <c r="DV875" s="15"/>
      <c r="DW875" s="15"/>
      <c r="DX875" s="15"/>
      <c r="DY875" s="15"/>
      <c r="DZ875" s="15"/>
      <c r="EA875" s="15"/>
      <c r="EB875" s="15"/>
      <c r="EC875" s="15"/>
      <c r="ED875" s="15"/>
      <c r="EE875" s="15"/>
      <c r="EF875" s="15"/>
      <c r="EG875" s="15"/>
      <c r="EH875" s="15"/>
      <c r="EI875" s="15"/>
      <c r="EJ875" s="15"/>
      <c r="EK875" s="15"/>
      <c r="EL875" s="15"/>
      <c r="EM875" s="15"/>
      <c r="EN875" s="15"/>
      <c r="EO875" s="15"/>
      <c r="EP875" s="15"/>
      <c r="EQ875" s="15"/>
      <c r="ER875" s="15"/>
      <c r="ES875" s="15"/>
      <c r="ET875" s="15"/>
      <c r="EU875" s="15"/>
      <c r="EV875" s="15"/>
      <c r="EW875" s="15"/>
      <c r="EX875" s="15"/>
    </row>
    <row r="876" customFormat="false" ht="15.75" hidden="false" customHeight="false" outlineLevel="0" collapsed="false">
      <c r="A876" s="76"/>
      <c r="B876" s="77"/>
      <c r="C876" s="77"/>
      <c r="D876" s="78"/>
      <c r="E876" s="72"/>
      <c r="F876" s="68"/>
      <c r="G876" s="15"/>
      <c r="H876" s="76" t="str">
        <f aca="false">IFERROR(__xludf.dummyfunction("""COMPUTED_VALUE"""),"")</f>
        <v/>
      </c>
      <c r="I876" s="50" t="str">
        <f aca="false">IFERROR(__xludf.dummyfunction("""COMPUTED_VALUE"""),"")</f>
        <v/>
      </c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  <c r="DC876" s="15"/>
      <c r="DD876" s="15"/>
      <c r="DE876" s="15"/>
      <c r="DF876" s="15"/>
      <c r="DG876" s="15"/>
      <c r="DH876" s="15"/>
      <c r="DI876" s="15"/>
      <c r="DJ876" s="15"/>
      <c r="DK876" s="15"/>
      <c r="DL876" s="15"/>
      <c r="DM876" s="15"/>
      <c r="DN876" s="15"/>
      <c r="DO876" s="15"/>
      <c r="DP876" s="15"/>
      <c r="DQ876" s="15"/>
      <c r="DR876" s="15"/>
      <c r="DS876" s="15"/>
      <c r="DT876" s="15"/>
      <c r="DU876" s="15"/>
      <c r="DV876" s="15"/>
      <c r="DW876" s="15"/>
      <c r="DX876" s="15"/>
      <c r="DY876" s="15"/>
      <c r="DZ876" s="15"/>
      <c r="EA876" s="15"/>
      <c r="EB876" s="15"/>
      <c r="EC876" s="15"/>
      <c r="ED876" s="15"/>
      <c r="EE876" s="15"/>
      <c r="EF876" s="15"/>
      <c r="EG876" s="15"/>
      <c r="EH876" s="15"/>
      <c r="EI876" s="15"/>
      <c r="EJ876" s="15"/>
      <c r="EK876" s="15"/>
      <c r="EL876" s="15"/>
      <c r="EM876" s="15"/>
      <c r="EN876" s="15"/>
      <c r="EO876" s="15"/>
      <c r="EP876" s="15"/>
      <c r="EQ876" s="15"/>
      <c r="ER876" s="15"/>
      <c r="ES876" s="15"/>
      <c r="ET876" s="15"/>
      <c r="EU876" s="15"/>
      <c r="EV876" s="15"/>
      <c r="EW876" s="15"/>
      <c r="EX876" s="15"/>
    </row>
    <row r="877" customFormat="false" ht="15.75" hidden="false" customHeight="false" outlineLevel="0" collapsed="false">
      <c r="A877" s="76"/>
      <c r="B877" s="77"/>
      <c r="C877" s="77"/>
      <c r="D877" s="78"/>
      <c r="E877" s="72"/>
      <c r="F877" s="68"/>
      <c r="G877" s="15"/>
      <c r="H877" s="76" t="str">
        <f aca="false">IFERROR(__xludf.dummyfunction("""COMPUTED_VALUE"""),"")</f>
        <v/>
      </c>
      <c r="I877" s="50" t="str">
        <f aca="false">IFERROR(__xludf.dummyfunction("""COMPUTED_VALUE"""),"")</f>
        <v/>
      </c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  <c r="DC877" s="15"/>
      <c r="DD877" s="15"/>
      <c r="DE877" s="15"/>
      <c r="DF877" s="15"/>
      <c r="DG877" s="15"/>
      <c r="DH877" s="15"/>
      <c r="DI877" s="15"/>
      <c r="DJ877" s="15"/>
      <c r="DK877" s="15"/>
      <c r="DL877" s="15"/>
      <c r="DM877" s="15"/>
      <c r="DN877" s="15"/>
      <c r="DO877" s="15"/>
      <c r="DP877" s="15"/>
      <c r="DQ877" s="15"/>
      <c r="DR877" s="15"/>
      <c r="DS877" s="15"/>
      <c r="DT877" s="15"/>
      <c r="DU877" s="15"/>
      <c r="DV877" s="15"/>
      <c r="DW877" s="15"/>
      <c r="DX877" s="15"/>
      <c r="DY877" s="15"/>
      <c r="DZ877" s="15"/>
      <c r="EA877" s="15"/>
      <c r="EB877" s="15"/>
      <c r="EC877" s="15"/>
      <c r="ED877" s="15"/>
      <c r="EE877" s="15"/>
      <c r="EF877" s="15"/>
      <c r="EG877" s="15"/>
      <c r="EH877" s="15"/>
      <c r="EI877" s="15"/>
      <c r="EJ877" s="15"/>
      <c r="EK877" s="15"/>
      <c r="EL877" s="15"/>
      <c r="EM877" s="15"/>
      <c r="EN877" s="15"/>
      <c r="EO877" s="15"/>
      <c r="EP877" s="15"/>
      <c r="EQ877" s="15"/>
      <c r="ER877" s="15"/>
      <c r="ES877" s="15"/>
      <c r="ET877" s="15"/>
      <c r="EU877" s="15"/>
      <c r="EV877" s="15"/>
      <c r="EW877" s="15"/>
      <c r="EX877" s="15"/>
    </row>
    <row r="878" customFormat="false" ht="15.75" hidden="false" customHeight="false" outlineLevel="0" collapsed="false">
      <c r="A878" s="76"/>
      <c r="B878" s="77"/>
      <c r="C878" s="77"/>
      <c r="D878" s="78"/>
      <c r="E878" s="72"/>
      <c r="F878" s="68"/>
      <c r="G878" s="15"/>
      <c r="H878" s="76" t="str">
        <f aca="false">IFERROR(__xludf.dummyfunction("""COMPUTED_VALUE"""),"")</f>
        <v/>
      </c>
      <c r="I878" s="50" t="str">
        <f aca="false">IFERROR(__xludf.dummyfunction("""COMPUTED_VALUE"""),"")</f>
        <v/>
      </c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  <c r="DM878" s="15"/>
      <c r="DN878" s="15"/>
      <c r="DO878" s="15"/>
      <c r="DP878" s="15"/>
      <c r="DQ878" s="15"/>
      <c r="DR878" s="15"/>
      <c r="DS878" s="15"/>
      <c r="DT878" s="15"/>
      <c r="DU878" s="15"/>
      <c r="DV878" s="15"/>
      <c r="DW878" s="15"/>
      <c r="DX878" s="15"/>
      <c r="DY878" s="15"/>
      <c r="DZ878" s="15"/>
      <c r="EA878" s="15"/>
      <c r="EB878" s="15"/>
      <c r="EC878" s="15"/>
      <c r="ED878" s="15"/>
      <c r="EE878" s="15"/>
      <c r="EF878" s="15"/>
      <c r="EG878" s="15"/>
      <c r="EH878" s="15"/>
      <c r="EI878" s="15"/>
      <c r="EJ878" s="15"/>
      <c r="EK878" s="15"/>
      <c r="EL878" s="15"/>
      <c r="EM878" s="15"/>
      <c r="EN878" s="15"/>
      <c r="EO878" s="15"/>
      <c r="EP878" s="15"/>
      <c r="EQ878" s="15"/>
      <c r="ER878" s="15"/>
      <c r="ES878" s="15"/>
      <c r="ET878" s="15"/>
      <c r="EU878" s="15"/>
      <c r="EV878" s="15"/>
      <c r="EW878" s="15"/>
      <c r="EX878" s="15"/>
    </row>
    <row r="879" customFormat="false" ht="15.75" hidden="false" customHeight="false" outlineLevel="0" collapsed="false">
      <c r="A879" s="76"/>
      <c r="B879" s="77"/>
      <c r="C879" s="77"/>
      <c r="D879" s="78"/>
      <c r="E879" s="72"/>
      <c r="F879" s="68"/>
      <c r="G879" s="15"/>
      <c r="H879" s="76" t="str">
        <f aca="false">IFERROR(__xludf.dummyfunction("""COMPUTED_VALUE"""),"")</f>
        <v/>
      </c>
      <c r="I879" s="50" t="str">
        <f aca="false">IFERROR(__xludf.dummyfunction("""COMPUTED_VALUE"""),"")</f>
        <v/>
      </c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  <c r="DM879" s="15"/>
      <c r="DN879" s="15"/>
      <c r="DO879" s="15"/>
      <c r="DP879" s="15"/>
      <c r="DQ879" s="15"/>
      <c r="DR879" s="15"/>
      <c r="DS879" s="15"/>
      <c r="DT879" s="15"/>
      <c r="DU879" s="15"/>
      <c r="DV879" s="15"/>
      <c r="DW879" s="15"/>
      <c r="DX879" s="15"/>
      <c r="DY879" s="15"/>
      <c r="DZ879" s="15"/>
      <c r="EA879" s="15"/>
      <c r="EB879" s="15"/>
      <c r="EC879" s="15"/>
      <c r="ED879" s="15"/>
      <c r="EE879" s="15"/>
      <c r="EF879" s="15"/>
      <c r="EG879" s="15"/>
      <c r="EH879" s="15"/>
      <c r="EI879" s="15"/>
      <c r="EJ879" s="15"/>
      <c r="EK879" s="15"/>
      <c r="EL879" s="15"/>
      <c r="EM879" s="15"/>
      <c r="EN879" s="15"/>
      <c r="EO879" s="15"/>
      <c r="EP879" s="15"/>
      <c r="EQ879" s="15"/>
      <c r="ER879" s="15"/>
      <c r="ES879" s="15"/>
      <c r="ET879" s="15"/>
      <c r="EU879" s="15"/>
      <c r="EV879" s="15"/>
      <c r="EW879" s="15"/>
      <c r="EX879" s="15"/>
    </row>
    <row r="880" customFormat="false" ht="15.75" hidden="false" customHeight="false" outlineLevel="0" collapsed="false">
      <c r="A880" s="76"/>
      <c r="B880" s="77"/>
      <c r="C880" s="77"/>
      <c r="D880" s="78"/>
      <c r="E880" s="72"/>
      <c r="F880" s="68"/>
      <c r="G880" s="15"/>
      <c r="H880" s="76" t="str">
        <f aca="false">IFERROR(__xludf.dummyfunction("""COMPUTED_VALUE"""),"")</f>
        <v/>
      </c>
      <c r="I880" s="50" t="str">
        <f aca="false">IFERROR(__xludf.dummyfunction("""COMPUTED_VALUE"""),"")</f>
        <v/>
      </c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  <c r="DM880" s="15"/>
      <c r="DN880" s="15"/>
      <c r="DO880" s="15"/>
      <c r="DP880" s="15"/>
      <c r="DQ880" s="15"/>
      <c r="DR880" s="15"/>
      <c r="DS880" s="15"/>
      <c r="DT880" s="15"/>
      <c r="DU880" s="15"/>
      <c r="DV880" s="15"/>
      <c r="DW880" s="15"/>
      <c r="DX880" s="15"/>
      <c r="DY880" s="15"/>
      <c r="DZ880" s="15"/>
      <c r="EA880" s="15"/>
      <c r="EB880" s="15"/>
      <c r="EC880" s="15"/>
      <c r="ED880" s="15"/>
      <c r="EE880" s="15"/>
      <c r="EF880" s="15"/>
      <c r="EG880" s="15"/>
      <c r="EH880" s="15"/>
      <c r="EI880" s="15"/>
      <c r="EJ880" s="15"/>
      <c r="EK880" s="15"/>
      <c r="EL880" s="15"/>
      <c r="EM880" s="15"/>
      <c r="EN880" s="15"/>
      <c r="EO880" s="15"/>
      <c r="EP880" s="15"/>
      <c r="EQ880" s="15"/>
      <c r="ER880" s="15"/>
      <c r="ES880" s="15"/>
      <c r="ET880" s="15"/>
      <c r="EU880" s="15"/>
      <c r="EV880" s="15"/>
      <c r="EW880" s="15"/>
      <c r="EX880" s="15"/>
    </row>
    <row r="881" customFormat="false" ht="15.75" hidden="false" customHeight="false" outlineLevel="0" collapsed="false">
      <c r="A881" s="76"/>
      <c r="B881" s="77"/>
      <c r="C881" s="77"/>
      <c r="D881" s="78"/>
      <c r="E881" s="72"/>
      <c r="F881" s="68"/>
      <c r="G881" s="15"/>
      <c r="H881" s="76" t="str">
        <f aca="false">IFERROR(__xludf.dummyfunction("""COMPUTED_VALUE"""),"")</f>
        <v/>
      </c>
      <c r="I881" s="50" t="str">
        <f aca="false">IFERROR(__xludf.dummyfunction("""COMPUTED_VALUE"""),"")</f>
        <v/>
      </c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  <c r="DM881" s="15"/>
      <c r="DN881" s="15"/>
      <c r="DO881" s="15"/>
      <c r="DP881" s="15"/>
      <c r="DQ881" s="15"/>
      <c r="DR881" s="15"/>
      <c r="DS881" s="15"/>
      <c r="DT881" s="15"/>
      <c r="DU881" s="15"/>
      <c r="DV881" s="15"/>
      <c r="DW881" s="15"/>
      <c r="DX881" s="15"/>
      <c r="DY881" s="15"/>
      <c r="DZ881" s="15"/>
      <c r="EA881" s="15"/>
      <c r="EB881" s="15"/>
      <c r="EC881" s="15"/>
      <c r="ED881" s="15"/>
      <c r="EE881" s="15"/>
      <c r="EF881" s="15"/>
      <c r="EG881" s="15"/>
      <c r="EH881" s="15"/>
      <c r="EI881" s="15"/>
      <c r="EJ881" s="15"/>
      <c r="EK881" s="15"/>
      <c r="EL881" s="15"/>
      <c r="EM881" s="15"/>
      <c r="EN881" s="15"/>
      <c r="EO881" s="15"/>
      <c r="EP881" s="15"/>
      <c r="EQ881" s="15"/>
      <c r="ER881" s="15"/>
      <c r="ES881" s="15"/>
      <c r="ET881" s="15"/>
      <c r="EU881" s="15"/>
      <c r="EV881" s="15"/>
      <c r="EW881" s="15"/>
      <c r="EX881" s="15"/>
    </row>
    <row r="882" customFormat="false" ht="15.75" hidden="false" customHeight="false" outlineLevel="0" collapsed="false">
      <c r="A882" s="76"/>
      <c r="B882" s="77"/>
      <c r="C882" s="77"/>
      <c r="D882" s="78"/>
      <c r="E882" s="72"/>
      <c r="F882" s="68"/>
      <c r="G882" s="15"/>
      <c r="H882" s="76" t="str">
        <f aca="false">IFERROR(__xludf.dummyfunction("""COMPUTED_VALUE"""),"")</f>
        <v/>
      </c>
      <c r="I882" s="50" t="str">
        <f aca="false">IFERROR(__xludf.dummyfunction("""COMPUTED_VALUE"""),"")</f>
        <v/>
      </c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  <c r="DM882" s="15"/>
      <c r="DN882" s="15"/>
      <c r="DO882" s="15"/>
      <c r="DP882" s="15"/>
      <c r="DQ882" s="15"/>
      <c r="DR882" s="15"/>
      <c r="DS882" s="15"/>
      <c r="DT882" s="15"/>
      <c r="DU882" s="15"/>
      <c r="DV882" s="15"/>
      <c r="DW882" s="15"/>
      <c r="DX882" s="15"/>
      <c r="DY882" s="15"/>
      <c r="DZ882" s="15"/>
      <c r="EA882" s="15"/>
      <c r="EB882" s="15"/>
      <c r="EC882" s="15"/>
      <c r="ED882" s="15"/>
      <c r="EE882" s="15"/>
      <c r="EF882" s="15"/>
      <c r="EG882" s="15"/>
      <c r="EH882" s="15"/>
      <c r="EI882" s="15"/>
      <c r="EJ882" s="15"/>
      <c r="EK882" s="15"/>
      <c r="EL882" s="15"/>
      <c r="EM882" s="15"/>
      <c r="EN882" s="15"/>
      <c r="EO882" s="15"/>
      <c r="EP882" s="15"/>
      <c r="EQ882" s="15"/>
      <c r="ER882" s="15"/>
      <c r="ES882" s="15"/>
      <c r="ET882" s="15"/>
      <c r="EU882" s="15"/>
      <c r="EV882" s="15"/>
      <c r="EW882" s="15"/>
      <c r="EX882" s="15"/>
    </row>
    <row r="883" customFormat="false" ht="15.75" hidden="false" customHeight="false" outlineLevel="0" collapsed="false">
      <c r="A883" s="76"/>
      <c r="B883" s="77"/>
      <c r="C883" s="77"/>
      <c r="D883" s="78"/>
      <c r="E883" s="72"/>
      <c r="F883" s="68"/>
      <c r="G883" s="15"/>
      <c r="H883" s="76" t="str">
        <f aca="false">IFERROR(__xludf.dummyfunction("""COMPUTED_VALUE"""),"")</f>
        <v/>
      </c>
      <c r="I883" s="50" t="str">
        <f aca="false">IFERROR(__xludf.dummyfunction("""COMPUTED_VALUE"""),"")</f>
        <v/>
      </c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  <c r="DM883" s="15"/>
      <c r="DN883" s="15"/>
      <c r="DO883" s="15"/>
      <c r="DP883" s="15"/>
      <c r="DQ883" s="15"/>
      <c r="DR883" s="15"/>
      <c r="DS883" s="15"/>
      <c r="DT883" s="15"/>
      <c r="DU883" s="15"/>
      <c r="DV883" s="15"/>
      <c r="DW883" s="15"/>
      <c r="DX883" s="15"/>
      <c r="DY883" s="15"/>
      <c r="DZ883" s="15"/>
      <c r="EA883" s="15"/>
      <c r="EB883" s="15"/>
      <c r="EC883" s="15"/>
      <c r="ED883" s="15"/>
      <c r="EE883" s="15"/>
      <c r="EF883" s="15"/>
      <c r="EG883" s="15"/>
      <c r="EH883" s="15"/>
      <c r="EI883" s="15"/>
      <c r="EJ883" s="15"/>
      <c r="EK883" s="15"/>
      <c r="EL883" s="15"/>
      <c r="EM883" s="15"/>
      <c r="EN883" s="15"/>
      <c r="EO883" s="15"/>
      <c r="EP883" s="15"/>
      <c r="EQ883" s="15"/>
      <c r="ER883" s="15"/>
      <c r="ES883" s="15"/>
      <c r="ET883" s="15"/>
      <c r="EU883" s="15"/>
      <c r="EV883" s="15"/>
      <c r="EW883" s="15"/>
      <c r="EX883" s="15"/>
    </row>
    <row r="884" customFormat="false" ht="15.75" hidden="false" customHeight="false" outlineLevel="0" collapsed="false">
      <c r="A884" s="76"/>
      <c r="B884" s="77"/>
      <c r="C884" s="77"/>
      <c r="D884" s="78"/>
      <c r="E884" s="72"/>
      <c r="F884" s="68"/>
      <c r="G884" s="15"/>
      <c r="H884" s="76" t="str">
        <f aca="false">IFERROR(__xludf.dummyfunction("""COMPUTED_VALUE"""),"")</f>
        <v/>
      </c>
      <c r="I884" s="50" t="str">
        <f aca="false">IFERROR(__xludf.dummyfunction("""COMPUTED_VALUE"""),"")</f>
        <v/>
      </c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  <c r="DM884" s="15"/>
      <c r="DN884" s="15"/>
      <c r="DO884" s="15"/>
      <c r="DP884" s="15"/>
      <c r="DQ884" s="15"/>
      <c r="DR884" s="15"/>
      <c r="DS884" s="15"/>
      <c r="DT884" s="15"/>
      <c r="DU884" s="15"/>
      <c r="DV884" s="15"/>
      <c r="DW884" s="15"/>
      <c r="DX884" s="15"/>
      <c r="DY884" s="15"/>
      <c r="DZ884" s="15"/>
      <c r="EA884" s="15"/>
      <c r="EB884" s="15"/>
      <c r="EC884" s="15"/>
      <c r="ED884" s="15"/>
      <c r="EE884" s="15"/>
      <c r="EF884" s="15"/>
      <c r="EG884" s="15"/>
      <c r="EH884" s="15"/>
      <c r="EI884" s="15"/>
      <c r="EJ884" s="15"/>
      <c r="EK884" s="15"/>
      <c r="EL884" s="15"/>
      <c r="EM884" s="15"/>
      <c r="EN884" s="15"/>
      <c r="EO884" s="15"/>
      <c r="EP884" s="15"/>
      <c r="EQ884" s="15"/>
      <c r="ER884" s="15"/>
      <c r="ES884" s="15"/>
      <c r="ET884" s="15"/>
      <c r="EU884" s="15"/>
      <c r="EV884" s="15"/>
      <c r="EW884" s="15"/>
      <c r="EX884" s="15"/>
    </row>
    <row r="885" customFormat="false" ht="15.75" hidden="false" customHeight="false" outlineLevel="0" collapsed="false">
      <c r="A885" s="76"/>
      <c r="B885" s="77"/>
      <c r="C885" s="77"/>
      <c r="D885" s="78"/>
      <c r="E885" s="72"/>
      <c r="F885" s="68"/>
      <c r="G885" s="15"/>
      <c r="H885" s="76" t="str">
        <f aca="false">IFERROR(__xludf.dummyfunction("""COMPUTED_VALUE"""),"")</f>
        <v/>
      </c>
      <c r="I885" s="50" t="str">
        <f aca="false">IFERROR(__xludf.dummyfunction("""COMPUTED_VALUE"""),"")</f>
        <v/>
      </c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  <c r="DM885" s="15"/>
      <c r="DN885" s="15"/>
      <c r="DO885" s="15"/>
      <c r="DP885" s="15"/>
      <c r="DQ885" s="15"/>
      <c r="DR885" s="15"/>
      <c r="DS885" s="15"/>
      <c r="DT885" s="15"/>
      <c r="DU885" s="15"/>
      <c r="DV885" s="15"/>
      <c r="DW885" s="15"/>
      <c r="DX885" s="15"/>
      <c r="DY885" s="15"/>
      <c r="DZ885" s="15"/>
      <c r="EA885" s="15"/>
      <c r="EB885" s="15"/>
      <c r="EC885" s="15"/>
      <c r="ED885" s="15"/>
      <c r="EE885" s="15"/>
      <c r="EF885" s="15"/>
      <c r="EG885" s="15"/>
      <c r="EH885" s="15"/>
      <c r="EI885" s="15"/>
      <c r="EJ885" s="15"/>
      <c r="EK885" s="15"/>
      <c r="EL885" s="15"/>
      <c r="EM885" s="15"/>
      <c r="EN885" s="15"/>
      <c r="EO885" s="15"/>
      <c r="EP885" s="15"/>
      <c r="EQ885" s="15"/>
      <c r="ER885" s="15"/>
      <c r="ES885" s="15"/>
      <c r="ET885" s="15"/>
      <c r="EU885" s="15"/>
      <c r="EV885" s="15"/>
      <c r="EW885" s="15"/>
      <c r="EX885" s="15"/>
    </row>
    <row r="886" customFormat="false" ht="15.75" hidden="false" customHeight="false" outlineLevel="0" collapsed="false">
      <c r="A886" s="76"/>
      <c r="B886" s="77"/>
      <c r="C886" s="77"/>
      <c r="D886" s="78"/>
      <c r="E886" s="72"/>
      <c r="F886" s="68"/>
      <c r="G886" s="15"/>
      <c r="H886" s="76" t="str">
        <f aca="false">IFERROR(__xludf.dummyfunction("""COMPUTED_VALUE"""),"")</f>
        <v/>
      </c>
      <c r="I886" s="50" t="str">
        <f aca="false">IFERROR(__xludf.dummyfunction("""COMPUTED_VALUE"""),"")</f>
        <v/>
      </c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  <c r="DM886" s="15"/>
      <c r="DN886" s="15"/>
      <c r="DO886" s="15"/>
      <c r="DP886" s="15"/>
      <c r="DQ886" s="15"/>
      <c r="DR886" s="15"/>
      <c r="DS886" s="15"/>
      <c r="DT886" s="15"/>
      <c r="DU886" s="15"/>
      <c r="DV886" s="15"/>
      <c r="DW886" s="15"/>
      <c r="DX886" s="15"/>
      <c r="DY886" s="15"/>
      <c r="DZ886" s="15"/>
      <c r="EA886" s="15"/>
      <c r="EB886" s="15"/>
      <c r="EC886" s="15"/>
      <c r="ED886" s="15"/>
      <c r="EE886" s="15"/>
      <c r="EF886" s="15"/>
      <c r="EG886" s="15"/>
      <c r="EH886" s="15"/>
      <c r="EI886" s="15"/>
      <c r="EJ886" s="15"/>
      <c r="EK886" s="15"/>
      <c r="EL886" s="15"/>
      <c r="EM886" s="15"/>
      <c r="EN886" s="15"/>
      <c r="EO886" s="15"/>
      <c r="EP886" s="15"/>
      <c r="EQ886" s="15"/>
      <c r="ER886" s="15"/>
      <c r="ES886" s="15"/>
      <c r="ET886" s="15"/>
      <c r="EU886" s="15"/>
      <c r="EV886" s="15"/>
      <c r="EW886" s="15"/>
      <c r="EX886" s="15"/>
    </row>
    <row r="887" customFormat="false" ht="15.75" hidden="false" customHeight="false" outlineLevel="0" collapsed="false">
      <c r="A887" s="76"/>
      <c r="B887" s="77"/>
      <c r="C887" s="77"/>
      <c r="D887" s="78"/>
      <c r="E887" s="72"/>
      <c r="F887" s="68"/>
      <c r="G887" s="15"/>
      <c r="H887" s="76" t="str">
        <f aca="false">IFERROR(__xludf.dummyfunction("""COMPUTED_VALUE"""),"")</f>
        <v/>
      </c>
      <c r="I887" s="50" t="str">
        <f aca="false">IFERROR(__xludf.dummyfunction("""COMPUTED_VALUE"""),"")</f>
        <v/>
      </c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  <c r="DM887" s="15"/>
      <c r="DN887" s="15"/>
      <c r="DO887" s="15"/>
      <c r="DP887" s="15"/>
      <c r="DQ887" s="15"/>
      <c r="DR887" s="15"/>
      <c r="DS887" s="15"/>
      <c r="DT887" s="15"/>
      <c r="DU887" s="15"/>
      <c r="DV887" s="15"/>
      <c r="DW887" s="15"/>
      <c r="DX887" s="15"/>
      <c r="DY887" s="15"/>
      <c r="DZ887" s="15"/>
      <c r="EA887" s="15"/>
      <c r="EB887" s="15"/>
      <c r="EC887" s="15"/>
      <c r="ED887" s="15"/>
      <c r="EE887" s="15"/>
      <c r="EF887" s="15"/>
      <c r="EG887" s="15"/>
      <c r="EH887" s="15"/>
      <c r="EI887" s="15"/>
      <c r="EJ887" s="15"/>
      <c r="EK887" s="15"/>
      <c r="EL887" s="15"/>
      <c r="EM887" s="15"/>
      <c r="EN887" s="15"/>
      <c r="EO887" s="15"/>
      <c r="EP887" s="15"/>
      <c r="EQ887" s="15"/>
      <c r="ER887" s="15"/>
      <c r="ES887" s="15"/>
      <c r="ET887" s="15"/>
      <c r="EU887" s="15"/>
      <c r="EV887" s="15"/>
      <c r="EW887" s="15"/>
      <c r="EX887" s="15"/>
    </row>
    <row r="888" customFormat="false" ht="15.75" hidden="false" customHeight="false" outlineLevel="0" collapsed="false">
      <c r="A888" s="76"/>
      <c r="B888" s="77"/>
      <c r="C888" s="77"/>
      <c r="D888" s="78"/>
      <c r="E888" s="72"/>
      <c r="F888" s="68"/>
      <c r="G888" s="15"/>
      <c r="H888" s="76" t="str">
        <f aca="false">IFERROR(__xludf.dummyfunction("""COMPUTED_VALUE"""),"")</f>
        <v/>
      </c>
      <c r="I888" s="50" t="str">
        <f aca="false">IFERROR(__xludf.dummyfunction("""COMPUTED_VALUE"""),"")</f>
        <v/>
      </c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  <c r="DM888" s="15"/>
      <c r="DN888" s="15"/>
      <c r="DO888" s="15"/>
      <c r="DP888" s="15"/>
      <c r="DQ888" s="15"/>
      <c r="DR888" s="15"/>
      <c r="DS888" s="15"/>
      <c r="DT888" s="15"/>
      <c r="DU888" s="15"/>
      <c r="DV888" s="15"/>
      <c r="DW888" s="15"/>
      <c r="DX888" s="15"/>
      <c r="DY888" s="15"/>
      <c r="DZ888" s="15"/>
      <c r="EA888" s="15"/>
      <c r="EB888" s="15"/>
      <c r="EC888" s="15"/>
      <c r="ED888" s="15"/>
      <c r="EE888" s="15"/>
      <c r="EF888" s="15"/>
      <c r="EG888" s="15"/>
      <c r="EH888" s="15"/>
      <c r="EI888" s="15"/>
      <c r="EJ888" s="15"/>
      <c r="EK888" s="15"/>
      <c r="EL888" s="15"/>
      <c r="EM888" s="15"/>
      <c r="EN888" s="15"/>
      <c r="EO888" s="15"/>
      <c r="EP888" s="15"/>
      <c r="EQ888" s="15"/>
      <c r="ER888" s="15"/>
      <c r="ES888" s="15"/>
      <c r="ET888" s="15"/>
      <c r="EU888" s="15"/>
      <c r="EV888" s="15"/>
      <c r="EW888" s="15"/>
      <c r="EX888" s="15"/>
    </row>
    <row r="889" customFormat="false" ht="15.75" hidden="false" customHeight="false" outlineLevel="0" collapsed="false">
      <c r="A889" s="76"/>
      <c r="B889" s="77"/>
      <c r="C889" s="77"/>
      <c r="D889" s="78"/>
      <c r="E889" s="72"/>
      <c r="F889" s="68"/>
      <c r="G889" s="15"/>
      <c r="H889" s="76" t="str">
        <f aca="false">IFERROR(__xludf.dummyfunction("""COMPUTED_VALUE"""),"")</f>
        <v/>
      </c>
      <c r="I889" s="50" t="str">
        <f aca="false">IFERROR(__xludf.dummyfunction("""COMPUTED_VALUE"""),"")</f>
        <v/>
      </c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  <c r="DY889" s="15"/>
      <c r="DZ889" s="15"/>
      <c r="EA889" s="15"/>
      <c r="EB889" s="15"/>
      <c r="EC889" s="15"/>
      <c r="ED889" s="15"/>
      <c r="EE889" s="15"/>
      <c r="EF889" s="15"/>
      <c r="EG889" s="15"/>
      <c r="EH889" s="15"/>
      <c r="EI889" s="15"/>
      <c r="EJ889" s="15"/>
      <c r="EK889" s="15"/>
      <c r="EL889" s="15"/>
      <c r="EM889" s="15"/>
      <c r="EN889" s="15"/>
      <c r="EO889" s="15"/>
      <c r="EP889" s="15"/>
      <c r="EQ889" s="15"/>
      <c r="ER889" s="15"/>
      <c r="ES889" s="15"/>
      <c r="ET889" s="15"/>
      <c r="EU889" s="15"/>
      <c r="EV889" s="15"/>
      <c r="EW889" s="15"/>
      <c r="EX889" s="15"/>
    </row>
    <row r="890" customFormat="false" ht="15.75" hidden="false" customHeight="false" outlineLevel="0" collapsed="false">
      <c r="A890" s="76"/>
      <c r="B890" s="77"/>
      <c r="C890" s="77"/>
      <c r="D890" s="78"/>
      <c r="E890" s="72"/>
      <c r="F890" s="68"/>
      <c r="G890" s="15"/>
      <c r="H890" s="76" t="str">
        <f aca="false">IFERROR(__xludf.dummyfunction("""COMPUTED_VALUE"""),"")</f>
        <v/>
      </c>
      <c r="I890" s="50" t="str">
        <f aca="false">IFERROR(__xludf.dummyfunction("""COMPUTED_VALUE"""),"")</f>
        <v/>
      </c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  <c r="DM890" s="15"/>
      <c r="DN890" s="15"/>
      <c r="DO890" s="15"/>
      <c r="DP890" s="15"/>
      <c r="DQ890" s="15"/>
      <c r="DR890" s="15"/>
      <c r="DS890" s="15"/>
      <c r="DT890" s="15"/>
      <c r="DU890" s="15"/>
      <c r="DV890" s="15"/>
      <c r="DW890" s="15"/>
      <c r="DX890" s="15"/>
      <c r="DY890" s="15"/>
      <c r="DZ890" s="15"/>
      <c r="EA890" s="15"/>
      <c r="EB890" s="15"/>
      <c r="EC890" s="15"/>
      <c r="ED890" s="15"/>
      <c r="EE890" s="15"/>
      <c r="EF890" s="15"/>
      <c r="EG890" s="15"/>
      <c r="EH890" s="15"/>
      <c r="EI890" s="15"/>
      <c r="EJ890" s="15"/>
      <c r="EK890" s="15"/>
      <c r="EL890" s="15"/>
      <c r="EM890" s="15"/>
      <c r="EN890" s="15"/>
      <c r="EO890" s="15"/>
      <c r="EP890" s="15"/>
      <c r="EQ890" s="15"/>
      <c r="ER890" s="15"/>
      <c r="ES890" s="15"/>
      <c r="ET890" s="15"/>
      <c r="EU890" s="15"/>
      <c r="EV890" s="15"/>
      <c r="EW890" s="15"/>
      <c r="EX890" s="15"/>
    </row>
    <row r="891" customFormat="false" ht="15.75" hidden="false" customHeight="false" outlineLevel="0" collapsed="false">
      <c r="A891" s="76"/>
      <c r="B891" s="77"/>
      <c r="C891" s="77"/>
      <c r="D891" s="78"/>
      <c r="E891" s="72"/>
      <c r="F891" s="68"/>
      <c r="G891" s="15"/>
      <c r="H891" s="76" t="str">
        <f aca="false">IFERROR(__xludf.dummyfunction("""COMPUTED_VALUE"""),"")</f>
        <v/>
      </c>
      <c r="I891" s="50" t="str">
        <f aca="false">IFERROR(__xludf.dummyfunction("""COMPUTED_VALUE"""),"")</f>
        <v/>
      </c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  <c r="DM891" s="15"/>
      <c r="DN891" s="15"/>
      <c r="DO891" s="15"/>
      <c r="DP891" s="15"/>
      <c r="DQ891" s="15"/>
      <c r="DR891" s="15"/>
      <c r="DS891" s="15"/>
      <c r="DT891" s="15"/>
      <c r="DU891" s="15"/>
      <c r="DV891" s="15"/>
      <c r="DW891" s="15"/>
      <c r="DX891" s="15"/>
      <c r="DY891" s="15"/>
      <c r="DZ891" s="15"/>
      <c r="EA891" s="15"/>
      <c r="EB891" s="15"/>
      <c r="EC891" s="15"/>
      <c r="ED891" s="15"/>
      <c r="EE891" s="15"/>
      <c r="EF891" s="15"/>
      <c r="EG891" s="15"/>
      <c r="EH891" s="15"/>
      <c r="EI891" s="15"/>
      <c r="EJ891" s="15"/>
      <c r="EK891" s="15"/>
      <c r="EL891" s="15"/>
      <c r="EM891" s="15"/>
      <c r="EN891" s="15"/>
      <c r="EO891" s="15"/>
      <c r="EP891" s="15"/>
      <c r="EQ891" s="15"/>
      <c r="ER891" s="15"/>
      <c r="ES891" s="15"/>
      <c r="ET891" s="15"/>
      <c r="EU891" s="15"/>
      <c r="EV891" s="15"/>
      <c r="EW891" s="15"/>
      <c r="EX891" s="15"/>
    </row>
    <row r="892" customFormat="false" ht="15.75" hidden="false" customHeight="false" outlineLevel="0" collapsed="false">
      <c r="A892" s="76"/>
      <c r="B892" s="77"/>
      <c r="C892" s="77"/>
      <c r="D892" s="78"/>
      <c r="E892" s="72"/>
      <c r="F892" s="68"/>
      <c r="G892" s="15"/>
      <c r="H892" s="76" t="str">
        <f aca="false">IFERROR(__xludf.dummyfunction("""COMPUTED_VALUE"""),"")</f>
        <v/>
      </c>
      <c r="I892" s="50" t="str">
        <f aca="false">IFERROR(__xludf.dummyfunction("""COMPUTED_VALUE"""),"")</f>
        <v/>
      </c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  <c r="DM892" s="15"/>
      <c r="DN892" s="15"/>
      <c r="DO892" s="15"/>
      <c r="DP892" s="15"/>
      <c r="DQ892" s="15"/>
      <c r="DR892" s="15"/>
      <c r="DS892" s="15"/>
      <c r="DT892" s="15"/>
      <c r="DU892" s="15"/>
      <c r="DV892" s="15"/>
      <c r="DW892" s="15"/>
      <c r="DX892" s="15"/>
      <c r="DY892" s="15"/>
      <c r="DZ892" s="15"/>
      <c r="EA892" s="15"/>
      <c r="EB892" s="15"/>
      <c r="EC892" s="15"/>
      <c r="ED892" s="15"/>
      <c r="EE892" s="15"/>
      <c r="EF892" s="15"/>
      <c r="EG892" s="15"/>
      <c r="EH892" s="15"/>
      <c r="EI892" s="15"/>
      <c r="EJ892" s="15"/>
      <c r="EK892" s="15"/>
      <c r="EL892" s="15"/>
      <c r="EM892" s="15"/>
      <c r="EN892" s="15"/>
      <c r="EO892" s="15"/>
      <c r="EP892" s="15"/>
      <c r="EQ892" s="15"/>
      <c r="ER892" s="15"/>
      <c r="ES892" s="15"/>
      <c r="ET892" s="15"/>
      <c r="EU892" s="15"/>
      <c r="EV892" s="15"/>
      <c r="EW892" s="15"/>
      <c r="EX892" s="15"/>
    </row>
    <row r="893" customFormat="false" ht="15.75" hidden="false" customHeight="false" outlineLevel="0" collapsed="false">
      <c r="A893" s="76"/>
      <c r="B893" s="77"/>
      <c r="C893" s="77"/>
      <c r="D893" s="78"/>
      <c r="E893" s="72"/>
      <c r="F893" s="68"/>
      <c r="G893" s="15"/>
      <c r="H893" s="76" t="str">
        <f aca="false">IFERROR(__xludf.dummyfunction("""COMPUTED_VALUE"""),"")</f>
        <v/>
      </c>
      <c r="I893" s="50" t="str">
        <f aca="false">IFERROR(__xludf.dummyfunction("""COMPUTED_VALUE"""),"")</f>
        <v/>
      </c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  <c r="DN893" s="15"/>
      <c r="DO893" s="15"/>
      <c r="DP893" s="15"/>
      <c r="DQ893" s="15"/>
      <c r="DR893" s="15"/>
      <c r="DS893" s="15"/>
      <c r="DT893" s="15"/>
      <c r="DU893" s="15"/>
      <c r="DV893" s="15"/>
      <c r="DW893" s="15"/>
      <c r="DX893" s="15"/>
      <c r="DY893" s="15"/>
      <c r="DZ893" s="15"/>
      <c r="EA893" s="15"/>
      <c r="EB893" s="15"/>
      <c r="EC893" s="15"/>
      <c r="ED893" s="15"/>
      <c r="EE893" s="15"/>
      <c r="EF893" s="15"/>
      <c r="EG893" s="15"/>
      <c r="EH893" s="15"/>
      <c r="EI893" s="15"/>
      <c r="EJ893" s="15"/>
      <c r="EK893" s="15"/>
      <c r="EL893" s="15"/>
      <c r="EM893" s="15"/>
      <c r="EN893" s="15"/>
      <c r="EO893" s="15"/>
      <c r="EP893" s="15"/>
      <c r="EQ893" s="15"/>
      <c r="ER893" s="15"/>
      <c r="ES893" s="15"/>
      <c r="ET893" s="15"/>
      <c r="EU893" s="15"/>
      <c r="EV893" s="15"/>
      <c r="EW893" s="15"/>
      <c r="EX893" s="15"/>
    </row>
    <row r="894" customFormat="false" ht="15.75" hidden="false" customHeight="false" outlineLevel="0" collapsed="false">
      <c r="A894" s="76"/>
      <c r="B894" s="77"/>
      <c r="C894" s="77"/>
      <c r="D894" s="78"/>
      <c r="E894" s="72"/>
      <c r="F894" s="68"/>
      <c r="G894" s="15"/>
      <c r="H894" s="76" t="str">
        <f aca="false">IFERROR(__xludf.dummyfunction("""COMPUTED_VALUE"""),"")</f>
        <v/>
      </c>
      <c r="I894" s="50" t="str">
        <f aca="false">IFERROR(__xludf.dummyfunction("""COMPUTED_VALUE"""),"")</f>
        <v/>
      </c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  <c r="DC894" s="15"/>
      <c r="DD894" s="15"/>
      <c r="DE894" s="15"/>
      <c r="DF894" s="15"/>
      <c r="DG894" s="15"/>
      <c r="DH894" s="15"/>
      <c r="DI894" s="15"/>
      <c r="DJ894" s="15"/>
      <c r="DK894" s="15"/>
      <c r="DL894" s="15"/>
      <c r="DM894" s="15"/>
      <c r="DN894" s="15"/>
      <c r="DO894" s="15"/>
      <c r="DP894" s="15"/>
      <c r="DQ894" s="15"/>
      <c r="DR894" s="15"/>
      <c r="DS894" s="15"/>
      <c r="DT894" s="15"/>
      <c r="DU894" s="15"/>
      <c r="DV894" s="15"/>
      <c r="DW894" s="15"/>
      <c r="DX894" s="15"/>
      <c r="DY894" s="15"/>
      <c r="DZ894" s="15"/>
      <c r="EA894" s="15"/>
      <c r="EB894" s="15"/>
      <c r="EC894" s="15"/>
      <c r="ED894" s="15"/>
      <c r="EE894" s="15"/>
      <c r="EF894" s="15"/>
      <c r="EG894" s="15"/>
      <c r="EH894" s="15"/>
      <c r="EI894" s="15"/>
      <c r="EJ894" s="15"/>
      <c r="EK894" s="15"/>
      <c r="EL894" s="15"/>
      <c r="EM894" s="15"/>
      <c r="EN894" s="15"/>
      <c r="EO894" s="15"/>
      <c r="EP894" s="15"/>
      <c r="EQ894" s="15"/>
      <c r="ER894" s="15"/>
      <c r="ES894" s="15"/>
      <c r="ET894" s="15"/>
      <c r="EU894" s="15"/>
      <c r="EV894" s="15"/>
      <c r="EW894" s="15"/>
      <c r="EX894" s="15"/>
    </row>
    <row r="895" customFormat="false" ht="15.75" hidden="false" customHeight="false" outlineLevel="0" collapsed="false">
      <c r="A895" s="76"/>
      <c r="B895" s="77"/>
      <c r="C895" s="77"/>
      <c r="D895" s="78"/>
      <c r="E895" s="72"/>
      <c r="F895" s="68"/>
      <c r="G895" s="15"/>
      <c r="H895" s="76" t="str">
        <f aca="false">IFERROR(__xludf.dummyfunction("""COMPUTED_VALUE"""),"")</f>
        <v/>
      </c>
      <c r="I895" s="50" t="str">
        <f aca="false">IFERROR(__xludf.dummyfunction("""COMPUTED_VALUE"""),"")</f>
        <v/>
      </c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  <c r="DM895" s="15"/>
      <c r="DN895" s="15"/>
      <c r="DO895" s="15"/>
      <c r="DP895" s="15"/>
      <c r="DQ895" s="15"/>
      <c r="DR895" s="15"/>
      <c r="DS895" s="15"/>
      <c r="DT895" s="15"/>
      <c r="DU895" s="15"/>
      <c r="DV895" s="15"/>
      <c r="DW895" s="15"/>
      <c r="DX895" s="15"/>
      <c r="DY895" s="15"/>
      <c r="DZ895" s="15"/>
      <c r="EA895" s="15"/>
      <c r="EB895" s="15"/>
      <c r="EC895" s="15"/>
      <c r="ED895" s="15"/>
      <c r="EE895" s="15"/>
      <c r="EF895" s="15"/>
      <c r="EG895" s="15"/>
      <c r="EH895" s="15"/>
      <c r="EI895" s="15"/>
      <c r="EJ895" s="15"/>
      <c r="EK895" s="15"/>
      <c r="EL895" s="15"/>
      <c r="EM895" s="15"/>
      <c r="EN895" s="15"/>
      <c r="EO895" s="15"/>
      <c r="EP895" s="15"/>
      <c r="EQ895" s="15"/>
      <c r="ER895" s="15"/>
      <c r="ES895" s="15"/>
      <c r="ET895" s="15"/>
      <c r="EU895" s="15"/>
      <c r="EV895" s="15"/>
      <c r="EW895" s="15"/>
      <c r="EX895" s="15"/>
    </row>
    <row r="896" customFormat="false" ht="15.75" hidden="false" customHeight="false" outlineLevel="0" collapsed="false">
      <c r="A896" s="76"/>
      <c r="B896" s="77"/>
      <c r="C896" s="77"/>
      <c r="D896" s="78"/>
      <c r="E896" s="72"/>
      <c r="F896" s="68"/>
      <c r="G896" s="15"/>
      <c r="H896" s="76" t="str">
        <f aca="false">IFERROR(__xludf.dummyfunction("""COMPUTED_VALUE"""),"")</f>
        <v/>
      </c>
      <c r="I896" s="50" t="str">
        <f aca="false">IFERROR(__xludf.dummyfunction("""COMPUTED_VALUE"""),"")</f>
        <v/>
      </c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  <c r="DM896" s="15"/>
      <c r="DN896" s="15"/>
      <c r="DO896" s="15"/>
      <c r="DP896" s="15"/>
      <c r="DQ896" s="15"/>
      <c r="DR896" s="15"/>
      <c r="DS896" s="15"/>
      <c r="DT896" s="15"/>
      <c r="DU896" s="15"/>
      <c r="DV896" s="15"/>
      <c r="DW896" s="15"/>
      <c r="DX896" s="15"/>
      <c r="DY896" s="15"/>
      <c r="DZ896" s="15"/>
      <c r="EA896" s="15"/>
      <c r="EB896" s="15"/>
      <c r="EC896" s="15"/>
      <c r="ED896" s="15"/>
      <c r="EE896" s="15"/>
      <c r="EF896" s="15"/>
      <c r="EG896" s="15"/>
      <c r="EH896" s="15"/>
      <c r="EI896" s="15"/>
      <c r="EJ896" s="15"/>
      <c r="EK896" s="15"/>
      <c r="EL896" s="15"/>
      <c r="EM896" s="15"/>
      <c r="EN896" s="15"/>
      <c r="EO896" s="15"/>
      <c r="EP896" s="15"/>
      <c r="EQ896" s="15"/>
      <c r="ER896" s="15"/>
      <c r="ES896" s="15"/>
      <c r="ET896" s="15"/>
      <c r="EU896" s="15"/>
      <c r="EV896" s="15"/>
      <c r="EW896" s="15"/>
      <c r="EX896" s="15"/>
    </row>
    <row r="897" customFormat="false" ht="15.75" hidden="false" customHeight="false" outlineLevel="0" collapsed="false">
      <c r="A897" s="76"/>
      <c r="B897" s="77"/>
      <c r="C897" s="77"/>
      <c r="D897" s="78"/>
      <c r="E897" s="72"/>
      <c r="F897" s="68"/>
      <c r="G897" s="15"/>
      <c r="H897" s="76" t="str">
        <f aca="false">IFERROR(__xludf.dummyfunction("""COMPUTED_VALUE"""),"")</f>
        <v/>
      </c>
      <c r="I897" s="50" t="str">
        <f aca="false">IFERROR(__xludf.dummyfunction("""COMPUTED_VALUE"""),"")</f>
        <v/>
      </c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  <c r="DM897" s="15"/>
      <c r="DN897" s="15"/>
      <c r="DO897" s="15"/>
      <c r="DP897" s="15"/>
      <c r="DQ897" s="15"/>
      <c r="DR897" s="15"/>
      <c r="DS897" s="15"/>
      <c r="DT897" s="15"/>
      <c r="DU897" s="15"/>
      <c r="DV897" s="15"/>
      <c r="DW897" s="15"/>
      <c r="DX897" s="15"/>
      <c r="DY897" s="15"/>
      <c r="DZ897" s="15"/>
      <c r="EA897" s="15"/>
      <c r="EB897" s="15"/>
      <c r="EC897" s="15"/>
      <c r="ED897" s="15"/>
      <c r="EE897" s="15"/>
      <c r="EF897" s="15"/>
      <c r="EG897" s="15"/>
      <c r="EH897" s="15"/>
      <c r="EI897" s="15"/>
      <c r="EJ897" s="15"/>
      <c r="EK897" s="15"/>
      <c r="EL897" s="15"/>
      <c r="EM897" s="15"/>
      <c r="EN897" s="15"/>
      <c r="EO897" s="15"/>
      <c r="EP897" s="15"/>
      <c r="EQ897" s="15"/>
      <c r="ER897" s="15"/>
      <c r="ES897" s="15"/>
      <c r="ET897" s="15"/>
      <c r="EU897" s="15"/>
      <c r="EV897" s="15"/>
      <c r="EW897" s="15"/>
      <c r="EX897" s="15"/>
    </row>
    <row r="898" customFormat="false" ht="15.75" hidden="false" customHeight="false" outlineLevel="0" collapsed="false">
      <c r="A898" s="76"/>
      <c r="B898" s="77"/>
      <c r="C898" s="77"/>
      <c r="D898" s="78"/>
      <c r="E898" s="72"/>
      <c r="F898" s="68"/>
      <c r="G898" s="15"/>
      <c r="H898" s="76" t="str">
        <f aca="false">IFERROR(__xludf.dummyfunction("""COMPUTED_VALUE"""),"")</f>
        <v/>
      </c>
      <c r="I898" s="50" t="str">
        <f aca="false">IFERROR(__xludf.dummyfunction("""COMPUTED_VALUE"""),"")</f>
        <v/>
      </c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  <c r="DM898" s="15"/>
      <c r="DN898" s="15"/>
      <c r="DO898" s="15"/>
      <c r="DP898" s="15"/>
      <c r="DQ898" s="15"/>
      <c r="DR898" s="15"/>
      <c r="DS898" s="15"/>
      <c r="DT898" s="15"/>
      <c r="DU898" s="15"/>
      <c r="DV898" s="15"/>
      <c r="DW898" s="15"/>
      <c r="DX898" s="15"/>
      <c r="DY898" s="15"/>
      <c r="DZ898" s="15"/>
      <c r="EA898" s="15"/>
      <c r="EB898" s="15"/>
      <c r="EC898" s="15"/>
      <c r="ED898" s="15"/>
      <c r="EE898" s="15"/>
      <c r="EF898" s="15"/>
      <c r="EG898" s="15"/>
      <c r="EH898" s="15"/>
      <c r="EI898" s="15"/>
      <c r="EJ898" s="15"/>
      <c r="EK898" s="15"/>
      <c r="EL898" s="15"/>
      <c r="EM898" s="15"/>
      <c r="EN898" s="15"/>
      <c r="EO898" s="15"/>
      <c r="EP898" s="15"/>
      <c r="EQ898" s="15"/>
      <c r="ER898" s="15"/>
      <c r="ES898" s="15"/>
      <c r="ET898" s="15"/>
      <c r="EU898" s="15"/>
      <c r="EV898" s="15"/>
      <c r="EW898" s="15"/>
      <c r="EX898" s="15"/>
    </row>
    <row r="899" customFormat="false" ht="15.75" hidden="false" customHeight="false" outlineLevel="0" collapsed="false">
      <c r="A899" s="76"/>
      <c r="B899" s="77"/>
      <c r="C899" s="77"/>
      <c r="D899" s="78"/>
      <c r="E899" s="72"/>
      <c r="F899" s="68"/>
      <c r="G899" s="15"/>
      <c r="H899" s="76" t="str">
        <f aca="false">IFERROR(__xludf.dummyfunction("""COMPUTED_VALUE"""),"")</f>
        <v/>
      </c>
      <c r="I899" s="50" t="str">
        <f aca="false">IFERROR(__xludf.dummyfunction("""COMPUTED_VALUE"""),"")</f>
        <v/>
      </c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  <c r="DM899" s="15"/>
      <c r="DN899" s="15"/>
      <c r="DO899" s="15"/>
      <c r="DP899" s="15"/>
      <c r="DQ899" s="15"/>
      <c r="DR899" s="15"/>
      <c r="DS899" s="15"/>
      <c r="DT899" s="15"/>
      <c r="DU899" s="15"/>
      <c r="DV899" s="15"/>
      <c r="DW899" s="15"/>
      <c r="DX899" s="15"/>
      <c r="DY899" s="15"/>
      <c r="DZ899" s="15"/>
      <c r="EA899" s="15"/>
      <c r="EB899" s="15"/>
      <c r="EC899" s="15"/>
      <c r="ED899" s="15"/>
      <c r="EE899" s="15"/>
      <c r="EF899" s="15"/>
      <c r="EG899" s="15"/>
      <c r="EH899" s="15"/>
      <c r="EI899" s="15"/>
      <c r="EJ899" s="15"/>
      <c r="EK899" s="15"/>
      <c r="EL899" s="15"/>
      <c r="EM899" s="15"/>
      <c r="EN899" s="15"/>
      <c r="EO899" s="15"/>
      <c r="EP899" s="15"/>
      <c r="EQ899" s="15"/>
      <c r="ER899" s="15"/>
      <c r="ES899" s="15"/>
      <c r="ET899" s="15"/>
      <c r="EU899" s="15"/>
      <c r="EV899" s="15"/>
      <c r="EW899" s="15"/>
      <c r="EX899" s="15"/>
    </row>
    <row r="900" customFormat="false" ht="15.75" hidden="false" customHeight="false" outlineLevel="0" collapsed="false">
      <c r="A900" s="76"/>
      <c r="B900" s="77"/>
      <c r="C900" s="77"/>
      <c r="D900" s="78"/>
      <c r="E900" s="72"/>
      <c r="F900" s="68"/>
      <c r="G900" s="15"/>
      <c r="H900" s="76" t="str">
        <f aca="false">IFERROR(__xludf.dummyfunction("""COMPUTED_VALUE"""),"")</f>
        <v/>
      </c>
      <c r="I900" s="50" t="str">
        <f aca="false">IFERROR(__xludf.dummyfunction("""COMPUTED_VALUE"""),"")</f>
        <v/>
      </c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  <c r="DM900" s="15"/>
      <c r="DN900" s="15"/>
      <c r="DO900" s="15"/>
      <c r="DP900" s="15"/>
      <c r="DQ900" s="15"/>
      <c r="DR900" s="15"/>
      <c r="DS900" s="15"/>
      <c r="DT900" s="15"/>
      <c r="DU900" s="15"/>
      <c r="DV900" s="15"/>
      <c r="DW900" s="15"/>
      <c r="DX900" s="15"/>
      <c r="DY900" s="15"/>
      <c r="DZ900" s="15"/>
      <c r="EA900" s="15"/>
      <c r="EB900" s="15"/>
      <c r="EC900" s="15"/>
      <c r="ED900" s="15"/>
      <c r="EE900" s="15"/>
      <c r="EF900" s="15"/>
      <c r="EG900" s="15"/>
      <c r="EH900" s="15"/>
      <c r="EI900" s="15"/>
      <c r="EJ900" s="15"/>
      <c r="EK900" s="15"/>
      <c r="EL900" s="15"/>
      <c r="EM900" s="15"/>
      <c r="EN900" s="15"/>
      <c r="EO900" s="15"/>
      <c r="EP900" s="15"/>
      <c r="EQ900" s="15"/>
      <c r="ER900" s="15"/>
      <c r="ES900" s="15"/>
      <c r="ET900" s="15"/>
      <c r="EU900" s="15"/>
      <c r="EV900" s="15"/>
      <c r="EW900" s="15"/>
      <c r="EX900" s="15"/>
    </row>
    <row r="901" customFormat="false" ht="15.75" hidden="false" customHeight="false" outlineLevel="0" collapsed="false">
      <c r="A901" s="76"/>
      <c r="B901" s="77"/>
      <c r="C901" s="77"/>
      <c r="D901" s="78"/>
      <c r="E901" s="72"/>
      <c r="F901" s="68"/>
      <c r="G901" s="15"/>
      <c r="H901" s="76" t="str">
        <f aca="false">IFERROR(__xludf.dummyfunction("""COMPUTED_VALUE"""),"")</f>
        <v/>
      </c>
      <c r="I901" s="50" t="str">
        <f aca="false">IFERROR(__xludf.dummyfunction("""COMPUTED_VALUE"""),"")</f>
        <v/>
      </c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  <c r="DY901" s="15"/>
      <c r="DZ901" s="15"/>
      <c r="EA901" s="15"/>
      <c r="EB901" s="15"/>
      <c r="EC901" s="15"/>
      <c r="ED901" s="15"/>
      <c r="EE901" s="15"/>
      <c r="EF901" s="15"/>
      <c r="EG901" s="15"/>
      <c r="EH901" s="15"/>
      <c r="EI901" s="15"/>
      <c r="EJ901" s="15"/>
      <c r="EK901" s="15"/>
      <c r="EL901" s="15"/>
      <c r="EM901" s="15"/>
      <c r="EN901" s="15"/>
      <c r="EO901" s="15"/>
      <c r="EP901" s="15"/>
      <c r="EQ901" s="15"/>
      <c r="ER901" s="15"/>
      <c r="ES901" s="15"/>
      <c r="ET901" s="15"/>
      <c r="EU901" s="15"/>
      <c r="EV901" s="15"/>
      <c r="EW901" s="15"/>
      <c r="EX901" s="15"/>
    </row>
    <row r="902" customFormat="false" ht="15.75" hidden="false" customHeight="false" outlineLevel="0" collapsed="false">
      <c r="A902" s="76"/>
      <c r="B902" s="77"/>
      <c r="C902" s="77"/>
      <c r="D902" s="78"/>
      <c r="E902" s="72"/>
      <c r="F902" s="68"/>
      <c r="G902" s="15"/>
      <c r="H902" s="76" t="str">
        <f aca="false">IFERROR(__xludf.dummyfunction("""COMPUTED_VALUE"""),"")</f>
        <v/>
      </c>
      <c r="I902" s="50" t="str">
        <f aca="false">IFERROR(__xludf.dummyfunction("""COMPUTED_VALUE"""),"")</f>
        <v/>
      </c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  <c r="DY902" s="15"/>
      <c r="DZ902" s="15"/>
      <c r="EA902" s="15"/>
      <c r="EB902" s="15"/>
      <c r="EC902" s="15"/>
      <c r="ED902" s="15"/>
      <c r="EE902" s="15"/>
      <c r="EF902" s="15"/>
      <c r="EG902" s="15"/>
      <c r="EH902" s="15"/>
      <c r="EI902" s="15"/>
      <c r="EJ902" s="15"/>
      <c r="EK902" s="15"/>
      <c r="EL902" s="15"/>
      <c r="EM902" s="15"/>
      <c r="EN902" s="15"/>
      <c r="EO902" s="15"/>
      <c r="EP902" s="15"/>
      <c r="EQ902" s="15"/>
      <c r="ER902" s="15"/>
      <c r="ES902" s="15"/>
      <c r="ET902" s="15"/>
      <c r="EU902" s="15"/>
      <c r="EV902" s="15"/>
      <c r="EW902" s="15"/>
      <c r="EX902" s="15"/>
    </row>
    <row r="903" customFormat="false" ht="15.75" hidden="false" customHeight="false" outlineLevel="0" collapsed="false">
      <c r="A903" s="76"/>
      <c r="B903" s="77"/>
      <c r="C903" s="77"/>
      <c r="D903" s="78"/>
      <c r="E903" s="72"/>
      <c r="F903" s="68"/>
      <c r="G903" s="15"/>
      <c r="H903" s="76" t="str">
        <f aca="false">IFERROR(__xludf.dummyfunction("""COMPUTED_VALUE"""),"")</f>
        <v/>
      </c>
      <c r="I903" s="50" t="str">
        <f aca="false">IFERROR(__xludf.dummyfunction("""COMPUTED_VALUE"""),"")</f>
        <v/>
      </c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  <c r="DM903" s="15"/>
      <c r="DN903" s="15"/>
      <c r="DO903" s="15"/>
      <c r="DP903" s="15"/>
      <c r="DQ903" s="15"/>
      <c r="DR903" s="15"/>
      <c r="DS903" s="15"/>
      <c r="DT903" s="15"/>
      <c r="DU903" s="15"/>
      <c r="DV903" s="15"/>
      <c r="DW903" s="15"/>
      <c r="DX903" s="15"/>
      <c r="DY903" s="15"/>
      <c r="DZ903" s="15"/>
      <c r="EA903" s="15"/>
      <c r="EB903" s="15"/>
      <c r="EC903" s="15"/>
      <c r="ED903" s="15"/>
      <c r="EE903" s="15"/>
      <c r="EF903" s="15"/>
      <c r="EG903" s="15"/>
      <c r="EH903" s="15"/>
      <c r="EI903" s="15"/>
      <c r="EJ903" s="15"/>
      <c r="EK903" s="15"/>
      <c r="EL903" s="15"/>
      <c r="EM903" s="15"/>
      <c r="EN903" s="15"/>
      <c r="EO903" s="15"/>
      <c r="EP903" s="15"/>
      <c r="EQ903" s="15"/>
      <c r="ER903" s="15"/>
      <c r="ES903" s="15"/>
      <c r="ET903" s="15"/>
      <c r="EU903" s="15"/>
      <c r="EV903" s="15"/>
      <c r="EW903" s="15"/>
      <c r="EX903" s="15"/>
    </row>
    <row r="904" customFormat="false" ht="15.75" hidden="false" customHeight="false" outlineLevel="0" collapsed="false">
      <c r="A904" s="76"/>
      <c r="B904" s="77"/>
      <c r="C904" s="77"/>
      <c r="D904" s="78"/>
      <c r="E904" s="72"/>
      <c r="F904" s="68"/>
      <c r="G904" s="15"/>
      <c r="H904" s="76" t="str">
        <f aca="false">IFERROR(__xludf.dummyfunction("""COMPUTED_VALUE"""),"")</f>
        <v/>
      </c>
      <c r="I904" s="50" t="str">
        <f aca="false">IFERROR(__xludf.dummyfunction("""COMPUTED_VALUE"""),"")</f>
        <v/>
      </c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  <c r="DM904" s="15"/>
      <c r="DN904" s="15"/>
      <c r="DO904" s="15"/>
      <c r="DP904" s="15"/>
      <c r="DQ904" s="15"/>
      <c r="DR904" s="15"/>
      <c r="DS904" s="15"/>
      <c r="DT904" s="15"/>
      <c r="DU904" s="15"/>
      <c r="DV904" s="15"/>
      <c r="DW904" s="15"/>
      <c r="DX904" s="15"/>
      <c r="DY904" s="15"/>
      <c r="DZ904" s="15"/>
      <c r="EA904" s="15"/>
      <c r="EB904" s="15"/>
      <c r="EC904" s="15"/>
      <c r="ED904" s="15"/>
      <c r="EE904" s="15"/>
      <c r="EF904" s="15"/>
      <c r="EG904" s="15"/>
      <c r="EH904" s="15"/>
      <c r="EI904" s="15"/>
      <c r="EJ904" s="15"/>
      <c r="EK904" s="15"/>
      <c r="EL904" s="15"/>
      <c r="EM904" s="15"/>
      <c r="EN904" s="15"/>
      <c r="EO904" s="15"/>
      <c r="EP904" s="15"/>
      <c r="EQ904" s="15"/>
      <c r="ER904" s="15"/>
      <c r="ES904" s="15"/>
      <c r="ET904" s="15"/>
      <c r="EU904" s="15"/>
      <c r="EV904" s="15"/>
      <c r="EW904" s="15"/>
      <c r="EX904" s="15"/>
    </row>
    <row r="905" customFormat="false" ht="15.75" hidden="false" customHeight="false" outlineLevel="0" collapsed="false">
      <c r="A905" s="76"/>
      <c r="B905" s="77"/>
      <c r="C905" s="77"/>
      <c r="D905" s="78"/>
      <c r="E905" s="72"/>
      <c r="F905" s="68"/>
      <c r="G905" s="15"/>
      <c r="H905" s="76" t="str">
        <f aca="false">IFERROR(__xludf.dummyfunction("""COMPUTED_VALUE"""),"")</f>
        <v/>
      </c>
      <c r="I905" s="50" t="str">
        <f aca="false">IFERROR(__xludf.dummyfunction("""COMPUTED_VALUE"""),"")</f>
        <v/>
      </c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  <c r="DM905" s="15"/>
      <c r="DN905" s="15"/>
      <c r="DO905" s="15"/>
      <c r="DP905" s="15"/>
      <c r="DQ905" s="15"/>
      <c r="DR905" s="15"/>
      <c r="DS905" s="15"/>
      <c r="DT905" s="15"/>
      <c r="DU905" s="15"/>
      <c r="DV905" s="15"/>
      <c r="DW905" s="15"/>
      <c r="DX905" s="15"/>
      <c r="DY905" s="15"/>
      <c r="DZ905" s="15"/>
      <c r="EA905" s="15"/>
      <c r="EB905" s="15"/>
      <c r="EC905" s="15"/>
      <c r="ED905" s="15"/>
      <c r="EE905" s="15"/>
      <c r="EF905" s="15"/>
      <c r="EG905" s="15"/>
      <c r="EH905" s="15"/>
      <c r="EI905" s="15"/>
      <c r="EJ905" s="15"/>
      <c r="EK905" s="15"/>
      <c r="EL905" s="15"/>
      <c r="EM905" s="15"/>
      <c r="EN905" s="15"/>
      <c r="EO905" s="15"/>
      <c r="EP905" s="15"/>
      <c r="EQ905" s="15"/>
      <c r="ER905" s="15"/>
      <c r="ES905" s="15"/>
      <c r="ET905" s="15"/>
      <c r="EU905" s="15"/>
      <c r="EV905" s="15"/>
      <c r="EW905" s="15"/>
      <c r="EX905" s="15"/>
    </row>
    <row r="906" customFormat="false" ht="15.75" hidden="false" customHeight="false" outlineLevel="0" collapsed="false">
      <c r="A906" s="76"/>
      <c r="B906" s="77"/>
      <c r="C906" s="77"/>
      <c r="D906" s="78"/>
      <c r="E906" s="72"/>
      <c r="F906" s="68"/>
      <c r="G906" s="15"/>
      <c r="H906" s="76" t="str">
        <f aca="false">IFERROR(__xludf.dummyfunction("""COMPUTED_VALUE"""),"")</f>
        <v/>
      </c>
      <c r="I906" s="50" t="str">
        <f aca="false">IFERROR(__xludf.dummyfunction("""COMPUTED_VALUE"""),"")</f>
        <v/>
      </c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  <c r="DM906" s="15"/>
      <c r="DN906" s="15"/>
      <c r="DO906" s="15"/>
      <c r="DP906" s="15"/>
      <c r="DQ906" s="15"/>
      <c r="DR906" s="15"/>
      <c r="DS906" s="15"/>
      <c r="DT906" s="15"/>
      <c r="DU906" s="15"/>
      <c r="DV906" s="15"/>
      <c r="DW906" s="15"/>
      <c r="DX906" s="15"/>
      <c r="DY906" s="15"/>
      <c r="DZ906" s="15"/>
      <c r="EA906" s="15"/>
      <c r="EB906" s="15"/>
      <c r="EC906" s="15"/>
      <c r="ED906" s="15"/>
      <c r="EE906" s="15"/>
      <c r="EF906" s="15"/>
      <c r="EG906" s="15"/>
      <c r="EH906" s="15"/>
      <c r="EI906" s="15"/>
      <c r="EJ906" s="15"/>
      <c r="EK906" s="15"/>
      <c r="EL906" s="15"/>
      <c r="EM906" s="15"/>
      <c r="EN906" s="15"/>
      <c r="EO906" s="15"/>
      <c r="EP906" s="15"/>
      <c r="EQ906" s="15"/>
      <c r="ER906" s="15"/>
      <c r="ES906" s="15"/>
      <c r="ET906" s="15"/>
      <c r="EU906" s="15"/>
      <c r="EV906" s="15"/>
      <c r="EW906" s="15"/>
      <c r="EX906" s="15"/>
    </row>
    <row r="907" customFormat="false" ht="15.75" hidden="false" customHeight="false" outlineLevel="0" collapsed="false">
      <c r="A907" s="76"/>
      <c r="B907" s="77"/>
      <c r="C907" s="77"/>
      <c r="D907" s="78"/>
      <c r="E907" s="72"/>
      <c r="F907" s="68"/>
      <c r="G907" s="15"/>
      <c r="H907" s="76" t="str">
        <f aca="false">IFERROR(__xludf.dummyfunction("""COMPUTED_VALUE"""),"")</f>
        <v/>
      </c>
      <c r="I907" s="50" t="str">
        <f aca="false">IFERROR(__xludf.dummyfunction("""COMPUTED_VALUE"""),"")</f>
        <v/>
      </c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  <c r="DM907" s="15"/>
      <c r="DN907" s="15"/>
      <c r="DO907" s="15"/>
      <c r="DP907" s="15"/>
      <c r="DQ907" s="15"/>
      <c r="DR907" s="15"/>
      <c r="DS907" s="15"/>
      <c r="DT907" s="15"/>
      <c r="DU907" s="15"/>
      <c r="DV907" s="15"/>
      <c r="DW907" s="15"/>
      <c r="DX907" s="15"/>
      <c r="DY907" s="15"/>
      <c r="DZ907" s="15"/>
      <c r="EA907" s="15"/>
      <c r="EB907" s="15"/>
      <c r="EC907" s="15"/>
      <c r="ED907" s="15"/>
      <c r="EE907" s="15"/>
      <c r="EF907" s="15"/>
      <c r="EG907" s="15"/>
      <c r="EH907" s="15"/>
      <c r="EI907" s="15"/>
      <c r="EJ907" s="15"/>
      <c r="EK907" s="15"/>
      <c r="EL907" s="15"/>
      <c r="EM907" s="15"/>
      <c r="EN907" s="15"/>
      <c r="EO907" s="15"/>
      <c r="EP907" s="15"/>
      <c r="EQ907" s="15"/>
      <c r="ER907" s="15"/>
      <c r="ES907" s="15"/>
      <c r="ET907" s="15"/>
      <c r="EU907" s="15"/>
      <c r="EV907" s="15"/>
      <c r="EW907" s="15"/>
      <c r="EX907" s="15"/>
    </row>
    <row r="908" customFormat="false" ht="15.75" hidden="false" customHeight="false" outlineLevel="0" collapsed="false">
      <c r="A908" s="76"/>
      <c r="B908" s="77"/>
      <c r="C908" s="77"/>
      <c r="D908" s="78"/>
      <c r="E908" s="72"/>
      <c r="F908" s="68"/>
      <c r="G908" s="15"/>
      <c r="H908" s="76" t="str">
        <f aca="false">IFERROR(__xludf.dummyfunction("""COMPUTED_VALUE"""),"")</f>
        <v/>
      </c>
      <c r="I908" s="50" t="str">
        <f aca="false">IFERROR(__xludf.dummyfunction("""COMPUTED_VALUE"""),"")</f>
        <v/>
      </c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  <c r="DN908" s="15"/>
      <c r="DO908" s="15"/>
      <c r="DP908" s="15"/>
      <c r="DQ908" s="15"/>
      <c r="DR908" s="15"/>
      <c r="DS908" s="15"/>
      <c r="DT908" s="15"/>
      <c r="DU908" s="15"/>
      <c r="DV908" s="15"/>
      <c r="DW908" s="15"/>
      <c r="DX908" s="15"/>
      <c r="DY908" s="15"/>
      <c r="DZ908" s="15"/>
      <c r="EA908" s="15"/>
      <c r="EB908" s="15"/>
      <c r="EC908" s="15"/>
      <c r="ED908" s="15"/>
      <c r="EE908" s="15"/>
      <c r="EF908" s="15"/>
      <c r="EG908" s="15"/>
      <c r="EH908" s="15"/>
      <c r="EI908" s="15"/>
      <c r="EJ908" s="15"/>
      <c r="EK908" s="15"/>
      <c r="EL908" s="15"/>
      <c r="EM908" s="15"/>
      <c r="EN908" s="15"/>
      <c r="EO908" s="15"/>
      <c r="EP908" s="15"/>
      <c r="EQ908" s="15"/>
      <c r="ER908" s="15"/>
      <c r="ES908" s="15"/>
      <c r="ET908" s="15"/>
      <c r="EU908" s="15"/>
      <c r="EV908" s="15"/>
      <c r="EW908" s="15"/>
      <c r="EX908" s="15"/>
    </row>
    <row r="909" customFormat="false" ht="15.75" hidden="false" customHeight="false" outlineLevel="0" collapsed="false">
      <c r="A909" s="76"/>
      <c r="B909" s="77"/>
      <c r="C909" s="77"/>
      <c r="D909" s="78"/>
      <c r="E909" s="72"/>
      <c r="F909" s="68"/>
      <c r="G909" s="15"/>
      <c r="H909" s="76" t="str">
        <f aca="false">IFERROR(__xludf.dummyfunction("""COMPUTED_VALUE"""),"")</f>
        <v/>
      </c>
      <c r="I909" s="50" t="str">
        <f aca="false">IFERROR(__xludf.dummyfunction("""COMPUTED_VALUE"""),"")</f>
        <v/>
      </c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  <c r="DC909" s="15"/>
      <c r="DD909" s="15"/>
      <c r="DE909" s="15"/>
      <c r="DF909" s="15"/>
      <c r="DG909" s="15"/>
      <c r="DH909" s="15"/>
      <c r="DI909" s="15"/>
      <c r="DJ909" s="15"/>
      <c r="DK909" s="15"/>
      <c r="DL909" s="15"/>
      <c r="DM909" s="15"/>
      <c r="DN909" s="15"/>
      <c r="DO909" s="15"/>
      <c r="DP909" s="15"/>
      <c r="DQ909" s="15"/>
      <c r="DR909" s="15"/>
      <c r="DS909" s="15"/>
      <c r="DT909" s="15"/>
      <c r="DU909" s="15"/>
      <c r="DV909" s="15"/>
      <c r="DW909" s="15"/>
      <c r="DX909" s="15"/>
      <c r="DY909" s="15"/>
      <c r="DZ909" s="15"/>
      <c r="EA909" s="15"/>
      <c r="EB909" s="15"/>
      <c r="EC909" s="15"/>
      <c r="ED909" s="15"/>
      <c r="EE909" s="15"/>
      <c r="EF909" s="15"/>
      <c r="EG909" s="15"/>
      <c r="EH909" s="15"/>
      <c r="EI909" s="15"/>
      <c r="EJ909" s="15"/>
      <c r="EK909" s="15"/>
      <c r="EL909" s="15"/>
      <c r="EM909" s="15"/>
      <c r="EN909" s="15"/>
      <c r="EO909" s="15"/>
      <c r="EP909" s="15"/>
      <c r="EQ909" s="15"/>
      <c r="ER909" s="15"/>
      <c r="ES909" s="15"/>
      <c r="ET909" s="15"/>
      <c r="EU909" s="15"/>
      <c r="EV909" s="15"/>
      <c r="EW909" s="15"/>
      <c r="EX909" s="15"/>
    </row>
    <row r="910" customFormat="false" ht="15.75" hidden="false" customHeight="false" outlineLevel="0" collapsed="false">
      <c r="A910" s="76"/>
      <c r="B910" s="77"/>
      <c r="C910" s="77"/>
      <c r="D910" s="78"/>
      <c r="E910" s="72"/>
      <c r="F910" s="68"/>
      <c r="G910" s="15"/>
      <c r="H910" s="76" t="str">
        <f aca="false">IFERROR(__xludf.dummyfunction("""COMPUTED_VALUE"""),"")</f>
        <v/>
      </c>
      <c r="I910" s="50" t="str">
        <f aca="false">IFERROR(__xludf.dummyfunction("""COMPUTED_VALUE"""),"")</f>
        <v/>
      </c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5"/>
      <c r="DO910" s="15"/>
      <c r="DP910" s="15"/>
      <c r="DQ910" s="15"/>
      <c r="DR910" s="15"/>
      <c r="DS910" s="15"/>
      <c r="DT910" s="15"/>
      <c r="DU910" s="15"/>
      <c r="DV910" s="15"/>
      <c r="DW910" s="15"/>
      <c r="DX910" s="15"/>
      <c r="DY910" s="15"/>
      <c r="DZ910" s="15"/>
      <c r="EA910" s="15"/>
      <c r="EB910" s="15"/>
      <c r="EC910" s="15"/>
      <c r="ED910" s="15"/>
      <c r="EE910" s="15"/>
      <c r="EF910" s="15"/>
      <c r="EG910" s="15"/>
      <c r="EH910" s="15"/>
      <c r="EI910" s="15"/>
      <c r="EJ910" s="15"/>
      <c r="EK910" s="15"/>
      <c r="EL910" s="15"/>
      <c r="EM910" s="15"/>
      <c r="EN910" s="15"/>
      <c r="EO910" s="15"/>
      <c r="EP910" s="15"/>
      <c r="EQ910" s="15"/>
      <c r="ER910" s="15"/>
      <c r="ES910" s="15"/>
      <c r="ET910" s="15"/>
      <c r="EU910" s="15"/>
      <c r="EV910" s="15"/>
      <c r="EW910" s="15"/>
      <c r="EX910" s="15"/>
    </row>
    <row r="911" customFormat="false" ht="15.75" hidden="false" customHeight="false" outlineLevel="0" collapsed="false">
      <c r="A911" s="76"/>
      <c r="B911" s="77"/>
      <c r="C911" s="77"/>
      <c r="D911" s="78"/>
      <c r="E911" s="72"/>
      <c r="F911" s="68"/>
      <c r="G911" s="15"/>
      <c r="H911" s="76" t="str">
        <f aca="false">IFERROR(__xludf.dummyfunction("""COMPUTED_VALUE"""),"")</f>
        <v/>
      </c>
      <c r="I911" s="50" t="str">
        <f aca="false">IFERROR(__xludf.dummyfunction("""COMPUTED_VALUE"""),"")</f>
        <v/>
      </c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5"/>
      <c r="DO911" s="15"/>
      <c r="DP911" s="15"/>
      <c r="DQ911" s="15"/>
      <c r="DR911" s="15"/>
      <c r="DS911" s="15"/>
      <c r="DT911" s="15"/>
      <c r="DU911" s="15"/>
      <c r="DV911" s="15"/>
      <c r="DW911" s="15"/>
      <c r="DX911" s="15"/>
      <c r="DY911" s="15"/>
      <c r="DZ911" s="15"/>
      <c r="EA911" s="15"/>
      <c r="EB911" s="15"/>
      <c r="EC911" s="15"/>
      <c r="ED911" s="15"/>
      <c r="EE911" s="15"/>
      <c r="EF911" s="15"/>
      <c r="EG911" s="15"/>
      <c r="EH911" s="15"/>
      <c r="EI911" s="15"/>
      <c r="EJ911" s="15"/>
      <c r="EK911" s="15"/>
      <c r="EL911" s="15"/>
      <c r="EM911" s="15"/>
      <c r="EN911" s="15"/>
      <c r="EO911" s="15"/>
      <c r="EP911" s="15"/>
      <c r="EQ911" s="15"/>
      <c r="ER911" s="15"/>
      <c r="ES911" s="15"/>
      <c r="ET911" s="15"/>
      <c r="EU911" s="15"/>
      <c r="EV911" s="15"/>
      <c r="EW911" s="15"/>
      <c r="EX911" s="15"/>
    </row>
    <row r="912" customFormat="false" ht="15.75" hidden="false" customHeight="false" outlineLevel="0" collapsed="false">
      <c r="A912" s="76"/>
      <c r="B912" s="77"/>
      <c r="C912" s="77"/>
      <c r="D912" s="78"/>
      <c r="E912" s="72"/>
      <c r="F912" s="68"/>
      <c r="G912" s="15"/>
      <c r="H912" s="76" t="str">
        <f aca="false">IFERROR(__xludf.dummyfunction("""COMPUTED_VALUE"""),"")</f>
        <v/>
      </c>
      <c r="I912" s="50" t="str">
        <f aca="false">IFERROR(__xludf.dummyfunction("""COMPUTED_VALUE"""),"")</f>
        <v/>
      </c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  <c r="DC912" s="15"/>
      <c r="DD912" s="15"/>
      <c r="DE912" s="15"/>
      <c r="DF912" s="15"/>
      <c r="DG912" s="15"/>
      <c r="DH912" s="15"/>
      <c r="DI912" s="15"/>
      <c r="DJ912" s="15"/>
      <c r="DK912" s="15"/>
      <c r="DL912" s="15"/>
      <c r="DM912" s="15"/>
      <c r="DN912" s="15"/>
      <c r="DO912" s="15"/>
      <c r="DP912" s="15"/>
      <c r="DQ912" s="15"/>
      <c r="DR912" s="15"/>
      <c r="DS912" s="15"/>
      <c r="DT912" s="15"/>
      <c r="DU912" s="15"/>
      <c r="DV912" s="15"/>
      <c r="DW912" s="15"/>
      <c r="DX912" s="15"/>
      <c r="DY912" s="15"/>
      <c r="DZ912" s="15"/>
      <c r="EA912" s="15"/>
      <c r="EB912" s="15"/>
      <c r="EC912" s="15"/>
      <c r="ED912" s="15"/>
      <c r="EE912" s="15"/>
      <c r="EF912" s="15"/>
      <c r="EG912" s="15"/>
      <c r="EH912" s="15"/>
      <c r="EI912" s="15"/>
      <c r="EJ912" s="15"/>
      <c r="EK912" s="15"/>
      <c r="EL912" s="15"/>
      <c r="EM912" s="15"/>
      <c r="EN912" s="15"/>
      <c r="EO912" s="15"/>
      <c r="EP912" s="15"/>
      <c r="EQ912" s="15"/>
      <c r="ER912" s="15"/>
      <c r="ES912" s="15"/>
      <c r="ET912" s="15"/>
      <c r="EU912" s="15"/>
      <c r="EV912" s="15"/>
      <c r="EW912" s="15"/>
      <c r="EX912" s="15"/>
    </row>
    <row r="913" customFormat="false" ht="15.75" hidden="false" customHeight="false" outlineLevel="0" collapsed="false">
      <c r="A913" s="76"/>
      <c r="B913" s="77"/>
      <c r="C913" s="77"/>
      <c r="D913" s="78"/>
      <c r="E913" s="72"/>
      <c r="F913" s="68"/>
      <c r="G913" s="15"/>
      <c r="H913" s="76" t="str">
        <f aca="false">IFERROR(__xludf.dummyfunction("""COMPUTED_VALUE"""),"")</f>
        <v/>
      </c>
      <c r="I913" s="50" t="str">
        <f aca="false">IFERROR(__xludf.dummyfunction("""COMPUTED_VALUE"""),"")</f>
        <v/>
      </c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5"/>
      <c r="DO913" s="15"/>
      <c r="DP913" s="15"/>
      <c r="DQ913" s="15"/>
      <c r="DR913" s="15"/>
      <c r="DS913" s="15"/>
      <c r="DT913" s="15"/>
      <c r="DU913" s="15"/>
      <c r="DV913" s="15"/>
      <c r="DW913" s="15"/>
      <c r="DX913" s="15"/>
      <c r="DY913" s="15"/>
      <c r="DZ913" s="15"/>
      <c r="EA913" s="15"/>
      <c r="EB913" s="15"/>
      <c r="EC913" s="15"/>
      <c r="ED913" s="15"/>
      <c r="EE913" s="15"/>
      <c r="EF913" s="15"/>
      <c r="EG913" s="15"/>
      <c r="EH913" s="15"/>
      <c r="EI913" s="15"/>
      <c r="EJ913" s="15"/>
      <c r="EK913" s="15"/>
      <c r="EL913" s="15"/>
      <c r="EM913" s="15"/>
      <c r="EN913" s="15"/>
      <c r="EO913" s="15"/>
      <c r="EP913" s="15"/>
      <c r="EQ913" s="15"/>
      <c r="ER913" s="15"/>
      <c r="ES913" s="15"/>
      <c r="ET913" s="15"/>
      <c r="EU913" s="15"/>
      <c r="EV913" s="15"/>
      <c r="EW913" s="15"/>
      <c r="EX913" s="15"/>
    </row>
    <row r="914" customFormat="false" ht="15.75" hidden="false" customHeight="false" outlineLevel="0" collapsed="false">
      <c r="A914" s="76"/>
      <c r="B914" s="77"/>
      <c r="C914" s="77"/>
      <c r="D914" s="78"/>
      <c r="E914" s="72"/>
      <c r="F914" s="68"/>
      <c r="G914" s="15"/>
      <c r="H914" s="76" t="str">
        <f aca="false">IFERROR(__xludf.dummyfunction("""COMPUTED_VALUE"""),"")</f>
        <v/>
      </c>
      <c r="I914" s="50" t="str">
        <f aca="false">IFERROR(__xludf.dummyfunction("""COMPUTED_VALUE"""),"")</f>
        <v/>
      </c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5"/>
      <c r="DO914" s="15"/>
      <c r="DP914" s="15"/>
      <c r="DQ914" s="15"/>
      <c r="DR914" s="15"/>
      <c r="DS914" s="15"/>
      <c r="DT914" s="15"/>
      <c r="DU914" s="15"/>
      <c r="DV914" s="15"/>
      <c r="DW914" s="15"/>
      <c r="DX914" s="15"/>
      <c r="DY914" s="15"/>
      <c r="DZ914" s="15"/>
      <c r="EA914" s="15"/>
      <c r="EB914" s="15"/>
      <c r="EC914" s="15"/>
      <c r="ED914" s="15"/>
      <c r="EE914" s="15"/>
      <c r="EF914" s="15"/>
      <c r="EG914" s="15"/>
      <c r="EH914" s="15"/>
      <c r="EI914" s="15"/>
      <c r="EJ914" s="15"/>
      <c r="EK914" s="15"/>
      <c r="EL914" s="15"/>
      <c r="EM914" s="15"/>
      <c r="EN914" s="15"/>
      <c r="EO914" s="15"/>
      <c r="EP914" s="15"/>
      <c r="EQ914" s="15"/>
      <c r="ER914" s="15"/>
      <c r="ES914" s="15"/>
      <c r="ET914" s="15"/>
      <c r="EU914" s="15"/>
      <c r="EV914" s="15"/>
      <c r="EW914" s="15"/>
      <c r="EX914" s="15"/>
    </row>
    <row r="915" customFormat="false" ht="15.75" hidden="false" customHeight="false" outlineLevel="0" collapsed="false">
      <c r="A915" s="76"/>
      <c r="B915" s="77"/>
      <c r="C915" s="77"/>
      <c r="D915" s="78"/>
      <c r="E915" s="72"/>
      <c r="F915" s="68"/>
      <c r="G915" s="15"/>
      <c r="H915" s="76" t="str">
        <f aca="false">IFERROR(__xludf.dummyfunction("""COMPUTED_VALUE"""),"")</f>
        <v/>
      </c>
      <c r="I915" s="50" t="str">
        <f aca="false">IFERROR(__xludf.dummyfunction("""COMPUTED_VALUE"""),"")</f>
        <v/>
      </c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5"/>
      <c r="DO915" s="15"/>
      <c r="DP915" s="15"/>
      <c r="DQ915" s="15"/>
      <c r="DR915" s="15"/>
      <c r="DS915" s="15"/>
      <c r="DT915" s="15"/>
      <c r="DU915" s="15"/>
      <c r="DV915" s="15"/>
      <c r="DW915" s="15"/>
      <c r="DX915" s="15"/>
      <c r="DY915" s="15"/>
      <c r="DZ915" s="15"/>
      <c r="EA915" s="15"/>
      <c r="EB915" s="15"/>
      <c r="EC915" s="15"/>
      <c r="ED915" s="15"/>
      <c r="EE915" s="15"/>
      <c r="EF915" s="15"/>
      <c r="EG915" s="15"/>
      <c r="EH915" s="15"/>
      <c r="EI915" s="15"/>
      <c r="EJ915" s="15"/>
      <c r="EK915" s="15"/>
      <c r="EL915" s="15"/>
      <c r="EM915" s="15"/>
      <c r="EN915" s="15"/>
      <c r="EO915" s="15"/>
      <c r="EP915" s="15"/>
      <c r="EQ915" s="15"/>
      <c r="ER915" s="15"/>
      <c r="ES915" s="15"/>
      <c r="ET915" s="15"/>
      <c r="EU915" s="15"/>
      <c r="EV915" s="15"/>
      <c r="EW915" s="15"/>
      <c r="EX915" s="15"/>
    </row>
    <row r="916" customFormat="false" ht="15.75" hidden="false" customHeight="false" outlineLevel="0" collapsed="false">
      <c r="A916" s="76"/>
      <c r="B916" s="77"/>
      <c r="C916" s="77"/>
      <c r="D916" s="78"/>
      <c r="E916" s="72"/>
      <c r="F916" s="68"/>
      <c r="G916" s="15"/>
      <c r="H916" s="76" t="str">
        <f aca="false">IFERROR(__xludf.dummyfunction("""COMPUTED_VALUE"""),"")</f>
        <v/>
      </c>
      <c r="I916" s="50" t="str">
        <f aca="false">IFERROR(__xludf.dummyfunction("""COMPUTED_VALUE"""),"")</f>
        <v/>
      </c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  <c r="DC916" s="15"/>
      <c r="DD916" s="15"/>
      <c r="DE916" s="15"/>
      <c r="DF916" s="15"/>
      <c r="DG916" s="15"/>
      <c r="DH916" s="15"/>
      <c r="DI916" s="15"/>
      <c r="DJ916" s="15"/>
      <c r="DK916" s="15"/>
      <c r="DL916" s="15"/>
      <c r="DM916" s="15"/>
      <c r="DN916" s="15"/>
      <c r="DO916" s="15"/>
      <c r="DP916" s="15"/>
      <c r="DQ916" s="15"/>
      <c r="DR916" s="15"/>
      <c r="DS916" s="15"/>
      <c r="DT916" s="15"/>
      <c r="DU916" s="15"/>
      <c r="DV916" s="15"/>
      <c r="DW916" s="15"/>
      <c r="DX916" s="15"/>
      <c r="DY916" s="15"/>
      <c r="DZ916" s="15"/>
      <c r="EA916" s="15"/>
      <c r="EB916" s="15"/>
      <c r="EC916" s="15"/>
      <c r="ED916" s="15"/>
      <c r="EE916" s="15"/>
      <c r="EF916" s="15"/>
      <c r="EG916" s="15"/>
      <c r="EH916" s="15"/>
      <c r="EI916" s="15"/>
      <c r="EJ916" s="15"/>
      <c r="EK916" s="15"/>
      <c r="EL916" s="15"/>
      <c r="EM916" s="15"/>
      <c r="EN916" s="15"/>
      <c r="EO916" s="15"/>
      <c r="EP916" s="15"/>
      <c r="EQ916" s="15"/>
      <c r="ER916" s="15"/>
      <c r="ES916" s="15"/>
      <c r="ET916" s="15"/>
      <c r="EU916" s="15"/>
      <c r="EV916" s="15"/>
      <c r="EW916" s="15"/>
      <c r="EX916" s="15"/>
    </row>
    <row r="917" customFormat="false" ht="15.75" hidden="false" customHeight="false" outlineLevel="0" collapsed="false">
      <c r="A917" s="76"/>
      <c r="B917" s="77"/>
      <c r="C917" s="77"/>
      <c r="D917" s="78"/>
      <c r="E917" s="72"/>
      <c r="F917" s="68"/>
      <c r="G917" s="15"/>
      <c r="H917" s="76" t="str">
        <f aca="false">IFERROR(__xludf.dummyfunction("""COMPUTED_VALUE"""),"")</f>
        <v/>
      </c>
      <c r="I917" s="50" t="str">
        <f aca="false">IFERROR(__xludf.dummyfunction("""COMPUTED_VALUE"""),"")</f>
        <v/>
      </c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  <c r="DC917" s="15"/>
      <c r="DD917" s="15"/>
      <c r="DE917" s="15"/>
      <c r="DF917" s="15"/>
      <c r="DG917" s="15"/>
      <c r="DH917" s="15"/>
      <c r="DI917" s="15"/>
      <c r="DJ917" s="15"/>
      <c r="DK917" s="15"/>
      <c r="DL917" s="15"/>
      <c r="DM917" s="15"/>
      <c r="DN917" s="15"/>
      <c r="DO917" s="15"/>
      <c r="DP917" s="15"/>
      <c r="DQ917" s="15"/>
      <c r="DR917" s="15"/>
      <c r="DS917" s="15"/>
      <c r="DT917" s="15"/>
      <c r="DU917" s="15"/>
      <c r="DV917" s="15"/>
      <c r="DW917" s="15"/>
      <c r="DX917" s="15"/>
      <c r="DY917" s="15"/>
      <c r="DZ917" s="15"/>
      <c r="EA917" s="15"/>
      <c r="EB917" s="15"/>
      <c r="EC917" s="15"/>
      <c r="ED917" s="15"/>
      <c r="EE917" s="15"/>
      <c r="EF917" s="15"/>
      <c r="EG917" s="15"/>
      <c r="EH917" s="15"/>
      <c r="EI917" s="15"/>
      <c r="EJ917" s="15"/>
      <c r="EK917" s="15"/>
      <c r="EL917" s="15"/>
      <c r="EM917" s="15"/>
      <c r="EN917" s="15"/>
      <c r="EO917" s="15"/>
      <c r="EP917" s="15"/>
      <c r="EQ917" s="15"/>
      <c r="ER917" s="15"/>
      <c r="ES917" s="15"/>
      <c r="ET917" s="15"/>
      <c r="EU917" s="15"/>
      <c r="EV917" s="15"/>
      <c r="EW917" s="15"/>
      <c r="EX917" s="15"/>
    </row>
    <row r="918" customFormat="false" ht="15.75" hidden="false" customHeight="false" outlineLevel="0" collapsed="false">
      <c r="A918" s="76"/>
      <c r="B918" s="77"/>
      <c r="C918" s="77"/>
      <c r="D918" s="78"/>
      <c r="E918" s="72"/>
      <c r="F918" s="68"/>
      <c r="G918" s="15"/>
      <c r="H918" s="76" t="str">
        <f aca="false">IFERROR(__xludf.dummyfunction("""COMPUTED_VALUE"""),"")</f>
        <v/>
      </c>
      <c r="I918" s="50" t="str">
        <f aca="false">IFERROR(__xludf.dummyfunction("""COMPUTED_VALUE"""),"")</f>
        <v/>
      </c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  <c r="DC918" s="15"/>
      <c r="DD918" s="15"/>
      <c r="DE918" s="15"/>
      <c r="DF918" s="15"/>
      <c r="DG918" s="15"/>
      <c r="DH918" s="15"/>
      <c r="DI918" s="15"/>
      <c r="DJ918" s="15"/>
      <c r="DK918" s="15"/>
      <c r="DL918" s="15"/>
      <c r="DM918" s="15"/>
      <c r="DN918" s="15"/>
      <c r="DO918" s="15"/>
      <c r="DP918" s="15"/>
      <c r="DQ918" s="15"/>
      <c r="DR918" s="15"/>
      <c r="DS918" s="15"/>
      <c r="DT918" s="15"/>
      <c r="DU918" s="15"/>
      <c r="DV918" s="15"/>
      <c r="DW918" s="15"/>
      <c r="DX918" s="15"/>
      <c r="DY918" s="15"/>
      <c r="DZ918" s="15"/>
      <c r="EA918" s="15"/>
      <c r="EB918" s="15"/>
      <c r="EC918" s="15"/>
      <c r="ED918" s="15"/>
      <c r="EE918" s="15"/>
      <c r="EF918" s="15"/>
      <c r="EG918" s="15"/>
      <c r="EH918" s="15"/>
      <c r="EI918" s="15"/>
      <c r="EJ918" s="15"/>
      <c r="EK918" s="15"/>
      <c r="EL918" s="15"/>
      <c r="EM918" s="15"/>
      <c r="EN918" s="15"/>
      <c r="EO918" s="15"/>
      <c r="EP918" s="15"/>
      <c r="EQ918" s="15"/>
      <c r="ER918" s="15"/>
      <c r="ES918" s="15"/>
      <c r="ET918" s="15"/>
      <c r="EU918" s="15"/>
      <c r="EV918" s="15"/>
      <c r="EW918" s="15"/>
      <c r="EX918" s="15"/>
    </row>
    <row r="919" customFormat="false" ht="15.75" hidden="false" customHeight="false" outlineLevel="0" collapsed="false">
      <c r="A919" s="76"/>
      <c r="B919" s="77"/>
      <c r="C919" s="77"/>
      <c r="D919" s="78"/>
      <c r="E919" s="72"/>
      <c r="F919" s="68"/>
      <c r="G919" s="15"/>
      <c r="H919" s="76" t="str">
        <f aca="false">IFERROR(__xludf.dummyfunction("""COMPUTED_VALUE"""),"")</f>
        <v/>
      </c>
      <c r="I919" s="50" t="str">
        <f aca="false">IFERROR(__xludf.dummyfunction("""COMPUTED_VALUE"""),"")</f>
        <v/>
      </c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  <c r="DC919" s="15"/>
      <c r="DD919" s="15"/>
      <c r="DE919" s="15"/>
      <c r="DF919" s="15"/>
      <c r="DG919" s="15"/>
      <c r="DH919" s="15"/>
      <c r="DI919" s="15"/>
      <c r="DJ919" s="15"/>
      <c r="DK919" s="15"/>
      <c r="DL919" s="15"/>
      <c r="DM919" s="15"/>
      <c r="DN919" s="15"/>
      <c r="DO919" s="15"/>
      <c r="DP919" s="15"/>
      <c r="DQ919" s="15"/>
      <c r="DR919" s="15"/>
      <c r="DS919" s="15"/>
      <c r="DT919" s="15"/>
      <c r="DU919" s="15"/>
      <c r="DV919" s="15"/>
      <c r="DW919" s="15"/>
      <c r="DX919" s="15"/>
      <c r="DY919" s="15"/>
      <c r="DZ919" s="15"/>
      <c r="EA919" s="15"/>
      <c r="EB919" s="15"/>
      <c r="EC919" s="15"/>
      <c r="ED919" s="15"/>
      <c r="EE919" s="15"/>
      <c r="EF919" s="15"/>
      <c r="EG919" s="15"/>
      <c r="EH919" s="15"/>
      <c r="EI919" s="15"/>
      <c r="EJ919" s="15"/>
      <c r="EK919" s="15"/>
      <c r="EL919" s="15"/>
      <c r="EM919" s="15"/>
      <c r="EN919" s="15"/>
      <c r="EO919" s="15"/>
      <c r="EP919" s="15"/>
      <c r="EQ919" s="15"/>
      <c r="ER919" s="15"/>
      <c r="ES919" s="15"/>
      <c r="ET919" s="15"/>
      <c r="EU919" s="15"/>
      <c r="EV919" s="15"/>
      <c r="EW919" s="15"/>
      <c r="EX919" s="15"/>
    </row>
    <row r="920" customFormat="false" ht="15.75" hidden="false" customHeight="false" outlineLevel="0" collapsed="false">
      <c r="A920" s="76"/>
      <c r="B920" s="77"/>
      <c r="C920" s="77"/>
      <c r="D920" s="78"/>
      <c r="E920" s="72"/>
      <c r="F920" s="68"/>
      <c r="G920" s="15"/>
      <c r="H920" s="76" t="str">
        <f aca="false">IFERROR(__xludf.dummyfunction("""COMPUTED_VALUE"""),"")</f>
        <v/>
      </c>
      <c r="I920" s="50" t="str">
        <f aca="false">IFERROR(__xludf.dummyfunction("""COMPUTED_VALUE"""),"")</f>
        <v/>
      </c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  <c r="DC920" s="15"/>
      <c r="DD920" s="15"/>
      <c r="DE920" s="15"/>
      <c r="DF920" s="15"/>
      <c r="DG920" s="15"/>
      <c r="DH920" s="15"/>
      <c r="DI920" s="15"/>
      <c r="DJ920" s="15"/>
      <c r="DK920" s="15"/>
      <c r="DL920" s="15"/>
      <c r="DM920" s="15"/>
      <c r="DN920" s="15"/>
      <c r="DO920" s="15"/>
      <c r="DP920" s="15"/>
      <c r="DQ920" s="15"/>
      <c r="DR920" s="15"/>
      <c r="DS920" s="15"/>
      <c r="DT920" s="15"/>
      <c r="DU920" s="15"/>
      <c r="DV920" s="15"/>
      <c r="DW920" s="15"/>
      <c r="DX920" s="15"/>
      <c r="DY920" s="15"/>
      <c r="DZ920" s="15"/>
      <c r="EA920" s="15"/>
      <c r="EB920" s="15"/>
      <c r="EC920" s="15"/>
      <c r="ED920" s="15"/>
      <c r="EE920" s="15"/>
      <c r="EF920" s="15"/>
      <c r="EG920" s="15"/>
      <c r="EH920" s="15"/>
      <c r="EI920" s="15"/>
      <c r="EJ920" s="15"/>
      <c r="EK920" s="15"/>
      <c r="EL920" s="15"/>
      <c r="EM920" s="15"/>
      <c r="EN920" s="15"/>
      <c r="EO920" s="15"/>
      <c r="EP920" s="15"/>
      <c r="EQ920" s="15"/>
      <c r="ER920" s="15"/>
      <c r="ES920" s="15"/>
      <c r="ET920" s="15"/>
      <c r="EU920" s="15"/>
      <c r="EV920" s="15"/>
      <c r="EW920" s="15"/>
      <c r="EX920" s="15"/>
    </row>
    <row r="921" customFormat="false" ht="15.75" hidden="false" customHeight="false" outlineLevel="0" collapsed="false">
      <c r="A921" s="76"/>
      <c r="B921" s="77"/>
      <c r="C921" s="77"/>
      <c r="D921" s="78"/>
      <c r="E921" s="72"/>
      <c r="F921" s="68"/>
      <c r="G921" s="15"/>
      <c r="H921" s="76" t="str">
        <f aca="false">IFERROR(__xludf.dummyfunction("""COMPUTED_VALUE"""),"")</f>
        <v/>
      </c>
      <c r="I921" s="50" t="str">
        <f aca="false">IFERROR(__xludf.dummyfunction("""COMPUTED_VALUE"""),"")</f>
        <v/>
      </c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  <c r="DC921" s="15"/>
      <c r="DD921" s="15"/>
      <c r="DE921" s="15"/>
      <c r="DF921" s="15"/>
      <c r="DG921" s="15"/>
      <c r="DH921" s="15"/>
      <c r="DI921" s="15"/>
      <c r="DJ921" s="15"/>
      <c r="DK921" s="15"/>
      <c r="DL921" s="15"/>
      <c r="DM921" s="15"/>
      <c r="DN921" s="15"/>
      <c r="DO921" s="15"/>
      <c r="DP921" s="15"/>
      <c r="DQ921" s="15"/>
      <c r="DR921" s="15"/>
      <c r="DS921" s="15"/>
      <c r="DT921" s="15"/>
      <c r="DU921" s="15"/>
      <c r="DV921" s="15"/>
      <c r="DW921" s="15"/>
      <c r="DX921" s="15"/>
      <c r="DY921" s="15"/>
      <c r="DZ921" s="15"/>
      <c r="EA921" s="15"/>
      <c r="EB921" s="15"/>
      <c r="EC921" s="15"/>
      <c r="ED921" s="15"/>
      <c r="EE921" s="15"/>
      <c r="EF921" s="15"/>
      <c r="EG921" s="15"/>
      <c r="EH921" s="15"/>
      <c r="EI921" s="15"/>
      <c r="EJ921" s="15"/>
      <c r="EK921" s="15"/>
      <c r="EL921" s="15"/>
      <c r="EM921" s="15"/>
      <c r="EN921" s="15"/>
      <c r="EO921" s="15"/>
      <c r="EP921" s="15"/>
      <c r="EQ921" s="15"/>
      <c r="ER921" s="15"/>
      <c r="ES921" s="15"/>
      <c r="ET921" s="15"/>
      <c r="EU921" s="15"/>
      <c r="EV921" s="15"/>
      <c r="EW921" s="15"/>
      <c r="EX921" s="15"/>
    </row>
    <row r="922" customFormat="false" ht="15.75" hidden="false" customHeight="false" outlineLevel="0" collapsed="false">
      <c r="A922" s="76"/>
      <c r="B922" s="77"/>
      <c r="C922" s="77"/>
      <c r="D922" s="78"/>
      <c r="E922" s="72"/>
      <c r="F922" s="68"/>
      <c r="G922" s="15"/>
      <c r="H922" s="76" t="str">
        <f aca="false">IFERROR(__xludf.dummyfunction("""COMPUTED_VALUE"""),"")</f>
        <v/>
      </c>
      <c r="I922" s="50" t="str">
        <f aca="false">IFERROR(__xludf.dummyfunction("""COMPUTED_VALUE"""),"")</f>
        <v/>
      </c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  <c r="DY922" s="15"/>
      <c r="DZ922" s="15"/>
      <c r="EA922" s="15"/>
      <c r="EB922" s="15"/>
      <c r="EC922" s="15"/>
      <c r="ED922" s="15"/>
      <c r="EE922" s="15"/>
      <c r="EF922" s="15"/>
      <c r="EG922" s="15"/>
      <c r="EH922" s="15"/>
      <c r="EI922" s="15"/>
      <c r="EJ922" s="15"/>
      <c r="EK922" s="15"/>
      <c r="EL922" s="15"/>
      <c r="EM922" s="15"/>
      <c r="EN922" s="15"/>
      <c r="EO922" s="15"/>
      <c r="EP922" s="15"/>
      <c r="EQ922" s="15"/>
      <c r="ER922" s="15"/>
      <c r="ES922" s="15"/>
      <c r="ET922" s="15"/>
      <c r="EU922" s="15"/>
      <c r="EV922" s="15"/>
      <c r="EW922" s="15"/>
      <c r="EX922" s="15"/>
    </row>
    <row r="923" customFormat="false" ht="15.75" hidden="false" customHeight="false" outlineLevel="0" collapsed="false">
      <c r="A923" s="76"/>
      <c r="B923" s="77"/>
      <c r="C923" s="77"/>
      <c r="D923" s="78"/>
      <c r="E923" s="72"/>
      <c r="F923" s="68"/>
      <c r="G923" s="15"/>
      <c r="H923" s="76" t="str">
        <f aca="false">IFERROR(__xludf.dummyfunction("""COMPUTED_VALUE"""),"")</f>
        <v/>
      </c>
      <c r="I923" s="50" t="str">
        <f aca="false">IFERROR(__xludf.dummyfunction("""COMPUTED_VALUE"""),"")</f>
        <v/>
      </c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  <c r="DY923" s="15"/>
      <c r="DZ923" s="15"/>
      <c r="EA923" s="15"/>
      <c r="EB923" s="15"/>
      <c r="EC923" s="15"/>
      <c r="ED923" s="15"/>
      <c r="EE923" s="15"/>
      <c r="EF923" s="15"/>
      <c r="EG923" s="15"/>
      <c r="EH923" s="15"/>
      <c r="EI923" s="15"/>
      <c r="EJ923" s="15"/>
      <c r="EK923" s="15"/>
      <c r="EL923" s="15"/>
      <c r="EM923" s="15"/>
      <c r="EN923" s="15"/>
      <c r="EO923" s="15"/>
      <c r="EP923" s="15"/>
      <c r="EQ923" s="15"/>
      <c r="ER923" s="15"/>
      <c r="ES923" s="15"/>
      <c r="ET923" s="15"/>
      <c r="EU923" s="15"/>
      <c r="EV923" s="15"/>
      <c r="EW923" s="15"/>
      <c r="EX923" s="15"/>
    </row>
    <row r="924" customFormat="false" ht="15.75" hidden="false" customHeight="false" outlineLevel="0" collapsed="false">
      <c r="A924" s="76"/>
      <c r="B924" s="77"/>
      <c r="C924" s="77"/>
      <c r="D924" s="78"/>
      <c r="E924" s="72"/>
      <c r="F924" s="68"/>
      <c r="G924" s="15"/>
      <c r="H924" s="76" t="str">
        <f aca="false">IFERROR(__xludf.dummyfunction("""COMPUTED_VALUE"""),"")</f>
        <v/>
      </c>
      <c r="I924" s="50" t="str">
        <f aca="false">IFERROR(__xludf.dummyfunction("""COMPUTED_VALUE"""),"")</f>
        <v/>
      </c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5"/>
      <c r="DO924" s="15"/>
      <c r="DP924" s="15"/>
      <c r="DQ924" s="15"/>
      <c r="DR924" s="15"/>
      <c r="DS924" s="15"/>
      <c r="DT924" s="15"/>
      <c r="DU924" s="15"/>
      <c r="DV924" s="15"/>
      <c r="DW924" s="15"/>
      <c r="DX924" s="15"/>
      <c r="DY924" s="15"/>
      <c r="DZ924" s="15"/>
      <c r="EA924" s="15"/>
      <c r="EB924" s="15"/>
      <c r="EC924" s="15"/>
      <c r="ED924" s="15"/>
      <c r="EE924" s="15"/>
      <c r="EF924" s="15"/>
      <c r="EG924" s="15"/>
      <c r="EH924" s="15"/>
      <c r="EI924" s="15"/>
      <c r="EJ924" s="15"/>
      <c r="EK924" s="15"/>
      <c r="EL924" s="15"/>
      <c r="EM924" s="15"/>
      <c r="EN924" s="15"/>
      <c r="EO924" s="15"/>
      <c r="EP924" s="15"/>
      <c r="EQ924" s="15"/>
      <c r="ER924" s="15"/>
      <c r="ES924" s="15"/>
      <c r="ET924" s="15"/>
      <c r="EU924" s="15"/>
      <c r="EV924" s="15"/>
      <c r="EW924" s="15"/>
      <c r="EX924" s="15"/>
    </row>
    <row r="925" customFormat="false" ht="15.75" hidden="false" customHeight="false" outlineLevel="0" collapsed="false">
      <c r="A925" s="76"/>
      <c r="B925" s="77"/>
      <c r="C925" s="77"/>
      <c r="D925" s="78"/>
      <c r="E925" s="72"/>
      <c r="F925" s="68"/>
      <c r="G925" s="15"/>
      <c r="H925" s="76" t="str">
        <f aca="false">IFERROR(__xludf.dummyfunction("""COMPUTED_VALUE"""),"")</f>
        <v/>
      </c>
      <c r="I925" s="50" t="str">
        <f aca="false">IFERROR(__xludf.dummyfunction("""COMPUTED_VALUE"""),"")</f>
        <v/>
      </c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5"/>
      <c r="DO925" s="15"/>
      <c r="DP925" s="15"/>
      <c r="DQ925" s="15"/>
      <c r="DR925" s="15"/>
      <c r="DS925" s="15"/>
      <c r="DT925" s="15"/>
      <c r="DU925" s="15"/>
      <c r="DV925" s="15"/>
      <c r="DW925" s="15"/>
      <c r="DX925" s="15"/>
      <c r="DY925" s="15"/>
      <c r="DZ925" s="15"/>
      <c r="EA925" s="15"/>
      <c r="EB925" s="15"/>
      <c r="EC925" s="15"/>
      <c r="ED925" s="15"/>
      <c r="EE925" s="15"/>
      <c r="EF925" s="15"/>
      <c r="EG925" s="15"/>
      <c r="EH925" s="15"/>
      <c r="EI925" s="15"/>
      <c r="EJ925" s="15"/>
      <c r="EK925" s="15"/>
      <c r="EL925" s="15"/>
      <c r="EM925" s="15"/>
      <c r="EN925" s="15"/>
      <c r="EO925" s="15"/>
      <c r="EP925" s="15"/>
      <c r="EQ925" s="15"/>
      <c r="ER925" s="15"/>
      <c r="ES925" s="15"/>
      <c r="ET925" s="15"/>
      <c r="EU925" s="15"/>
      <c r="EV925" s="15"/>
      <c r="EW925" s="15"/>
      <c r="EX925" s="15"/>
    </row>
    <row r="926" customFormat="false" ht="15.75" hidden="false" customHeight="false" outlineLevel="0" collapsed="false">
      <c r="A926" s="76"/>
      <c r="B926" s="77"/>
      <c r="C926" s="77"/>
      <c r="D926" s="78"/>
      <c r="E926" s="72"/>
      <c r="F926" s="68"/>
      <c r="G926" s="15"/>
      <c r="H926" s="76" t="str">
        <f aca="false">IFERROR(__xludf.dummyfunction("""COMPUTED_VALUE"""),"")</f>
        <v/>
      </c>
      <c r="I926" s="50" t="str">
        <f aca="false">IFERROR(__xludf.dummyfunction("""COMPUTED_VALUE"""),"")</f>
        <v/>
      </c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  <c r="DC926" s="15"/>
      <c r="DD926" s="15"/>
      <c r="DE926" s="15"/>
      <c r="DF926" s="15"/>
      <c r="DG926" s="15"/>
      <c r="DH926" s="15"/>
      <c r="DI926" s="15"/>
      <c r="DJ926" s="15"/>
      <c r="DK926" s="15"/>
      <c r="DL926" s="15"/>
      <c r="DM926" s="15"/>
      <c r="DN926" s="15"/>
      <c r="DO926" s="15"/>
      <c r="DP926" s="15"/>
      <c r="DQ926" s="15"/>
      <c r="DR926" s="15"/>
      <c r="DS926" s="15"/>
      <c r="DT926" s="15"/>
      <c r="DU926" s="15"/>
      <c r="DV926" s="15"/>
      <c r="DW926" s="15"/>
      <c r="DX926" s="15"/>
      <c r="DY926" s="15"/>
      <c r="DZ926" s="15"/>
      <c r="EA926" s="15"/>
      <c r="EB926" s="15"/>
      <c r="EC926" s="15"/>
      <c r="ED926" s="15"/>
      <c r="EE926" s="15"/>
      <c r="EF926" s="15"/>
      <c r="EG926" s="15"/>
      <c r="EH926" s="15"/>
      <c r="EI926" s="15"/>
      <c r="EJ926" s="15"/>
      <c r="EK926" s="15"/>
      <c r="EL926" s="15"/>
      <c r="EM926" s="15"/>
      <c r="EN926" s="15"/>
      <c r="EO926" s="15"/>
      <c r="EP926" s="15"/>
      <c r="EQ926" s="15"/>
      <c r="ER926" s="15"/>
      <c r="ES926" s="15"/>
      <c r="ET926" s="15"/>
      <c r="EU926" s="15"/>
      <c r="EV926" s="15"/>
      <c r="EW926" s="15"/>
      <c r="EX926" s="15"/>
    </row>
    <row r="927" customFormat="false" ht="15.75" hidden="false" customHeight="false" outlineLevel="0" collapsed="false">
      <c r="A927" s="76"/>
      <c r="B927" s="77"/>
      <c r="C927" s="77"/>
      <c r="D927" s="78"/>
      <c r="E927" s="72"/>
      <c r="F927" s="68"/>
      <c r="G927" s="15"/>
      <c r="H927" s="76" t="str">
        <f aca="false">IFERROR(__xludf.dummyfunction("""COMPUTED_VALUE"""),"")</f>
        <v/>
      </c>
      <c r="I927" s="50" t="str">
        <f aca="false">IFERROR(__xludf.dummyfunction("""COMPUTED_VALUE"""),"")</f>
        <v/>
      </c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  <c r="DC927" s="15"/>
      <c r="DD927" s="15"/>
      <c r="DE927" s="15"/>
      <c r="DF927" s="15"/>
      <c r="DG927" s="15"/>
      <c r="DH927" s="15"/>
      <c r="DI927" s="15"/>
      <c r="DJ927" s="15"/>
      <c r="DK927" s="15"/>
      <c r="DL927" s="15"/>
      <c r="DM927" s="15"/>
      <c r="DN927" s="15"/>
      <c r="DO927" s="15"/>
      <c r="DP927" s="15"/>
      <c r="DQ927" s="15"/>
      <c r="DR927" s="15"/>
      <c r="DS927" s="15"/>
      <c r="DT927" s="15"/>
      <c r="DU927" s="15"/>
      <c r="DV927" s="15"/>
      <c r="DW927" s="15"/>
      <c r="DX927" s="15"/>
      <c r="DY927" s="15"/>
      <c r="DZ927" s="15"/>
      <c r="EA927" s="15"/>
      <c r="EB927" s="15"/>
      <c r="EC927" s="15"/>
      <c r="ED927" s="15"/>
      <c r="EE927" s="15"/>
      <c r="EF927" s="15"/>
      <c r="EG927" s="15"/>
      <c r="EH927" s="15"/>
      <c r="EI927" s="15"/>
      <c r="EJ927" s="15"/>
      <c r="EK927" s="15"/>
      <c r="EL927" s="15"/>
      <c r="EM927" s="15"/>
      <c r="EN927" s="15"/>
      <c r="EO927" s="15"/>
      <c r="EP927" s="15"/>
      <c r="EQ927" s="15"/>
      <c r="ER927" s="15"/>
      <c r="ES927" s="15"/>
      <c r="ET927" s="15"/>
      <c r="EU927" s="15"/>
      <c r="EV927" s="15"/>
      <c r="EW927" s="15"/>
      <c r="EX927" s="15"/>
    </row>
    <row r="928" customFormat="false" ht="15.75" hidden="false" customHeight="false" outlineLevel="0" collapsed="false">
      <c r="A928" s="76"/>
      <c r="B928" s="77"/>
      <c r="C928" s="77"/>
      <c r="D928" s="78"/>
      <c r="E928" s="72"/>
      <c r="F928" s="68"/>
      <c r="G928" s="15"/>
      <c r="H928" s="76" t="str">
        <f aca="false">IFERROR(__xludf.dummyfunction("""COMPUTED_VALUE"""),"")</f>
        <v/>
      </c>
      <c r="I928" s="50" t="str">
        <f aca="false">IFERROR(__xludf.dummyfunction("""COMPUTED_VALUE"""),"")</f>
        <v/>
      </c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  <c r="DC928" s="15"/>
      <c r="DD928" s="15"/>
      <c r="DE928" s="15"/>
      <c r="DF928" s="15"/>
      <c r="DG928" s="15"/>
      <c r="DH928" s="15"/>
      <c r="DI928" s="15"/>
      <c r="DJ928" s="15"/>
      <c r="DK928" s="15"/>
      <c r="DL928" s="15"/>
      <c r="DM928" s="15"/>
      <c r="DN928" s="15"/>
      <c r="DO928" s="15"/>
      <c r="DP928" s="15"/>
      <c r="DQ928" s="15"/>
      <c r="DR928" s="15"/>
      <c r="DS928" s="15"/>
      <c r="DT928" s="15"/>
      <c r="DU928" s="15"/>
      <c r="DV928" s="15"/>
      <c r="DW928" s="15"/>
      <c r="DX928" s="15"/>
      <c r="DY928" s="15"/>
      <c r="DZ928" s="15"/>
      <c r="EA928" s="15"/>
      <c r="EB928" s="15"/>
      <c r="EC928" s="15"/>
      <c r="ED928" s="15"/>
      <c r="EE928" s="15"/>
      <c r="EF928" s="15"/>
      <c r="EG928" s="15"/>
      <c r="EH928" s="15"/>
      <c r="EI928" s="15"/>
      <c r="EJ928" s="15"/>
      <c r="EK928" s="15"/>
      <c r="EL928" s="15"/>
      <c r="EM928" s="15"/>
      <c r="EN928" s="15"/>
      <c r="EO928" s="15"/>
      <c r="EP928" s="15"/>
      <c r="EQ928" s="15"/>
      <c r="ER928" s="15"/>
      <c r="ES928" s="15"/>
      <c r="ET928" s="15"/>
      <c r="EU928" s="15"/>
      <c r="EV928" s="15"/>
      <c r="EW928" s="15"/>
      <c r="EX928" s="15"/>
    </row>
    <row r="929" customFormat="false" ht="15.75" hidden="false" customHeight="false" outlineLevel="0" collapsed="false">
      <c r="A929" s="76"/>
      <c r="B929" s="77"/>
      <c r="C929" s="77"/>
      <c r="D929" s="78"/>
      <c r="E929" s="72"/>
      <c r="F929" s="68"/>
      <c r="G929" s="15"/>
      <c r="H929" s="76" t="str">
        <f aca="false">IFERROR(__xludf.dummyfunction("""COMPUTED_VALUE"""),"")</f>
        <v/>
      </c>
      <c r="I929" s="50" t="str">
        <f aca="false">IFERROR(__xludf.dummyfunction("""COMPUTED_VALUE"""),"")</f>
        <v/>
      </c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  <c r="DN929" s="15"/>
      <c r="DO929" s="15"/>
      <c r="DP929" s="15"/>
      <c r="DQ929" s="15"/>
      <c r="DR929" s="15"/>
      <c r="DS929" s="15"/>
      <c r="DT929" s="15"/>
      <c r="DU929" s="15"/>
      <c r="DV929" s="15"/>
      <c r="DW929" s="15"/>
      <c r="DX929" s="15"/>
      <c r="DY929" s="15"/>
      <c r="DZ929" s="15"/>
      <c r="EA929" s="15"/>
      <c r="EB929" s="15"/>
      <c r="EC929" s="15"/>
      <c r="ED929" s="15"/>
      <c r="EE929" s="15"/>
      <c r="EF929" s="15"/>
      <c r="EG929" s="15"/>
      <c r="EH929" s="15"/>
      <c r="EI929" s="15"/>
      <c r="EJ929" s="15"/>
      <c r="EK929" s="15"/>
      <c r="EL929" s="15"/>
      <c r="EM929" s="15"/>
      <c r="EN929" s="15"/>
      <c r="EO929" s="15"/>
      <c r="EP929" s="15"/>
      <c r="EQ929" s="15"/>
      <c r="ER929" s="15"/>
      <c r="ES929" s="15"/>
      <c r="ET929" s="15"/>
      <c r="EU929" s="15"/>
      <c r="EV929" s="15"/>
      <c r="EW929" s="15"/>
      <c r="EX929" s="15"/>
    </row>
    <row r="930" customFormat="false" ht="15.75" hidden="false" customHeight="false" outlineLevel="0" collapsed="false">
      <c r="A930" s="76"/>
      <c r="B930" s="77"/>
      <c r="C930" s="77"/>
      <c r="D930" s="78"/>
      <c r="E930" s="72"/>
      <c r="F930" s="68"/>
      <c r="G930" s="15"/>
      <c r="H930" s="76" t="str">
        <f aca="false">IFERROR(__xludf.dummyfunction("""COMPUTED_VALUE"""),"")</f>
        <v/>
      </c>
      <c r="I930" s="50" t="str">
        <f aca="false">IFERROR(__xludf.dummyfunction("""COMPUTED_VALUE"""),"")</f>
        <v/>
      </c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  <c r="DC930" s="15"/>
      <c r="DD930" s="15"/>
      <c r="DE930" s="15"/>
      <c r="DF930" s="15"/>
      <c r="DG930" s="15"/>
      <c r="DH930" s="15"/>
      <c r="DI930" s="15"/>
      <c r="DJ930" s="15"/>
      <c r="DK930" s="15"/>
      <c r="DL930" s="15"/>
      <c r="DM930" s="15"/>
      <c r="DN930" s="15"/>
      <c r="DO930" s="15"/>
      <c r="DP930" s="15"/>
      <c r="DQ930" s="15"/>
      <c r="DR930" s="15"/>
      <c r="DS930" s="15"/>
      <c r="DT930" s="15"/>
      <c r="DU930" s="15"/>
      <c r="DV930" s="15"/>
      <c r="DW930" s="15"/>
      <c r="DX930" s="15"/>
      <c r="DY930" s="15"/>
      <c r="DZ930" s="15"/>
      <c r="EA930" s="15"/>
      <c r="EB930" s="15"/>
      <c r="EC930" s="15"/>
      <c r="ED930" s="15"/>
      <c r="EE930" s="15"/>
      <c r="EF930" s="15"/>
      <c r="EG930" s="15"/>
      <c r="EH930" s="15"/>
      <c r="EI930" s="15"/>
      <c r="EJ930" s="15"/>
      <c r="EK930" s="15"/>
      <c r="EL930" s="15"/>
      <c r="EM930" s="15"/>
      <c r="EN930" s="15"/>
      <c r="EO930" s="15"/>
      <c r="EP930" s="15"/>
      <c r="EQ930" s="15"/>
      <c r="ER930" s="15"/>
      <c r="ES930" s="15"/>
      <c r="ET930" s="15"/>
      <c r="EU930" s="15"/>
      <c r="EV930" s="15"/>
      <c r="EW930" s="15"/>
      <c r="EX930" s="15"/>
    </row>
    <row r="931" customFormat="false" ht="15.75" hidden="false" customHeight="false" outlineLevel="0" collapsed="false">
      <c r="A931" s="76"/>
      <c r="B931" s="77"/>
      <c r="C931" s="77"/>
      <c r="D931" s="78"/>
      <c r="E931" s="72"/>
      <c r="F931" s="68"/>
      <c r="G931" s="15"/>
      <c r="H931" s="76" t="str">
        <f aca="false">IFERROR(__xludf.dummyfunction("""COMPUTED_VALUE"""),"")</f>
        <v/>
      </c>
      <c r="I931" s="50" t="str">
        <f aca="false">IFERROR(__xludf.dummyfunction("""COMPUTED_VALUE"""),"")</f>
        <v/>
      </c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  <c r="DC931" s="15"/>
      <c r="DD931" s="15"/>
      <c r="DE931" s="15"/>
      <c r="DF931" s="15"/>
      <c r="DG931" s="15"/>
      <c r="DH931" s="15"/>
      <c r="DI931" s="15"/>
      <c r="DJ931" s="15"/>
      <c r="DK931" s="15"/>
      <c r="DL931" s="15"/>
      <c r="DM931" s="15"/>
      <c r="DN931" s="15"/>
      <c r="DO931" s="15"/>
      <c r="DP931" s="15"/>
      <c r="DQ931" s="15"/>
      <c r="DR931" s="15"/>
      <c r="DS931" s="15"/>
      <c r="DT931" s="15"/>
      <c r="DU931" s="15"/>
      <c r="DV931" s="15"/>
      <c r="DW931" s="15"/>
      <c r="DX931" s="15"/>
      <c r="DY931" s="15"/>
      <c r="DZ931" s="15"/>
      <c r="EA931" s="15"/>
      <c r="EB931" s="15"/>
      <c r="EC931" s="15"/>
      <c r="ED931" s="15"/>
      <c r="EE931" s="15"/>
      <c r="EF931" s="15"/>
      <c r="EG931" s="15"/>
      <c r="EH931" s="15"/>
      <c r="EI931" s="15"/>
      <c r="EJ931" s="15"/>
      <c r="EK931" s="15"/>
      <c r="EL931" s="15"/>
      <c r="EM931" s="15"/>
      <c r="EN931" s="15"/>
      <c r="EO931" s="15"/>
      <c r="EP931" s="15"/>
      <c r="EQ931" s="15"/>
      <c r="ER931" s="15"/>
      <c r="ES931" s="15"/>
      <c r="ET931" s="15"/>
      <c r="EU931" s="15"/>
      <c r="EV931" s="15"/>
      <c r="EW931" s="15"/>
      <c r="EX931" s="15"/>
    </row>
    <row r="932" customFormat="false" ht="15.75" hidden="false" customHeight="false" outlineLevel="0" collapsed="false">
      <c r="A932" s="76"/>
      <c r="B932" s="77"/>
      <c r="C932" s="77"/>
      <c r="D932" s="78"/>
      <c r="E932" s="72"/>
      <c r="F932" s="68"/>
      <c r="G932" s="15"/>
      <c r="H932" s="76" t="str">
        <f aca="false">IFERROR(__xludf.dummyfunction("""COMPUTED_VALUE"""),"")</f>
        <v/>
      </c>
      <c r="I932" s="50" t="str">
        <f aca="false">IFERROR(__xludf.dummyfunction("""COMPUTED_VALUE"""),"")</f>
        <v/>
      </c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  <c r="DC932" s="15"/>
      <c r="DD932" s="15"/>
      <c r="DE932" s="15"/>
      <c r="DF932" s="15"/>
      <c r="DG932" s="15"/>
      <c r="DH932" s="15"/>
      <c r="DI932" s="15"/>
      <c r="DJ932" s="15"/>
      <c r="DK932" s="15"/>
      <c r="DL932" s="15"/>
      <c r="DM932" s="15"/>
      <c r="DN932" s="15"/>
      <c r="DO932" s="15"/>
      <c r="DP932" s="15"/>
      <c r="DQ932" s="15"/>
      <c r="DR932" s="15"/>
      <c r="DS932" s="15"/>
      <c r="DT932" s="15"/>
      <c r="DU932" s="15"/>
      <c r="DV932" s="15"/>
      <c r="DW932" s="15"/>
      <c r="DX932" s="15"/>
      <c r="DY932" s="15"/>
      <c r="DZ932" s="15"/>
      <c r="EA932" s="15"/>
      <c r="EB932" s="15"/>
      <c r="EC932" s="15"/>
      <c r="ED932" s="15"/>
      <c r="EE932" s="15"/>
      <c r="EF932" s="15"/>
      <c r="EG932" s="15"/>
      <c r="EH932" s="15"/>
      <c r="EI932" s="15"/>
      <c r="EJ932" s="15"/>
      <c r="EK932" s="15"/>
      <c r="EL932" s="15"/>
      <c r="EM932" s="15"/>
      <c r="EN932" s="15"/>
      <c r="EO932" s="15"/>
      <c r="EP932" s="15"/>
      <c r="EQ932" s="15"/>
      <c r="ER932" s="15"/>
      <c r="ES932" s="15"/>
      <c r="ET932" s="15"/>
      <c r="EU932" s="15"/>
      <c r="EV932" s="15"/>
      <c r="EW932" s="15"/>
      <c r="EX932" s="15"/>
    </row>
    <row r="933" customFormat="false" ht="15.75" hidden="false" customHeight="false" outlineLevel="0" collapsed="false">
      <c r="A933" s="76"/>
      <c r="B933" s="77"/>
      <c r="C933" s="77"/>
      <c r="D933" s="78"/>
      <c r="E933" s="72"/>
      <c r="F933" s="68"/>
      <c r="G933" s="15"/>
      <c r="H933" s="76" t="str">
        <f aca="false">IFERROR(__xludf.dummyfunction("""COMPUTED_VALUE"""),"")</f>
        <v/>
      </c>
      <c r="I933" s="50" t="str">
        <f aca="false">IFERROR(__xludf.dummyfunction("""COMPUTED_VALUE"""),"")</f>
        <v/>
      </c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  <c r="DN933" s="15"/>
      <c r="DO933" s="15"/>
      <c r="DP933" s="15"/>
      <c r="DQ933" s="15"/>
      <c r="DR933" s="15"/>
      <c r="DS933" s="15"/>
      <c r="DT933" s="15"/>
      <c r="DU933" s="15"/>
      <c r="DV933" s="15"/>
      <c r="DW933" s="15"/>
      <c r="DX933" s="15"/>
      <c r="DY933" s="15"/>
      <c r="DZ933" s="15"/>
      <c r="EA933" s="15"/>
      <c r="EB933" s="15"/>
      <c r="EC933" s="15"/>
      <c r="ED933" s="15"/>
      <c r="EE933" s="15"/>
      <c r="EF933" s="15"/>
      <c r="EG933" s="15"/>
      <c r="EH933" s="15"/>
      <c r="EI933" s="15"/>
      <c r="EJ933" s="15"/>
      <c r="EK933" s="15"/>
      <c r="EL933" s="15"/>
      <c r="EM933" s="15"/>
      <c r="EN933" s="15"/>
      <c r="EO933" s="15"/>
      <c r="EP933" s="15"/>
      <c r="EQ933" s="15"/>
      <c r="ER933" s="15"/>
      <c r="ES933" s="15"/>
      <c r="ET933" s="15"/>
      <c r="EU933" s="15"/>
      <c r="EV933" s="15"/>
      <c r="EW933" s="15"/>
      <c r="EX933" s="15"/>
    </row>
    <row r="934" customFormat="false" ht="15.75" hidden="false" customHeight="false" outlineLevel="0" collapsed="false">
      <c r="A934" s="76"/>
      <c r="B934" s="77"/>
      <c r="C934" s="77"/>
      <c r="D934" s="78"/>
      <c r="E934" s="72"/>
      <c r="F934" s="68"/>
      <c r="G934" s="15"/>
      <c r="H934" s="76"/>
      <c r="I934" s="50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  <c r="DC934" s="15"/>
      <c r="DD934" s="15"/>
      <c r="DE934" s="15"/>
      <c r="DF934" s="15"/>
      <c r="DG934" s="15"/>
      <c r="DH934" s="15"/>
      <c r="DI934" s="15"/>
      <c r="DJ934" s="15"/>
      <c r="DK934" s="15"/>
      <c r="DL934" s="15"/>
      <c r="DM934" s="15"/>
      <c r="DN934" s="15"/>
      <c r="DO934" s="15"/>
      <c r="DP934" s="15"/>
      <c r="DQ934" s="15"/>
      <c r="DR934" s="15"/>
      <c r="DS934" s="15"/>
      <c r="DT934" s="15"/>
      <c r="DU934" s="15"/>
      <c r="DV934" s="15"/>
      <c r="DW934" s="15"/>
      <c r="DX934" s="15"/>
      <c r="DY934" s="15"/>
      <c r="DZ934" s="15"/>
      <c r="EA934" s="15"/>
      <c r="EB934" s="15"/>
      <c r="EC934" s="15"/>
      <c r="ED934" s="15"/>
      <c r="EE934" s="15"/>
      <c r="EF934" s="15"/>
      <c r="EG934" s="15"/>
      <c r="EH934" s="15"/>
      <c r="EI934" s="15"/>
      <c r="EJ934" s="15"/>
      <c r="EK934" s="15"/>
      <c r="EL934" s="15"/>
      <c r="EM934" s="15"/>
      <c r="EN934" s="15"/>
      <c r="EO934" s="15"/>
      <c r="EP934" s="15"/>
      <c r="EQ934" s="15"/>
      <c r="ER934" s="15"/>
      <c r="ES934" s="15"/>
      <c r="ET934" s="15"/>
      <c r="EU934" s="15"/>
      <c r="EV934" s="15"/>
      <c r="EW934" s="15"/>
      <c r="EX934" s="15"/>
    </row>
    <row r="935" customFormat="false" ht="15.75" hidden="false" customHeight="false" outlineLevel="0" collapsed="false">
      <c r="A935" s="76"/>
      <c r="B935" s="77"/>
      <c r="C935" s="77"/>
      <c r="D935" s="78"/>
      <c r="E935" s="72"/>
      <c r="F935" s="68"/>
      <c r="G935" s="15"/>
      <c r="H935" s="76"/>
      <c r="I935" s="50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  <c r="DY935" s="15"/>
      <c r="DZ935" s="15"/>
      <c r="EA935" s="15"/>
      <c r="EB935" s="15"/>
      <c r="EC935" s="15"/>
      <c r="ED935" s="15"/>
      <c r="EE935" s="15"/>
      <c r="EF935" s="15"/>
      <c r="EG935" s="15"/>
      <c r="EH935" s="15"/>
      <c r="EI935" s="15"/>
      <c r="EJ935" s="15"/>
      <c r="EK935" s="15"/>
      <c r="EL935" s="15"/>
      <c r="EM935" s="15"/>
      <c r="EN935" s="15"/>
      <c r="EO935" s="15"/>
      <c r="EP935" s="15"/>
      <c r="EQ935" s="15"/>
      <c r="ER935" s="15"/>
      <c r="ES935" s="15"/>
      <c r="ET935" s="15"/>
      <c r="EU935" s="15"/>
      <c r="EV935" s="15"/>
      <c r="EW935" s="15"/>
      <c r="EX935" s="15"/>
    </row>
    <row r="936" customFormat="false" ht="15.75" hidden="false" customHeight="false" outlineLevel="0" collapsed="false">
      <c r="A936" s="76"/>
      <c r="B936" s="77"/>
      <c r="C936" s="77"/>
      <c r="D936" s="78"/>
      <c r="E936" s="72"/>
      <c r="F936" s="68"/>
      <c r="G936" s="15"/>
      <c r="H936" s="76"/>
      <c r="I936" s="50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  <c r="DC936" s="15"/>
      <c r="DD936" s="15"/>
      <c r="DE936" s="15"/>
      <c r="DF936" s="15"/>
      <c r="DG936" s="15"/>
      <c r="DH936" s="15"/>
      <c r="DI936" s="15"/>
      <c r="DJ936" s="15"/>
      <c r="DK936" s="15"/>
      <c r="DL936" s="15"/>
      <c r="DM936" s="15"/>
      <c r="DN936" s="15"/>
      <c r="DO936" s="15"/>
      <c r="DP936" s="15"/>
      <c r="DQ936" s="15"/>
      <c r="DR936" s="15"/>
      <c r="DS936" s="15"/>
      <c r="DT936" s="15"/>
      <c r="DU936" s="15"/>
      <c r="DV936" s="15"/>
      <c r="DW936" s="15"/>
      <c r="DX936" s="15"/>
      <c r="DY936" s="15"/>
      <c r="DZ936" s="15"/>
      <c r="EA936" s="15"/>
      <c r="EB936" s="15"/>
      <c r="EC936" s="15"/>
      <c r="ED936" s="15"/>
      <c r="EE936" s="15"/>
      <c r="EF936" s="15"/>
      <c r="EG936" s="15"/>
      <c r="EH936" s="15"/>
      <c r="EI936" s="15"/>
      <c r="EJ936" s="15"/>
      <c r="EK936" s="15"/>
      <c r="EL936" s="15"/>
      <c r="EM936" s="15"/>
      <c r="EN936" s="15"/>
      <c r="EO936" s="15"/>
      <c r="EP936" s="15"/>
      <c r="EQ936" s="15"/>
      <c r="ER936" s="15"/>
      <c r="ES936" s="15"/>
      <c r="ET936" s="15"/>
      <c r="EU936" s="15"/>
      <c r="EV936" s="15"/>
      <c r="EW936" s="15"/>
      <c r="EX936" s="15"/>
    </row>
    <row r="937" customFormat="false" ht="15.75" hidden="false" customHeight="false" outlineLevel="0" collapsed="false">
      <c r="A937" s="76"/>
      <c r="B937" s="77"/>
      <c r="C937" s="77"/>
      <c r="D937" s="78"/>
      <c r="E937" s="72"/>
      <c r="F937" s="68"/>
      <c r="G937" s="15"/>
      <c r="H937" s="76"/>
      <c r="I937" s="50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  <c r="DC937" s="15"/>
      <c r="DD937" s="15"/>
      <c r="DE937" s="15"/>
      <c r="DF937" s="15"/>
      <c r="DG937" s="15"/>
      <c r="DH937" s="15"/>
      <c r="DI937" s="15"/>
      <c r="DJ937" s="15"/>
      <c r="DK937" s="15"/>
      <c r="DL937" s="15"/>
      <c r="DM937" s="15"/>
      <c r="DN937" s="15"/>
      <c r="DO937" s="15"/>
      <c r="DP937" s="15"/>
      <c r="DQ937" s="15"/>
      <c r="DR937" s="15"/>
      <c r="DS937" s="15"/>
      <c r="DT937" s="15"/>
      <c r="DU937" s="15"/>
      <c r="DV937" s="15"/>
      <c r="DW937" s="15"/>
      <c r="DX937" s="15"/>
      <c r="DY937" s="15"/>
      <c r="DZ937" s="15"/>
      <c r="EA937" s="15"/>
      <c r="EB937" s="15"/>
      <c r="EC937" s="15"/>
      <c r="ED937" s="15"/>
      <c r="EE937" s="15"/>
      <c r="EF937" s="15"/>
      <c r="EG937" s="15"/>
      <c r="EH937" s="15"/>
      <c r="EI937" s="15"/>
      <c r="EJ937" s="15"/>
      <c r="EK937" s="15"/>
      <c r="EL937" s="15"/>
      <c r="EM937" s="15"/>
      <c r="EN937" s="15"/>
      <c r="EO937" s="15"/>
      <c r="EP937" s="15"/>
      <c r="EQ937" s="15"/>
      <c r="ER937" s="15"/>
      <c r="ES937" s="15"/>
      <c r="ET937" s="15"/>
      <c r="EU937" s="15"/>
      <c r="EV937" s="15"/>
      <c r="EW937" s="15"/>
      <c r="EX937" s="15"/>
    </row>
    <row r="938" customFormat="false" ht="15.75" hidden="false" customHeight="false" outlineLevel="0" collapsed="false">
      <c r="A938" s="76"/>
      <c r="B938" s="77"/>
      <c r="C938" s="77"/>
      <c r="D938" s="78"/>
      <c r="E938" s="72"/>
      <c r="F938" s="68"/>
      <c r="G938" s="15"/>
      <c r="H938" s="76"/>
      <c r="I938" s="50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  <c r="DC938" s="15"/>
      <c r="DD938" s="15"/>
      <c r="DE938" s="15"/>
      <c r="DF938" s="15"/>
      <c r="DG938" s="15"/>
      <c r="DH938" s="15"/>
      <c r="DI938" s="15"/>
      <c r="DJ938" s="15"/>
      <c r="DK938" s="15"/>
      <c r="DL938" s="15"/>
      <c r="DM938" s="15"/>
      <c r="DN938" s="15"/>
      <c r="DO938" s="15"/>
      <c r="DP938" s="15"/>
      <c r="DQ938" s="15"/>
      <c r="DR938" s="15"/>
      <c r="DS938" s="15"/>
      <c r="DT938" s="15"/>
      <c r="DU938" s="15"/>
      <c r="DV938" s="15"/>
      <c r="DW938" s="15"/>
      <c r="DX938" s="15"/>
      <c r="DY938" s="15"/>
      <c r="DZ938" s="15"/>
      <c r="EA938" s="15"/>
      <c r="EB938" s="15"/>
      <c r="EC938" s="15"/>
      <c r="ED938" s="15"/>
      <c r="EE938" s="15"/>
      <c r="EF938" s="15"/>
      <c r="EG938" s="15"/>
      <c r="EH938" s="15"/>
      <c r="EI938" s="15"/>
      <c r="EJ938" s="15"/>
      <c r="EK938" s="15"/>
      <c r="EL938" s="15"/>
      <c r="EM938" s="15"/>
      <c r="EN938" s="15"/>
      <c r="EO938" s="15"/>
      <c r="EP938" s="15"/>
      <c r="EQ938" s="15"/>
      <c r="ER938" s="15"/>
      <c r="ES938" s="15"/>
      <c r="ET938" s="15"/>
      <c r="EU938" s="15"/>
      <c r="EV938" s="15"/>
      <c r="EW938" s="15"/>
      <c r="EX938" s="15"/>
    </row>
    <row r="939" customFormat="false" ht="15.75" hidden="false" customHeight="false" outlineLevel="0" collapsed="false">
      <c r="A939" s="76"/>
      <c r="B939" s="77"/>
      <c r="C939" s="77"/>
      <c r="D939" s="78"/>
      <c r="E939" s="72"/>
      <c r="F939" s="68"/>
      <c r="G939" s="15"/>
      <c r="H939" s="76"/>
      <c r="I939" s="50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  <c r="DC939" s="15"/>
      <c r="DD939" s="15"/>
      <c r="DE939" s="15"/>
      <c r="DF939" s="15"/>
      <c r="DG939" s="15"/>
      <c r="DH939" s="15"/>
      <c r="DI939" s="15"/>
      <c r="DJ939" s="15"/>
      <c r="DK939" s="15"/>
      <c r="DL939" s="15"/>
      <c r="DM939" s="15"/>
      <c r="DN939" s="15"/>
      <c r="DO939" s="15"/>
      <c r="DP939" s="15"/>
      <c r="DQ939" s="15"/>
      <c r="DR939" s="15"/>
      <c r="DS939" s="15"/>
      <c r="DT939" s="15"/>
      <c r="DU939" s="15"/>
      <c r="DV939" s="15"/>
      <c r="DW939" s="15"/>
      <c r="DX939" s="15"/>
      <c r="DY939" s="15"/>
      <c r="DZ939" s="15"/>
      <c r="EA939" s="15"/>
      <c r="EB939" s="15"/>
      <c r="EC939" s="15"/>
      <c r="ED939" s="15"/>
      <c r="EE939" s="15"/>
      <c r="EF939" s="15"/>
      <c r="EG939" s="15"/>
      <c r="EH939" s="15"/>
      <c r="EI939" s="15"/>
      <c r="EJ939" s="15"/>
      <c r="EK939" s="15"/>
      <c r="EL939" s="15"/>
      <c r="EM939" s="15"/>
      <c r="EN939" s="15"/>
      <c r="EO939" s="15"/>
      <c r="EP939" s="15"/>
      <c r="EQ939" s="15"/>
      <c r="ER939" s="15"/>
      <c r="ES939" s="15"/>
      <c r="ET939" s="15"/>
      <c r="EU939" s="15"/>
      <c r="EV939" s="15"/>
      <c r="EW939" s="15"/>
      <c r="EX939" s="15"/>
    </row>
    <row r="940" customFormat="false" ht="15.75" hidden="false" customHeight="false" outlineLevel="0" collapsed="false">
      <c r="A940" s="76"/>
      <c r="B940" s="77"/>
      <c r="C940" s="77"/>
      <c r="D940" s="78"/>
      <c r="E940" s="72"/>
      <c r="F940" s="68"/>
      <c r="G940" s="15"/>
      <c r="H940" s="76"/>
      <c r="I940" s="50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  <c r="DC940" s="15"/>
      <c r="DD940" s="15"/>
      <c r="DE940" s="15"/>
      <c r="DF940" s="15"/>
      <c r="DG940" s="15"/>
      <c r="DH940" s="15"/>
      <c r="DI940" s="15"/>
      <c r="DJ940" s="15"/>
      <c r="DK940" s="15"/>
      <c r="DL940" s="15"/>
      <c r="DM940" s="15"/>
      <c r="DN940" s="15"/>
      <c r="DO940" s="15"/>
      <c r="DP940" s="15"/>
      <c r="DQ940" s="15"/>
      <c r="DR940" s="15"/>
      <c r="DS940" s="15"/>
      <c r="DT940" s="15"/>
      <c r="DU940" s="15"/>
      <c r="DV940" s="15"/>
      <c r="DW940" s="15"/>
      <c r="DX940" s="15"/>
      <c r="DY940" s="15"/>
      <c r="DZ940" s="15"/>
      <c r="EA940" s="15"/>
      <c r="EB940" s="15"/>
      <c r="EC940" s="15"/>
      <c r="ED940" s="15"/>
      <c r="EE940" s="15"/>
      <c r="EF940" s="15"/>
      <c r="EG940" s="15"/>
      <c r="EH940" s="15"/>
      <c r="EI940" s="15"/>
      <c r="EJ940" s="15"/>
      <c r="EK940" s="15"/>
      <c r="EL940" s="15"/>
      <c r="EM940" s="15"/>
      <c r="EN940" s="15"/>
      <c r="EO940" s="15"/>
      <c r="EP940" s="15"/>
      <c r="EQ940" s="15"/>
      <c r="ER940" s="15"/>
      <c r="ES940" s="15"/>
      <c r="ET940" s="15"/>
      <c r="EU940" s="15"/>
      <c r="EV940" s="15"/>
      <c r="EW940" s="15"/>
      <c r="EX940" s="15"/>
    </row>
    <row r="941" customFormat="false" ht="15.75" hidden="false" customHeight="false" outlineLevel="0" collapsed="false">
      <c r="A941" s="76"/>
      <c r="B941" s="77"/>
      <c r="C941" s="77"/>
      <c r="D941" s="78"/>
      <c r="E941" s="72"/>
      <c r="F941" s="68"/>
      <c r="G941" s="15"/>
      <c r="H941" s="76"/>
      <c r="I941" s="50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  <c r="DC941" s="15"/>
      <c r="DD941" s="15"/>
      <c r="DE941" s="15"/>
      <c r="DF941" s="15"/>
      <c r="DG941" s="15"/>
      <c r="DH941" s="15"/>
      <c r="DI941" s="15"/>
      <c r="DJ941" s="15"/>
      <c r="DK941" s="15"/>
      <c r="DL941" s="15"/>
      <c r="DM941" s="15"/>
      <c r="DN941" s="15"/>
      <c r="DO941" s="15"/>
      <c r="DP941" s="15"/>
      <c r="DQ941" s="15"/>
      <c r="DR941" s="15"/>
      <c r="DS941" s="15"/>
      <c r="DT941" s="15"/>
      <c r="DU941" s="15"/>
      <c r="DV941" s="15"/>
      <c r="DW941" s="15"/>
      <c r="DX941" s="15"/>
      <c r="DY941" s="15"/>
      <c r="DZ941" s="15"/>
      <c r="EA941" s="15"/>
      <c r="EB941" s="15"/>
      <c r="EC941" s="15"/>
      <c r="ED941" s="15"/>
      <c r="EE941" s="15"/>
      <c r="EF941" s="15"/>
      <c r="EG941" s="15"/>
      <c r="EH941" s="15"/>
      <c r="EI941" s="15"/>
      <c r="EJ941" s="15"/>
      <c r="EK941" s="15"/>
      <c r="EL941" s="15"/>
      <c r="EM941" s="15"/>
      <c r="EN941" s="15"/>
      <c r="EO941" s="15"/>
      <c r="EP941" s="15"/>
      <c r="EQ941" s="15"/>
      <c r="ER941" s="15"/>
      <c r="ES941" s="15"/>
      <c r="ET941" s="15"/>
      <c r="EU941" s="15"/>
      <c r="EV941" s="15"/>
      <c r="EW941" s="15"/>
      <c r="EX941" s="15"/>
    </row>
    <row r="942" customFormat="false" ht="15.75" hidden="false" customHeight="false" outlineLevel="0" collapsed="false">
      <c r="A942" s="76"/>
      <c r="B942" s="77"/>
      <c r="C942" s="77"/>
      <c r="D942" s="78"/>
      <c r="E942" s="72"/>
      <c r="F942" s="68"/>
      <c r="G942" s="15"/>
      <c r="H942" s="76"/>
      <c r="I942" s="50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  <c r="DC942" s="15"/>
      <c r="DD942" s="15"/>
      <c r="DE942" s="15"/>
      <c r="DF942" s="15"/>
      <c r="DG942" s="15"/>
      <c r="DH942" s="15"/>
      <c r="DI942" s="15"/>
      <c r="DJ942" s="15"/>
      <c r="DK942" s="15"/>
      <c r="DL942" s="15"/>
      <c r="DM942" s="15"/>
      <c r="DN942" s="15"/>
      <c r="DO942" s="15"/>
      <c r="DP942" s="15"/>
      <c r="DQ942" s="15"/>
      <c r="DR942" s="15"/>
      <c r="DS942" s="15"/>
      <c r="DT942" s="15"/>
      <c r="DU942" s="15"/>
      <c r="DV942" s="15"/>
      <c r="DW942" s="15"/>
      <c r="DX942" s="15"/>
      <c r="DY942" s="15"/>
      <c r="DZ942" s="15"/>
      <c r="EA942" s="15"/>
      <c r="EB942" s="15"/>
      <c r="EC942" s="15"/>
      <c r="ED942" s="15"/>
      <c r="EE942" s="15"/>
      <c r="EF942" s="15"/>
      <c r="EG942" s="15"/>
      <c r="EH942" s="15"/>
      <c r="EI942" s="15"/>
      <c r="EJ942" s="15"/>
      <c r="EK942" s="15"/>
      <c r="EL942" s="15"/>
      <c r="EM942" s="15"/>
      <c r="EN942" s="15"/>
      <c r="EO942" s="15"/>
      <c r="EP942" s="15"/>
      <c r="EQ942" s="15"/>
      <c r="ER942" s="15"/>
      <c r="ES942" s="15"/>
      <c r="ET942" s="15"/>
      <c r="EU942" s="15"/>
      <c r="EV942" s="15"/>
      <c r="EW942" s="15"/>
      <c r="EX942" s="15"/>
    </row>
    <row r="943" customFormat="false" ht="15.75" hidden="false" customHeight="false" outlineLevel="0" collapsed="false">
      <c r="A943" s="76"/>
      <c r="B943" s="77"/>
      <c r="C943" s="77"/>
      <c r="D943" s="78"/>
      <c r="E943" s="72"/>
      <c r="F943" s="68"/>
      <c r="G943" s="15"/>
      <c r="H943" s="76"/>
      <c r="I943" s="50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  <c r="DC943" s="15"/>
      <c r="DD943" s="15"/>
      <c r="DE943" s="15"/>
      <c r="DF943" s="15"/>
      <c r="DG943" s="15"/>
      <c r="DH943" s="15"/>
      <c r="DI943" s="15"/>
      <c r="DJ943" s="15"/>
      <c r="DK943" s="15"/>
      <c r="DL943" s="15"/>
      <c r="DM943" s="15"/>
      <c r="DN943" s="15"/>
      <c r="DO943" s="15"/>
      <c r="DP943" s="15"/>
      <c r="DQ943" s="15"/>
      <c r="DR943" s="15"/>
      <c r="DS943" s="15"/>
      <c r="DT943" s="15"/>
      <c r="DU943" s="15"/>
      <c r="DV943" s="15"/>
      <c r="DW943" s="15"/>
      <c r="DX943" s="15"/>
      <c r="DY943" s="15"/>
      <c r="DZ943" s="15"/>
      <c r="EA943" s="15"/>
      <c r="EB943" s="15"/>
      <c r="EC943" s="15"/>
      <c r="ED943" s="15"/>
      <c r="EE943" s="15"/>
      <c r="EF943" s="15"/>
      <c r="EG943" s="15"/>
      <c r="EH943" s="15"/>
      <c r="EI943" s="15"/>
      <c r="EJ943" s="15"/>
      <c r="EK943" s="15"/>
      <c r="EL943" s="15"/>
      <c r="EM943" s="15"/>
      <c r="EN943" s="15"/>
      <c r="EO943" s="15"/>
      <c r="EP943" s="15"/>
      <c r="EQ943" s="15"/>
      <c r="ER943" s="15"/>
      <c r="ES943" s="15"/>
      <c r="ET943" s="15"/>
      <c r="EU943" s="15"/>
      <c r="EV943" s="15"/>
      <c r="EW943" s="15"/>
      <c r="EX943" s="15"/>
    </row>
    <row r="944" customFormat="false" ht="15.75" hidden="false" customHeight="false" outlineLevel="0" collapsed="false">
      <c r="A944" s="76"/>
      <c r="B944" s="77"/>
      <c r="C944" s="77"/>
      <c r="D944" s="78"/>
      <c r="E944" s="72"/>
      <c r="F944" s="68"/>
      <c r="G944" s="15"/>
      <c r="H944" s="76"/>
      <c r="I944" s="50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  <c r="DC944" s="15"/>
      <c r="DD944" s="15"/>
      <c r="DE944" s="15"/>
      <c r="DF944" s="15"/>
      <c r="DG944" s="15"/>
      <c r="DH944" s="15"/>
      <c r="DI944" s="15"/>
      <c r="DJ944" s="15"/>
      <c r="DK944" s="15"/>
      <c r="DL944" s="15"/>
      <c r="DM944" s="15"/>
      <c r="DN944" s="15"/>
      <c r="DO944" s="15"/>
      <c r="DP944" s="15"/>
      <c r="DQ944" s="15"/>
      <c r="DR944" s="15"/>
      <c r="DS944" s="15"/>
      <c r="DT944" s="15"/>
      <c r="DU944" s="15"/>
      <c r="DV944" s="15"/>
      <c r="DW944" s="15"/>
      <c r="DX944" s="15"/>
      <c r="DY944" s="15"/>
      <c r="DZ944" s="15"/>
      <c r="EA944" s="15"/>
      <c r="EB944" s="15"/>
      <c r="EC944" s="15"/>
      <c r="ED944" s="15"/>
      <c r="EE944" s="15"/>
      <c r="EF944" s="15"/>
      <c r="EG944" s="15"/>
      <c r="EH944" s="15"/>
      <c r="EI944" s="15"/>
      <c r="EJ944" s="15"/>
      <c r="EK944" s="15"/>
      <c r="EL944" s="15"/>
      <c r="EM944" s="15"/>
      <c r="EN944" s="15"/>
      <c r="EO944" s="15"/>
      <c r="EP944" s="15"/>
      <c r="EQ944" s="15"/>
      <c r="ER944" s="15"/>
      <c r="ES944" s="15"/>
      <c r="ET944" s="15"/>
      <c r="EU944" s="15"/>
      <c r="EV944" s="15"/>
      <c r="EW944" s="15"/>
      <c r="EX944" s="15"/>
    </row>
    <row r="945" customFormat="false" ht="15.75" hidden="false" customHeight="false" outlineLevel="0" collapsed="false">
      <c r="A945" s="76"/>
      <c r="B945" s="77"/>
      <c r="C945" s="77"/>
      <c r="D945" s="78"/>
      <c r="E945" s="72"/>
      <c r="F945" s="68"/>
      <c r="G945" s="15"/>
      <c r="H945" s="76"/>
      <c r="I945" s="50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  <c r="DN945" s="15"/>
      <c r="DO945" s="15"/>
      <c r="DP945" s="15"/>
      <c r="DQ945" s="15"/>
      <c r="DR945" s="15"/>
      <c r="DS945" s="15"/>
      <c r="DT945" s="15"/>
      <c r="DU945" s="15"/>
      <c r="DV945" s="15"/>
      <c r="DW945" s="15"/>
      <c r="DX945" s="15"/>
      <c r="DY945" s="15"/>
      <c r="DZ945" s="15"/>
      <c r="EA945" s="15"/>
      <c r="EB945" s="15"/>
      <c r="EC945" s="15"/>
      <c r="ED945" s="15"/>
      <c r="EE945" s="15"/>
      <c r="EF945" s="15"/>
      <c r="EG945" s="15"/>
      <c r="EH945" s="15"/>
      <c r="EI945" s="15"/>
      <c r="EJ945" s="15"/>
      <c r="EK945" s="15"/>
      <c r="EL945" s="15"/>
      <c r="EM945" s="15"/>
      <c r="EN945" s="15"/>
      <c r="EO945" s="15"/>
      <c r="EP945" s="15"/>
      <c r="EQ945" s="15"/>
      <c r="ER945" s="15"/>
      <c r="ES945" s="15"/>
      <c r="ET945" s="15"/>
      <c r="EU945" s="15"/>
      <c r="EV945" s="15"/>
      <c r="EW945" s="15"/>
      <c r="EX945" s="15"/>
    </row>
    <row r="946" customFormat="false" ht="15.75" hidden="false" customHeight="false" outlineLevel="0" collapsed="false">
      <c r="A946" s="76"/>
      <c r="B946" s="77"/>
      <c r="C946" s="77"/>
      <c r="D946" s="78"/>
      <c r="E946" s="72"/>
      <c r="F946" s="68"/>
      <c r="G946" s="15"/>
      <c r="H946" s="76"/>
      <c r="I946" s="50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  <c r="DC946" s="15"/>
      <c r="DD946" s="15"/>
      <c r="DE946" s="15"/>
      <c r="DF946" s="15"/>
      <c r="DG946" s="15"/>
      <c r="DH946" s="15"/>
      <c r="DI946" s="15"/>
      <c r="DJ946" s="15"/>
      <c r="DK946" s="15"/>
      <c r="DL946" s="15"/>
      <c r="DM946" s="15"/>
      <c r="DN946" s="15"/>
      <c r="DO946" s="15"/>
      <c r="DP946" s="15"/>
      <c r="DQ946" s="15"/>
      <c r="DR946" s="15"/>
      <c r="DS946" s="15"/>
      <c r="DT946" s="15"/>
      <c r="DU946" s="15"/>
      <c r="DV946" s="15"/>
      <c r="DW946" s="15"/>
      <c r="DX946" s="15"/>
      <c r="DY946" s="15"/>
      <c r="DZ946" s="15"/>
      <c r="EA946" s="15"/>
      <c r="EB946" s="15"/>
      <c r="EC946" s="15"/>
      <c r="ED946" s="15"/>
      <c r="EE946" s="15"/>
      <c r="EF946" s="15"/>
      <c r="EG946" s="15"/>
      <c r="EH946" s="15"/>
      <c r="EI946" s="15"/>
      <c r="EJ946" s="15"/>
      <c r="EK946" s="15"/>
      <c r="EL946" s="15"/>
      <c r="EM946" s="15"/>
      <c r="EN946" s="15"/>
      <c r="EO946" s="15"/>
      <c r="EP946" s="15"/>
      <c r="EQ946" s="15"/>
      <c r="ER946" s="15"/>
      <c r="ES946" s="15"/>
      <c r="ET946" s="15"/>
      <c r="EU946" s="15"/>
      <c r="EV946" s="15"/>
      <c r="EW946" s="15"/>
      <c r="EX946" s="15"/>
    </row>
    <row r="947" customFormat="false" ht="15.75" hidden="false" customHeight="false" outlineLevel="0" collapsed="false">
      <c r="A947" s="76"/>
      <c r="B947" s="77"/>
      <c r="C947" s="77"/>
      <c r="D947" s="78"/>
      <c r="E947" s="72"/>
      <c r="F947" s="68"/>
      <c r="G947" s="15"/>
      <c r="H947" s="76"/>
      <c r="I947" s="50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  <c r="DC947" s="15"/>
      <c r="DD947" s="15"/>
      <c r="DE947" s="15"/>
      <c r="DF947" s="15"/>
      <c r="DG947" s="15"/>
      <c r="DH947" s="15"/>
      <c r="DI947" s="15"/>
      <c r="DJ947" s="15"/>
      <c r="DK947" s="15"/>
      <c r="DL947" s="15"/>
      <c r="DM947" s="15"/>
      <c r="DN947" s="15"/>
      <c r="DO947" s="15"/>
      <c r="DP947" s="15"/>
      <c r="DQ947" s="15"/>
      <c r="DR947" s="15"/>
      <c r="DS947" s="15"/>
      <c r="DT947" s="15"/>
      <c r="DU947" s="15"/>
      <c r="DV947" s="15"/>
      <c r="DW947" s="15"/>
      <c r="DX947" s="15"/>
      <c r="DY947" s="15"/>
      <c r="DZ947" s="15"/>
      <c r="EA947" s="15"/>
      <c r="EB947" s="15"/>
      <c r="EC947" s="15"/>
      <c r="ED947" s="15"/>
      <c r="EE947" s="15"/>
      <c r="EF947" s="15"/>
      <c r="EG947" s="15"/>
      <c r="EH947" s="15"/>
      <c r="EI947" s="15"/>
      <c r="EJ947" s="15"/>
      <c r="EK947" s="15"/>
      <c r="EL947" s="15"/>
      <c r="EM947" s="15"/>
      <c r="EN947" s="15"/>
      <c r="EO947" s="15"/>
      <c r="EP947" s="15"/>
      <c r="EQ947" s="15"/>
      <c r="ER947" s="15"/>
      <c r="ES947" s="15"/>
      <c r="ET947" s="15"/>
      <c r="EU947" s="15"/>
      <c r="EV947" s="15"/>
      <c r="EW947" s="15"/>
      <c r="EX947" s="15"/>
    </row>
    <row r="948" customFormat="false" ht="15.75" hidden="false" customHeight="false" outlineLevel="0" collapsed="false">
      <c r="A948" s="76"/>
      <c r="B948" s="77"/>
      <c r="C948" s="77"/>
      <c r="D948" s="78"/>
      <c r="E948" s="72"/>
      <c r="F948" s="68"/>
      <c r="G948" s="15"/>
      <c r="H948" s="76"/>
      <c r="I948" s="50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  <c r="DC948" s="15"/>
      <c r="DD948" s="15"/>
      <c r="DE948" s="15"/>
      <c r="DF948" s="15"/>
      <c r="DG948" s="15"/>
      <c r="DH948" s="15"/>
      <c r="DI948" s="15"/>
      <c r="DJ948" s="15"/>
      <c r="DK948" s="15"/>
      <c r="DL948" s="15"/>
      <c r="DM948" s="15"/>
      <c r="DN948" s="15"/>
      <c r="DO948" s="15"/>
      <c r="DP948" s="15"/>
      <c r="DQ948" s="15"/>
      <c r="DR948" s="15"/>
      <c r="DS948" s="15"/>
      <c r="DT948" s="15"/>
      <c r="DU948" s="15"/>
      <c r="DV948" s="15"/>
      <c r="DW948" s="15"/>
      <c r="DX948" s="15"/>
      <c r="DY948" s="15"/>
      <c r="DZ948" s="15"/>
      <c r="EA948" s="15"/>
      <c r="EB948" s="15"/>
      <c r="EC948" s="15"/>
      <c r="ED948" s="15"/>
      <c r="EE948" s="15"/>
      <c r="EF948" s="15"/>
      <c r="EG948" s="15"/>
      <c r="EH948" s="15"/>
      <c r="EI948" s="15"/>
      <c r="EJ948" s="15"/>
      <c r="EK948" s="15"/>
      <c r="EL948" s="15"/>
      <c r="EM948" s="15"/>
      <c r="EN948" s="15"/>
      <c r="EO948" s="15"/>
      <c r="EP948" s="15"/>
      <c r="EQ948" s="15"/>
      <c r="ER948" s="15"/>
      <c r="ES948" s="15"/>
      <c r="ET948" s="15"/>
      <c r="EU948" s="15"/>
      <c r="EV948" s="15"/>
      <c r="EW948" s="15"/>
      <c r="EX948" s="15"/>
    </row>
    <row r="949" customFormat="false" ht="15.75" hidden="false" customHeight="false" outlineLevel="0" collapsed="false">
      <c r="A949" s="76"/>
      <c r="B949" s="77"/>
      <c r="C949" s="77"/>
      <c r="D949" s="78"/>
      <c r="E949" s="72"/>
      <c r="F949" s="68"/>
      <c r="G949" s="15"/>
      <c r="H949" s="76"/>
      <c r="I949" s="50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  <c r="DC949" s="15"/>
      <c r="DD949" s="15"/>
      <c r="DE949" s="15"/>
      <c r="DF949" s="15"/>
      <c r="DG949" s="15"/>
      <c r="DH949" s="15"/>
      <c r="DI949" s="15"/>
      <c r="DJ949" s="15"/>
      <c r="DK949" s="15"/>
      <c r="DL949" s="15"/>
      <c r="DM949" s="15"/>
      <c r="DN949" s="15"/>
      <c r="DO949" s="15"/>
      <c r="DP949" s="15"/>
      <c r="DQ949" s="15"/>
      <c r="DR949" s="15"/>
      <c r="DS949" s="15"/>
      <c r="DT949" s="15"/>
      <c r="DU949" s="15"/>
      <c r="DV949" s="15"/>
      <c r="DW949" s="15"/>
      <c r="DX949" s="15"/>
      <c r="DY949" s="15"/>
      <c r="DZ949" s="15"/>
      <c r="EA949" s="15"/>
      <c r="EB949" s="15"/>
      <c r="EC949" s="15"/>
      <c r="ED949" s="15"/>
      <c r="EE949" s="15"/>
      <c r="EF949" s="15"/>
      <c r="EG949" s="15"/>
      <c r="EH949" s="15"/>
      <c r="EI949" s="15"/>
      <c r="EJ949" s="15"/>
      <c r="EK949" s="15"/>
      <c r="EL949" s="15"/>
      <c r="EM949" s="15"/>
      <c r="EN949" s="15"/>
      <c r="EO949" s="15"/>
      <c r="EP949" s="15"/>
      <c r="EQ949" s="15"/>
      <c r="ER949" s="15"/>
      <c r="ES949" s="15"/>
      <c r="ET949" s="15"/>
      <c r="EU949" s="15"/>
      <c r="EV949" s="15"/>
      <c r="EW949" s="15"/>
      <c r="EX949" s="15"/>
    </row>
    <row r="950" customFormat="false" ht="15.75" hidden="false" customHeight="false" outlineLevel="0" collapsed="false">
      <c r="A950" s="76"/>
      <c r="B950" s="77"/>
      <c r="C950" s="77"/>
      <c r="D950" s="78"/>
      <c r="E950" s="72"/>
      <c r="F950" s="68"/>
      <c r="G950" s="15"/>
      <c r="H950" s="76"/>
      <c r="I950" s="50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  <c r="DC950" s="15"/>
      <c r="DD950" s="15"/>
      <c r="DE950" s="15"/>
      <c r="DF950" s="15"/>
      <c r="DG950" s="15"/>
      <c r="DH950" s="15"/>
      <c r="DI950" s="15"/>
      <c r="DJ950" s="15"/>
      <c r="DK950" s="15"/>
      <c r="DL950" s="15"/>
      <c r="DM950" s="15"/>
      <c r="DN950" s="15"/>
      <c r="DO950" s="15"/>
      <c r="DP950" s="15"/>
      <c r="DQ950" s="15"/>
      <c r="DR950" s="15"/>
      <c r="DS950" s="15"/>
      <c r="DT950" s="15"/>
      <c r="DU950" s="15"/>
      <c r="DV950" s="15"/>
      <c r="DW950" s="15"/>
      <c r="DX950" s="15"/>
      <c r="DY950" s="15"/>
      <c r="DZ950" s="15"/>
      <c r="EA950" s="15"/>
      <c r="EB950" s="15"/>
      <c r="EC950" s="15"/>
      <c r="ED950" s="15"/>
      <c r="EE950" s="15"/>
      <c r="EF950" s="15"/>
      <c r="EG950" s="15"/>
      <c r="EH950" s="15"/>
      <c r="EI950" s="15"/>
      <c r="EJ950" s="15"/>
      <c r="EK950" s="15"/>
      <c r="EL950" s="15"/>
      <c r="EM950" s="15"/>
      <c r="EN950" s="15"/>
      <c r="EO950" s="15"/>
      <c r="EP950" s="15"/>
      <c r="EQ950" s="15"/>
      <c r="ER950" s="15"/>
      <c r="ES950" s="15"/>
      <c r="ET950" s="15"/>
      <c r="EU950" s="15"/>
      <c r="EV950" s="15"/>
      <c r="EW950" s="15"/>
      <c r="EX950" s="15"/>
    </row>
    <row r="951" customFormat="false" ht="15.75" hidden="false" customHeight="false" outlineLevel="0" collapsed="false">
      <c r="A951" s="76"/>
      <c r="B951" s="77"/>
      <c r="C951" s="77"/>
      <c r="D951" s="78"/>
      <c r="E951" s="72"/>
      <c r="F951" s="68"/>
      <c r="G951" s="15"/>
      <c r="H951" s="76"/>
      <c r="I951" s="50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  <c r="DC951" s="15"/>
      <c r="DD951" s="15"/>
      <c r="DE951" s="15"/>
      <c r="DF951" s="15"/>
      <c r="DG951" s="15"/>
      <c r="DH951" s="15"/>
      <c r="DI951" s="15"/>
      <c r="DJ951" s="15"/>
      <c r="DK951" s="15"/>
      <c r="DL951" s="15"/>
      <c r="DM951" s="15"/>
      <c r="DN951" s="15"/>
      <c r="DO951" s="15"/>
      <c r="DP951" s="15"/>
      <c r="DQ951" s="15"/>
      <c r="DR951" s="15"/>
      <c r="DS951" s="15"/>
      <c r="DT951" s="15"/>
      <c r="DU951" s="15"/>
      <c r="DV951" s="15"/>
      <c r="DW951" s="15"/>
      <c r="DX951" s="15"/>
      <c r="DY951" s="15"/>
      <c r="DZ951" s="15"/>
      <c r="EA951" s="15"/>
      <c r="EB951" s="15"/>
      <c r="EC951" s="15"/>
      <c r="ED951" s="15"/>
      <c r="EE951" s="15"/>
      <c r="EF951" s="15"/>
      <c r="EG951" s="15"/>
      <c r="EH951" s="15"/>
      <c r="EI951" s="15"/>
      <c r="EJ951" s="15"/>
      <c r="EK951" s="15"/>
      <c r="EL951" s="15"/>
      <c r="EM951" s="15"/>
      <c r="EN951" s="15"/>
      <c r="EO951" s="15"/>
      <c r="EP951" s="15"/>
      <c r="EQ951" s="15"/>
      <c r="ER951" s="15"/>
      <c r="ES951" s="15"/>
      <c r="ET951" s="15"/>
      <c r="EU951" s="15"/>
      <c r="EV951" s="15"/>
      <c r="EW951" s="15"/>
      <c r="EX951" s="15"/>
    </row>
    <row r="952" customFormat="false" ht="15.75" hidden="false" customHeight="false" outlineLevel="0" collapsed="false">
      <c r="A952" s="76"/>
      <c r="B952" s="77"/>
      <c r="C952" s="77"/>
      <c r="D952" s="78"/>
      <c r="E952" s="72"/>
      <c r="F952" s="68"/>
      <c r="G952" s="15"/>
      <c r="H952" s="76"/>
      <c r="I952" s="50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  <c r="DC952" s="15"/>
      <c r="DD952" s="15"/>
      <c r="DE952" s="15"/>
      <c r="DF952" s="15"/>
      <c r="DG952" s="15"/>
      <c r="DH952" s="15"/>
      <c r="DI952" s="15"/>
      <c r="DJ952" s="15"/>
      <c r="DK952" s="15"/>
      <c r="DL952" s="15"/>
      <c r="DM952" s="15"/>
      <c r="DN952" s="15"/>
      <c r="DO952" s="15"/>
      <c r="DP952" s="15"/>
      <c r="DQ952" s="15"/>
      <c r="DR952" s="15"/>
      <c r="DS952" s="15"/>
      <c r="DT952" s="15"/>
      <c r="DU952" s="15"/>
      <c r="DV952" s="15"/>
      <c r="DW952" s="15"/>
      <c r="DX952" s="15"/>
      <c r="DY952" s="15"/>
      <c r="DZ952" s="15"/>
      <c r="EA952" s="15"/>
      <c r="EB952" s="15"/>
      <c r="EC952" s="15"/>
      <c r="ED952" s="15"/>
      <c r="EE952" s="15"/>
      <c r="EF952" s="15"/>
      <c r="EG952" s="15"/>
      <c r="EH952" s="15"/>
      <c r="EI952" s="15"/>
      <c r="EJ952" s="15"/>
      <c r="EK952" s="15"/>
      <c r="EL952" s="15"/>
      <c r="EM952" s="15"/>
      <c r="EN952" s="15"/>
      <c r="EO952" s="15"/>
      <c r="EP952" s="15"/>
      <c r="EQ952" s="15"/>
      <c r="ER952" s="15"/>
      <c r="ES952" s="15"/>
      <c r="ET952" s="15"/>
      <c r="EU952" s="15"/>
      <c r="EV952" s="15"/>
      <c r="EW952" s="15"/>
      <c r="EX952" s="15"/>
    </row>
    <row r="953" customFormat="false" ht="15.75" hidden="false" customHeight="false" outlineLevel="0" collapsed="false">
      <c r="A953" s="76"/>
      <c r="B953" s="77"/>
      <c r="C953" s="77"/>
      <c r="D953" s="78"/>
      <c r="E953" s="72"/>
      <c r="F953" s="68"/>
      <c r="G953" s="15"/>
      <c r="H953" s="76"/>
      <c r="I953" s="50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  <c r="DC953" s="15"/>
      <c r="DD953" s="15"/>
      <c r="DE953" s="15"/>
      <c r="DF953" s="15"/>
      <c r="DG953" s="15"/>
      <c r="DH953" s="15"/>
      <c r="DI953" s="15"/>
      <c r="DJ953" s="15"/>
      <c r="DK953" s="15"/>
      <c r="DL953" s="15"/>
      <c r="DM953" s="15"/>
      <c r="DN953" s="15"/>
      <c r="DO953" s="15"/>
      <c r="DP953" s="15"/>
      <c r="DQ953" s="15"/>
      <c r="DR953" s="15"/>
      <c r="DS953" s="15"/>
      <c r="DT953" s="15"/>
      <c r="DU953" s="15"/>
      <c r="DV953" s="15"/>
      <c r="DW953" s="15"/>
      <c r="DX953" s="15"/>
      <c r="DY953" s="15"/>
      <c r="DZ953" s="15"/>
      <c r="EA953" s="15"/>
      <c r="EB953" s="15"/>
      <c r="EC953" s="15"/>
      <c r="ED953" s="15"/>
      <c r="EE953" s="15"/>
      <c r="EF953" s="15"/>
      <c r="EG953" s="15"/>
      <c r="EH953" s="15"/>
      <c r="EI953" s="15"/>
      <c r="EJ953" s="15"/>
      <c r="EK953" s="15"/>
      <c r="EL953" s="15"/>
      <c r="EM953" s="15"/>
      <c r="EN953" s="15"/>
      <c r="EO953" s="15"/>
      <c r="EP953" s="15"/>
      <c r="EQ953" s="15"/>
      <c r="ER953" s="15"/>
      <c r="ES953" s="15"/>
      <c r="ET953" s="15"/>
      <c r="EU953" s="15"/>
      <c r="EV953" s="15"/>
      <c r="EW953" s="15"/>
      <c r="EX953" s="15"/>
    </row>
    <row r="954" customFormat="false" ht="15.75" hidden="false" customHeight="false" outlineLevel="0" collapsed="false">
      <c r="A954" s="76"/>
      <c r="B954" s="77"/>
      <c r="C954" s="77"/>
      <c r="D954" s="78"/>
      <c r="E954" s="72"/>
      <c r="F954" s="68"/>
      <c r="G954" s="15"/>
      <c r="H954" s="76"/>
      <c r="I954" s="50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  <c r="DC954" s="15"/>
      <c r="DD954" s="15"/>
      <c r="DE954" s="15"/>
      <c r="DF954" s="15"/>
      <c r="DG954" s="15"/>
      <c r="DH954" s="15"/>
      <c r="DI954" s="15"/>
      <c r="DJ954" s="15"/>
      <c r="DK954" s="15"/>
      <c r="DL954" s="15"/>
      <c r="DM954" s="15"/>
      <c r="DN954" s="15"/>
      <c r="DO954" s="15"/>
      <c r="DP954" s="15"/>
      <c r="DQ954" s="15"/>
      <c r="DR954" s="15"/>
      <c r="DS954" s="15"/>
      <c r="DT954" s="15"/>
      <c r="DU954" s="15"/>
      <c r="DV954" s="15"/>
      <c r="DW954" s="15"/>
      <c r="DX954" s="15"/>
      <c r="DY954" s="15"/>
      <c r="DZ954" s="15"/>
      <c r="EA954" s="15"/>
      <c r="EB954" s="15"/>
      <c r="EC954" s="15"/>
      <c r="ED954" s="15"/>
      <c r="EE954" s="15"/>
      <c r="EF954" s="15"/>
      <c r="EG954" s="15"/>
      <c r="EH954" s="15"/>
      <c r="EI954" s="15"/>
      <c r="EJ954" s="15"/>
      <c r="EK954" s="15"/>
      <c r="EL954" s="15"/>
      <c r="EM954" s="15"/>
      <c r="EN954" s="15"/>
      <c r="EO954" s="15"/>
      <c r="EP954" s="15"/>
      <c r="EQ954" s="15"/>
      <c r="ER954" s="15"/>
      <c r="ES954" s="15"/>
      <c r="ET954" s="15"/>
      <c r="EU954" s="15"/>
      <c r="EV954" s="15"/>
      <c r="EW954" s="15"/>
      <c r="EX954" s="15"/>
    </row>
    <row r="955" customFormat="false" ht="15.75" hidden="false" customHeight="false" outlineLevel="0" collapsed="false">
      <c r="A955" s="76"/>
      <c r="B955" s="77"/>
      <c r="C955" s="77"/>
      <c r="D955" s="78"/>
      <c r="E955" s="72"/>
      <c r="F955" s="68"/>
      <c r="G955" s="15"/>
      <c r="H955" s="76"/>
      <c r="I955" s="50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  <c r="DC955" s="15"/>
      <c r="DD955" s="15"/>
      <c r="DE955" s="15"/>
      <c r="DF955" s="15"/>
      <c r="DG955" s="15"/>
      <c r="DH955" s="15"/>
      <c r="DI955" s="15"/>
      <c r="DJ955" s="15"/>
      <c r="DK955" s="15"/>
      <c r="DL955" s="15"/>
      <c r="DM955" s="15"/>
      <c r="DN955" s="15"/>
      <c r="DO955" s="15"/>
      <c r="DP955" s="15"/>
      <c r="DQ955" s="15"/>
      <c r="DR955" s="15"/>
      <c r="DS955" s="15"/>
      <c r="DT955" s="15"/>
      <c r="DU955" s="15"/>
      <c r="DV955" s="15"/>
      <c r="DW955" s="15"/>
      <c r="DX955" s="15"/>
      <c r="DY955" s="15"/>
      <c r="DZ955" s="15"/>
      <c r="EA955" s="15"/>
      <c r="EB955" s="15"/>
      <c r="EC955" s="15"/>
      <c r="ED955" s="15"/>
      <c r="EE955" s="15"/>
      <c r="EF955" s="15"/>
      <c r="EG955" s="15"/>
      <c r="EH955" s="15"/>
      <c r="EI955" s="15"/>
      <c r="EJ955" s="15"/>
      <c r="EK955" s="15"/>
      <c r="EL955" s="15"/>
      <c r="EM955" s="15"/>
      <c r="EN955" s="15"/>
      <c r="EO955" s="15"/>
      <c r="EP955" s="15"/>
      <c r="EQ955" s="15"/>
      <c r="ER955" s="15"/>
      <c r="ES955" s="15"/>
      <c r="ET955" s="15"/>
      <c r="EU955" s="15"/>
      <c r="EV955" s="15"/>
      <c r="EW955" s="15"/>
      <c r="EX955" s="15"/>
    </row>
    <row r="956" customFormat="false" ht="15.75" hidden="false" customHeight="false" outlineLevel="0" collapsed="false">
      <c r="A956" s="76"/>
      <c r="B956" s="77"/>
      <c r="C956" s="77"/>
      <c r="D956" s="78"/>
      <c r="E956" s="72"/>
      <c r="F956" s="68"/>
      <c r="G956" s="15"/>
      <c r="H956" s="76"/>
      <c r="I956" s="50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  <c r="DC956" s="15"/>
      <c r="DD956" s="15"/>
      <c r="DE956" s="15"/>
      <c r="DF956" s="15"/>
      <c r="DG956" s="15"/>
      <c r="DH956" s="15"/>
      <c r="DI956" s="15"/>
      <c r="DJ956" s="15"/>
      <c r="DK956" s="15"/>
      <c r="DL956" s="15"/>
      <c r="DM956" s="15"/>
      <c r="DN956" s="15"/>
      <c r="DO956" s="15"/>
      <c r="DP956" s="15"/>
      <c r="DQ956" s="15"/>
      <c r="DR956" s="15"/>
      <c r="DS956" s="15"/>
      <c r="DT956" s="15"/>
      <c r="DU956" s="15"/>
      <c r="DV956" s="15"/>
      <c r="DW956" s="15"/>
      <c r="DX956" s="15"/>
      <c r="DY956" s="15"/>
      <c r="DZ956" s="15"/>
      <c r="EA956" s="15"/>
      <c r="EB956" s="15"/>
      <c r="EC956" s="15"/>
      <c r="ED956" s="15"/>
      <c r="EE956" s="15"/>
      <c r="EF956" s="15"/>
      <c r="EG956" s="15"/>
      <c r="EH956" s="15"/>
      <c r="EI956" s="15"/>
      <c r="EJ956" s="15"/>
      <c r="EK956" s="15"/>
      <c r="EL956" s="15"/>
      <c r="EM956" s="15"/>
      <c r="EN956" s="15"/>
      <c r="EO956" s="15"/>
      <c r="EP956" s="15"/>
      <c r="EQ956" s="15"/>
      <c r="ER956" s="15"/>
      <c r="ES956" s="15"/>
      <c r="ET956" s="15"/>
      <c r="EU956" s="15"/>
      <c r="EV956" s="15"/>
      <c r="EW956" s="15"/>
      <c r="EX956" s="15"/>
    </row>
    <row r="957" customFormat="false" ht="15.75" hidden="false" customHeight="false" outlineLevel="0" collapsed="false">
      <c r="A957" s="76"/>
      <c r="B957" s="77"/>
      <c r="C957" s="77"/>
      <c r="D957" s="78"/>
      <c r="E957" s="72"/>
      <c r="F957" s="68"/>
      <c r="G957" s="15"/>
      <c r="H957" s="76"/>
      <c r="I957" s="50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  <c r="DC957" s="15"/>
      <c r="DD957" s="15"/>
      <c r="DE957" s="15"/>
      <c r="DF957" s="15"/>
      <c r="DG957" s="15"/>
      <c r="DH957" s="15"/>
      <c r="DI957" s="15"/>
      <c r="DJ957" s="15"/>
      <c r="DK957" s="15"/>
      <c r="DL957" s="15"/>
      <c r="DM957" s="15"/>
      <c r="DN957" s="15"/>
      <c r="DO957" s="15"/>
      <c r="DP957" s="15"/>
      <c r="DQ957" s="15"/>
      <c r="DR957" s="15"/>
      <c r="DS957" s="15"/>
      <c r="DT957" s="15"/>
      <c r="DU957" s="15"/>
      <c r="DV957" s="15"/>
      <c r="DW957" s="15"/>
      <c r="DX957" s="15"/>
      <c r="DY957" s="15"/>
      <c r="DZ957" s="15"/>
      <c r="EA957" s="15"/>
      <c r="EB957" s="15"/>
      <c r="EC957" s="15"/>
      <c r="ED957" s="15"/>
      <c r="EE957" s="15"/>
      <c r="EF957" s="15"/>
      <c r="EG957" s="15"/>
      <c r="EH957" s="15"/>
      <c r="EI957" s="15"/>
      <c r="EJ957" s="15"/>
      <c r="EK957" s="15"/>
      <c r="EL957" s="15"/>
      <c r="EM957" s="15"/>
      <c r="EN957" s="15"/>
      <c r="EO957" s="15"/>
      <c r="EP957" s="15"/>
      <c r="EQ957" s="15"/>
      <c r="ER957" s="15"/>
      <c r="ES957" s="15"/>
      <c r="ET957" s="15"/>
      <c r="EU957" s="15"/>
      <c r="EV957" s="15"/>
      <c r="EW957" s="15"/>
      <c r="EX957" s="15"/>
    </row>
    <row r="958" customFormat="false" ht="15.75" hidden="false" customHeight="false" outlineLevel="0" collapsed="false">
      <c r="A958" s="76"/>
      <c r="B958" s="77"/>
      <c r="C958" s="77"/>
      <c r="D958" s="78"/>
      <c r="E958" s="72"/>
      <c r="F958" s="68"/>
      <c r="G958" s="15"/>
      <c r="H958" s="76"/>
      <c r="I958" s="50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  <c r="DC958" s="15"/>
      <c r="DD958" s="15"/>
      <c r="DE958" s="15"/>
      <c r="DF958" s="15"/>
      <c r="DG958" s="15"/>
      <c r="DH958" s="15"/>
      <c r="DI958" s="15"/>
      <c r="DJ958" s="15"/>
      <c r="DK958" s="15"/>
      <c r="DL958" s="15"/>
      <c r="DM958" s="15"/>
      <c r="DN958" s="15"/>
      <c r="DO958" s="15"/>
      <c r="DP958" s="15"/>
      <c r="DQ958" s="15"/>
      <c r="DR958" s="15"/>
      <c r="DS958" s="15"/>
      <c r="DT958" s="15"/>
      <c r="DU958" s="15"/>
      <c r="DV958" s="15"/>
      <c r="DW958" s="15"/>
      <c r="DX958" s="15"/>
      <c r="DY958" s="15"/>
      <c r="DZ958" s="15"/>
      <c r="EA958" s="15"/>
      <c r="EB958" s="15"/>
      <c r="EC958" s="15"/>
      <c r="ED958" s="15"/>
      <c r="EE958" s="15"/>
      <c r="EF958" s="15"/>
      <c r="EG958" s="15"/>
      <c r="EH958" s="15"/>
      <c r="EI958" s="15"/>
      <c r="EJ958" s="15"/>
      <c r="EK958" s="15"/>
      <c r="EL958" s="15"/>
      <c r="EM958" s="15"/>
      <c r="EN958" s="15"/>
      <c r="EO958" s="15"/>
      <c r="EP958" s="15"/>
      <c r="EQ958" s="15"/>
      <c r="ER958" s="15"/>
      <c r="ES958" s="15"/>
      <c r="ET958" s="15"/>
      <c r="EU958" s="15"/>
      <c r="EV958" s="15"/>
      <c r="EW958" s="15"/>
      <c r="EX958" s="15"/>
    </row>
    <row r="959" customFormat="false" ht="15.75" hidden="false" customHeight="false" outlineLevel="0" collapsed="false">
      <c r="A959" s="76"/>
      <c r="B959" s="77"/>
      <c r="C959" s="77"/>
      <c r="D959" s="78"/>
      <c r="E959" s="72"/>
      <c r="F959" s="68"/>
      <c r="G959" s="15"/>
      <c r="H959" s="76"/>
      <c r="I959" s="50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  <c r="DY959" s="15"/>
      <c r="DZ959" s="15"/>
      <c r="EA959" s="15"/>
      <c r="EB959" s="15"/>
      <c r="EC959" s="15"/>
      <c r="ED959" s="15"/>
      <c r="EE959" s="15"/>
      <c r="EF959" s="15"/>
      <c r="EG959" s="15"/>
      <c r="EH959" s="15"/>
      <c r="EI959" s="15"/>
      <c r="EJ959" s="15"/>
      <c r="EK959" s="15"/>
      <c r="EL959" s="15"/>
      <c r="EM959" s="15"/>
      <c r="EN959" s="15"/>
      <c r="EO959" s="15"/>
      <c r="EP959" s="15"/>
      <c r="EQ959" s="15"/>
      <c r="ER959" s="15"/>
      <c r="ES959" s="15"/>
      <c r="ET959" s="15"/>
      <c r="EU959" s="15"/>
      <c r="EV959" s="15"/>
      <c r="EW959" s="15"/>
      <c r="EX959" s="15"/>
    </row>
    <row r="960" customFormat="false" ht="15.75" hidden="false" customHeight="false" outlineLevel="0" collapsed="false">
      <c r="A960" s="76"/>
      <c r="B960" s="77"/>
      <c r="C960" s="77"/>
      <c r="D960" s="78"/>
      <c r="E960" s="72"/>
      <c r="F960" s="68"/>
      <c r="G960" s="15"/>
      <c r="H960" s="76"/>
      <c r="I960" s="50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  <c r="DY960" s="15"/>
      <c r="DZ960" s="15"/>
      <c r="EA960" s="15"/>
      <c r="EB960" s="15"/>
      <c r="EC960" s="15"/>
      <c r="ED960" s="15"/>
      <c r="EE960" s="15"/>
      <c r="EF960" s="15"/>
      <c r="EG960" s="15"/>
      <c r="EH960" s="15"/>
      <c r="EI960" s="15"/>
      <c r="EJ960" s="15"/>
      <c r="EK960" s="15"/>
      <c r="EL960" s="15"/>
      <c r="EM960" s="15"/>
      <c r="EN960" s="15"/>
      <c r="EO960" s="15"/>
      <c r="EP960" s="15"/>
      <c r="EQ960" s="15"/>
      <c r="ER960" s="15"/>
      <c r="ES960" s="15"/>
      <c r="ET960" s="15"/>
      <c r="EU960" s="15"/>
      <c r="EV960" s="15"/>
      <c r="EW960" s="15"/>
      <c r="EX960" s="15"/>
    </row>
    <row r="961" customFormat="false" ht="15.75" hidden="false" customHeight="false" outlineLevel="0" collapsed="false">
      <c r="A961" s="76"/>
      <c r="B961" s="77"/>
      <c r="C961" s="77"/>
      <c r="D961" s="78"/>
      <c r="E961" s="72"/>
      <c r="F961" s="68"/>
      <c r="G961" s="15"/>
      <c r="H961" s="76"/>
      <c r="I961" s="50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  <c r="DY961" s="15"/>
      <c r="DZ961" s="15"/>
      <c r="EA961" s="15"/>
      <c r="EB961" s="15"/>
      <c r="EC961" s="15"/>
      <c r="ED961" s="15"/>
      <c r="EE961" s="15"/>
      <c r="EF961" s="15"/>
      <c r="EG961" s="15"/>
      <c r="EH961" s="15"/>
      <c r="EI961" s="15"/>
      <c r="EJ961" s="15"/>
      <c r="EK961" s="15"/>
      <c r="EL961" s="15"/>
      <c r="EM961" s="15"/>
      <c r="EN961" s="15"/>
      <c r="EO961" s="15"/>
      <c r="EP961" s="15"/>
      <c r="EQ961" s="15"/>
      <c r="ER961" s="15"/>
      <c r="ES961" s="15"/>
      <c r="ET961" s="15"/>
      <c r="EU961" s="15"/>
      <c r="EV961" s="15"/>
      <c r="EW961" s="15"/>
      <c r="EX961" s="15"/>
    </row>
    <row r="962" customFormat="false" ht="15.75" hidden="false" customHeight="false" outlineLevel="0" collapsed="false">
      <c r="A962" s="76"/>
      <c r="B962" s="77"/>
      <c r="C962" s="77"/>
      <c r="D962" s="78"/>
      <c r="E962" s="72"/>
      <c r="F962" s="68"/>
      <c r="G962" s="15"/>
      <c r="H962" s="76"/>
      <c r="I962" s="50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  <c r="DC962" s="15"/>
      <c r="DD962" s="15"/>
      <c r="DE962" s="15"/>
      <c r="DF962" s="15"/>
      <c r="DG962" s="15"/>
      <c r="DH962" s="15"/>
      <c r="DI962" s="15"/>
      <c r="DJ962" s="15"/>
      <c r="DK962" s="15"/>
      <c r="DL962" s="15"/>
      <c r="DM962" s="15"/>
      <c r="DN962" s="15"/>
      <c r="DO962" s="15"/>
      <c r="DP962" s="15"/>
      <c r="DQ962" s="15"/>
      <c r="DR962" s="15"/>
      <c r="DS962" s="15"/>
      <c r="DT962" s="15"/>
      <c r="DU962" s="15"/>
      <c r="DV962" s="15"/>
      <c r="DW962" s="15"/>
      <c r="DX962" s="15"/>
      <c r="DY962" s="15"/>
      <c r="DZ962" s="15"/>
      <c r="EA962" s="15"/>
      <c r="EB962" s="15"/>
      <c r="EC962" s="15"/>
      <c r="ED962" s="15"/>
      <c r="EE962" s="15"/>
      <c r="EF962" s="15"/>
      <c r="EG962" s="15"/>
      <c r="EH962" s="15"/>
      <c r="EI962" s="15"/>
      <c r="EJ962" s="15"/>
      <c r="EK962" s="15"/>
      <c r="EL962" s="15"/>
      <c r="EM962" s="15"/>
      <c r="EN962" s="15"/>
      <c r="EO962" s="15"/>
      <c r="EP962" s="15"/>
      <c r="EQ962" s="15"/>
      <c r="ER962" s="15"/>
      <c r="ES962" s="15"/>
      <c r="ET962" s="15"/>
      <c r="EU962" s="15"/>
      <c r="EV962" s="15"/>
      <c r="EW962" s="15"/>
      <c r="EX962" s="15"/>
    </row>
    <row r="963" customFormat="false" ht="15.75" hidden="false" customHeight="false" outlineLevel="0" collapsed="false">
      <c r="A963" s="76"/>
      <c r="B963" s="77"/>
      <c r="C963" s="77"/>
      <c r="D963" s="78"/>
      <c r="E963" s="72"/>
      <c r="F963" s="68"/>
      <c r="G963" s="15"/>
      <c r="H963" s="76"/>
      <c r="I963" s="50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  <c r="DC963" s="15"/>
      <c r="DD963" s="15"/>
      <c r="DE963" s="15"/>
      <c r="DF963" s="15"/>
      <c r="DG963" s="15"/>
      <c r="DH963" s="15"/>
      <c r="DI963" s="15"/>
      <c r="DJ963" s="15"/>
      <c r="DK963" s="15"/>
      <c r="DL963" s="15"/>
      <c r="DM963" s="15"/>
      <c r="DN963" s="15"/>
      <c r="DO963" s="15"/>
      <c r="DP963" s="15"/>
      <c r="DQ963" s="15"/>
      <c r="DR963" s="15"/>
      <c r="DS963" s="15"/>
      <c r="DT963" s="15"/>
      <c r="DU963" s="15"/>
      <c r="DV963" s="15"/>
      <c r="DW963" s="15"/>
      <c r="DX963" s="15"/>
      <c r="DY963" s="15"/>
      <c r="DZ963" s="15"/>
      <c r="EA963" s="15"/>
      <c r="EB963" s="15"/>
      <c r="EC963" s="15"/>
      <c r="ED963" s="15"/>
      <c r="EE963" s="15"/>
      <c r="EF963" s="15"/>
      <c r="EG963" s="15"/>
      <c r="EH963" s="15"/>
      <c r="EI963" s="15"/>
      <c r="EJ963" s="15"/>
      <c r="EK963" s="15"/>
      <c r="EL963" s="15"/>
      <c r="EM963" s="15"/>
      <c r="EN963" s="15"/>
      <c r="EO963" s="15"/>
      <c r="EP963" s="15"/>
      <c r="EQ963" s="15"/>
      <c r="ER963" s="15"/>
      <c r="ES963" s="15"/>
      <c r="ET963" s="15"/>
      <c r="EU963" s="15"/>
      <c r="EV963" s="15"/>
      <c r="EW963" s="15"/>
      <c r="EX963" s="15"/>
    </row>
    <row r="964" customFormat="false" ht="15.75" hidden="false" customHeight="false" outlineLevel="0" collapsed="false">
      <c r="A964" s="76"/>
      <c r="B964" s="77"/>
      <c r="C964" s="77"/>
      <c r="D964" s="78"/>
      <c r="E964" s="72"/>
      <c r="F964" s="68"/>
      <c r="G964" s="15"/>
      <c r="H964" s="76"/>
      <c r="I964" s="50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  <c r="DC964" s="15"/>
      <c r="DD964" s="15"/>
      <c r="DE964" s="15"/>
      <c r="DF964" s="15"/>
      <c r="DG964" s="15"/>
      <c r="DH964" s="15"/>
      <c r="DI964" s="15"/>
      <c r="DJ964" s="15"/>
      <c r="DK964" s="15"/>
      <c r="DL964" s="15"/>
      <c r="DM964" s="15"/>
      <c r="DN964" s="15"/>
      <c r="DO964" s="15"/>
      <c r="DP964" s="15"/>
      <c r="DQ964" s="15"/>
      <c r="DR964" s="15"/>
      <c r="DS964" s="15"/>
      <c r="DT964" s="15"/>
      <c r="DU964" s="15"/>
      <c r="DV964" s="15"/>
      <c r="DW964" s="15"/>
      <c r="DX964" s="15"/>
      <c r="DY964" s="15"/>
      <c r="DZ964" s="15"/>
      <c r="EA964" s="15"/>
      <c r="EB964" s="15"/>
      <c r="EC964" s="15"/>
      <c r="ED964" s="15"/>
      <c r="EE964" s="15"/>
      <c r="EF964" s="15"/>
      <c r="EG964" s="15"/>
      <c r="EH964" s="15"/>
      <c r="EI964" s="15"/>
      <c r="EJ964" s="15"/>
      <c r="EK964" s="15"/>
      <c r="EL964" s="15"/>
      <c r="EM964" s="15"/>
      <c r="EN964" s="15"/>
      <c r="EO964" s="15"/>
      <c r="EP964" s="15"/>
      <c r="EQ964" s="15"/>
      <c r="ER964" s="15"/>
      <c r="ES964" s="15"/>
      <c r="ET964" s="15"/>
      <c r="EU964" s="15"/>
      <c r="EV964" s="15"/>
      <c r="EW964" s="15"/>
      <c r="EX964" s="15"/>
    </row>
    <row r="965" customFormat="false" ht="15.75" hidden="false" customHeight="false" outlineLevel="0" collapsed="false">
      <c r="A965" s="76"/>
      <c r="B965" s="77"/>
      <c r="C965" s="77"/>
      <c r="D965" s="78"/>
      <c r="E965" s="72"/>
      <c r="F965" s="68"/>
      <c r="G965" s="15"/>
      <c r="H965" s="76"/>
      <c r="I965" s="50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5"/>
      <c r="DO965" s="15"/>
      <c r="DP965" s="15"/>
      <c r="DQ965" s="15"/>
      <c r="DR965" s="15"/>
      <c r="DS965" s="15"/>
      <c r="DT965" s="15"/>
      <c r="DU965" s="15"/>
      <c r="DV965" s="15"/>
      <c r="DW965" s="15"/>
      <c r="DX965" s="15"/>
      <c r="DY965" s="15"/>
      <c r="DZ965" s="15"/>
      <c r="EA965" s="15"/>
      <c r="EB965" s="15"/>
      <c r="EC965" s="15"/>
      <c r="ED965" s="15"/>
      <c r="EE965" s="15"/>
      <c r="EF965" s="15"/>
      <c r="EG965" s="15"/>
      <c r="EH965" s="15"/>
      <c r="EI965" s="15"/>
      <c r="EJ965" s="15"/>
      <c r="EK965" s="15"/>
      <c r="EL965" s="15"/>
      <c r="EM965" s="15"/>
      <c r="EN965" s="15"/>
      <c r="EO965" s="15"/>
      <c r="EP965" s="15"/>
      <c r="EQ965" s="15"/>
      <c r="ER965" s="15"/>
      <c r="ES965" s="15"/>
      <c r="ET965" s="15"/>
      <c r="EU965" s="15"/>
      <c r="EV965" s="15"/>
      <c r="EW965" s="15"/>
      <c r="EX965" s="15"/>
    </row>
    <row r="966" customFormat="false" ht="15.75" hidden="false" customHeight="false" outlineLevel="0" collapsed="false">
      <c r="A966" s="76"/>
      <c r="B966" s="77"/>
      <c r="C966" s="77"/>
      <c r="D966" s="78"/>
      <c r="E966" s="72"/>
      <c r="F966" s="68"/>
      <c r="G966" s="15"/>
      <c r="H966" s="76"/>
      <c r="I966" s="50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  <c r="DC966" s="15"/>
      <c r="DD966" s="15"/>
      <c r="DE966" s="15"/>
      <c r="DF966" s="15"/>
      <c r="DG966" s="15"/>
      <c r="DH966" s="15"/>
      <c r="DI966" s="15"/>
      <c r="DJ966" s="15"/>
      <c r="DK966" s="15"/>
      <c r="DL966" s="15"/>
      <c r="DM966" s="15"/>
      <c r="DN966" s="15"/>
      <c r="DO966" s="15"/>
      <c r="DP966" s="15"/>
      <c r="DQ966" s="15"/>
      <c r="DR966" s="15"/>
      <c r="DS966" s="15"/>
      <c r="DT966" s="15"/>
      <c r="DU966" s="15"/>
      <c r="DV966" s="15"/>
      <c r="DW966" s="15"/>
      <c r="DX966" s="15"/>
      <c r="DY966" s="15"/>
      <c r="DZ966" s="15"/>
      <c r="EA966" s="15"/>
      <c r="EB966" s="15"/>
      <c r="EC966" s="15"/>
      <c r="ED966" s="15"/>
      <c r="EE966" s="15"/>
      <c r="EF966" s="15"/>
      <c r="EG966" s="15"/>
      <c r="EH966" s="15"/>
      <c r="EI966" s="15"/>
      <c r="EJ966" s="15"/>
      <c r="EK966" s="15"/>
      <c r="EL966" s="15"/>
      <c r="EM966" s="15"/>
      <c r="EN966" s="15"/>
      <c r="EO966" s="15"/>
      <c r="EP966" s="15"/>
      <c r="EQ966" s="15"/>
      <c r="ER966" s="15"/>
      <c r="ES966" s="15"/>
      <c r="ET966" s="15"/>
      <c r="EU966" s="15"/>
      <c r="EV966" s="15"/>
      <c r="EW966" s="15"/>
      <c r="EX966" s="15"/>
    </row>
    <row r="967" customFormat="false" ht="15.75" hidden="false" customHeight="false" outlineLevel="0" collapsed="false">
      <c r="A967" s="76"/>
      <c r="B967" s="77"/>
      <c r="C967" s="77"/>
      <c r="D967" s="78"/>
      <c r="E967" s="72"/>
      <c r="F967" s="68"/>
      <c r="G967" s="15"/>
      <c r="H967" s="76"/>
      <c r="I967" s="50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  <c r="DC967" s="15"/>
      <c r="DD967" s="15"/>
      <c r="DE967" s="15"/>
      <c r="DF967" s="15"/>
      <c r="DG967" s="15"/>
      <c r="DH967" s="15"/>
      <c r="DI967" s="15"/>
      <c r="DJ967" s="15"/>
      <c r="DK967" s="15"/>
      <c r="DL967" s="15"/>
      <c r="DM967" s="15"/>
      <c r="DN967" s="15"/>
      <c r="DO967" s="15"/>
      <c r="DP967" s="15"/>
      <c r="DQ967" s="15"/>
      <c r="DR967" s="15"/>
      <c r="DS967" s="15"/>
      <c r="DT967" s="15"/>
      <c r="DU967" s="15"/>
      <c r="DV967" s="15"/>
      <c r="DW967" s="15"/>
      <c r="DX967" s="15"/>
      <c r="DY967" s="15"/>
      <c r="DZ967" s="15"/>
      <c r="EA967" s="15"/>
      <c r="EB967" s="15"/>
      <c r="EC967" s="15"/>
      <c r="ED967" s="15"/>
      <c r="EE967" s="15"/>
      <c r="EF967" s="15"/>
      <c r="EG967" s="15"/>
      <c r="EH967" s="15"/>
      <c r="EI967" s="15"/>
      <c r="EJ967" s="15"/>
      <c r="EK967" s="15"/>
      <c r="EL967" s="15"/>
      <c r="EM967" s="15"/>
      <c r="EN967" s="15"/>
      <c r="EO967" s="15"/>
      <c r="EP967" s="15"/>
      <c r="EQ967" s="15"/>
      <c r="ER967" s="15"/>
      <c r="ES967" s="15"/>
      <c r="ET967" s="15"/>
      <c r="EU967" s="15"/>
      <c r="EV967" s="15"/>
      <c r="EW967" s="15"/>
      <c r="EX967" s="15"/>
    </row>
    <row r="968" customFormat="false" ht="15.75" hidden="false" customHeight="false" outlineLevel="0" collapsed="false">
      <c r="A968" s="76"/>
      <c r="B968" s="77"/>
      <c r="C968" s="77"/>
      <c r="D968" s="78"/>
      <c r="E968" s="72"/>
      <c r="F968" s="68"/>
      <c r="G968" s="15"/>
      <c r="H968" s="76"/>
      <c r="I968" s="50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  <c r="DC968" s="15"/>
      <c r="DD968" s="15"/>
      <c r="DE968" s="15"/>
      <c r="DF968" s="15"/>
      <c r="DG968" s="15"/>
      <c r="DH968" s="15"/>
      <c r="DI968" s="15"/>
      <c r="DJ968" s="15"/>
      <c r="DK968" s="15"/>
      <c r="DL968" s="15"/>
      <c r="DM968" s="15"/>
      <c r="DN968" s="15"/>
      <c r="DO968" s="15"/>
      <c r="DP968" s="15"/>
      <c r="DQ968" s="15"/>
      <c r="DR968" s="15"/>
      <c r="DS968" s="15"/>
      <c r="DT968" s="15"/>
      <c r="DU968" s="15"/>
      <c r="DV968" s="15"/>
      <c r="DW968" s="15"/>
      <c r="DX968" s="15"/>
      <c r="DY968" s="15"/>
      <c r="DZ968" s="15"/>
      <c r="EA968" s="15"/>
      <c r="EB968" s="15"/>
      <c r="EC968" s="15"/>
      <c r="ED968" s="15"/>
      <c r="EE968" s="15"/>
      <c r="EF968" s="15"/>
      <c r="EG968" s="15"/>
      <c r="EH968" s="15"/>
      <c r="EI968" s="15"/>
      <c r="EJ968" s="15"/>
      <c r="EK968" s="15"/>
      <c r="EL968" s="15"/>
      <c r="EM968" s="15"/>
      <c r="EN968" s="15"/>
      <c r="EO968" s="15"/>
      <c r="EP968" s="15"/>
      <c r="EQ968" s="15"/>
      <c r="ER968" s="15"/>
      <c r="ES968" s="15"/>
      <c r="ET968" s="15"/>
      <c r="EU968" s="15"/>
      <c r="EV968" s="15"/>
      <c r="EW968" s="15"/>
      <c r="EX968" s="15"/>
    </row>
    <row r="969" customFormat="false" ht="15.75" hidden="false" customHeight="false" outlineLevel="0" collapsed="false">
      <c r="A969" s="76"/>
      <c r="B969" s="77"/>
      <c r="C969" s="77"/>
      <c r="D969" s="78"/>
      <c r="E969" s="72"/>
      <c r="F969" s="68"/>
      <c r="G969" s="15"/>
      <c r="H969" s="76"/>
      <c r="I969" s="50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  <c r="DC969" s="15"/>
      <c r="DD969" s="15"/>
      <c r="DE969" s="15"/>
      <c r="DF969" s="15"/>
      <c r="DG969" s="15"/>
      <c r="DH969" s="15"/>
      <c r="DI969" s="15"/>
      <c r="DJ969" s="15"/>
      <c r="DK969" s="15"/>
      <c r="DL969" s="15"/>
      <c r="DM969" s="15"/>
      <c r="DN969" s="15"/>
      <c r="DO969" s="15"/>
      <c r="DP969" s="15"/>
      <c r="DQ969" s="15"/>
      <c r="DR969" s="15"/>
      <c r="DS969" s="15"/>
      <c r="DT969" s="15"/>
      <c r="DU969" s="15"/>
      <c r="DV969" s="15"/>
      <c r="DW969" s="15"/>
      <c r="DX969" s="15"/>
      <c r="DY969" s="15"/>
      <c r="DZ969" s="15"/>
      <c r="EA969" s="15"/>
      <c r="EB969" s="15"/>
      <c r="EC969" s="15"/>
      <c r="ED969" s="15"/>
      <c r="EE969" s="15"/>
      <c r="EF969" s="15"/>
      <c r="EG969" s="15"/>
      <c r="EH969" s="15"/>
      <c r="EI969" s="15"/>
      <c r="EJ969" s="15"/>
      <c r="EK969" s="15"/>
      <c r="EL969" s="15"/>
      <c r="EM969" s="15"/>
      <c r="EN969" s="15"/>
      <c r="EO969" s="15"/>
      <c r="EP969" s="15"/>
      <c r="EQ969" s="15"/>
      <c r="ER969" s="15"/>
      <c r="ES969" s="15"/>
      <c r="ET969" s="15"/>
      <c r="EU969" s="15"/>
      <c r="EV969" s="15"/>
      <c r="EW969" s="15"/>
      <c r="EX969" s="15"/>
    </row>
    <row r="970" customFormat="false" ht="15.75" hidden="false" customHeight="false" outlineLevel="0" collapsed="false">
      <c r="A970" s="76"/>
      <c r="B970" s="77"/>
      <c r="C970" s="77"/>
      <c r="D970" s="78"/>
      <c r="E970" s="72"/>
      <c r="F970" s="68"/>
      <c r="G970" s="15"/>
      <c r="H970" s="76"/>
      <c r="I970" s="50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  <c r="DC970" s="15"/>
      <c r="DD970" s="15"/>
      <c r="DE970" s="15"/>
      <c r="DF970" s="15"/>
      <c r="DG970" s="15"/>
      <c r="DH970" s="15"/>
      <c r="DI970" s="15"/>
      <c r="DJ970" s="15"/>
      <c r="DK970" s="15"/>
      <c r="DL970" s="15"/>
      <c r="DM970" s="15"/>
      <c r="DN970" s="15"/>
      <c r="DO970" s="15"/>
      <c r="DP970" s="15"/>
      <c r="DQ970" s="15"/>
      <c r="DR970" s="15"/>
      <c r="DS970" s="15"/>
      <c r="DT970" s="15"/>
      <c r="DU970" s="15"/>
      <c r="DV970" s="15"/>
      <c r="DW970" s="15"/>
      <c r="DX970" s="15"/>
      <c r="DY970" s="15"/>
      <c r="DZ970" s="15"/>
      <c r="EA970" s="15"/>
      <c r="EB970" s="15"/>
      <c r="EC970" s="15"/>
      <c r="ED970" s="15"/>
      <c r="EE970" s="15"/>
      <c r="EF970" s="15"/>
      <c r="EG970" s="15"/>
      <c r="EH970" s="15"/>
      <c r="EI970" s="15"/>
      <c r="EJ970" s="15"/>
      <c r="EK970" s="15"/>
      <c r="EL970" s="15"/>
      <c r="EM970" s="15"/>
      <c r="EN970" s="15"/>
      <c r="EO970" s="15"/>
      <c r="EP970" s="15"/>
      <c r="EQ970" s="15"/>
      <c r="ER970" s="15"/>
      <c r="ES970" s="15"/>
      <c r="ET970" s="15"/>
      <c r="EU970" s="15"/>
      <c r="EV970" s="15"/>
      <c r="EW970" s="15"/>
      <c r="EX970" s="15"/>
    </row>
    <row r="971" customFormat="false" ht="15.75" hidden="false" customHeight="false" outlineLevel="0" collapsed="false">
      <c r="A971" s="76"/>
      <c r="B971" s="77"/>
      <c r="C971" s="77"/>
      <c r="D971" s="78"/>
      <c r="E971" s="72"/>
      <c r="F971" s="68"/>
      <c r="G971" s="15"/>
      <c r="H971" s="76"/>
      <c r="I971" s="50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  <c r="DC971" s="15"/>
      <c r="DD971" s="15"/>
      <c r="DE971" s="15"/>
      <c r="DF971" s="15"/>
      <c r="DG971" s="15"/>
      <c r="DH971" s="15"/>
      <c r="DI971" s="15"/>
      <c r="DJ971" s="15"/>
      <c r="DK971" s="15"/>
      <c r="DL971" s="15"/>
      <c r="DM971" s="15"/>
      <c r="DN971" s="15"/>
      <c r="DO971" s="15"/>
      <c r="DP971" s="15"/>
      <c r="DQ971" s="15"/>
      <c r="DR971" s="15"/>
      <c r="DS971" s="15"/>
      <c r="DT971" s="15"/>
      <c r="DU971" s="15"/>
      <c r="DV971" s="15"/>
      <c r="DW971" s="15"/>
      <c r="DX971" s="15"/>
      <c r="DY971" s="15"/>
      <c r="DZ971" s="15"/>
      <c r="EA971" s="15"/>
      <c r="EB971" s="15"/>
      <c r="EC971" s="15"/>
      <c r="ED971" s="15"/>
      <c r="EE971" s="15"/>
      <c r="EF971" s="15"/>
      <c r="EG971" s="15"/>
      <c r="EH971" s="15"/>
      <c r="EI971" s="15"/>
      <c r="EJ971" s="15"/>
      <c r="EK971" s="15"/>
      <c r="EL971" s="15"/>
      <c r="EM971" s="15"/>
      <c r="EN971" s="15"/>
      <c r="EO971" s="15"/>
      <c r="EP971" s="15"/>
      <c r="EQ971" s="15"/>
      <c r="ER971" s="15"/>
      <c r="ES971" s="15"/>
      <c r="ET971" s="15"/>
      <c r="EU971" s="15"/>
      <c r="EV971" s="15"/>
      <c r="EW971" s="15"/>
      <c r="EX971" s="15"/>
    </row>
    <row r="972" customFormat="false" ht="15.75" hidden="false" customHeight="false" outlineLevel="0" collapsed="false">
      <c r="A972" s="76"/>
      <c r="B972" s="77"/>
      <c r="C972" s="77"/>
      <c r="D972" s="78"/>
      <c r="E972" s="72"/>
      <c r="F972" s="68"/>
      <c r="G972" s="15"/>
      <c r="H972" s="76"/>
      <c r="I972" s="50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  <c r="DC972" s="15"/>
      <c r="DD972" s="15"/>
      <c r="DE972" s="15"/>
      <c r="DF972" s="15"/>
      <c r="DG972" s="15"/>
      <c r="DH972" s="15"/>
      <c r="DI972" s="15"/>
      <c r="DJ972" s="15"/>
      <c r="DK972" s="15"/>
      <c r="DL972" s="15"/>
      <c r="DM972" s="15"/>
      <c r="DN972" s="15"/>
      <c r="DO972" s="15"/>
      <c r="DP972" s="15"/>
      <c r="DQ972" s="15"/>
      <c r="DR972" s="15"/>
      <c r="DS972" s="15"/>
      <c r="DT972" s="15"/>
      <c r="DU972" s="15"/>
      <c r="DV972" s="15"/>
      <c r="DW972" s="15"/>
      <c r="DX972" s="15"/>
      <c r="DY972" s="15"/>
      <c r="DZ972" s="15"/>
      <c r="EA972" s="15"/>
      <c r="EB972" s="15"/>
      <c r="EC972" s="15"/>
      <c r="ED972" s="15"/>
      <c r="EE972" s="15"/>
      <c r="EF972" s="15"/>
      <c r="EG972" s="15"/>
      <c r="EH972" s="15"/>
      <c r="EI972" s="15"/>
      <c r="EJ972" s="15"/>
      <c r="EK972" s="15"/>
      <c r="EL972" s="15"/>
      <c r="EM972" s="15"/>
      <c r="EN972" s="15"/>
      <c r="EO972" s="15"/>
      <c r="EP972" s="15"/>
      <c r="EQ972" s="15"/>
      <c r="ER972" s="15"/>
      <c r="ES972" s="15"/>
      <c r="ET972" s="15"/>
      <c r="EU972" s="15"/>
      <c r="EV972" s="15"/>
      <c r="EW972" s="15"/>
      <c r="EX972" s="15"/>
    </row>
    <row r="973" customFormat="false" ht="15.75" hidden="false" customHeight="false" outlineLevel="0" collapsed="false">
      <c r="A973" s="76"/>
      <c r="B973" s="77"/>
      <c r="C973" s="77"/>
      <c r="D973" s="78"/>
      <c r="E973" s="72"/>
      <c r="F973" s="68"/>
      <c r="G973" s="15"/>
      <c r="H973" s="76"/>
      <c r="I973" s="50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  <c r="DY973" s="15"/>
      <c r="DZ973" s="15"/>
      <c r="EA973" s="15"/>
      <c r="EB973" s="15"/>
      <c r="EC973" s="15"/>
      <c r="ED973" s="15"/>
      <c r="EE973" s="15"/>
      <c r="EF973" s="15"/>
      <c r="EG973" s="15"/>
      <c r="EH973" s="15"/>
      <c r="EI973" s="15"/>
      <c r="EJ973" s="15"/>
      <c r="EK973" s="15"/>
      <c r="EL973" s="15"/>
      <c r="EM973" s="15"/>
      <c r="EN973" s="15"/>
      <c r="EO973" s="15"/>
      <c r="EP973" s="15"/>
      <c r="EQ973" s="15"/>
      <c r="ER973" s="15"/>
      <c r="ES973" s="15"/>
      <c r="ET973" s="15"/>
      <c r="EU973" s="15"/>
      <c r="EV973" s="15"/>
      <c r="EW973" s="15"/>
      <c r="EX973" s="15"/>
    </row>
    <row r="974" customFormat="false" ht="15.75" hidden="false" customHeight="false" outlineLevel="0" collapsed="false">
      <c r="A974" s="76"/>
      <c r="B974" s="77"/>
      <c r="C974" s="77"/>
      <c r="D974" s="78"/>
      <c r="E974" s="72"/>
      <c r="F974" s="68"/>
      <c r="G974" s="15"/>
      <c r="H974" s="76"/>
      <c r="I974" s="50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  <c r="DY974" s="15"/>
      <c r="DZ974" s="15"/>
      <c r="EA974" s="15"/>
      <c r="EB974" s="15"/>
      <c r="EC974" s="15"/>
      <c r="ED974" s="15"/>
      <c r="EE974" s="15"/>
      <c r="EF974" s="15"/>
      <c r="EG974" s="15"/>
      <c r="EH974" s="15"/>
      <c r="EI974" s="15"/>
      <c r="EJ974" s="15"/>
      <c r="EK974" s="15"/>
      <c r="EL974" s="15"/>
      <c r="EM974" s="15"/>
      <c r="EN974" s="15"/>
      <c r="EO974" s="15"/>
      <c r="EP974" s="15"/>
      <c r="EQ974" s="15"/>
      <c r="ER974" s="15"/>
      <c r="ES974" s="15"/>
      <c r="ET974" s="15"/>
      <c r="EU974" s="15"/>
      <c r="EV974" s="15"/>
      <c r="EW974" s="15"/>
      <c r="EX974" s="15"/>
    </row>
    <row r="975" customFormat="false" ht="15.75" hidden="false" customHeight="false" outlineLevel="0" collapsed="false">
      <c r="A975" s="76"/>
      <c r="B975" s="77"/>
      <c r="C975" s="77"/>
      <c r="D975" s="78"/>
      <c r="E975" s="72"/>
      <c r="F975" s="68"/>
      <c r="G975" s="15"/>
      <c r="H975" s="76"/>
      <c r="I975" s="50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  <c r="DC975" s="15"/>
      <c r="DD975" s="15"/>
      <c r="DE975" s="15"/>
      <c r="DF975" s="15"/>
      <c r="DG975" s="15"/>
      <c r="DH975" s="15"/>
      <c r="DI975" s="15"/>
      <c r="DJ975" s="15"/>
      <c r="DK975" s="15"/>
      <c r="DL975" s="15"/>
      <c r="DM975" s="15"/>
      <c r="DN975" s="15"/>
      <c r="DO975" s="15"/>
      <c r="DP975" s="15"/>
      <c r="DQ975" s="15"/>
      <c r="DR975" s="15"/>
      <c r="DS975" s="15"/>
      <c r="DT975" s="15"/>
      <c r="DU975" s="15"/>
      <c r="DV975" s="15"/>
      <c r="DW975" s="15"/>
      <c r="DX975" s="15"/>
      <c r="DY975" s="15"/>
      <c r="DZ975" s="15"/>
      <c r="EA975" s="15"/>
      <c r="EB975" s="15"/>
      <c r="EC975" s="15"/>
      <c r="ED975" s="15"/>
      <c r="EE975" s="15"/>
      <c r="EF975" s="15"/>
      <c r="EG975" s="15"/>
      <c r="EH975" s="15"/>
      <c r="EI975" s="15"/>
      <c r="EJ975" s="15"/>
      <c r="EK975" s="15"/>
      <c r="EL975" s="15"/>
      <c r="EM975" s="15"/>
      <c r="EN975" s="15"/>
      <c r="EO975" s="15"/>
      <c r="EP975" s="15"/>
      <c r="EQ975" s="15"/>
      <c r="ER975" s="15"/>
      <c r="ES975" s="15"/>
      <c r="ET975" s="15"/>
      <c r="EU975" s="15"/>
      <c r="EV975" s="15"/>
      <c r="EW975" s="15"/>
      <c r="EX975" s="15"/>
    </row>
    <row r="976" customFormat="false" ht="15.75" hidden="false" customHeight="false" outlineLevel="0" collapsed="false">
      <c r="A976" s="76"/>
      <c r="B976" s="77"/>
      <c r="C976" s="77"/>
      <c r="D976" s="78"/>
      <c r="E976" s="72"/>
      <c r="F976" s="68"/>
      <c r="G976" s="15"/>
      <c r="H976" s="76"/>
      <c r="I976" s="50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  <c r="DC976" s="15"/>
      <c r="DD976" s="15"/>
      <c r="DE976" s="15"/>
      <c r="DF976" s="15"/>
      <c r="DG976" s="15"/>
      <c r="DH976" s="15"/>
      <c r="DI976" s="15"/>
      <c r="DJ976" s="15"/>
      <c r="DK976" s="15"/>
      <c r="DL976" s="15"/>
      <c r="DM976" s="15"/>
      <c r="DN976" s="15"/>
      <c r="DO976" s="15"/>
      <c r="DP976" s="15"/>
      <c r="DQ976" s="15"/>
      <c r="DR976" s="15"/>
      <c r="DS976" s="15"/>
      <c r="DT976" s="15"/>
      <c r="DU976" s="15"/>
      <c r="DV976" s="15"/>
      <c r="DW976" s="15"/>
      <c r="DX976" s="15"/>
      <c r="DY976" s="15"/>
      <c r="DZ976" s="15"/>
      <c r="EA976" s="15"/>
      <c r="EB976" s="15"/>
      <c r="EC976" s="15"/>
      <c r="ED976" s="15"/>
      <c r="EE976" s="15"/>
      <c r="EF976" s="15"/>
      <c r="EG976" s="15"/>
      <c r="EH976" s="15"/>
      <c r="EI976" s="15"/>
      <c r="EJ976" s="15"/>
      <c r="EK976" s="15"/>
      <c r="EL976" s="15"/>
      <c r="EM976" s="15"/>
      <c r="EN976" s="15"/>
      <c r="EO976" s="15"/>
      <c r="EP976" s="15"/>
      <c r="EQ976" s="15"/>
      <c r="ER976" s="15"/>
      <c r="ES976" s="15"/>
      <c r="ET976" s="15"/>
      <c r="EU976" s="15"/>
      <c r="EV976" s="15"/>
      <c r="EW976" s="15"/>
      <c r="EX976" s="15"/>
    </row>
    <row r="977" customFormat="false" ht="15.75" hidden="false" customHeight="false" outlineLevel="0" collapsed="false">
      <c r="A977" s="76"/>
      <c r="B977" s="77"/>
      <c r="C977" s="77"/>
      <c r="D977" s="78"/>
      <c r="E977" s="72"/>
      <c r="F977" s="68"/>
      <c r="G977" s="15"/>
      <c r="H977" s="76"/>
      <c r="I977" s="50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  <c r="DC977" s="15"/>
      <c r="DD977" s="15"/>
      <c r="DE977" s="15"/>
      <c r="DF977" s="15"/>
      <c r="DG977" s="15"/>
      <c r="DH977" s="15"/>
      <c r="DI977" s="15"/>
      <c r="DJ977" s="15"/>
      <c r="DK977" s="15"/>
      <c r="DL977" s="15"/>
      <c r="DM977" s="15"/>
      <c r="DN977" s="15"/>
      <c r="DO977" s="15"/>
      <c r="DP977" s="15"/>
      <c r="DQ977" s="15"/>
      <c r="DR977" s="15"/>
      <c r="DS977" s="15"/>
      <c r="DT977" s="15"/>
      <c r="DU977" s="15"/>
      <c r="DV977" s="15"/>
      <c r="DW977" s="15"/>
      <c r="DX977" s="15"/>
      <c r="DY977" s="15"/>
      <c r="DZ977" s="15"/>
      <c r="EA977" s="15"/>
      <c r="EB977" s="15"/>
      <c r="EC977" s="15"/>
      <c r="ED977" s="15"/>
      <c r="EE977" s="15"/>
      <c r="EF977" s="15"/>
      <c r="EG977" s="15"/>
      <c r="EH977" s="15"/>
      <c r="EI977" s="15"/>
      <c r="EJ977" s="15"/>
      <c r="EK977" s="15"/>
      <c r="EL977" s="15"/>
      <c r="EM977" s="15"/>
      <c r="EN977" s="15"/>
      <c r="EO977" s="15"/>
      <c r="EP977" s="15"/>
      <c r="EQ977" s="15"/>
      <c r="ER977" s="15"/>
      <c r="ES977" s="15"/>
      <c r="ET977" s="15"/>
      <c r="EU977" s="15"/>
      <c r="EV977" s="15"/>
      <c r="EW977" s="15"/>
      <c r="EX977" s="15"/>
    </row>
    <row r="978" customFormat="false" ht="15.75" hidden="false" customHeight="false" outlineLevel="0" collapsed="false">
      <c r="A978" s="76"/>
      <c r="B978" s="77"/>
      <c r="C978" s="77"/>
      <c r="D978" s="78"/>
      <c r="E978" s="72"/>
      <c r="F978" s="68"/>
      <c r="G978" s="15"/>
      <c r="H978" s="76"/>
      <c r="I978" s="50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  <c r="DC978" s="15"/>
      <c r="DD978" s="15"/>
      <c r="DE978" s="15"/>
      <c r="DF978" s="15"/>
      <c r="DG978" s="15"/>
      <c r="DH978" s="15"/>
      <c r="DI978" s="15"/>
      <c r="DJ978" s="15"/>
      <c r="DK978" s="15"/>
      <c r="DL978" s="15"/>
      <c r="DM978" s="15"/>
      <c r="DN978" s="15"/>
      <c r="DO978" s="15"/>
      <c r="DP978" s="15"/>
      <c r="DQ978" s="15"/>
      <c r="DR978" s="15"/>
      <c r="DS978" s="15"/>
      <c r="DT978" s="15"/>
      <c r="DU978" s="15"/>
      <c r="DV978" s="15"/>
      <c r="DW978" s="15"/>
      <c r="DX978" s="15"/>
      <c r="DY978" s="15"/>
      <c r="DZ978" s="15"/>
      <c r="EA978" s="15"/>
      <c r="EB978" s="15"/>
      <c r="EC978" s="15"/>
      <c r="ED978" s="15"/>
      <c r="EE978" s="15"/>
      <c r="EF978" s="15"/>
      <c r="EG978" s="15"/>
      <c r="EH978" s="15"/>
      <c r="EI978" s="15"/>
      <c r="EJ978" s="15"/>
      <c r="EK978" s="15"/>
      <c r="EL978" s="15"/>
      <c r="EM978" s="15"/>
      <c r="EN978" s="15"/>
      <c r="EO978" s="15"/>
      <c r="EP978" s="15"/>
      <c r="EQ978" s="15"/>
      <c r="ER978" s="15"/>
      <c r="ES978" s="15"/>
      <c r="ET978" s="15"/>
      <c r="EU978" s="15"/>
      <c r="EV978" s="15"/>
      <c r="EW978" s="15"/>
      <c r="EX978" s="15"/>
    </row>
    <row r="979" customFormat="false" ht="15.75" hidden="false" customHeight="false" outlineLevel="0" collapsed="false">
      <c r="A979" s="76"/>
      <c r="B979" s="77"/>
      <c r="C979" s="77"/>
      <c r="D979" s="78"/>
      <c r="E979" s="72"/>
      <c r="F979" s="68"/>
      <c r="G979" s="15"/>
      <c r="H979" s="76"/>
      <c r="I979" s="50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  <c r="DC979" s="15"/>
      <c r="DD979" s="15"/>
      <c r="DE979" s="15"/>
      <c r="DF979" s="15"/>
      <c r="DG979" s="15"/>
      <c r="DH979" s="15"/>
      <c r="DI979" s="15"/>
      <c r="DJ979" s="15"/>
      <c r="DK979" s="15"/>
      <c r="DL979" s="15"/>
      <c r="DM979" s="15"/>
      <c r="DN979" s="15"/>
      <c r="DO979" s="15"/>
      <c r="DP979" s="15"/>
      <c r="DQ979" s="15"/>
      <c r="DR979" s="15"/>
      <c r="DS979" s="15"/>
      <c r="DT979" s="15"/>
      <c r="DU979" s="15"/>
      <c r="DV979" s="15"/>
      <c r="DW979" s="15"/>
      <c r="DX979" s="15"/>
      <c r="DY979" s="15"/>
      <c r="DZ979" s="15"/>
      <c r="EA979" s="15"/>
      <c r="EB979" s="15"/>
      <c r="EC979" s="15"/>
      <c r="ED979" s="15"/>
      <c r="EE979" s="15"/>
      <c r="EF979" s="15"/>
      <c r="EG979" s="15"/>
      <c r="EH979" s="15"/>
      <c r="EI979" s="15"/>
      <c r="EJ979" s="15"/>
      <c r="EK979" s="15"/>
      <c r="EL979" s="15"/>
      <c r="EM979" s="15"/>
      <c r="EN979" s="15"/>
      <c r="EO979" s="15"/>
      <c r="EP979" s="15"/>
      <c r="EQ979" s="15"/>
      <c r="ER979" s="15"/>
      <c r="ES979" s="15"/>
      <c r="ET979" s="15"/>
      <c r="EU979" s="15"/>
      <c r="EV979" s="15"/>
      <c r="EW979" s="15"/>
      <c r="EX979" s="15"/>
    </row>
    <row r="980" customFormat="false" ht="15.75" hidden="false" customHeight="false" outlineLevel="0" collapsed="false">
      <c r="A980" s="76"/>
      <c r="B980" s="77"/>
      <c r="C980" s="77"/>
      <c r="D980" s="78"/>
      <c r="E980" s="72"/>
      <c r="F980" s="68"/>
      <c r="G980" s="15"/>
      <c r="H980" s="76"/>
      <c r="I980" s="50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  <c r="DC980" s="15"/>
      <c r="DD980" s="15"/>
      <c r="DE980" s="15"/>
      <c r="DF980" s="15"/>
      <c r="DG980" s="15"/>
      <c r="DH980" s="15"/>
      <c r="DI980" s="15"/>
      <c r="DJ980" s="15"/>
      <c r="DK980" s="15"/>
      <c r="DL980" s="15"/>
      <c r="DM980" s="15"/>
      <c r="DN980" s="15"/>
      <c r="DO980" s="15"/>
      <c r="DP980" s="15"/>
      <c r="DQ980" s="15"/>
      <c r="DR980" s="15"/>
      <c r="DS980" s="15"/>
      <c r="DT980" s="15"/>
      <c r="DU980" s="15"/>
      <c r="DV980" s="15"/>
      <c r="DW980" s="15"/>
      <c r="DX980" s="15"/>
      <c r="DY980" s="15"/>
      <c r="DZ980" s="15"/>
      <c r="EA980" s="15"/>
      <c r="EB980" s="15"/>
      <c r="EC980" s="15"/>
      <c r="ED980" s="15"/>
      <c r="EE980" s="15"/>
      <c r="EF980" s="15"/>
      <c r="EG980" s="15"/>
      <c r="EH980" s="15"/>
      <c r="EI980" s="15"/>
      <c r="EJ980" s="15"/>
      <c r="EK980" s="15"/>
      <c r="EL980" s="15"/>
      <c r="EM980" s="15"/>
      <c r="EN980" s="15"/>
      <c r="EO980" s="15"/>
      <c r="EP980" s="15"/>
      <c r="EQ980" s="15"/>
      <c r="ER980" s="15"/>
      <c r="ES980" s="15"/>
      <c r="ET980" s="15"/>
      <c r="EU980" s="15"/>
      <c r="EV980" s="15"/>
      <c r="EW980" s="15"/>
      <c r="EX980" s="15"/>
    </row>
    <row r="981" customFormat="false" ht="15.75" hidden="false" customHeight="false" outlineLevel="0" collapsed="false">
      <c r="A981" s="76"/>
      <c r="B981" s="77"/>
      <c r="C981" s="77"/>
      <c r="D981" s="78"/>
      <c r="E981" s="72"/>
      <c r="F981" s="68"/>
      <c r="G981" s="15"/>
      <c r="H981" s="76"/>
      <c r="I981" s="50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  <c r="DY981" s="15"/>
      <c r="DZ981" s="15"/>
      <c r="EA981" s="15"/>
      <c r="EB981" s="15"/>
      <c r="EC981" s="15"/>
      <c r="ED981" s="15"/>
      <c r="EE981" s="15"/>
      <c r="EF981" s="15"/>
      <c r="EG981" s="15"/>
      <c r="EH981" s="15"/>
      <c r="EI981" s="15"/>
      <c r="EJ981" s="15"/>
      <c r="EK981" s="15"/>
      <c r="EL981" s="15"/>
      <c r="EM981" s="15"/>
      <c r="EN981" s="15"/>
      <c r="EO981" s="15"/>
      <c r="EP981" s="15"/>
      <c r="EQ981" s="15"/>
      <c r="ER981" s="15"/>
      <c r="ES981" s="15"/>
      <c r="ET981" s="15"/>
      <c r="EU981" s="15"/>
      <c r="EV981" s="15"/>
      <c r="EW981" s="15"/>
      <c r="EX981" s="15"/>
    </row>
    <row r="982" customFormat="false" ht="15.75" hidden="false" customHeight="false" outlineLevel="0" collapsed="false">
      <c r="A982" s="76"/>
      <c r="B982" s="77"/>
      <c r="C982" s="77"/>
      <c r="D982" s="78"/>
      <c r="E982" s="72"/>
      <c r="F982" s="68"/>
      <c r="G982" s="15"/>
      <c r="H982" s="76"/>
      <c r="I982" s="50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  <c r="DC982" s="15"/>
      <c r="DD982" s="15"/>
      <c r="DE982" s="15"/>
      <c r="DF982" s="15"/>
      <c r="DG982" s="15"/>
      <c r="DH982" s="15"/>
      <c r="DI982" s="15"/>
      <c r="DJ982" s="15"/>
      <c r="DK982" s="15"/>
      <c r="DL982" s="15"/>
      <c r="DM982" s="15"/>
      <c r="DN982" s="15"/>
      <c r="DO982" s="15"/>
      <c r="DP982" s="15"/>
      <c r="DQ982" s="15"/>
      <c r="DR982" s="15"/>
      <c r="DS982" s="15"/>
      <c r="DT982" s="15"/>
      <c r="DU982" s="15"/>
      <c r="DV982" s="15"/>
      <c r="DW982" s="15"/>
      <c r="DX982" s="15"/>
      <c r="DY982" s="15"/>
      <c r="DZ982" s="15"/>
      <c r="EA982" s="15"/>
      <c r="EB982" s="15"/>
      <c r="EC982" s="15"/>
      <c r="ED982" s="15"/>
      <c r="EE982" s="15"/>
      <c r="EF982" s="15"/>
      <c r="EG982" s="15"/>
      <c r="EH982" s="15"/>
      <c r="EI982" s="15"/>
      <c r="EJ982" s="15"/>
      <c r="EK982" s="15"/>
      <c r="EL982" s="15"/>
      <c r="EM982" s="15"/>
      <c r="EN982" s="15"/>
      <c r="EO982" s="15"/>
      <c r="EP982" s="15"/>
      <c r="EQ982" s="15"/>
      <c r="ER982" s="15"/>
      <c r="ES982" s="15"/>
      <c r="ET982" s="15"/>
      <c r="EU982" s="15"/>
      <c r="EV982" s="15"/>
      <c r="EW982" s="15"/>
      <c r="EX982" s="15"/>
    </row>
    <row r="983" customFormat="false" ht="15.75" hidden="false" customHeight="false" outlineLevel="0" collapsed="false">
      <c r="A983" s="76"/>
      <c r="B983" s="77"/>
      <c r="C983" s="77"/>
      <c r="D983" s="78"/>
      <c r="E983" s="72"/>
      <c r="F983" s="68"/>
      <c r="G983" s="15"/>
      <c r="H983" s="76"/>
      <c r="I983" s="50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  <c r="DY983" s="15"/>
      <c r="DZ983" s="15"/>
      <c r="EA983" s="15"/>
      <c r="EB983" s="15"/>
      <c r="EC983" s="15"/>
      <c r="ED983" s="15"/>
      <c r="EE983" s="15"/>
      <c r="EF983" s="15"/>
      <c r="EG983" s="15"/>
      <c r="EH983" s="15"/>
      <c r="EI983" s="15"/>
      <c r="EJ983" s="15"/>
      <c r="EK983" s="15"/>
      <c r="EL983" s="15"/>
      <c r="EM983" s="15"/>
      <c r="EN983" s="15"/>
      <c r="EO983" s="15"/>
      <c r="EP983" s="15"/>
      <c r="EQ983" s="15"/>
      <c r="ER983" s="15"/>
      <c r="ES983" s="15"/>
      <c r="ET983" s="15"/>
      <c r="EU983" s="15"/>
      <c r="EV983" s="15"/>
      <c r="EW983" s="15"/>
      <c r="EX983" s="15"/>
    </row>
    <row r="984" customFormat="false" ht="15.75" hidden="false" customHeight="false" outlineLevel="0" collapsed="false">
      <c r="A984" s="76"/>
      <c r="B984" s="77"/>
      <c r="C984" s="77"/>
      <c r="D984" s="78"/>
      <c r="E984" s="72"/>
      <c r="F984" s="68"/>
      <c r="G984" s="15"/>
      <c r="H984" s="76"/>
      <c r="I984" s="50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  <c r="DC984" s="15"/>
      <c r="DD984" s="15"/>
      <c r="DE984" s="15"/>
      <c r="DF984" s="15"/>
      <c r="DG984" s="15"/>
      <c r="DH984" s="15"/>
      <c r="DI984" s="15"/>
      <c r="DJ984" s="15"/>
      <c r="DK984" s="15"/>
      <c r="DL984" s="15"/>
      <c r="DM984" s="15"/>
      <c r="DN984" s="15"/>
      <c r="DO984" s="15"/>
      <c r="DP984" s="15"/>
      <c r="DQ984" s="15"/>
      <c r="DR984" s="15"/>
      <c r="DS984" s="15"/>
      <c r="DT984" s="15"/>
      <c r="DU984" s="15"/>
      <c r="DV984" s="15"/>
      <c r="DW984" s="15"/>
      <c r="DX984" s="15"/>
      <c r="DY984" s="15"/>
      <c r="DZ984" s="15"/>
      <c r="EA984" s="15"/>
      <c r="EB984" s="15"/>
      <c r="EC984" s="15"/>
      <c r="ED984" s="15"/>
      <c r="EE984" s="15"/>
      <c r="EF984" s="15"/>
      <c r="EG984" s="15"/>
      <c r="EH984" s="15"/>
      <c r="EI984" s="15"/>
      <c r="EJ984" s="15"/>
      <c r="EK984" s="15"/>
      <c r="EL984" s="15"/>
      <c r="EM984" s="15"/>
      <c r="EN984" s="15"/>
      <c r="EO984" s="15"/>
      <c r="EP984" s="15"/>
      <c r="EQ984" s="15"/>
      <c r="ER984" s="15"/>
      <c r="ES984" s="15"/>
      <c r="ET984" s="15"/>
      <c r="EU984" s="15"/>
      <c r="EV984" s="15"/>
      <c r="EW984" s="15"/>
      <c r="EX984" s="15"/>
    </row>
    <row r="985" customFormat="false" ht="15.75" hidden="false" customHeight="false" outlineLevel="0" collapsed="false">
      <c r="A985" s="76"/>
      <c r="B985" s="77"/>
      <c r="C985" s="77"/>
      <c r="D985" s="78"/>
      <c r="E985" s="72"/>
      <c r="F985" s="68"/>
      <c r="G985" s="15"/>
      <c r="H985" s="76"/>
      <c r="I985" s="50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  <c r="DY985" s="15"/>
      <c r="DZ985" s="15"/>
      <c r="EA985" s="15"/>
      <c r="EB985" s="15"/>
      <c r="EC985" s="15"/>
      <c r="ED985" s="15"/>
      <c r="EE985" s="15"/>
      <c r="EF985" s="15"/>
      <c r="EG985" s="15"/>
      <c r="EH985" s="15"/>
      <c r="EI985" s="15"/>
      <c r="EJ985" s="15"/>
      <c r="EK985" s="15"/>
      <c r="EL985" s="15"/>
      <c r="EM985" s="15"/>
      <c r="EN985" s="15"/>
      <c r="EO985" s="15"/>
      <c r="EP985" s="15"/>
      <c r="EQ985" s="15"/>
      <c r="ER985" s="15"/>
      <c r="ES985" s="15"/>
      <c r="ET985" s="15"/>
      <c r="EU985" s="15"/>
      <c r="EV985" s="15"/>
      <c r="EW985" s="15"/>
      <c r="EX985" s="15"/>
    </row>
    <row r="986" customFormat="false" ht="15.75" hidden="false" customHeight="false" outlineLevel="0" collapsed="false">
      <c r="A986" s="76"/>
      <c r="B986" s="77"/>
      <c r="C986" s="77"/>
      <c r="D986" s="78"/>
      <c r="E986" s="72"/>
      <c r="F986" s="68"/>
      <c r="G986" s="15"/>
      <c r="H986" s="76"/>
      <c r="I986" s="50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  <c r="DY986" s="15"/>
      <c r="DZ986" s="15"/>
      <c r="EA986" s="15"/>
      <c r="EB986" s="15"/>
      <c r="EC986" s="15"/>
      <c r="ED986" s="15"/>
      <c r="EE986" s="15"/>
      <c r="EF986" s="15"/>
      <c r="EG986" s="15"/>
      <c r="EH986" s="15"/>
      <c r="EI986" s="15"/>
      <c r="EJ986" s="15"/>
      <c r="EK986" s="15"/>
      <c r="EL986" s="15"/>
      <c r="EM986" s="15"/>
      <c r="EN986" s="15"/>
      <c r="EO986" s="15"/>
      <c r="EP986" s="15"/>
      <c r="EQ986" s="15"/>
      <c r="ER986" s="15"/>
      <c r="ES986" s="15"/>
      <c r="ET986" s="15"/>
      <c r="EU986" s="15"/>
      <c r="EV986" s="15"/>
      <c r="EW986" s="15"/>
      <c r="EX986" s="15"/>
    </row>
    <row r="987" customFormat="false" ht="15.75" hidden="false" customHeight="false" outlineLevel="0" collapsed="false">
      <c r="A987" s="76"/>
      <c r="B987" s="77"/>
      <c r="C987" s="77"/>
      <c r="D987" s="78"/>
      <c r="E987" s="72"/>
      <c r="F987" s="68"/>
      <c r="G987" s="15"/>
      <c r="H987" s="76"/>
      <c r="I987" s="50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  <c r="DC987" s="15"/>
      <c r="DD987" s="15"/>
      <c r="DE987" s="15"/>
      <c r="DF987" s="15"/>
      <c r="DG987" s="15"/>
      <c r="DH987" s="15"/>
      <c r="DI987" s="15"/>
      <c r="DJ987" s="15"/>
      <c r="DK987" s="15"/>
      <c r="DL987" s="15"/>
      <c r="DM987" s="15"/>
      <c r="DN987" s="15"/>
      <c r="DO987" s="15"/>
      <c r="DP987" s="15"/>
      <c r="DQ987" s="15"/>
      <c r="DR987" s="15"/>
      <c r="DS987" s="15"/>
      <c r="DT987" s="15"/>
      <c r="DU987" s="15"/>
      <c r="DV987" s="15"/>
      <c r="DW987" s="15"/>
      <c r="DX987" s="15"/>
      <c r="DY987" s="15"/>
      <c r="DZ987" s="15"/>
      <c r="EA987" s="15"/>
      <c r="EB987" s="15"/>
      <c r="EC987" s="15"/>
      <c r="ED987" s="15"/>
      <c r="EE987" s="15"/>
      <c r="EF987" s="15"/>
      <c r="EG987" s="15"/>
      <c r="EH987" s="15"/>
      <c r="EI987" s="15"/>
      <c r="EJ987" s="15"/>
      <c r="EK987" s="15"/>
      <c r="EL987" s="15"/>
      <c r="EM987" s="15"/>
      <c r="EN987" s="15"/>
      <c r="EO987" s="15"/>
      <c r="EP987" s="15"/>
      <c r="EQ987" s="15"/>
      <c r="ER987" s="15"/>
      <c r="ES987" s="15"/>
      <c r="ET987" s="15"/>
      <c r="EU987" s="15"/>
      <c r="EV987" s="15"/>
      <c r="EW987" s="15"/>
      <c r="EX987" s="15"/>
    </row>
    <row r="988" customFormat="false" ht="15.75" hidden="false" customHeight="false" outlineLevel="0" collapsed="false">
      <c r="A988" s="76"/>
      <c r="B988" s="77"/>
      <c r="C988" s="77"/>
      <c r="D988" s="78"/>
      <c r="E988" s="72"/>
      <c r="F988" s="68"/>
      <c r="G988" s="15"/>
      <c r="H988" s="76"/>
      <c r="I988" s="50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  <c r="DC988" s="15"/>
      <c r="DD988" s="15"/>
      <c r="DE988" s="15"/>
      <c r="DF988" s="15"/>
      <c r="DG988" s="15"/>
      <c r="DH988" s="15"/>
      <c r="DI988" s="15"/>
      <c r="DJ988" s="15"/>
      <c r="DK988" s="15"/>
      <c r="DL988" s="15"/>
      <c r="DM988" s="15"/>
      <c r="DN988" s="15"/>
      <c r="DO988" s="15"/>
      <c r="DP988" s="15"/>
      <c r="DQ988" s="15"/>
      <c r="DR988" s="15"/>
      <c r="DS988" s="15"/>
      <c r="DT988" s="15"/>
      <c r="DU988" s="15"/>
      <c r="DV988" s="15"/>
      <c r="DW988" s="15"/>
      <c r="DX988" s="15"/>
      <c r="DY988" s="15"/>
      <c r="DZ988" s="15"/>
      <c r="EA988" s="15"/>
      <c r="EB988" s="15"/>
      <c r="EC988" s="15"/>
      <c r="ED988" s="15"/>
      <c r="EE988" s="15"/>
      <c r="EF988" s="15"/>
      <c r="EG988" s="15"/>
      <c r="EH988" s="15"/>
      <c r="EI988" s="15"/>
      <c r="EJ988" s="15"/>
      <c r="EK988" s="15"/>
      <c r="EL988" s="15"/>
      <c r="EM988" s="15"/>
      <c r="EN988" s="15"/>
      <c r="EO988" s="15"/>
      <c r="EP988" s="15"/>
      <c r="EQ988" s="15"/>
      <c r="ER988" s="15"/>
      <c r="ES988" s="15"/>
      <c r="ET988" s="15"/>
      <c r="EU988" s="15"/>
      <c r="EV988" s="15"/>
      <c r="EW988" s="15"/>
      <c r="EX988" s="15"/>
    </row>
    <row r="989" customFormat="false" ht="15.75" hidden="false" customHeight="false" outlineLevel="0" collapsed="false">
      <c r="A989" s="76"/>
      <c r="B989" s="77"/>
      <c r="C989" s="77"/>
      <c r="D989" s="78"/>
      <c r="E989" s="72"/>
      <c r="F989" s="68"/>
      <c r="G989" s="15"/>
      <c r="H989" s="76"/>
      <c r="I989" s="50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  <c r="DC989" s="15"/>
      <c r="DD989" s="15"/>
      <c r="DE989" s="15"/>
      <c r="DF989" s="15"/>
      <c r="DG989" s="15"/>
      <c r="DH989" s="15"/>
      <c r="DI989" s="15"/>
      <c r="DJ989" s="15"/>
      <c r="DK989" s="15"/>
      <c r="DL989" s="15"/>
      <c r="DM989" s="15"/>
      <c r="DN989" s="15"/>
      <c r="DO989" s="15"/>
      <c r="DP989" s="15"/>
      <c r="DQ989" s="15"/>
      <c r="DR989" s="15"/>
      <c r="DS989" s="15"/>
      <c r="DT989" s="15"/>
      <c r="DU989" s="15"/>
      <c r="DV989" s="15"/>
      <c r="DW989" s="15"/>
      <c r="DX989" s="15"/>
      <c r="DY989" s="15"/>
      <c r="DZ989" s="15"/>
      <c r="EA989" s="15"/>
      <c r="EB989" s="15"/>
      <c r="EC989" s="15"/>
      <c r="ED989" s="15"/>
      <c r="EE989" s="15"/>
      <c r="EF989" s="15"/>
      <c r="EG989" s="15"/>
      <c r="EH989" s="15"/>
      <c r="EI989" s="15"/>
      <c r="EJ989" s="15"/>
      <c r="EK989" s="15"/>
      <c r="EL989" s="15"/>
      <c r="EM989" s="15"/>
      <c r="EN989" s="15"/>
      <c r="EO989" s="15"/>
      <c r="EP989" s="15"/>
      <c r="EQ989" s="15"/>
      <c r="ER989" s="15"/>
      <c r="ES989" s="15"/>
      <c r="ET989" s="15"/>
      <c r="EU989" s="15"/>
      <c r="EV989" s="15"/>
      <c r="EW989" s="15"/>
      <c r="EX989" s="15"/>
    </row>
    <row r="990" customFormat="false" ht="15.75" hidden="false" customHeight="false" outlineLevel="0" collapsed="false">
      <c r="A990" s="76"/>
      <c r="B990" s="77"/>
      <c r="C990" s="77"/>
      <c r="D990" s="78"/>
      <c r="E990" s="72"/>
      <c r="F990" s="68"/>
      <c r="G990" s="15"/>
      <c r="H990" s="76"/>
      <c r="I990" s="50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  <c r="DC990" s="15"/>
      <c r="DD990" s="15"/>
      <c r="DE990" s="15"/>
      <c r="DF990" s="15"/>
      <c r="DG990" s="15"/>
      <c r="DH990" s="15"/>
      <c r="DI990" s="15"/>
      <c r="DJ990" s="15"/>
      <c r="DK990" s="15"/>
      <c r="DL990" s="15"/>
      <c r="DM990" s="15"/>
      <c r="DN990" s="15"/>
      <c r="DO990" s="15"/>
      <c r="DP990" s="15"/>
      <c r="DQ990" s="15"/>
      <c r="DR990" s="15"/>
      <c r="DS990" s="15"/>
      <c r="DT990" s="15"/>
      <c r="DU990" s="15"/>
      <c r="DV990" s="15"/>
      <c r="DW990" s="15"/>
      <c r="DX990" s="15"/>
      <c r="DY990" s="15"/>
      <c r="DZ990" s="15"/>
      <c r="EA990" s="15"/>
      <c r="EB990" s="15"/>
      <c r="EC990" s="15"/>
      <c r="ED990" s="15"/>
      <c r="EE990" s="15"/>
      <c r="EF990" s="15"/>
      <c r="EG990" s="15"/>
      <c r="EH990" s="15"/>
      <c r="EI990" s="15"/>
      <c r="EJ990" s="15"/>
      <c r="EK990" s="15"/>
      <c r="EL990" s="15"/>
      <c r="EM990" s="15"/>
      <c r="EN990" s="15"/>
      <c r="EO990" s="15"/>
      <c r="EP990" s="15"/>
      <c r="EQ990" s="15"/>
      <c r="ER990" s="15"/>
      <c r="ES990" s="15"/>
      <c r="ET990" s="15"/>
      <c r="EU990" s="15"/>
      <c r="EV990" s="15"/>
      <c r="EW990" s="15"/>
      <c r="EX990" s="15"/>
    </row>
    <row r="991" customFormat="false" ht="15.75" hidden="false" customHeight="false" outlineLevel="0" collapsed="false">
      <c r="A991" s="76"/>
      <c r="B991" s="77"/>
      <c r="C991" s="77"/>
      <c r="D991" s="78"/>
      <c r="E991" s="72"/>
      <c r="F991" s="68"/>
      <c r="G991" s="15"/>
      <c r="H991" s="76"/>
      <c r="I991" s="50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  <c r="DC991" s="15"/>
      <c r="DD991" s="15"/>
      <c r="DE991" s="15"/>
      <c r="DF991" s="15"/>
      <c r="DG991" s="15"/>
      <c r="DH991" s="15"/>
      <c r="DI991" s="15"/>
      <c r="DJ991" s="15"/>
      <c r="DK991" s="15"/>
      <c r="DL991" s="15"/>
      <c r="DM991" s="15"/>
      <c r="DN991" s="15"/>
      <c r="DO991" s="15"/>
      <c r="DP991" s="15"/>
      <c r="DQ991" s="15"/>
      <c r="DR991" s="15"/>
      <c r="DS991" s="15"/>
      <c r="DT991" s="15"/>
      <c r="DU991" s="15"/>
      <c r="DV991" s="15"/>
      <c r="DW991" s="15"/>
      <c r="DX991" s="15"/>
      <c r="DY991" s="15"/>
      <c r="DZ991" s="15"/>
      <c r="EA991" s="15"/>
      <c r="EB991" s="15"/>
      <c r="EC991" s="15"/>
      <c r="ED991" s="15"/>
      <c r="EE991" s="15"/>
      <c r="EF991" s="15"/>
      <c r="EG991" s="15"/>
      <c r="EH991" s="15"/>
      <c r="EI991" s="15"/>
      <c r="EJ991" s="15"/>
      <c r="EK991" s="15"/>
      <c r="EL991" s="15"/>
      <c r="EM991" s="15"/>
      <c r="EN991" s="15"/>
      <c r="EO991" s="15"/>
      <c r="EP991" s="15"/>
      <c r="EQ991" s="15"/>
      <c r="ER991" s="15"/>
      <c r="ES991" s="15"/>
      <c r="ET991" s="15"/>
      <c r="EU991" s="15"/>
      <c r="EV991" s="15"/>
      <c r="EW991" s="15"/>
      <c r="EX991" s="15"/>
    </row>
    <row r="992" customFormat="false" ht="15.75" hidden="false" customHeight="false" outlineLevel="0" collapsed="false">
      <c r="A992" s="76"/>
      <c r="B992" s="77"/>
      <c r="C992" s="77"/>
      <c r="D992" s="78"/>
      <c r="E992" s="72"/>
      <c r="F992" s="68"/>
      <c r="G992" s="15"/>
      <c r="H992" s="76"/>
      <c r="I992" s="50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  <c r="CZ992" s="15"/>
      <c r="DA992" s="15"/>
      <c r="DB992" s="15"/>
      <c r="DC992" s="15"/>
      <c r="DD992" s="15"/>
      <c r="DE992" s="15"/>
      <c r="DF992" s="15"/>
      <c r="DG992" s="15"/>
      <c r="DH992" s="15"/>
      <c r="DI992" s="15"/>
      <c r="DJ992" s="15"/>
      <c r="DK992" s="15"/>
      <c r="DL992" s="15"/>
      <c r="DM992" s="15"/>
      <c r="DN992" s="15"/>
      <c r="DO992" s="15"/>
      <c r="DP992" s="15"/>
      <c r="DQ992" s="15"/>
      <c r="DR992" s="15"/>
      <c r="DS992" s="15"/>
      <c r="DT992" s="15"/>
      <c r="DU992" s="15"/>
      <c r="DV992" s="15"/>
      <c r="DW992" s="15"/>
      <c r="DX992" s="15"/>
      <c r="DY992" s="15"/>
      <c r="DZ992" s="15"/>
      <c r="EA992" s="15"/>
      <c r="EB992" s="15"/>
      <c r="EC992" s="15"/>
      <c r="ED992" s="15"/>
      <c r="EE992" s="15"/>
      <c r="EF992" s="15"/>
      <c r="EG992" s="15"/>
      <c r="EH992" s="15"/>
      <c r="EI992" s="15"/>
      <c r="EJ992" s="15"/>
      <c r="EK992" s="15"/>
      <c r="EL992" s="15"/>
      <c r="EM992" s="15"/>
      <c r="EN992" s="15"/>
      <c r="EO992" s="15"/>
      <c r="EP992" s="15"/>
      <c r="EQ992" s="15"/>
      <c r="ER992" s="15"/>
      <c r="ES992" s="15"/>
      <c r="ET992" s="15"/>
      <c r="EU992" s="15"/>
      <c r="EV992" s="15"/>
      <c r="EW992" s="15"/>
      <c r="EX992" s="15"/>
    </row>
    <row r="993" customFormat="false" ht="15.75" hidden="false" customHeight="false" outlineLevel="0" collapsed="false">
      <c r="A993" s="76"/>
      <c r="B993" s="77"/>
      <c r="C993" s="77"/>
      <c r="D993" s="78"/>
      <c r="E993" s="72"/>
      <c r="F993" s="68"/>
      <c r="G993" s="15"/>
      <c r="H993" s="76"/>
      <c r="I993" s="50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  <c r="CZ993" s="15"/>
      <c r="DA993" s="15"/>
      <c r="DB993" s="15"/>
      <c r="DC993" s="15"/>
      <c r="DD993" s="15"/>
      <c r="DE993" s="15"/>
      <c r="DF993" s="15"/>
      <c r="DG993" s="15"/>
      <c r="DH993" s="15"/>
      <c r="DI993" s="15"/>
      <c r="DJ993" s="15"/>
      <c r="DK993" s="15"/>
      <c r="DL993" s="15"/>
      <c r="DM993" s="15"/>
      <c r="DN993" s="15"/>
      <c r="DO993" s="15"/>
      <c r="DP993" s="15"/>
      <c r="DQ993" s="15"/>
      <c r="DR993" s="15"/>
      <c r="DS993" s="15"/>
      <c r="DT993" s="15"/>
      <c r="DU993" s="15"/>
      <c r="DV993" s="15"/>
      <c r="DW993" s="15"/>
      <c r="DX993" s="15"/>
      <c r="DY993" s="15"/>
      <c r="DZ993" s="15"/>
      <c r="EA993" s="15"/>
      <c r="EB993" s="15"/>
      <c r="EC993" s="15"/>
      <c r="ED993" s="15"/>
      <c r="EE993" s="15"/>
      <c r="EF993" s="15"/>
      <c r="EG993" s="15"/>
      <c r="EH993" s="15"/>
      <c r="EI993" s="15"/>
      <c r="EJ993" s="15"/>
      <c r="EK993" s="15"/>
      <c r="EL993" s="15"/>
      <c r="EM993" s="15"/>
      <c r="EN993" s="15"/>
      <c r="EO993" s="15"/>
      <c r="EP993" s="15"/>
      <c r="EQ993" s="15"/>
      <c r="ER993" s="15"/>
      <c r="ES993" s="15"/>
      <c r="ET993" s="15"/>
      <c r="EU993" s="15"/>
      <c r="EV993" s="15"/>
      <c r="EW993" s="15"/>
      <c r="EX993" s="15"/>
    </row>
    <row r="994" customFormat="false" ht="15.75" hidden="false" customHeight="false" outlineLevel="0" collapsed="false">
      <c r="A994" s="76"/>
      <c r="B994" s="77"/>
      <c r="C994" s="77"/>
      <c r="D994" s="78"/>
      <c r="E994" s="72"/>
      <c r="F994" s="68"/>
      <c r="G994" s="15"/>
      <c r="H994" s="76"/>
      <c r="I994" s="50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  <c r="CZ994" s="15"/>
      <c r="DA994" s="15"/>
      <c r="DB994" s="15"/>
      <c r="DC994" s="15"/>
      <c r="DD994" s="15"/>
      <c r="DE994" s="15"/>
      <c r="DF994" s="15"/>
      <c r="DG994" s="15"/>
      <c r="DH994" s="15"/>
      <c r="DI994" s="15"/>
      <c r="DJ994" s="15"/>
      <c r="DK994" s="15"/>
      <c r="DL994" s="15"/>
      <c r="DM994" s="15"/>
      <c r="DN994" s="15"/>
      <c r="DO994" s="15"/>
      <c r="DP994" s="15"/>
      <c r="DQ994" s="15"/>
      <c r="DR994" s="15"/>
      <c r="DS994" s="15"/>
      <c r="DT994" s="15"/>
      <c r="DU994" s="15"/>
      <c r="DV994" s="15"/>
      <c r="DW994" s="15"/>
      <c r="DX994" s="15"/>
      <c r="DY994" s="15"/>
      <c r="DZ994" s="15"/>
      <c r="EA994" s="15"/>
      <c r="EB994" s="15"/>
      <c r="EC994" s="15"/>
      <c r="ED994" s="15"/>
      <c r="EE994" s="15"/>
      <c r="EF994" s="15"/>
      <c r="EG994" s="15"/>
      <c r="EH994" s="15"/>
      <c r="EI994" s="15"/>
      <c r="EJ994" s="15"/>
      <c r="EK994" s="15"/>
      <c r="EL994" s="15"/>
      <c r="EM994" s="15"/>
      <c r="EN994" s="15"/>
      <c r="EO994" s="15"/>
      <c r="EP994" s="15"/>
      <c r="EQ994" s="15"/>
      <c r="ER994" s="15"/>
      <c r="ES994" s="15"/>
      <c r="ET994" s="15"/>
      <c r="EU994" s="15"/>
      <c r="EV994" s="15"/>
      <c r="EW994" s="15"/>
      <c r="EX994" s="15"/>
    </row>
    <row r="995" customFormat="false" ht="15.75" hidden="false" customHeight="false" outlineLevel="0" collapsed="false">
      <c r="A995" s="76"/>
      <c r="B995" s="77"/>
      <c r="C995" s="77"/>
      <c r="D995" s="78"/>
      <c r="E995" s="72"/>
      <c r="F995" s="68"/>
      <c r="G995" s="15"/>
      <c r="H995" s="76"/>
      <c r="I995" s="50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  <c r="CZ995" s="15"/>
      <c r="DA995" s="15"/>
      <c r="DB995" s="15"/>
      <c r="DC995" s="15"/>
      <c r="DD995" s="15"/>
      <c r="DE995" s="15"/>
      <c r="DF995" s="15"/>
      <c r="DG995" s="15"/>
      <c r="DH995" s="15"/>
      <c r="DI995" s="15"/>
      <c r="DJ995" s="15"/>
      <c r="DK995" s="15"/>
      <c r="DL995" s="15"/>
      <c r="DM995" s="15"/>
      <c r="DN995" s="15"/>
      <c r="DO995" s="15"/>
      <c r="DP995" s="15"/>
      <c r="DQ995" s="15"/>
      <c r="DR995" s="15"/>
      <c r="DS995" s="15"/>
      <c r="DT995" s="15"/>
      <c r="DU995" s="15"/>
      <c r="DV995" s="15"/>
      <c r="DW995" s="15"/>
      <c r="DX995" s="15"/>
      <c r="DY995" s="15"/>
      <c r="DZ995" s="15"/>
      <c r="EA995" s="15"/>
      <c r="EB995" s="15"/>
      <c r="EC995" s="15"/>
      <c r="ED995" s="15"/>
      <c r="EE995" s="15"/>
      <c r="EF995" s="15"/>
      <c r="EG995" s="15"/>
      <c r="EH995" s="15"/>
      <c r="EI995" s="15"/>
      <c r="EJ995" s="15"/>
      <c r="EK995" s="15"/>
      <c r="EL995" s="15"/>
      <c r="EM995" s="15"/>
      <c r="EN995" s="15"/>
      <c r="EO995" s="15"/>
      <c r="EP995" s="15"/>
      <c r="EQ995" s="15"/>
      <c r="ER995" s="15"/>
      <c r="ES995" s="15"/>
      <c r="ET995" s="15"/>
      <c r="EU995" s="15"/>
      <c r="EV995" s="15"/>
      <c r="EW995" s="15"/>
      <c r="EX995" s="15"/>
    </row>
    <row r="996" customFormat="false" ht="15.75" hidden="false" customHeight="false" outlineLevel="0" collapsed="false">
      <c r="A996" s="76"/>
      <c r="B996" s="77"/>
      <c r="C996" s="77"/>
      <c r="D996" s="78"/>
      <c r="E996" s="72"/>
      <c r="F996" s="68"/>
      <c r="G996" s="15"/>
      <c r="H996" s="76"/>
      <c r="I996" s="50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  <c r="CZ996" s="15"/>
      <c r="DA996" s="15"/>
      <c r="DB996" s="15"/>
      <c r="DC996" s="15"/>
      <c r="DD996" s="15"/>
      <c r="DE996" s="15"/>
      <c r="DF996" s="15"/>
      <c r="DG996" s="15"/>
      <c r="DH996" s="15"/>
      <c r="DI996" s="15"/>
      <c r="DJ996" s="15"/>
      <c r="DK996" s="15"/>
      <c r="DL996" s="15"/>
      <c r="DM996" s="15"/>
      <c r="DN996" s="15"/>
      <c r="DO996" s="15"/>
      <c r="DP996" s="15"/>
      <c r="DQ996" s="15"/>
      <c r="DR996" s="15"/>
      <c r="DS996" s="15"/>
      <c r="DT996" s="15"/>
      <c r="DU996" s="15"/>
      <c r="DV996" s="15"/>
      <c r="DW996" s="15"/>
      <c r="DX996" s="15"/>
      <c r="DY996" s="15"/>
      <c r="DZ996" s="15"/>
      <c r="EA996" s="15"/>
      <c r="EB996" s="15"/>
      <c r="EC996" s="15"/>
      <c r="ED996" s="15"/>
      <c r="EE996" s="15"/>
      <c r="EF996" s="15"/>
      <c r="EG996" s="15"/>
      <c r="EH996" s="15"/>
      <c r="EI996" s="15"/>
      <c r="EJ996" s="15"/>
      <c r="EK996" s="15"/>
      <c r="EL996" s="15"/>
      <c r="EM996" s="15"/>
      <c r="EN996" s="15"/>
      <c r="EO996" s="15"/>
      <c r="EP996" s="15"/>
      <c r="EQ996" s="15"/>
      <c r="ER996" s="15"/>
      <c r="ES996" s="15"/>
      <c r="ET996" s="15"/>
      <c r="EU996" s="15"/>
      <c r="EV996" s="15"/>
      <c r="EW996" s="15"/>
      <c r="EX996" s="15"/>
    </row>
    <row r="997" customFormat="false" ht="15.75" hidden="false" customHeight="false" outlineLevel="0" collapsed="false">
      <c r="A997" s="76"/>
      <c r="B997" s="77"/>
      <c r="C997" s="77"/>
      <c r="D997" s="78"/>
      <c r="E997" s="72"/>
      <c r="F997" s="68"/>
      <c r="G997" s="15"/>
      <c r="H997" s="76"/>
      <c r="I997" s="50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  <c r="CZ997" s="15"/>
      <c r="DA997" s="15"/>
      <c r="DB997" s="15"/>
      <c r="DC997" s="15"/>
      <c r="DD997" s="15"/>
      <c r="DE997" s="15"/>
      <c r="DF997" s="15"/>
      <c r="DG997" s="15"/>
      <c r="DH997" s="15"/>
      <c r="DI997" s="15"/>
      <c r="DJ997" s="15"/>
      <c r="DK997" s="15"/>
      <c r="DL997" s="15"/>
      <c r="DM997" s="15"/>
      <c r="DN997" s="15"/>
      <c r="DO997" s="15"/>
      <c r="DP997" s="15"/>
      <c r="DQ997" s="15"/>
      <c r="DR997" s="15"/>
      <c r="DS997" s="15"/>
      <c r="DT997" s="15"/>
      <c r="DU997" s="15"/>
      <c r="DV997" s="15"/>
      <c r="DW997" s="15"/>
      <c r="DX997" s="15"/>
      <c r="DY997" s="15"/>
      <c r="DZ997" s="15"/>
      <c r="EA997" s="15"/>
      <c r="EB997" s="15"/>
      <c r="EC997" s="15"/>
      <c r="ED997" s="15"/>
      <c r="EE997" s="15"/>
      <c r="EF997" s="15"/>
      <c r="EG997" s="15"/>
      <c r="EH997" s="15"/>
      <c r="EI997" s="15"/>
      <c r="EJ997" s="15"/>
      <c r="EK997" s="15"/>
      <c r="EL997" s="15"/>
      <c r="EM997" s="15"/>
      <c r="EN997" s="15"/>
      <c r="EO997" s="15"/>
      <c r="EP997" s="15"/>
      <c r="EQ997" s="15"/>
      <c r="ER997" s="15"/>
      <c r="ES997" s="15"/>
      <c r="ET997" s="15"/>
      <c r="EU997" s="15"/>
      <c r="EV997" s="15"/>
      <c r="EW997" s="15"/>
      <c r="EX997" s="15"/>
    </row>
    <row r="998" customFormat="false" ht="15.75" hidden="false" customHeight="false" outlineLevel="0" collapsed="false">
      <c r="A998" s="76"/>
      <c r="B998" s="77"/>
      <c r="C998" s="77"/>
      <c r="D998" s="78"/>
      <c r="E998" s="72"/>
      <c r="F998" s="68"/>
      <c r="G998" s="15"/>
      <c r="H998" s="76"/>
      <c r="I998" s="50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  <c r="CZ998" s="15"/>
      <c r="DA998" s="15"/>
      <c r="DB998" s="15"/>
      <c r="DC998" s="15"/>
      <c r="DD998" s="15"/>
      <c r="DE998" s="15"/>
      <c r="DF998" s="15"/>
      <c r="DG998" s="15"/>
      <c r="DH998" s="15"/>
      <c r="DI998" s="15"/>
      <c r="DJ998" s="15"/>
      <c r="DK998" s="15"/>
      <c r="DL998" s="15"/>
      <c r="DM998" s="15"/>
      <c r="DN998" s="15"/>
      <c r="DO998" s="15"/>
      <c r="DP998" s="15"/>
      <c r="DQ998" s="15"/>
      <c r="DR998" s="15"/>
      <c r="DS998" s="15"/>
      <c r="DT998" s="15"/>
      <c r="DU998" s="15"/>
      <c r="DV998" s="15"/>
      <c r="DW998" s="15"/>
      <c r="DX998" s="15"/>
      <c r="DY998" s="15"/>
      <c r="DZ998" s="15"/>
      <c r="EA998" s="15"/>
      <c r="EB998" s="15"/>
      <c r="EC998" s="15"/>
      <c r="ED998" s="15"/>
      <c r="EE998" s="15"/>
      <c r="EF998" s="15"/>
      <c r="EG998" s="15"/>
      <c r="EH998" s="15"/>
      <c r="EI998" s="15"/>
      <c r="EJ998" s="15"/>
      <c r="EK998" s="15"/>
      <c r="EL998" s="15"/>
      <c r="EM998" s="15"/>
      <c r="EN998" s="15"/>
      <c r="EO998" s="15"/>
      <c r="EP998" s="15"/>
      <c r="EQ998" s="15"/>
      <c r="ER998" s="15"/>
      <c r="ES998" s="15"/>
      <c r="ET998" s="15"/>
      <c r="EU998" s="15"/>
      <c r="EV998" s="15"/>
      <c r="EW998" s="15"/>
      <c r="EX998" s="15"/>
    </row>
    <row r="999" customFormat="false" ht="15.75" hidden="false" customHeight="false" outlineLevel="0" collapsed="false">
      <c r="A999" s="76"/>
      <c r="B999" s="77"/>
      <c r="C999" s="77"/>
      <c r="D999" s="78"/>
      <c r="E999" s="72"/>
      <c r="F999" s="68"/>
      <c r="G999" s="15"/>
      <c r="H999" s="76"/>
      <c r="I999" s="50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  <c r="CZ999" s="15"/>
      <c r="DA999" s="15"/>
      <c r="DB999" s="15"/>
      <c r="DC999" s="15"/>
      <c r="DD999" s="15"/>
      <c r="DE999" s="15"/>
      <c r="DF999" s="15"/>
      <c r="DG999" s="15"/>
      <c r="DH999" s="15"/>
      <c r="DI999" s="15"/>
      <c r="DJ999" s="15"/>
      <c r="DK999" s="15"/>
      <c r="DL999" s="15"/>
      <c r="DM999" s="15"/>
      <c r="DN999" s="15"/>
      <c r="DO999" s="15"/>
      <c r="DP999" s="15"/>
      <c r="DQ999" s="15"/>
      <c r="DR999" s="15"/>
      <c r="DS999" s="15"/>
      <c r="DT999" s="15"/>
      <c r="DU999" s="15"/>
      <c r="DV999" s="15"/>
      <c r="DW999" s="15"/>
      <c r="DX999" s="15"/>
      <c r="DY999" s="15"/>
      <c r="DZ999" s="15"/>
      <c r="EA999" s="15"/>
      <c r="EB999" s="15"/>
      <c r="EC999" s="15"/>
      <c r="ED999" s="15"/>
      <c r="EE999" s="15"/>
      <c r="EF999" s="15"/>
      <c r="EG999" s="15"/>
      <c r="EH999" s="15"/>
      <c r="EI999" s="15"/>
      <c r="EJ999" s="15"/>
      <c r="EK999" s="15"/>
      <c r="EL999" s="15"/>
      <c r="EM999" s="15"/>
      <c r="EN999" s="15"/>
      <c r="EO999" s="15"/>
      <c r="EP999" s="15"/>
      <c r="EQ999" s="15"/>
      <c r="ER999" s="15"/>
      <c r="ES999" s="15"/>
      <c r="ET999" s="15"/>
      <c r="EU999" s="15"/>
      <c r="EV999" s="15"/>
      <c r="EW999" s="15"/>
      <c r="EX999" s="15"/>
    </row>
    <row r="1000" customFormat="false" ht="15.75" hidden="false" customHeight="false" outlineLevel="0" collapsed="false">
      <c r="A1000" s="79"/>
      <c r="B1000" s="82"/>
      <c r="C1000" s="82"/>
      <c r="D1000" s="83"/>
      <c r="E1000" s="84"/>
      <c r="F1000" s="68"/>
      <c r="G1000" s="15"/>
      <c r="H1000" s="79"/>
      <c r="I1000" s="52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  <c r="CZ1000" s="15"/>
      <c r="DA1000" s="15"/>
      <c r="DB1000" s="15"/>
      <c r="DC1000" s="15"/>
      <c r="DD1000" s="15"/>
      <c r="DE1000" s="15"/>
      <c r="DF1000" s="15"/>
      <c r="DG1000" s="15"/>
      <c r="DH1000" s="15"/>
      <c r="DI1000" s="15"/>
      <c r="DJ1000" s="15"/>
      <c r="DK1000" s="15"/>
      <c r="DL1000" s="15"/>
      <c r="DM1000" s="15"/>
      <c r="DN1000" s="15"/>
      <c r="DO1000" s="15"/>
      <c r="DP1000" s="15"/>
      <c r="DQ1000" s="15"/>
      <c r="DR1000" s="15"/>
      <c r="DS1000" s="15"/>
      <c r="DT1000" s="15"/>
      <c r="DU1000" s="15"/>
      <c r="DV1000" s="15"/>
      <c r="DW1000" s="15"/>
      <c r="DX1000" s="15"/>
      <c r="DY1000" s="15"/>
      <c r="DZ1000" s="15"/>
      <c r="EA1000" s="15"/>
      <c r="EB1000" s="15"/>
      <c r="EC1000" s="15"/>
      <c r="ED1000" s="15"/>
      <c r="EE1000" s="15"/>
      <c r="EF1000" s="15"/>
      <c r="EG1000" s="15"/>
      <c r="EH1000" s="15"/>
      <c r="EI1000" s="15"/>
      <c r="EJ1000" s="15"/>
      <c r="EK1000" s="15"/>
      <c r="EL1000" s="15"/>
      <c r="EM1000" s="15"/>
      <c r="EN1000" s="15"/>
      <c r="EO1000" s="15"/>
      <c r="EP1000" s="15"/>
      <c r="EQ1000" s="15"/>
      <c r="ER1000" s="15"/>
      <c r="ES1000" s="15"/>
      <c r="ET1000" s="15"/>
      <c r="EU1000" s="15"/>
      <c r="EV1000" s="15"/>
      <c r="EW1000" s="15"/>
      <c r="EX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1.99"/>
    <col collapsed="false" customWidth="true" hidden="false" outlineLevel="0" max="26" min="3" style="0" width="22.43"/>
    <col collapsed="false" customWidth="true" hidden="false" outlineLevel="0" max="1025" min="27" style="0" width="14.43"/>
  </cols>
  <sheetData>
    <row r="1" customFormat="false" ht="15.75" hidden="false" customHeight="false" outlineLevel="0" collapsed="false">
      <c r="A1" s="65" t="str">
        <f aca="false" t="array" ref="A1:A78">TRANSPOSE(Famillesid!15:15)</f>
        <v>Familles :</v>
      </c>
      <c r="B1" s="46" t="str">
        <f aca="false" t="array" ref="B1:B78">TRANSPOSE(Famillesid!22:22)</f>
        <v>Place :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customFormat="false" ht="15.75" hidden="false" customHeight="false" outlineLevel="0" collapsed="false">
      <c r="A2" s="69" t="str">
        <v>DPSU</v>
      </c>
      <c r="B2" s="48" t="n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customFormat="false" ht="15.75" hidden="false" customHeight="false" outlineLevel="0" collapsed="false">
      <c r="A3" s="76" t="str">
        <v>Le Bordel</v>
      </c>
      <c r="B3" s="50" t="n">
        <v>6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customFormat="false" ht="15.75" hidden="false" customHeight="false" outlineLevel="0" collapsed="false">
      <c r="A4" s="76" t="str">
        <v>La Glotte</v>
      </c>
      <c r="B4" s="50" t="n">
        <v>11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customFormat="false" ht="15.75" hidden="false" customHeight="false" outlineLevel="0" collapsed="false">
      <c r="A5" s="76" t="str">
        <v>Consulm3ow</v>
      </c>
      <c r="B5" s="50" t="n">
        <v>16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customFormat="false" ht="15.75" hidden="false" customHeight="false" outlineLevel="0" collapsed="false">
      <c r="A6" s="76" t="str">
        <v>Le Zoo </v>
      </c>
      <c r="B6" s="50" t="n">
        <v>21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Format="false" ht="15.75" hidden="false" customHeight="false" outlineLevel="0" collapsed="false">
      <c r="A7" s="76" t="str">
        <v>Beurre salé &amp; chocolatine</v>
      </c>
      <c r="B7" s="50" t="n">
        <v>26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Format="false" ht="15.75" hidden="false" customHeight="false" outlineLevel="0" collapsed="false">
      <c r="A8" s="76" t="str">
        <v>Les domineurs</v>
      </c>
      <c r="B8" s="50" t="n">
        <v>31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Format="false" ht="15.75" hidden="false" customHeight="false" outlineLevel="0" collapsed="false">
      <c r="A9" s="76" t="str">
        <v>La Comté</v>
      </c>
      <c r="B9" s="50" t="n">
        <v>36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15.75" hidden="false" customHeight="false" outlineLevel="0" collapsed="false">
      <c r="A10" s="76" t="str">
        <v>La chevroll's </v>
      </c>
      <c r="B10" s="50" t="n">
        <v>41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15.75" hidden="false" customHeight="false" outlineLevel="0" collapsed="false">
      <c r="A11" s="76" t="str">
        <v>La Tracharnasse</v>
      </c>
      <c r="B11" s="50" t="n">
        <v>46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15.75" hidden="false" customHeight="false" outlineLevel="0" collapsed="false">
      <c r="A12" s="76" t="str">
        <v>Waltherock</v>
      </c>
      <c r="B12" s="50" t="n">
        <v>51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15.75" hidden="false" customHeight="false" outlineLevel="0" collapsed="false">
      <c r="A13" s="76" t="str">
        <v>L'Influence</v>
      </c>
      <c r="B13" s="50" t="n">
        <v>56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5.75" hidden="false" customHeight="false" outlineLevel="0" collapsed="false">
      <c r="A14" s="76" t="str">
        <v>COMA</v>
      </c>
      <c r="B14" s="50" t="n">
        <v>61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5.75" hidden="false" customHeight="false" outlineLevel="0" collapsed="false">
      <c r="A15" s="76" t="str">
        <v>Mafia</v>
      </c>
      <c r="B15" s="50" t="n">
        <v>66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15.75" hidden="false" customHeight="false" outlineLevel="0" collapsed="false">
      <c r="A16" s="76" t="str">
        <v>Summerfaigle</v>
      </c>
      <c r="B16" s="50" t="n">
        <v>71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15.75" hidden="false" customHeight="false" outlineLevel="0" collapsed="false">
      <c r="A17" s="76" t="str">
        <v>Nuage</v>
      </c>
      <c r="B17" s="50" t="n">
        <v>76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5.75" hidden="false" customHeight="false" outlineLevel="0" collapsed="false">
      <c r="A18" s="76" t="str">
        <v>PB</v>
      </c>
      <c r="B18" s="50" t="n">
        <v>81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5.75" hidden="false" customHeight="false" outlineLevel="0" collapsed="false">
      <c r="A19" s="76" t="str">
        <v>Trident X ChaPau</v>
      </c>
      <c r="B19" s="50" t="n">
        <v>86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Format="false" ht="15.75" hidden="false" customHeight="false" outlineLevel="0" collapsed="false">
      <c r="A20" s="76" t="str">
        <v>Galerie ++</v>
      </c>
      <c r="B20" s="50" t="n">
        <v>91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Format="false" ht="15.75" hidden="false" customHeight="false" outlineLevel="0" collapsed="false">
      <c r="A21" s="76" t="str">
        <v>Le Corridor</v>
      </c>
      <c r="B21" s="50" t="n">
        <v>96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Format="false" ht="15.75" hidden="false" customHeight="false" outlineLevel="0" collapsed="false">
      <c r="A22" s="76" t="str">
        <v>Dark Ludi et ses copines </v>
      </c>
      <c r="B22" s="50" t="n">
        <v>101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Format="false" ht="15.75" hidden="false" customHeight="false" outlineLevel="0" collapsed="false">
      <c r="A23" s="76" t="str">
        <v>Dusex</v>
      </c>
      <c r="B23" s="50" t="n">
        <v>106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Format="false" ht="15.75" hidden="false" customHeight="false" outlineLevel="0" collapsed="false">
      <c r="A24" s="76" t="str">
        <v>La Roulotte</v>
      </c>
      <c r="B24" s="50" t="n">
        <v>111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customFormat="false" ht="15.75" hidden="false" customHeight="false" outlineLevel="0" collapsed="false">
      <c r="A25" s="76" t="str">
        <v>La dezingue</v>
      </c>
      <c r="B25" s="50" t="n">
        <v>116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customFormat="false" ht="15.75" hidden="false" customHeight="false" outlineLevel="0" collapsed="false">
      <c r="A26" s="76" t="str">
        <v>Aquamif</v>
      </c>
      <c r="B26" s="50" t="n">
        <v>121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customFormat="false" ht="15.75" hidden="false" customHeight="false" outlineLevel="0" collapsed="false">
      <c r="A27" s="76" t="str">
        <v>Les Mages</v>
      </c>
      <c r="B27" s="50" t="n">
        <v>126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customFormat="false" ht="15.75" hidden="false" customHeight="false" outlineLevel="0" collapsed="false">
      <c r="A28" s="76" t="str">
        <v>Auberge-Monastère</v>
      </c>
      <c r="B28" s="50" t="n">
        <v>131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customFormat="false" ht="15.75" hidden="false" customHeight="false" outlineLevel="0" collapsed="false">
      <c r="A29" s="76" t="str">
        <v>Pimp my Ride</v>
      </c>
      <c r="B29" s="50" t="n">
        <v>136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customFormat="false" ht="15.75" hidden="false" customHeight="false" outlineLevel="0" collapsed="false">
      <c r="A30" s="76" t="str">
        <v>La 4 étoiles</v>
      </c>
      <c r="B30" s="50" t="n">
        <v>141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customFormat="false" ht="15.75" hidden="false" customHeight="false" outlineLevel="0" collapsed="false">
      <c r="A31" s="76" t="str">
        <v>Le Donjon</v>
      </c>
      <c r="B31" s="50" t="n">
        <v>146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customFormat="false" ht="15.75" hidden="false" customHeight="false" outlineLevel="0" collapsed="false">
      <c r="A32" s="76" t="str">
        <v>Malandros Team</v>
      </c>
      <c r="B32" s="50" t="n">
        <v>151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customFormat="false" ht="15.75" hidden="false" customHeight="false" outlineLevel="0" collapsed="false">
      <c r="A33" s="76" t="str">
        <v>Barton</v>
      </c>
      <c r="B33" s="50" t="n">
        <v>156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customFormat="false" ht="15.75" hidden="false" customHeight="false" outlineLevel="0" collapsed="false">
      <c r="A34" s="76" t="str">
        <v>La Crypte</v>
      </c>
      <c r="B34" s="50" t="n">
        <v>161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customFormat="false" ht="15.75" hidden="false" customHeight="false" outlineLevel="0" collapsed="false">
      <c r="A35" s="76" t="str">
        <v>Jodyssée</v>
      </c>
      <c r="B35" s="50" t="n">
        <v>166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customFormat="false" ht="15.75" hidden="false" customHeight="false" outlineLevel="0" collapsed="false">
      <c r="A36" s="76" t="str">
        <v>Les trutitas</v>
      </c>
      <c r="B36" s="50" t="n">
        <v>171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customFormat="false" ht="15.75" hidden="false" customHeight="false" outlineLevel="0" collapsed="false">
      <c r="A37" s="76" t="str">
        <v>Les grosses cochonnes</v>
      </c>
      <c r="B37" s="50" t="n">
        <v>176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customFormat="false" ht="15.75" hidden="false" customHeight="false" outlineLevel="0" collapsed="false">
      <c r="A38" s="76" t="str">
        <v>Sans-abri </v>
      </c>
      <c r="B38" s="50" t="n">
        <v>181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customFormat="false" ht="15.75" hidden="false" customHeight="false" outlineLevel="0" collapsed="false">
      <c r="A39" s="76" t="str">
        <v>Le Panthéon</v>
      </c>
      <c r="B39" s="50" t="n">
        <v>186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customFormat="false" ht="15.75" hidden="false" customHeight="false" outlineLevel="0" collapsed="false">
      <c r="A40" s="76" t="str">
        <v>la team corlay</v>
      </c>
      <c r="B40" s="50" t="n">
        <v>191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customFormat="false" ht="15.75" hidden="false" customHeight="false" outlineLevel="0" collapsed="false">
      <c r="A41" s="76" t="str">
        <v>Les fortiches</v>
      </c>
      <c r="B41" s="50" t="n">
        <v>196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customFormat="false" ht="15.75" hidden="false" customHeight="false" outlineLevel="0" collapsed="false">
      <c r="A42" s="76" t="str">
        <v>LePatio</v>
      </c>
      <c r="B42" s="50" t="n">
        <v>201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customFormat="false" ht="15.75" hidden="false" customHeight="false" outlineLevel="0" collapsed="false">
      <c r="A43" s="76" t="str">
        <v>Les coulisses</v>
      </c>
      <c r="B43" s="50" t="n">
        <v>206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customFormat="false" ht="15.75" hidden="false" customHeight="false" outlineLevel="0" collapsed="false">
      <c r="A44" s="76" t="str">
        <v>RACLETENTOUTAN</v>
      </c>
      <c r="B44" s="50" t="n">
        <v>211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customFormat="false" ht="15.75" hidden="false" customHeight="false" outlineLevel="0" collapsed="false">
      <c r="A45" s="76" t="str">
        <v>La boisson</v>
      </c>
      <c r="B45" s="50" t="n">
        <v>216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customFormat="false" ht="15.75" hidden="false" customHeight="false" outlineLevel="0" collapsed="false">
      <c r="A46" s="76" t="str">
        <v>Le squat</v>
      </c>
      <c r="B46" s="50" t="n">
        <v>221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customFormat="false" ht="15.75" hidden="false" customHeight="false" outlineLevel="0" collapsed="false">
      <c r="A47" s="76" t="str">
        <v>Les topeurs</v>
      </c>
      <c r="B47" s="50" t="n">
        <v>226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customFormat="false" ht="15.75" hidden="false" customHeight="false" outlineLevel="0" collapsed="false">
      <c r="A48" s="76" t="str">
        <v>azerty44</v>
      </c>
      <c r="B48" s="50" t="n">
        <v>231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customFormat="false" ht="15.75" hidden="false" customHeight="false" outlineLevel="0" collapsed="false">
      <c r="A49" s="76" t="str">
        <v>Parainplégiques</v>
      </c>
      <c r="B49" s="50" t="n">
        <v>236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customFormat="false" ht="15.75" hidden="false" customHeight="false" outlineLevel="0" collapsed="false">
      <c r="A50" s="76" t="str">
        <v>Le Kraal</v>
      </c>
      <c r="B50" s="50" t="n">
        <v>241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customFormat="false" ht="15.75" hidden="false" customHeight="false" outlineLevel="0" collapsed="false">
      <c r="A51" s="76" t="str">
        <v>Discorde</v>
      </c>
      <c r="B51" s="50" t="n">
        <v>246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customFormat="false" ht="15.75" hidden="false" customHeight="false" outlineLevel="0" collapsed="false">
      <c r="A52" s="76" t="str">
        <v>BBC</v>
      </c>
      <c r="B52" s="50" t="n">
        <v>251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customFormat="false" ht="15.75" hidden="false" customHeight="false" outlineLevel="0" collapsed="false">
      <c r="A53" s="76" t="str">
        <v>EI3 mous cancer</v>
      </c>
      <c r="B53" s="50" t="n">
        <v>256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customFormat="false" ht="15.75" hidden="false" customHeight="false" outlineLevel="0" collapsed="false">
      <c r="A54" s="76" t="str">
        <v>Badge</v>
      </c>
      <c r="B54" s="50" t="n">
        <v>261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customFormat="false" ht="15.75" hidden="false" customHeight="false" outlineLevel="0" collapsed="false">
      <c r="A55" s="76" t="str">
        <v>l'Alliance</v>
      </c>
      <c r="B55" s="50" t="n">
        <v>266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customFormat="false" ht="15.75" hidden="false" customHeight="false" outlineLevel="0" collapsed="false">
      <c r="A56" s="76" t="str">
        <v>Grande Famille</v>
      </c>
      <c r="B56" s="50" t="n">
        <v>271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customFormat="false" ht="15.75" hidden="false" customHeight="false" outlineLevel="0" collapsed="false">
      <c r="A57" s="76" t="str">
        <v>La vigie</v>
      </c>
      <c r="B57" s="50" t="n">
        <v>276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customFormat="false" ht="15.75" hidden="false" customHeight="false" outlineLevel="0" collapsed="false">
      <c r="A58" s="76" t="str">
        <v>Los Insoportables </v>
      </c>
      <c r="B58" s="50" t="n">
        <v>281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customFormat="false" ht="15.75" hidden="false" customHeight="false" outlineLevel="0" collapsed="false">
      <c r="A59" s="76" t="str">
        <v>Les 6 salopards</v>
      </c>
      <c r="B59" s="50" t="n">
        <v>286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customFormat="false" ht="15.75" hidden="false" customHeight="false" outlineLevel="0" collapsed="false">
      <c r="A60" s="76" t="str">
        <v>Les cyclistes</v>
      </c>
      <c r="B60" s="50" t="n">
        <v>291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customFormat="false" ht="15.75" hidden="false" customHeight="false" outlineLevel="0" collapsed="false">
      <c r="A61" s="76" t="str">
        <v>Juaman’GI Reloaded</v>
      </c>
      <c r="B61" s="50" t="n">
        <v>296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customFormat="false" ht="15.75" hidden="false" customHeight="false" outlineLevel="0" collapsed="false">
      <c r="A62" s="76" t="n">
        <v>0</v>
      </c>
      <c r="B62" s="50" t="n">
        <v>0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customFormat="false" ht="15.75" hidden="false" customHeight="false" outlineLevel="0" collapsed="false">
      <c r="A63" s="76" t="n">
        <v>0</v>
      </c>
      <c r="B63" s="50" t="n">
        <v>0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customFormat="false" ht="15.75" hidden="false" customHeight="false" outlineLevel="0" collapsed="false">
      <c r="A64" s="76" t="n">
        <v>0</v>
      </c>
      <c r="B64" s="50" t="n">
        <v>0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customFormat="false" ht="15.75" hidden="false" customHeight="false" outlineLevel="0" collapsed="false">
      <c r="A65" s="76" t="n">
        <v>0</v>
      </c>
      <c r="B65" s="50" t="n">
        <v>0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customFormat="false" ht="15.75" hidden="false" customHeight="false" outlineLevel="0" collapsed="false">
      <c r="A66" s="76" t="n">
        <v>0</v>
      </c>
      <c r="B66" s="50" t="n">
        <v>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customFormat="false" ht="15.75" hidden="false" customHeight="false" outlineLevel="0" collapsed="false">
      <c r="A67" s="76" t="n">
        <v>0</v>
      </c>
      <c r="B67" s="50" t="n">
        <v>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customFormat="false" ht="15.75" hidden="false" customHeight="false" outlineLevel="0" collapsed="false">
      <c r="A68" s="76" t="n">
        <v>0</v>
      </c>
      <c r="B68" s="50" t="n">
        <v>0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customFormat="false" ht="15.75" hidden="false" customHeight="false" outlineLevel="0" collapsed="false">
      <c r="A69" s="76" t="n">
        <v>0</v>
      </c>
      <c r="B69" s="50" t="n">
        <v>0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customFormat="false" ht="15.75" hidden="false" customHeight="false" outlineLevel="0" collapsed="false">
      <c r="A70" s="76" t="n">
        <v>0</v>
      </c>
      <c r="B70" s="50" t="n">
        <v>0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customFormat="false" ht="15.75" hidden="false" customHeight="false" outlineLevel="0" collapsed="false">
      <c r="A71" s="76" t="n">
        <v>0</v>
      </c>
      <c r="B71" s="50" t="n">
        <v>0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customFormat="false" ht="15.75" hidden="false" customHeight="false" outlineLevel="0" collapsed="false">
      <c r="A72" s="76" t="n">
        <v>0</v>
      </c>
      <c r="B72" s="50" t="n">
        <v>0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customFormat="false" ht="15.75" hidden="false" customHeight="false" outlineLevel="0" collapsed="false">
      <c r="A73" s="76" t="n">
        <v>0</v>
      </c>
      <c r="B73" s="50" t="n">
        <v>0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customFormat="false" ht="15.75" hidden="false" customHeight="false" outlineLevel="0" collapsed="false">
      <c r="A74" s="76" t="n">
        <v>0</v>
      </c>
      <c r="B74" s="50" t="n">
        <v>0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customFormat="false" ht="15.75" hidden="false" customHeight="false" outlineLevel="0" collapsed="false">
      <c r="A75" s="76" t="n">
        <v>0</v>
      </c>
      <c r="B75" s="50" t="n">
        <v>0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customFormat="false" ht="15.75" hidden="false" customHeight="false" outlineLevel="0" collapsed="false">
      <c r="A76" s="76" t="n">
        <v>0</v>
      </c>
      <c r="B76" s="50" t="n">
        <v>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customFormat="false" ht="15.75" hidden="false" customHeight="false" outlineLevel="0" collapsed="false">
      <c r="A77" s="76" t="n">
        <v>0</v>
      </c>
      <c r="B77" s="50" t="n">
        <v>0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customFormat="false" ht="15.75" hidden="false" customHeight="false" outlineLevel="0" collapsed="false">
      <c r="A78" s="76" t="n">
        <v>0</v>
      </c>
      <c r="B78" s="50" t="n">
        <v>0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4.43"/>
    <col collapsed="false" customWidth="true" hidden="false" outlineLevel="0" max="3" min="3" style="0" width="29.57"/>
    <col collapsed="false" customWidth="true" hidden="false" outlineLevel="0" max="4" min="4" style="0" width="14.43"/>
    <col collapsed="false" customWidth="true" hidden="false" outlineLevel="0" max="5" min="5" style="0" width="16.14"/>
    <col collapsed="false" customWidth="true" hidden="false" outlineLevel="0" max="24" min="6" style="0" width="14.43"/>
    <col collapsed="false" customWidth="true" hidden="false" outlineLevel="0" max="25" min="25" style="0" width="29.29"/>
    <col collapsed="false" customWidth="true" hidden="false" outlineLevel="0" max="1025" min="26" style="0" width="14.43"/>
  </cols>
  <sheetData>
    <row r="1" customFormat="false" ht="15.75" hidden="false" customHeight="false" outlineLevel="0" collapsed="false">
      <c r="A1" s="2" t="str">
        <f aca="false">IFERROR(__xludf.dummyfunction("Filter( 'Réponses au formulaire 1'!B:B , 'Réponses au formulaire 1'!M:M=B1)"),"Marie BOUTROUX")</f>
        <v>Marie BOUTROUX</v>
      </c>
      <c r="B1" s="2" t="n">
        <v>10</v>
      </c>
      <c r="C1" s="0" t="str">
        <f aca="false">IFERROR(__xludf.dummyfunction("UNIQUE('Réponses au formulaire 1'!B:B)"),"Prénom NOM ")</f>
        <v>Prénom NOM </v>
      </c>
      <c r="D1" s="0" t="n">
        <f aca="false">IFERROR(__xludf.dummyfunction("COUNTA(FILTER('Réponses au formulaire 1'!B:B,'Réponses au formulaire 1'!B:B=C1))"),1)</f>
        <v>1</v>
      </c>
      <c r="E1" s="2" t="str">
        <f aca="false">IFERROR(__xludf.dummyfunction("FILTER(C:C,D:D&gt;1)"),"#N/A")</f>
        <v>#N/A</v>
      </c>
      <c r="F1" s="0" t="str">
        <f aca="false">IFERROR(__xludf.dummyfunction("FILTER('Réponses au formulaire 1'!$1:$431,'Réponses au formulaire 1'!B:B=E1)"),"#N/A")</f>
        <v>#N/A</v>
      </c>
      <c r="H1" s="0" t="str">
        <f aca="false">IFERROR(__xludf.dummyfunction("filter( 'Réponses au formulaire 1'!B:B,'Réponses au formulaire 1'!R:R=""oui"")"),"Marie COUPÉ")</f>
        <v>Marie COUPÉ</v>
      </c>
    </row>
    <row r="2" customFormat="false" ht="15.75" hidden="false" customHeight="false" outlineLevel="0" collapsed="false">
      <c r="A2" s="0" t="str">
        <f aca="false">IFERROR(__xludf.dummyfunction("""COMPUTED_VALUE"""),"Jean ROMAN")</f>
        <v>Jean ROMAN</v>
      </c>
      <c r="C2" s="0" t="str">
        <f aca="false">IFERROR(__xludf.dummyfunction("""COMPUTED_VALUE"""),"")</f>
        <v/>
      </c>
      <c r="D2" s="0" t="n">
        <f aca="false">IFERROR(__xludf.dummyfunction("COUNTA(FILTER('Réponses au formulaire 1'!B:B,'Réponses au formulaire 1'!B:B=C2))"),0)</f>
        <v>0</v>
      </c>
      <c r="H2" s="0" t="str">
        <f aca="false">IFERROR(__xludf.dummyfunction("""COMPUTED_VALUE"""),"TOMAZ AMORIM")</f>
        <v>TOMAZ AMORIM</v>
      </c>
    </row>
    <row r="3" customFormat="false" ht="15.75" hidden="false" customHeight="false" outlineLevel="0" collapsed="false">
      <c r="A3" s="0" t="str">
        <f aca="false">IFERROR(__xludf.dummyfunction("""COMPUTED_VALUE"""),"Julie Ugolini")</f>
        <v>Julie Ugolini</v>
      </c>
      <c r="C3" s="0" t="str">
        <f aca="false">IFERROR(__xludf.dummyfunction("""COMPUTED_VALUE"""),"Michel Qu")</f>
        <v>Michel Qu</v>
      </c>
      <c r="D3" s="0" t="n">
        <f aca="false">IFERROR(__xludf.dummyfunction("COUNTA(FILTER('Réponses au formulaire 1'!B:B,'Réponses au formulaire 1'!B:B=C3))"),1)</f>
        <v>1</v>
      </c>
      <c r="F3" s="4" t="str">
        <f aca="false">IFERROR(__xludf.dummyfunction("FILTER('Réponses au formulaire 1'!$1:$431,'Réponses au formulaire 1'!B:B=E2)"),"#REF!")</f>
        <v>#REF!</v>
      </c>
      <c r="H3" s="0" t="str">
        <f aca="false">IFERROR(__xludf.dummyfunction("""COMPUTED_VALUE"""),"Raúl VILLAFUERTE")</f>
        <v>Raúl VILLAFUERTE</v>
      </c>
    </row>
    <row r="4" customFormat="false" ht="15.75" hidden="false" customHeight="false" outlineLevel="0" collapsed="false">
      <c r="A4" s="0" t="str">
        <f aca="false">IFERROR(__xludf.dummyfunction("""COMPUTED_VALUE"""),"Julien Bomberault")</f>
        <v>Julien Bomberault</v>
      </c>
      <c r="C4" s="0" t="str">
        <f aca="false">IFERROR(__xludf.dummyfunction("""COMPUTED_VALUE"""),"Marie BOUTROUX")</f>
        <v>Marie BOUTROUX</v>
      </c>
      <c r="D4" s="0" t="n">
        <f aca="false">IFERROR(__xludf.dummyfunction("COUNTA(FILTER('Réponses au formulaire 1'!B:B,'Réponses au formulaire 1'!B:B=C4))"),1)</f>
        <v>1</v>
      </c>
    </row>
    <row r="5" customFormat="false" ht="15.75" hidden="false" customHeight="false" outlineLevel="0" collapsed="false">
      <c r="A5" s="0" t="str">
        <f aca="false">IFERROR(__xludf.dummyfunction("""COMPUTED_VALUE"""),"Mathieu KERMAREC")</f>
        <v>Mathieu KERMAREC</v>
      </c>
      <c r="C5" s="0" t="str">
        <f aca="false">IFERROR(__xludf.dummyfunction("""COMPUTED_VALUE"""),"Kheira POUVREAU")</f>
        <v>Kheira POUVREAU</v>
      </c>
      <c r="D5" s="0" t="n">
        <f aca="false">IFERROR(__xludf.dummyfunction("COUNTA(FILTER('Réponses au formulaire 1'!B:B,'Réponses au formulaire 1'!B:B=C5))"),1)</f>
        <v>1</v>
      </c>
      <c r="F5" s="4" t="str">
        <f aca="false">IFERROR(__xludf.dummyfunction("FILTER('Réponses au formulaire 1'!$1:$431,'Réponses au formulaire 1'!B:B=E3)"),"#REF!")</f>
        <v>#REF!</v>
      </c>
    </row>
    <row r="6" customFormat="false" ht="15.75" hidden="false" customHeight="false" outlineLevel="0" collapsed="false">
      <c r="A6" s="0" t="str">
        <f aca="false">IFERROR(__xludf.dummyfunction("""COMPUTED_VALUE"""),"Thomas LE JAN")</f>
        <v>Thomas LE JAN</v>
      </c>
      <c r="C6" s="0" t="str">
        <f aca="false">IFERROR(__xludf.dummyfunction("""COMPUTED_VALUE"""),"Jean ROMAN")</f>
        <v>Jean ROMAN</v>
      </c>
      <c r="D6" s="0" t="n">
        <f aca="false">IFERROR(__xludf.dummyfunction("COUNTA(FILTER('Réponses au formulaire 1'!B:B,'Réponses au formulaire 1'!B:B=C6))"),1)</f>
        <v>1</v>
      </c>
    </row>
    <row r="7" customFormat="false" ht="15.75" hidden="false" customHeight="false" outlineLevel="0" collapsed="false">
      <c r="A7" s="0" t="str">
        <f aca="false">IFERROR(__xludf.dummyfunction("""COMPUTED_VALUE"""),"Paul LENOIR")</f>
        <v>Paul LENOIR</v>
      </c>
      <c r="C7" s="0" t="str">
        <f aca="false">IFERROR(__xludf.dummyfunction("""COMPUTED_VALUE"""),"Alexis Birée")</f>
        <v>Alexis Birée</v>
      </c>
      <c r="D7" s="0" t="n">
        <f aca="false">IFERROR(__xludf.dummyfunction("COUNTA(FILTER('Réponses au formulaire 1'!B:B,'Réponses au formulaire 1'!B:B=C7))"),1)</f>
        <v>1</v>
      </c>
      <c r="F7" s="4" t="str">
        <f aca="false">IFERROR(__xludf.dummyfunction("FILTER('Réponses au formulaire 1'!$1:$431,'Réponses au formulaire 1'!B:B=E4)"),"#REF!")</f>
        <v>#REF!</v>
      </c>
    </row>
    <row r="8" customFormat="false" ht="15.75" hidden="false" customHeight="false" outlineLevel="0" collapsed="false">
      <c r="A8" s="0" t="str">
        <f aca="false">IFERROR(__xludf.dummyfunction("""COMPUTED_VALUE"""),"Alexandre MERVILLE")</f>
        <v>Alexandre MERVILLE</v>
      </c>
      <c r="C8" s="0" t="str">
        <f aca="false">IFERROR(__xludf.dummyfunction("""COMPUTED_VALUE"""),"Jeanne SUDOUR")</f>
        <v>Jeanne SUDOUR</v>
      </c>
      <c r="D8" s="0" t="n">
        <f aca="false">IFERROR(__xludf.dummyfunction("COUNTA(FILTER('Réponses au formulaire 1'!B:B,'Réponses au formulaire 1'!B:B=C8))"),1)</f>
        <v>1</v>
      </c>
    </row>
    <row r="9" customFormat="false" ht="15.75" hidden="false" customHeight="false" outlineLevel="0" collapsed="false">
      <c r="A9" s="0" t="str">
        <f aca="false">IFERROR(__xludf.dummyfunction("""COMPUTED_VALUE"""),"Gabriel Lucas")</f>
        <v>Gabriel Lucas</v>
      </c>
      <c r="C9" s="0" t="str">
        <f aca="false">IFERROR(__xludf.dummyfunction("""COMPUTED_VALUE"""),"Laura DRAUX")</f>
        <v>Laura DRAUX</v>
      </c>
      <c r="D9" s="0" t="n">
        <f aca="false">IFERROR(__xludf.dummyfunction("COUNTA(FILTER('Réponses au formulaire 1'!B:B,'Réponses au formulaire 1'!B:B=C9))"),1)</f>
        <v>1</v>
      </c>
    </row>
    <row r="10" customFormat="false" ht="15.75" hidden="false" customHeight="false" outlineLevel="0" collapsed="false">
      <c r="A10" s="0" t="str">
        <f aca="false">IFERROR(__xludf.dummyfunction("""COMPUTED_VALUE"""),"Agathe MADAULE")</f>
        <v>Agathe MADAULE</v>
      </c>
      <c r="C10" s="0" t="str">
        <f aca="false">IFERROR(__xludf.dummyfunction("""COMPUTED_VALUE"""),"Célia CHABRANT")</f>
        <v>Célia CHABRANT</v>
      </c>
      <c r="D10" s="0" t="n">
        <f aca="false">IFERROR(__xludf.dummyfunction("COUNTA(FILTER('Réponses au formulaire 1'!B:B,'Réponses au formulaire 1'!B:B=C10))"),1)</f>
        <v>1</v>
      </c>
    </row>
    <row r="11" customFormat="false" ht="15.75" hidden="false" customHeight="false" outlineLevel="0" collapsed="false">
      <c r="A11" s="0" t="str">
        <f aca="false">IFERROR(__xludf.dummyfunction("""COMPUTED_VALUE"""),"Mathilde Querné")</f>
        <v>Mathilde Querné</v>
      </c>
      <c r="C11" s="0" t="str">
        <f aca="false">IFERROR(__xludf.dummyfunction("""COMPUTED_VALUE"""),"Pablo CARDONA ALVAREZ")</f>
        <v>Pablo CARDONA ALVAREZ</v>
      </c>
      <c r="D11" s="0" t="n">
        <f aca="false">IFERROR(__xludf.dummyfunction("COUNTA(FILTER('Réponses au formulaire 1'!B:B,'Réponses au formulaire 1'!B:B=C11))"),1)</f>
        <v>1</v>
      </c>
    </row>
    <row r="12" customFormat="false" ht="15.75" hidden="false" customHeight="false" outlineLevel="0" collapsed="false">
      <c r="A12" s="0" t="str">
        <f aca="false">IFERROR(__xludf.dummyfunction("""COMPUTED_VALUE"""),"Cédric DUSSERRE")</f>
        <v>Cédric DUSSERRE</v>
      </c>
      <c r="C12" s="0" t="str">
        <f aca="false">IFERROR(__xludf.dummyfunction("""COMPUTED_VALUE"""),"Enzo MORI")</f>
        <v>Enzo MORI</v>
      </c>
      <c r="D12" s="0" t="n">
        <f aca="false">IFERROR(__xludf.dummyfunction("COUNTA(FILTER('Réponses au formulaire 1'!B:B,'Réponses au formulaire 1'!B:B=C12))"),1)</f>
        <v>1</v>
      </c>
    </row>
    <row r="13" customFormat="false" ht="15.75" hidden="false" customHeight="false" outlineLevel="0" collapsed="false">
      <c r="A13" s="0" t="str">
        <f aca="false">IFERROR(__xludf.dummyfunction("""COMPUTED_VALUE"""),"Julien Douxami")</f>
        <v>Julien Douxami</v>
      </c>
      <c r="C13" s="0" t="str">
        <f aca="false">IFERROR(__xludf.dummyfunction("""COMPUTED_VALUE"""),"Apolline Gorry")</f>
        <v>Apolline Gorry</v>
      </c>
      <c r="D13" s="0" t="n">
        <f aca="false">IFERROR(__xludf.dummyfunction("COUNTA(FILTER('Réponses au formulaire 1'!B:B,'Réponses au formulaire 1'!B:B=C13))"),1)</f>
        <v>1</v>
      </c>
    </row>
    <row r="14" customFormat="false" ht="15.75" hidden="false" customHeight="false" outlineLevel="0" collapsed="false">
      <c r="A14" s="0" t="str">
        <f aca="false">IFERROR(__xludf.dummyfunction("""COMPUTED_VALUE"""),"Paul CHAUVIN")</f>
        <v>Paul CHAUVIN</v>
      </c>
      <c r="C14" s="0" t="str">
        <f aca="false">IFERROR(__xludf.dummyfunction("""COMPUTED_VALUE"""),"Victor VINCENT DE LESTRADE")</f>
        <v>Victor VINCENT DE LESTRADE</v>
      </c>
      <c r="D14" s="0" t="n">
        <f aca="false">IFERROR(__xludf.dummyfunction("COUNTA(FILTER('Réponses au formulaire 1'!B:B,'Réponses au formulaire 1'!B:B=C14))"),1)</f>
        <v>1</v>
      </c>
    </row>
    <row r="15" customFormat="false" ht="15.75" hidden="false" customHeight="false" outlineLevel="0" collapsed="false">
      <c r="A15" s="0" t="str">
        <f aca="false">IFERROR(__xludf.dummyfunction("""COMPUTED_VALUE"""),"Paul MARTEL")</f>
        <v>Paul MARTEL</v>
      </c>
      <c r="C15" s="0" t="str">
        <f aca="false">IFERROR(__xludf.dummyfunction("""COMPUTED_VALUE"""),"Mathis BARTHERE")</f>
        <v>Mathis BARTHERE</v>
      </c>
      <c r="D15" s="0" t="n">
        <f aca="false">IFERROR(__xludf.dummyfunction("COUNTA(FILTER('Réponses au formulaire 1'!B:B,'Réponses au formulaire 1'!B:B=C15))"),1)</f>
        <v>1</v>
      </c>
      <c r="K15" s="2" t="s">
        <v>1167</v>
      </c>
      <c r="L15" s="0" t="str">
        <f aca="false">IFERROR(__xludf.dummyfunction("filter('Réponse propre'!C:T,'Réponse propre'!B:B=K15)"),"L'homme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M15" s="0" t="str">
        <f aca="false">IFERROR(__xludf.dummyfunction("""COMPUTED_VALUE"""),"BDE")</f>
        <v>BDE</v>
      </c>
      <c r="N15" s="0" t="n">
        <f aca="false">IFERROR(__xludf.dummyfunction("""COMPUTED_VALUE"""),5)</f>
        <v>5</v>
      </c>
      <c r="O15" s="0" t="str">
        <f aca="false">IFERROR(__xludf.dummyfunction("""COMPUTED_VALUE"""),"Rap, Pop, Musique fançaise, Jazz, Musique classique")</f>
        <v>Rap, Pop, Musique fançaise, Jazz, Musique classique</v>
      </c>
      <c r="P15" s="0" t="str">
        <f aca="false">IFERROR(__xludf.dummyfunction("""COMPUTED_VALUE"""),"Danse, Musique, Théâtre, Cinéma")</f>
        <v>Danse, Musique, Théâtre, Cinéma</v>
      </c>
      <c r="Q15" s="0" t="str">
        <f aca="false">IFERROR(__xludf.dummyfunction("""COMPUTED_VALUE"""),"Seulement les soirs de pleine lune")</f>
        <v>Seulement les soirs de pleine lune</v>
      </c>
      <c r="R15" s="0" t="str">
        <f aca="false">IFERROR(__xludf.dummyfunction("""COMPUTED_VALUE"""),"Plusieurs fois par semaine")</f>
        <v>Plusieurs fois par semaine</v>
      </c>
      <c r="S15" s="0" t="str">
        <f aca="false">IFERROR(__xludf.dummyfunction("""COMPUTED_VALUE"""),"Pour le fun")</f>
        <v>Pour le fun</v>
      </c>
      <c r="T15" s="0" t="str">
        <f aca="false">IFERROR(__xludf.dummyfunction("""COMPUTED_VALUE"""),"Equitation, Autre")</f>
        <v>Equitation, Autre</v>
      </c>
      <c r="U15" s="0" t="str">
        <f aca="false">IFERROR(__xludf.dummyfunction("""COMPUTED_VALUE"""),"J'aime cuisiner le WE ou quand j'ai le temps")</f>
        <v>J'aime cuisiner le WE ou quand j'ai le temps</v>
      </c>
      <c r="V15" s="0" t="n">
        <f aca="false">IFERROR(__xludf.dummyfunction("""COMPUTED_VALUE"""),1)</f>
        <v>1</v>
      </c>
      <c r="W15" s="0" t="str">
        <f aca="false">IFERROR(__xludf.dummyfunction("""COMPUTED_VALUE"""),"Plusieurs fois par semaine")</f>
        <v>Plusieurs fois par semaine</v>
      </c>
      <c r="X15" s="0" t="str">
        <f aca="false">IFERROR(__xludf.dummyfunction("""COMPUTED_VALUE"""),"T'enflammes le dancefloor")</f>
        <v>T'enflammes le dancefloor</v>
      </c>
      <c r="Y15" s="0" t="n">
        <f aca="false">IFERROR(__xludf.dummyfunction("""COMPUTED_VALUE"""),1)</f>
        <v>1</v>
      </c>
      <c r="Z15" s="0" t="str">
        <f aca="false">IFERROR(__xludf.dummyfunction("""COMPUTED_VALUE"""),"Oui")</f>
        <v>Oui</v>
      </c>
      <c r="AA15" s="0" t="str">
        <f aca="false">IFERROR(__xludf.dummyfunction("""COMPUTED_VALUE"""),"Non")</f>
        <v>Non</v>
      </c>
      <c r="AB15" s="0" t="str">
        <f aca="false">IFERROR(__xludf.dummyfunction("""COMPUTED_VALUE"""),"La Crypte")</f>
        <v>La Crypte</v>
      </c>
      <c r="AC15" s="0" t="str">
        <f aca="false">IFERROR(__xludf.dummyfunction("""COMPUTED_VALUE"""),"Un trophée")</f>
        <v>Un trophée</v>
      </c>
    </row>
    <row r="16" customFormat="false" ht="15.75" hidden="false" customHeight="false" outlineLevel="0" collapsed="false">
      <c r="A16" s="0" t="str">
        <f aca="false">IFERROR(__xludf.dummyfunction("""COMPUTED_VALUE"""),"Pierre-Louis lombard")</f>
        <v>Pierre-Louis lombard</v>
      </c>
      <c r="C16" s="0" t="str">
        <f aca="false">IFERROR(__xludf.dummyfunction("""COMPUTED_VALUE"""),"Andrew FONDJO")</f>
        <v>Andrew FONDJO</v>
      </c>
      <c r="D16" s="0" t="n">
        <f aca="false">IFERROR(__xludf.dummyfunction("COUNTA(FILTER('Réponses au formulaire 1'!B:B,'Réponses au formulaire 1'!B:B=C16))"),1)</f>
        <v>1</v>
      </c>
      <c r="K16" s="2" t="s">
        <v>110</v>
      </c>
      <c r="L16" s="0" t="str">
        <f aca="false">IFERROR(__xludf.dummyfunction("filter('Réponse propre'!C:T,'Réponse propre'!B:B=K16)"),"#N/A")</f>
        <v>#N/A</v>
      </c>
    </row>
    <row r="17" customFormat="false" ht="15.75" hidden="false" customHeight="false" outlineLevel="0" collapsed="false">
      <c r="A17" s="0" t="str">
        <f aca="false">IFERROR(__xludf.dummyfunction("""COMPUTED_VALUE"""),"Lucas Chaubier")</f>
        <v>Lucas Chaubier</v>
      </c>
      <c r="C17" s="0" t="str">
        <f aca="false">IFERROR(__xludf.dummyfunction("""COMPUTED_VALUE"""),"Laura BOIS")</f>
        <v>Laura BOIS</v>
      </c>
      <c r="D17" s="0" t="n">
        <f aca="false">IFERROR(__xludf.dummyfunction("COUNTA(FILTER('Réponses au formulaire 1'!B:B,'Réponses au formulaire 1'!B:B=C17))"),1)</f>
        <v>1</v>
      </c>
    </row>
    <row r="18" customFormat="false" ht="15.75" hidden="false" customHeight="false" outlineLevel="0" collapsed="false">
      <c r="A18" s="0" t="str">
        <f aca="false">IFERROR(__xludf.dummyfunction("""COMPUTED_VALUE"""),"Matthieu RETIERE")</f>
        <v>Matthieu RETIERE</v>
      </c>
      <c r="C18" s="0" t="str">
        <f aca="false">IFERROR(__xludf.dummyfunction("""COMPUTED_VALUE"""),"Guillaume SALUDEN")</f>
        <v>Guillaume SALUDEN</v>
      </c>
      <c r="D18" s="0" t="n">
        <f aca="false">IFERROR(__xludf.dummyfunction("COUNTA(FILTER('Réponses au formulaire 1'!B:B,'Réponses au formulaire 1'!B:B=C18))"),1)</f>
        <v>1</v>
      </c>
    </row>
    <row r="19" customFormat="false" ht="15.75" hidden="false" customHeight="false" outlineLevel="0" collapsed="false">
      <c r="A19" s="0" t="str">
        <f aca="false">IFERROR(__xludf.dummyfunction("""COMPUTED_VALUE"""),"Jules SINTES")</f>
        <v>Jules SINTES</v>
      </c>
      <c r="C19" s="0" t="str">
        <f aca="false">IFERROR(__xludf.dummyfunction("""COMPUTED_VALUE"""),"Dimitri DEGONHIER")</f>
        <v>Dimitri DEGONHIER</v>
      </c>
      <c r="D19" s="0" t="n">
        <f aca="false">IFERROR(__xludf.dummyfunction("COUNTA(FILTER('Réponses au formulaire 1'!B:B,'Réponses au formulaire 1'!B:B=C19))"),1)</f>
        <v>1</v>
      </c>
    </row>
    <row r="20" customFormat="false" ht="15.75" hidden="false" customHeight="false" outlineLevel="0" collapsed="false">
      <c r="A20" s="0" t="str">
        <f aca="false">IFERROR(__xludf.dummyfunction("""COMPUTED_VALUE"""),"Thomas SAEZ")</f>
        <v>Thomas SAEZ</v>
      </c>
      <c r="C20" s="0" t="str">
        <f aca="false">IFERROR(__xludf.dummyfunction("""COMPUTED_VALUE"""),"André D'ELBREIL")</f>
        <v>André D'ELBREIL</v>
      </c>
      <c r="D20" s="0" t="n">
        <f aca="false">IFERROR(__xludf.dummyfunction("COUNTA(FILTER('Réponses au formulaire 1'!B:B,'Réponses au formulaire 1'!B:B=C20))"),1)</f>
        <v>1</v>
      </c>
    </row>
    <row r="21" customFormat="false" ht="15.75" hidden="false" customHeight="false" outlineLevel="0" collapsed="false">
      <c r="A21" s="0" t="str">
        <f aca="false">IFERROR(__xludf.dummyfunction("""COMPUTED_VALUE"""),"Aurèle DALIBOT")</f>
        <v>Aurèle DALIBOT</v>
      </c>
      <c r="C21" s="0" t="str">
        <f aca="false">IFERROR(__xludf.dummyfunction("""COMPUTED_VALUE"""),"Louis Duhem")</f>
        <v>Louis Duhem</v>
      </c>
      <c r="D21" s="0" t="n">
        <f aca="false">IFERROR(__xludf.dummyfunction("COUNTA(FILTER('Réponses au formulaire 1'!B:B,'Réponses au formulaire 1'!B:B=C21))"),1)</f>
        <v>1</v>
      </c>
    </row>
    <row r="22" customFormat="false" ht="15.75" hidden="false" customHeight="false" outlineLevel="0" collapsed="false">
      <c r="A22" s="0" t="str">
        <f aca="false">IFERROR(__xludf.dummyfunction("""COMPUTED_VALUE"""),"Nathan Gérard")</f>
        <v>Nathan Gérard</v>
      </c>
      <c r="C22" s="0" t="str">
        <f aca="false">IFERROR(__xludf.dummyfunction("""COMPUTED_VALUE"""),"Maximin TOURAILLE")</f>
        <v>Maximin TOURAILLE</v>
      </c>
      <c r="D22" s="0" t="n">
        <f aca="false">IFERROR(__xludf.dummyfunction("COUNTA(FILTER('Réponses au formulaire 1'!B:B,'Réponses au formulaire 1'!B:B=C22))"),1)</f>
        <v>1</v>
      </c>
    </row>
    <row r="23" customFormat="false" ht="15.75" hidden="false" customHeight="false" outlineLevel="0" collapsed="false">
      <c r="A23" s="0" t="str">
        <f aca="false">IFERROR(__xludf.dummyfunction("""COMPUTED_VALUE"""),"Mario ALVAREZ-CASTRILLON")</f>
        <v>Mario ALVAREZ-CASTRILLON</v>
      </c>
      <c r="C23" s="0" t="str">
        <f aca="false">IFERROR(__xludf.dummyfunction("""COMPUTED_VALUE"""),"Gonzalez JoseRi 😇")</f>
        <v>Gonzalez JoseRi 😇</v>
      </c>
      <c r="D23" s="0" t="n">
        <f aca="false">IFERROR(__xludf.dummyfunction("COUNTA(FILTER('Réponses au formulaire 1'!B:B,'Réponses au formulaire 1'!B:B=C23))"),1)</f>
        <v>1</v>
      </c>
    </row>
    <row r="24" customFormat="false" ht="15.75" hidden="false" customHeight="false" outlineLevel="0" collapsed="false">
      <c r="A24" s="0" t="str">
        <f aca="false">IFERROR(__xludf.dummyfunction("""COMPUTED_VALUE"""),"Alfonso COLON DE CARVAJAL")</f>
        <v>Alfonso COLON DE CARVAJAL</v>
      </c>
      <c r="C24" s="0" t="str">
        <f aca="false">IFERROR(__xludf.dummyfunction("""COMPUTED_VALUE"""),"Jeremy Garcia")</f>
        <v>Jeremy Garcia</v>
      </c>
      <c r="D24" s="0" t="n">
        <f aca="false">IFERROR(__xludf.dummyfunction("COUNTA(FILTER('Réponses au formulaire 1'!B:B,'Réponses au formulaire 1'!B:B=C24))"),1)</f>
        <v>1</v>
      </c>
    </row>
    <row r="25" customFormat="false" ht="15.75" hidden="false" customHeight="false" outlineLevel="0" collapsed="false">
      <c r="A25" s="0" t="str">
        <f aca="false">IFERROR(__xludf.dummyfunction("""COMPUTED_VALUE"""),"Samuel BISMUT")</f>
        <v>Samuel BISMUT</v>
      </c>
      <c r="C25" s="0" t="str">
        <f aca="false">IFERROR(__xludf.dummyfunction("""COMPUTED_VALUE"""),"Maxence FORT")</f>
        <v>Maxence FORT</v>
      </c>
      <c r="D25" s="0" t="n">
        <f aca="false">IFERROR(__xludf.dummyfunction("COUNTA(FILTER('Réponses au formulaire 1'!B:B,'Réponses au formulaire 1'!B:B=C25))"),1)</f>
        <v>1</v>
      </c>
    </row>
    <row r="26" customFormat="false" ht="15.75" hidden="false" customHeight="false" outlineLevel="0" collapsed="false">
      <c r="A26" s="0" t="str">
        <f aca="false">IFERROR(__xludf.dummyfunction("""COMPUTED_VALUE"""),"Antoine LETOFFET")</f>
        <v>Antoine LETOFFET</v>
      </c>
      <c r="C26" s="0" t="str">
        <f aca="false">IFERROR(__xludf.dummyfunction("""COMPUTED_VALUE"""),"Adrien COCHARD")</f>
        <v>Adrien COCHARD</v>
      </c>
      <c r="D26" s="0" t="n">
        <f aca="false">IFERROR(__xludf.dummyfunction("COUNTA(FILTER('Réponses au formulaire 1'!B:B,'Réponses au formulaire 1'!B:B=C26))"),1)</f>
        <v>1</v>
      </c>
    </row>
    <row r="27" customFormat="false" ht="15.75" hidden="false" customHeight="false" outlineLevel="0" collapsed="false">
      <c r="A27" s="0" t="str">
        <f aca="false">IFERROR(__xludf.dummyfunction("""COMPUTED_VALUE"""),"Felipe Altamirano")</f>
        <v>Felipe Altamirano</v>
      </c>
      <c r="C27" s="0" t="str">
        <f aca="false">IFERROR(__xludf.dummyfunction("""COMPUTED_VALUE"""),"Tom Aubelle")</f>
        <v>Tom Aubelle</v>
      </c>
      <c r="D27" s="0" t="n">
        <f aca="false">IFERROR(__xludf.dummyfunction("COUNTA(FILTER('Réponses au formulaire 1'!B:B,'Réponses au formulaire 1'!B:B=C27))"),1)</f>
        <v>1</v>
      </c>
    </row>
    <row r="28" customFormat="false" ht="15.75" hidden="false" customHeight="false" outlineLevel="0" collapsed="false">
      <c r="A28" s="0" t="str">
        <f aca="false">IFERROR(__xludf.dummyfunction("""COMPUTED_VALUE"""),"Alison ALIAGA")</f>
        <v>Alison ALIAGA</v>
      </c>
      <c r="C28" s="0" t="str">
        <f aca="false">IFERROR(__xludf.dummyfunction("""COMPUTED_VALUE"""),"Joanna MARTIN")</f>
        <v>Joanna MARTIN</v>
      </c>
      <c r="D28" s="0" t="n">
        <f aca="false">IFERROR(__xludf.dummyfunction("COUNTA(FILTER('Réponses au formulaire 1'!B:B,'Réponses au formulaire 1'!B:B=C28))"),1)</f>
        <v>1</v>
      </c>
    </row>
    <row r="29" customFormat="false" ht="15.75" hidden="false" customHeight="false" outlineLevel="0" collapsed="false">
      <c r="A29" s="0" t="str">
        <f aca="false">IFERROR(__xludf.dummyfunction("""COMPUTED_VALUE"""),"Tapias")</f>
        <v>Tapias</v>
      </c>
      <c r="C29" s="0" t="str">
        <f aca="false">IFERROR(__xludf.dummyfunction("""COMPUTED_VALUE"""),"Pauline Viault")</f>
        <v>Pauline Viault</v>
      </c>
      <c r="D29" s="0" t="n">
        <f aca="false">IFERROR(__xludf.dummyfunction("COUNTA(FILTER('Réponses au formulaire 1'!B:B,'Réponses au formulaire 1'!B:B=C29))"),1)</f>
        <v>1</v>
      </c>
    </row>
    <row r="30" customFormat="false" ht="15.75" hidden="false" customHeight="false" outlineLevel="0" collapsed="false">
      <c r="A30" s="0" t="str">
        <f aca="false">IFERROR(__xludf.dummyfunction("""COMPUTED_VALUE"""),"Hugo SEMPÉ")</f>
        <v>Hugo SEMPÉ</v>
      </c>
      <c r="C30" s="0" t="str">
        <f aca="false">IFERROR(__xludf.dummyfunction("""COMPUTED_VALUE"""),"Laurine DECROS")</f>
        <v>Laurine DECROS</v>
      </c>
      <c r="D30" s="0" t="n">
        <f aca="false">IFERROR(__xludf.dummyfunction("COUNTA(FILTER('Réponses au formulaire 1'!B:B,'Réponses au formulaire 1'!B:B=C30))"),1)</f>
        <v>1</v>
      </c>
    </row>
    <row r="31" customFormat="false" ht="15.75" hidden="false" customHeight="false" outlineLevel="0" collapsed="false">
      <c r="A31" s="0" t="str">
        <f aca="false">IFERROR(__xludf.dummyfunction("""COMPUTED_VALUE"""),"Louis LEQUES")</f>
        <v>Louis LEQUES</v>
      </c>
      <c r="C31" s="0" t="str">
        <f aca="false">IFERROR(__xludf.dummyfunction("""COMPUTED_VALUE"""),"Suzanne COUTELOU")</f>
        <v>Suzanne COUTELOU</v>
      </c>
      <c r="D31" s="0" t="n">
        <f aca="false">IFERROR(__xludf.dummyfunction("COUNTA(FILTER('Réponses au formulaire 1'!B:B,'Réponses au formulaire 1'!B:B=C31))"),1)</f>
        <v>1</v>
      </c>
    </row>
    <row r="32" customFormat="false" ht="15.75" hidden="false" customHeight="false" outlineLevel="0" collapsed="false">
      <c r="A32" s="0" t="str">
        <f aca="false">IFERROR(__xludf.dummyfunction("""COMPUTED_VALUE"""),"Louis CLAUCE")</f>
        <v>Louis CLAUCE</v>
      </c>
      <c r="C32" s="0" t="str">
        <f aca="false">IFERROR(__xludf.dummyfunction("""COMPUTED_VALUE"""),"Hugo DOUX")</f>
        <v>Hugo DOUX</v>
      </c>
      <c r="D32" s="0" t="n">
        <f aca="false">IFERROR(__xludf.dummyfunction("COUNTA(FILTER('Réponses au formulaire 1'!B:B,'Réponses au formulaire 1'!B:B=C32))"),1)</f>
        <v>1</v>
      </c>
    </row>
    <row r="33" customFormat="false" ht="15.75" hidden="false" customHeight="false" outlineLevel="0" collapsed="false">
      <c r="A33" s="0" t="str">
        <f aca="false">IFERROR(__xludf.dummyfunction("""COMPUTED_VALUE"""),"Arthur LEMASSON")</f>
        <v>Arthur LEMASSON</v>
      </c>
      <c r="C33" s="0" t="str">
        <f aca="false">IFERROR(__xludf.dummyfunction("""COMPUTED_VALUE"""),"Alexandre VURLOD")</f>
        <v>Alexandre VURLOD</v>
      </c>
      <c r="D33" s="0" t="n">
        <f aca="false">IFERROR(__xludf.dummyfunction("COUNTA(FILTER('Réponses au formulaire 1'!B:B,'Réponses au formulaire 1'!B:B=C33))"),1)</f>
        <v>1</v>
      </c>
    </row>
    <row r="34" customFormat="false" ht="15.75" hidden="false" customHeight="false" outlineLevel="0" collapsed="false">
      <c r="A34" s="0" t="str">
        <f aca="false">IFERROR(__xludf.dummyfunction("""COMPUTED_VALUE"""),"Vincent MESLIER")</f>
        <v>Vincent MESLIER</v>
      </c>
      <c r="C34" s="0" t="str">
        <f aca="false">IFERROR(__xludf.dummyfunction("""COMPUTED_VALUE"""),"Julie Ugolini")</f>
        <v>Julie Ugolini</v>
      </c>
      <c r="D34" s="0" t="n">
        <f aca="false">IFERROR(__xludf.dummyfunction("COUNTA(FILTER('Réponses au formulaire 1'!B:B,'Réponses au formulaire 1'!B:B=C34))"),1)</f>
        <v>1</v>
      </c>
    </row>
    <row r="35" customFormat="false" ht="15.75" hidden="false" customHeight="false" outlineLevel="0" collapsed="false">
      <c r="A35" s="0" t="str">
        <f aca="false">IFERROR(__xludf.dummyfunction("""COMPUTED_VALUE"""),"Tom OVISTE")</f>
        <v>Tom OVISTE</v>
      </c>
      <c r="C35" s="0" t="str">
        <f aca="false">IFERROR(__xludf.dummyfunction("""COMPUTED_VALUE"""),"Marie POIRIER")</f>
        <v>Marie POIRIER</v>
      </c>
      <c r="D35" s="0" t="n">
        <f aca="false">IFERROR(__xludf.dummyfunction("COUNTA(FILTER('Réponses au formulaire 1'!B:B,'Réponses au formulaire 1'!B:B=C35))"),1)</f>
        <v>1</v>
      </c>
    </row>
    <row r="36" customFormat="false" ht="15.75" hidden="false" customHeight="false" outlineLevel="0" collapsed="false">
      <c r="A36" s="0" t="str">
        <f aca="false">IFERROR(__xludf.dummyfunction("""COMPUTED_VALUE"""),"Pm Guyot")</f>
        <v>Pm Guyot</v>
      </c>
      <c r="C36" s="0" t="str">
        <f aca="false">IFERROR(__xludf.dummyfunction("""COMPUTED_VALUE"""),"Tony MARTINEAU")</f>
        <v>Tony MARTINEAU</v>
      </c>
      <c r="D36" s="0" t="n">
        <f aca="false">IFERROR(__xludf.dummyfunction("COUNTA(FILTER('Réponses au formulaire 1'!B:B,'Réponses au formulaire 1'!B:B=C36))"),1)</f>
        <v>1</v>
      </c>
    </row>
    <row r="37" customFormat="false" ht="15.75" hidden="false" customHeight="false" outlineLevel="0" collapsed="false">
      <c r="A37" s="0" t="str">
        <f aca="false">IFERROR(__xludf.dummyfunction("""COMPUTED_VALUE"""),"Rémy MAIGE")</f>
        <v>Rémy MAIGE</v>
      </c>
      <c r="C37" s="0" t="str">
        <f aca="false">IFERROR(__xludf.dummyfunction("""COMPUTED_VALUE"""),"Maelig GABORIEAU")</f>
        <v>Maelig GABORIEAU</v>
      </c>
      <c r="D37" s="0" t="n">
        <f aca="false">IFERROR(__xludf.dummyfunction("COUNTA(FILTER('Réponses au formulaire 1'!B:B,'Réponses au formulaire 1'!B:B=C37))"),1)</f>
        <v>1</v>
      </c>
    </row>
    <row r="38" customFormat="false" ht="15.75" hidden="false" customHeight="false" outlineLevel="0" collapsed="false">
      <c r="A38" s="0" t="str">
        <f aca="false">IFERROR(__xludf.dummyfunction("""COMPUTED_VALUE"""),"Tanguy CABARET")</f>
        <v>Tanguy CABARET</v>
      </c>
      <c r="C38" s="0" t="str">
        <f aca="false">IFERROR(__xludf.dummyfunction("""COMPUTED_VALUE"""),"Marc de Ponnat")</f>
        <v>Marc de Ponnat</v>
      </c>
      <c r="D38" s="0" t="n">
        <f aca="false">IFERROR(__xludf.dummyfunction("COUNTA(FILTER('Réponses au formulaire 1'!B:B,'Réponses au formulaire 1'!B:B=C38))"),1)</f>
        <v>1</v>
      </c>
    </row>
    <row r="39" customFormat="false" ht="15.75" hidden="false" customHeight="false" outlineLevel="0" collapsed="false">
      <c r="A39" s="0" t="str">
        <f aca="false">IFERROR(__xludf.dummyfunction("""COMPUTED_VALUE"""),"Jean-Baptiste de BECO")</f>
        <v>Jean-Baptiste de BECO</v>
      </c>
      <c r="C39" s="0" t="str">
        <f aca="false">IFERROR(__xludf.dummyfunction("""COMPUTED_VALUE"""),"Vincent PASCAT")</f>
        <v>Vincent PASCAT</v>
      </c>
      <c r="D39" s="0" t="n">
        <f aca="false">IFERROR(__xludf.dummyfunction("COUNTA(FILTER('Réponses au formulaire 1'!B:B,'Réponses au formulaire 1'!B:B=C39))"),1)</f>
        <v>1</v>
      </c>
    </row>
    <row r="40" customFormat="false" ht="15.75" hidden="false" customHeight="false" outlineLevel="0" collapsed="false">
      <c r="A40" s="0" t="str">
        <f aca="false">IFERROR(__xludf.dummyfunction("""COMPUTED_VALUE"""),"Aygalic JARA")</f>
        <v>Aygalic JARA</v>
      </c>
      <c r="C40" s="0" t="str">
        <f aca="false">IFERROR(__xludf.dummyfunction("""COMPUTED_VALUE"""),"Matthieu Brunot")</f>
        <v>Matthieu Brunot</v>
      </c>
      <c r="D40" s="0" t="n">
        <f aca="false">IFERROR(__xludf.dummyfunction("COUNTA(FILTER('Réponses au formulaire 1'!B:B,'Réponses au formulaire 1'!B:B=C40))"),1)</f>
        <v>1</v>
      </c>
    </row>
    <row r="41" customFormat="false" ht="15.75" hidden="false" customHeight="false" outlineLevel="0" collapsed="false">
      <c r="C41" s="0" t="str">
        <f aca="false">IFERROR(__xludf.dummyfunction("""COMPUTED_VALUE"""),"Julien Bomberault")</f>
        <v>Julien Bomberault</v>
      </c>
      <c r="D41" s="0" t="n">
        <f aca="false">IFERROR(__xludf.dummyfunction("COUNTA(FILTER('Réponses au formulaire 1'!B:B,'Réponses au formulaire 1'!B:B=C41))"),1)</f>
        <v>1</v>
      </c>
    </row>
    <row r="42" customFormat="false" ht="15.75" hidden="false" customHeight="false" outlineLevel="0" collapsed="false">
      <c r="C42" s="0" t="str">
        <f aca="false">IFERROR(__xludf.dummyfunction("""COMPUTED_VALUE"""),"Carmen SORIA")</f>
        <v>Carmen SORIA</v>
      </c>
      <c r="D42" s="0" t="n">
        <f aca="false">IFERROR(__xludf.dummyfunction("COUNTA(FILTER('Réponses au formulaire 1'!B:B,'Réponses au formulaire 1'!B:B=C42))"),1)</f>
        <v>1</v>
      </c>
    </row>
    <row r="43" customFormat="false" ht="15.75" hidden="false" customHeight="false" outlineLevel="0" collapsed="false">
      <c r="C43" s="0" t="str">
        <f aca="false">IFERROR(__xludf.dummyfunction("""COMPUTED_VALUE"""),"Constance Kooyman")</f>
        <v>Constance Kooyman</v>
      </c>
      <c r="D43" s="0" t="n">
        <f aca="false">IFERROR(__xludf.dummyfunction("COUNTA(FILTER('Réponses au formulaire 1'!B:B,'Réponses au formulaire 1'!B:B=C43))"),1)</f>
        <v>1</v>
      </c>
    </row>
    <row r="44" customFormat="false" ht="15.75" hidden="false" customHeight="false" outlineLevel="0" collapsed="false">
      <c r="C44" s="0" t="str">
        <f aca="false">IFERROR(__xludf.dummyfunction("""COMPUTED_VALUE"""),"Damien GUYONVARCH")</f>
        <v>Damien GUYONVARCH</v>
      </c>
      <c r="D44" s="0" t="n">
        <f aca="false">IFERROR(__xludf.dummyfunction("COUNTA(FILTER('Réponses au formulaire 1'!B:B,'Réponses au formulaire 1'!B:B=C44))"),1)</f>
        <v>1</v>
      </c>
    </row>
    <row r="45" customFormat="false" ht="15.75" hidden="false" customHeight="false" outlineLevel="0" collapsed="false">
      <c r="C45" s="0" t="str">
        <f aca="false">IFERROR(__xludf.dummyfunction("""COMPUTED_VALUE"""),"Florent COLLOCH")</f>
        <v>Florent COLLOCH</v>
      </c>
      <c r="D45" s="0" t="n">
        <f aca="false">IFERROR(__xludf.dummyfunction("COUNTA(FILTER('Réponses au formulaire 1'!B:B,'Réponses au formulaire 1'!B:B=C45))"),1)</f>
        <v>1</v>
      </c>
    </row>
    <row r="46" customFormat="false" ht="15.75" hidden="false" customHeight="false" outlineLevel="0" collapsed="false">
      <c r="C46" s="0" t="str">
        <f aca="false">IFERROR(__xludf.dummyfunction("""COMPUTED_VALUE"""),"Adrien RIDOUARD")</f>
        <v>Adrien RIDOUARD</v>
      </c>
      <c r="D46" s="0" t="n">
        <f aca="false">IFERROR(__xludf.dummyfunction("COUNTA(FILTER('Réponses au formulaire 1'!B:B,'Réponses au formulaire 1'!B:B=C46))"),1)</f>
        <v>1</v>
      </c>
    </row>
    <row r="47" customFormat="false" ht="15.75" hidden="false" customHeight="false" outlineLevel="0" collapsed="false">
      <c r="C47" s="0" t="str">
        <f aca="false">IFERROR(__xludf.dummyfunction("""COMPUTED_VALUE"""),"Lucas MIRANDE")</f>
        <v>Lucas MIRANDE</v>
      </c>
      <c r="D47" s="0" t="n">
        <f aca="false">IFERROR(__xludf.dummyfunction("COUNTA(FILTER('Réponses au formulaire 1'!B:B,'Réponses au formulaire 1'!B:B=C47))"),1)</f>
        <v>1</v>
      </c>
    </row>
    <row r="48" customFormat="false" ht="15.75" hidden="false" customHeight="false" outlineLevel="0" collapsed="false">
      <c r="C48" s="0" t="str">
        <f aca="false">IFERROR(__xludf.dummyfunction("""COMPUTED_VALUE"""),"Simon PUECH")</f>
        <v>Simon PUECH</v>
      </c>
      <c r="D48" s="0" t="n">
        <f aca="false">IFERROR(__xludf.dummyfunction("COUNTA(FILTER('Réponses au formulaire 1'!B:B,'Réponses au formulaire 1'!B:B=C48))"),1)</f>
        <v>1</v>
      </c>
    </row>
    <row r="49" customFormat="false" ht="15.75" hidden="false" customHeight="false" outlineLevel="0" collapsed="false">
      <c r="C49" s="0" t="str">
        <f aca="false">IFERROR(__xludf.dummyfunction("""COMPUTED_VALUE"""),"Thomas Serratrice")</f>
        <v>Thomas Serratrice</v>
      </c>
      <c r="D49" s="0" t="n">
        <f aca="false">IFERROR(__xludf.dummyfunction("COUNTA(FILTER('Réponses au formulaire 1'!B:B,'Réponses au formulaire 1'!B:B=C49))"),1)</f>
        <v>1</v>
      </c>
    </row>
    <row r="50" customFormat="false" ht="15.75" hidden="false" customHeight="false" outlineLevel="0" collapsed="false">
      <c r="C50" s="0" t="str">
        <f aca="false">IFERROR(__xludf.dummyfunction("""COMPUTED_VALUE"""),"Clément DENIS")</f>
        <v>Clément DENIS</v>
      </c>
      <c r="D50" s="0" t="n">
        <f aca="false">IFERROR(__xludf.dummyfunction("COUNTA(FILTER('Réponses au formulaire 1'!B:B,'Réponses au formulaire 1'!B:B=C50))"),1)</f>
        <v>1</v>
      </c>
    </row>
    <row r="51" customFormat="false" ht="15.75" hidden="false" customHeight="false" outlineLevel="0" collapsed="false">
      <c r="C51" s="0" t="str">
        <f aca="false">IFERROR(__xludf.dummyfunction("""COMPUTED_VALUE"""),"Mathieu KERMAREC")</f>
        <v>Mathieu KERMAREC</v>
      </c>
      <c r="D51" s="0" t="n">
        <f aca="false">IFERROR(__xludf.dummyfunction("COUNTA(FILTER('Réponses au formulaire 1'!B:B,'Réponses au formulaire 1'!B:B=C51))"),1)</f>
        <v>1</v>
      </c>
    </row>
    <row r="52" customFormat="false" ht="15.75" hidden="false" customHeight="false" outlineLevel="0" collapsed="false">
      <c r="C52" s="0" t="str">
        <f aca="false">IFERROR(__xludf.dummyfunction("""COMPUTED_VALUE"""),"Thomas LE JAN")</f>
        <v>Thomas LE JAN</v>
      </c>
      <c r="D52" s="0" t="n">
        <f aca="false">IFERROR(__xludf.dummyfunction("COUNTA(FILTER('Réponses au formulaire 1'!B:B,'Réponses au formulaire 1'!B:B=C52))"),1)</f>
        <v>1</v>
      </c>
    </row>
    <row r="53" customFormat="false" ht="15.75" hidden="false" customHeight="false" outlineLevel="0" collapsed="false">
      <c r="C53" s="0" t="str">
        <f aca="false">IFERROR(__xludf.dummyfunction("""COMPUTED_VALUE"""),"Paul LENOIR")</f>
        <v>Paul LENOIR</v>
      </c>
      <c r="D53" s="0" t="n">
        <f aca="false">IFERROR(__xludf.dummyfunction("COUNTA(FILTER('Réponses au formulaire 1'!B:B,'Réponses au formulaire 1'!B:B=C53))"),1)</f>
        <v>1</v>
      </c>
    </row>
    <row r="54" customFormat="false" ht="15.75" hidden="false" customHeight="false" outlineLevel="0" collapsed="false">
      <c r="C54" s="0" t="str">
        <f aca="false">IFERROR(__xludf.dummyfunction("""COMPUTED_VALUE"""),"Alexandre MERVILLE")</f>
        <v>Alexandre MERVILLE</v>
      </c>
      <c r="D54" s="0" t="n">
        <f aca="false">IFERROR(__xludf.dummyfunction("COUNTA(FILTER('Réponses au formulaire 1'!B:B,'Réponses au formulaire 1'!B:B=C54))"),1)</f>
        <v>1</v>
      </c>
    </row>
    <row r="55" customFormat="false" ht="15.75" hidden="false" customHeight="false" outlineLevel="0" collapsed="false">
      <c r="C55" s="0" t="str">
        <f aca="false">IFERROR(__xludf.dummyfunction("""COMPUTED_VALUE"""),"Gabriel Lucas")</f>
        <v>Gabriel Lucas</v>
      </c>
      <c r="D55" s="0" t="n">
        <f aca="false">IFERROR(__xludf.dummyfunction("COUNTA(FILTER('Réponses au formulaire 1'!B:B,'Réponses au formulaire 1'!B:B=C55))"),1)</f>
        <v>1</v>
      </c>
    </row>
    <row r="56" customFormat="false" ht="15.75" hidden="false" customHeight="false" outlineLevel="0" collapsed="false">
      <c r="C56" s="0" t="str">
        <f aca="false">IFERROR(__xludf.dummyfunction("""COMPUTED_VALUE"""),"Grégory Perret")</f>
        <v>Grégory Perret</v>
      </c>
      <c r="D56" s="0" t="n">
        <f aca="false">IFERROR(__xludf.dummyfunction("COUNTA(FILTER('Réponses au formulaire 1'!B:B,'Réponses au formulaire 1'!B:B=C56))"),1)</f>
        <v>1</v>
      </c>
    </row>
    <row r="57" customFormat="false" ht="15.75" hidden="false" customHeight="false" outlineLevel="0" collapsed="false">
      <c r="C57" s="0" t="str">
        <f aca="false">IFERROR(__xludf.dummyfunction("""COMPUTED_VALUE"""),"Agathe MADAULE")</f>
        <v>Agathe MADAULE</v>
      </c>
      <c r="D57" s="0" t="n">
        <f aca="false">IFERROR(__xludf.dummyfunction("COUNTA(FILTER('Réponses au formulaire 1'!B:B,'Réponses au formulaire 1'!B:B=C57))"),1)</f>
        <v>1</v>
      </c>
    </row>
    <row r="58" customFormat="false" ht="15.75" hidden="false" customHeight="false" outlineLevel="0" collapsed="false">
      <c r="C58" s="0" t="str">
        <f aca="false">IFERROR(__xludf.dummyfunction("""COMPUTED_VALUE"""),"Mathilde Querné")</f>
        <v>Mathilde Querné</v>
      </c>
      <c r="D58" s="0" t="n">
        <f aca="false">IFERROR(__xludf.dummyfunction("COUNTA(FILTER('Réponses au formulaire 1'!B:B,'Réponses au formulaire 1'!B:B=C58))"),1)</f>
        <v>1</v>
      </c>
    </row>
    <row r="59" customFormat="false" ht="15.75" hidden="false" customHeight="false" outlineLevel="0" collapsed="false">
      <c r="C59" s="0" t="str">
        <f aca="false">IFERROR(__xludf.dummyfunction("""COMPUTED_VALUE"""),"Marie Cozzi")</f>
        <v>Marie Cozzi</v>
      </c>
      <c r="D59" s="0" t="n">
        <f aca="false">IFERROR(__xludf.dummyfunction("COUNTA(FILTER('Réponses au formulaire 1'!B:B,'Réponses au formulaire 1'!B:B=C59))"),1)</f>
        <v>1</v>
      </c>
    </row>
    <row r="60" customFormat="false" ht="15.75" hidden="false" customHeight="false" outlineLevel="0" collapsed="false">
      <c r="C60" s="0" t="str">
        <f aca="false">IFERROR(__xludf.dummyfunction("""COMPUTED_VALUE"""),"Cédric DUSSERRE")</f>
        <v>Cédric DUSSERRE</v>
      </c>
      <c r="D60" s="0" t="n">
        <f aca="false">IFERROR(__xludf.dummyfunction("COUNTA(FILTER('Réponses au formulaire 1'!B:B,'Réponses au formulaire 1'!B:B=C60))"),1)</f>
        <v>1</v>
      </c>
    </row>
    <row r="61" customFormat="false" ht="15.75" hidden="false" customHeight="false" outlineLevel="0" collapsed="false">
      <c r="C61" s="0" t="str">
        <f aca="false">IFERROR(__xludf.dummyfunction("""COMPUTED_VALUE"""),"Julien Douxami")</f>
        <v>Julien Douxami</v>
      </c>
      <c r="D61" s="0" t="n">
        <f aca="false">IFERROR(__xludf.dummyfunction("COUNTA(FILTER('Réponses au formulaire 1'!B:B,'Réponses au formulaire 1'!B:B=C61))"),1)</f>
        <v>1</v>
      </c>
    </row>
    <row r="62" customFormat="false" ht="15.75" hidden="false" customHeight="false" outlineLevel="0" collapsed="false">
      <c r="C62" s="0" t="str">
        <f aca="false">IFERROR(__xludf.dummyfunction("""COMPUTED_VALUE"""),"Louis DA COSTA")</f>
        <v>Louis DA COSTA</v>
      </c>
      <c r="D62" s="0" t="n">
        <f aca="false">IFERROR(__xludf.dummyfunction("COUNTA(FILTER('Réponses au formulaire 1'!B:B,'Réponses au formulaire 1'!B:B=C62))"),1)</f>
        <v>1</v>
      </c>
    </row>
    <row r="63" customFormat="false" ht="15.75" hidden="false" customHeight="false" outlineLevel="0" collapsed="false">
      <c r="C63" s="0" t="str">
        <f aca="false">IFERROR(__xludf.dummyfunction("""COMPUTED_VALUE"""),"Antoine Dupuis")</f>
        <v>Antoine Dupuis</v>
      </c>
      <c r="D63" s="0" t="n">
        <f aca="false">IFERROR(__xludf.dummyfunction("COUNTA(FILTER('Réponses au formulaire 1'!B:B,'Réponses au formulaire 1'!B:B=C63))"),1)</f>
        <v>1</v>
      </c>
    </row>
    <row r="64" customFormat="false" ht="15.75" hidden="false" customHeight="false" outlineLevel="0" collapsed="false">
      <c r="C64" s="0" t="str">
        <f aca="false">IFERROR(__xludf.dummyfunction("""COMPUTED_VALUE"""),"Lilian Dedecker")</f>
        <v>Lilian Dedecker</v>
      </c>
      <c r="D64" s="0" t="n">
        <f aca="false">IFERROR(__xludf.dummyfunction("COUNTA(FILTER('Réponses au formulaire 1'!B:B,'Réponses au formulaire 1'!B:B=C64))"),1)</f>
        <v>1</v>
      </c>
    </row>
    <row r="65" customFormat="false" ht="15.75" hidden="false" customHeight="false" outlineLevel="0" collapsed="false">
      <c r="C65" s="0" t="str">
        <f aca="false">IFERROR(__xludf.dummyfunction("""COMPUTED_VALUE"""),"J'ui une grosse pute")</f>
        <v>J'ui une grosse pute</v>
      </c>
      <c r="D65" s="0" t="n">
        <f aca="false">IFERROR(__xludf.dummyfunction("COUNTA(FILTER('Réponses au formulaire 1'!B:B,'Réponses au formulaire 1'!B:B=C65))"),1)</f>
        <v>1</v>
      </c>
    </row>
    <row r="66" customFormat="false" ht="15.75" hidden="false" customHeight="false" outlineLevel="0" collapsed="false">
      <c r="C66" s="0" t="str">
        <f aca="false">IFERROR(__xludf.dummyfunction("""COMPUTED_VALUE"""),"Valentine KEMPF")</f>
        <v>Valentine KEMPF</v>
      </c>
      <c r="D66" s="0" t="n">
        <f aca="false">IFERROR(__xludf.dummyfunction("COUNTA(FILTER('Réponses au formulaire 1'!B:B,'Réponses au formulaire 1'!B:B=C66))"),1)</f>
        <v>1</v>
      </c>
    </row>
    <row r="67" customFormat="false" ht="15.75" hidden="false" customHeight="false" outlineLevel="0" collapsed="false">
      <c r="C67" s="0" t="str">
        <f aca="false">IFERROR(__xludf.dummyfunction("""COMPUTED_VALUE"""),"Charlotte Fosse")</f>
        <v>Charlotte Fosse</v>
      </c>
      <c r="D67" s="0" t="n">
        <f aca="false">IFERROR(__xludf.dummyfunction("COUNTA(FILTER('Réponses au formulaire 1'!B:B,'Réponses au formulaire 1'!B:B=C67))"),1)</f>
        <v>1</v>
      </c>
    </row>
    <row r="68" customFormat="false" ht="15.75" hidden="false" customHeight="false" outlineLevel="0" collapsed="false">
      <c r="C68" s="0" t="str">
        <f aca="false">IFERROR(__xludf.dummyfunction("""COMPUTED_VALUE"""),"Julien LACOUR")</f>
        <v>Julien LACOUR</v>
      </c>
      <c r="D68" s="0" t="n">
        <f aca="false">IFERROR(__xludf.dummyfunction("COUNTA(FILTER('Réponses au formulaire 1'!B:B,'Réponses au formulaire 1'!B:B=C68))"),1)</f>
        <v>1</v>
      </c>
    </row>
    <row r="69" customFormat="false" ht="15.75" hidden="false" customHeight="false" outlineLevel="0" collapsed="false">
      <c r="C69" s="0" t="str">
        <f aca="false">IFERROR(__xludf.dummyfunction("""COMPUTED_VALUE"""),"Irène Le Borgne")</f>
        <v>Irène Le Borgne</v>
      </c>
      <c r="D69" s="0" t="n">
        <f aca="false">IFERROR(__xludf.dummyfunction("COUNTA(FILTER('Réponses au formulaire 1'!B:B,'Réponses au formulaire 1'!B:B=C69))"),1)</f>
        <v>1</v>
      </c>
    </row>
    <row r="70" customFormat="false" ht="15.75" hidden="false" customHeight="false" outlineLevel="0" collapsed="false">
      <c r="C70" s="0" t="str">
        <f aca="false">IFERROR(__xludf.dummyfunction("""COMPUTED_VALUE"""),"Aurélien DE LA HOUGUE")</f>
        <v>Aurélien DE LA HOUGUE</v>
      </c>
      <c r="D70" s="0" t="n">
        <f aca="false">IFERROR(__xludf.dummyfunction("COUNTA(FILTER('Réponses au formulaire 1'!B:B,'Réponses au formulaire 1'!B:B=C70))"),1)</f>
        <v>1</v>
      </c>
    </row>
    <row r="71" customFormat="false" ht="15.75" hidden="false" customHeight="false" outlineLevel="0" collapsed="false">
      <c r="C71" s="0" t="str">
        <f aca="false">IFERROR(__xludf.dummyfunction("""COMPUTED_VALUE"""),"Matthieu BARCET")</f>
        <v>Matthieu BARCET</v>
      </c>
      <c r="D71" s="0" t="n">
        <f aca="false">IFERROR(__xludf.dummyfunction("COUNTA(FILTER('Réponses au formulaire 1'!B:B,'Réponses au formulaire 1'!B:B=C71))"),1)</f>
        <v>1</v>
      </c>
    </row>
    <row r="72" customFormat="false" ht="15.75" hidden="false" customHeight="false" outlineLevel="0" collapsed="false">
      <c r="C72" s="0" t="str">
        <f aca="false">IFERROR(__xludf.dummyfunction("""COMPUTED_VALUE"""),"Marie VIOLLEAU")</f>
        <v>Marie VIOLLEAU</v>
      </c>
      <c r="D72" s="0" t="n">
        <f aca="false">IFERROR(__xludf.dummyfunction("COUNTA(FILTER('Réponses au formulaire 1'!B:B,'Réponses au formulaire 1'!B:B=C72))"),1)</f>
        <v>1</v>
      </c>
    </row>
    <row r="73" customFormat="false" ht="15.75" hidden="false" customHeight="false" outlineLevel="0" collapsed="false">
      <c r="C73" s="0" t="str">
        <f aca="false">IFERROR(__xludf.dummyfunction("""COMPUTED_VALUE"""),"Mathieu ZACH")</f>
        <v>Mathieu ZACH</v>
      </c>
      <c r="D73" s="0" t="n">
        <f aca="false">IFERROR(__xludf.dummyfunction("COUNTA(FILTER('Réponses au formulaire 1'!B:B,'Réponses au formulaire 1'!B:B=C73))"),1)</f>
        <v>1</v>
      </c>
    </row>
    <row r="74" customFormat="false" ht="15.75" hidden="false" customHeight="false" outlineLevel="0" collapsed="false">
      <c r="C74" s="0" t="str">
        <f aca="false">IFERROR(__xludf.dummyfunction("""COMPUTED_VALUE"""),"Iris PROUST")</f>
        <v>Iris PROUST</v>
      </c>
      <c r="D74" s="0" t="n">
        <f aca="false">IFERROR(__xludf.dummyfunction("COUNTA(FILTER('Réponses au formulaire 1'!B:B,'Réponses au formulaire 1'!B:B=C74))"),1)</f>
        <v>1</v>
      </c>
    </row>
    <row r="75" customFormat="false" ht="15.75" hidden="false" customHeight="false" outlineLevel="0" collapsed="false">
      <c r="C75" s="0" t="str">
        <f aca="false">IFERROR(__xludf.dummyfunction("""COMPUTED_VALUE"""),"Louis AUGEREAU")</f>
        <v>Louis AUGEREAU</v>
      </c>
      <c r="D75" s="0" t="n">
        <f aca="false">IFERROR(__xludf.dummyfunction("COUNTA(FILTER('Réponses au formulaire 1'!B:B,'Réponses au formulaire 1'!B:B=C75))"),1)</f>
        <v>1</v>
      </c>
    </row>
    <row r="76" customFormat="false" ht="15.75" hidden="false" customHeight="false" outlineLevel="0" collapsed="false">
      <c r="C76" s="0" t="str">
        <f aca="false">IFERROR(__xludf.dummyfunction("""COMPUTED_VALUE"""),"Céline Balmes")</f>
        <v>Céline Balmes</v>
      </c>
      <c r="D76" s="0" t="n">
        <f aca="false">IFERROR(__xludf.dummyfunction("COUNTA(FILTER('Réponses au formulaire 1'!B:B,'Réponses au formulaire 1'!B:B=C76))"),1)</f>
        <v>1</v>
      </c>
    </row>
    <row r="77" customFormat="false" ht="15.75" hidden="false" customHeight="false" outlineLevel="0" collapsed="false">
      <c r="C77" s="0" t="str">
        <f aca="false">IFERROR(__xludf.dummyfunction("""COMPUTED_VALUE"""),"Paul SIMON")</f>
        <v>Paul SIMON</v>
      </c>
      <c r="D77" s="0" t="n">
        <f aca="false">IFERROR(__xludf.dummyfunction("COUNTA(FILTER('Réponses au formulaire 1'!B:B,'Réponses au formulaire 1'!B:B=C77))"),1)</f>
        <v>1</v>
      </c>
    </row>
    <row r="78" customFormat="false" ht="15.75" hidden="false" customHeight="false" outlineLevel="0" collapsed="false">
      <c r="C78" s="0" t="str">
        <f aca="false">IFERROR(__xludf.dummyfunction("""COMPUTED_VALUE"""),"Paul CHAUVIN")</f>
        <v>Paul CHAUVIN</v>
      </c>
      <c r="D78" s="0" t="n">
        <f aca="false">IFERROR(__xludf.dummyfunction("COUNTA(FILTER('Réponses au formulaire 1'!B:B,'Réponses au formulaire 1'!B:B=C78))"),1)</f>
        <v>1</v>
      </c>
    </row>
    <row r="79" customFormat="false" ht="15.75" hidden="false" customHeight="false" outlineLevel="0" collapsed="false">
      <c r="C79" s="0" t="str">
        <f aca="false">IFERROR(__xludf.dummyfunction("""COMPUTED_VALUE"""),"Paul MARTEL")</f>
        <v>Paul MARTEL</v>
      </c>
      <c r="D79" s="0" t="n">
        <f aca="false">IFERROR(__xludf.dummyfunction("COUNTA(FILTER('Réponses au formulaire 1'!B:B,'Réponses au formulaire 1'!B:B=C79))"),1)</f>
        <v>1</v>
      </c>
    </row>
    <row r="80" customFormat="false" ht="15.75" hidden="false" customHeight="false" outlineLevel="0" collapsed="false">
      <c r="C80" s="0" t="str">
        <f aca="false">IFERROR(__xludf.dummyfunction("""COMPUTED_VALUE"""),"Pierre-Louis lombard")</f>
        <v>Pierre-Louis lombard</v>
      </c>
      <c r="D80" s="0" t="n">
        <f aca="false">IFERROR(__xludf.dummyfunction("COUNTA(FILTER('Réponses au formulaire 1'!B:B,'Réponses au formulaire 1'!B:B=C80))"),1)</f>
        <v>1</v>
      </c>
    </row>
    <row r="81" customFormat="false" ht="15.75" hidden="false" customHeight="false" outlineLevel="0" collapsed="false">
      <c r="C81" s="0" t="str">
        <f aca="false">IFERROR(__xludf.dummyfunction("""COMPUTED_VALUE"""),"Lucas Chaubier")</f>
        <v>Lucas Chaubier</v>
      </c>
      <c r="D81" s="0" t="n">
        <f aca="false">IFERROR(__xludf.dummyfunction("COUNTA(FILTER('Réponses au formulaire 1'!B:B,'Réponses au formulaire 1'!B:B=C81))"),1)</f>
        <v>1</v>
      </c>
    </row>
    <row r="82" customFormat="false" ht="15.75" hidden="false" customHeight="false" outlineLevel="0" collapsed="false">
      <c r="C82" s="0" t="str">
        <f aca="false">IFERROR(__xludf.dummyfunction("""COMPUTED_VALUE"""),"Matthieu RETIERE")</f>
        <v>Matthieu RETIERE</v>
      </c>
      <c r="D82" s="0" t="n">
        <f aca="false">IFERROR(__xludf.dummyfunction("COUNTA(FILTER('Réponses au formulaire 1'!B:B,'Réponses au formulaire 1'!B:B=C82))"),1)</f>
        <v>1</v>
      </c>
    </row>
    <row r="83" customFormat="false" ht="15.75" hidden="false" customHeight="false" outlineLevel="0" collapsed="false">
      <c r="C83" s="0" t="str">
        <f aca="false">IFERROR(__xludf.dummyfunction("""COMPUTED_VALUE"""),"Jules SINTES")</f>
        <v>Jules SINTES</v>
      </c>
      <c r="D83" s="0" t="n">
        <f aca="false">IFERROR(__xludf.dummyfunction("COUNTA(FILTER('Réponses au formulaire 1'!B:B,'Réponses au formulaire 1'!B:B=C83))"),1)</f>
        <v>1</v>
      </c>
    </row>
    <row r="84" customFormat="false" ht="15.75" hidden="false" customHeight="false" outlineLevel="0" collapsed="false">
      <c r="C84" s="0" t="str">
        <f aca="false">IFERROR(__xludf.dummyfunction("""COMPUTED_VALUE"""),"Emeric Claudel")</f>
        <v>Emeric Claudel</v>
      </c>
      <c r="D84" s="0" t="n">
        <f aca="false">IFERROR(__xludf.dummyfunction("COUNTA(FILTER('Réponses au formulaire 1'!B:B,'Réponses au formulaire 1'!B:B=C84))"),1)</f>
        <v>1</v>
      </c>
    </row>
    <row r="85" customFormat="false" ht="15.75" hidden="false" customHeight="false" outlineLevel="0" collapsed="false">
      <c r="C85" s="0" t="str">
        <f aca="false">IFERROR(__xludf.dummyfunction("""COMPUTED_VALUE"""),"Thomas AUZARD")</f>
        <v>Thomas AUZARD</v>
      </c>
      <c r="D85" s="0" t="n">
        <f aca="false">IFERROR(__xludf.dummyfunction("COUNTA(FILTER('Réponses au formulaire 1'!B:B,'Réponses au formulaire 1'!B:B=C85))"),1)</f>
        <v>1</v>
      </c>
    </row>
    <row r="86" customFormat="false" ht="15.75" hidden="false" customHeight="false" outlineLevel="0" collapsed="false">
      <c r="C86" s="0" t="str">
        <f aca="false">IFERROR(__xludf.dummyfunction("""COMPUTED_VALUE"""),"Orson JAY")</f>
        <v>Orson JAY</v>
      </c>
      <c r="D86" s="0" t="n">
        <f aca="false">IFERROR(__xludf.dummyfunction("COUNTA(FILTER('Réponses au formulaire 1'!B:B,'Réponses au formulaire 1'!B:B=C86))"),1)</f>
        <v>1</v>
      </c>
    </row>
    <row r="87" customFormat="false" ht="15.75" hidden="false" customHeight="false" outlineLevel="0" collapsed="false">
      <c r="C87" s="0" t="str">
        <f aca="false">IFERROR(__xludf.dummyfunction("""COMPUTED_VALUE"""),"Sébastien MARAIS")</f>
        <v>Sébastien MARAIS</v>
      </c>
      <c r="D87" s="0" t="n">
        <f aca="false">IFERROR(__xludf.dummyfunction("COUNTA(FILTER('Réponses au formulaire 1'!B:B,'Réponses au formulaire 1'!B:B=C87))"),1)</f>
        <v>1</v>
      </c>
    </row>
    <row r="88" customFormat="false" ht="15.75" hidden="false" customHeight="false" outlineLevel="0" collapsed="false">
      <c r="C88" s="0" t="str">
        <f aca="false">IFERROR(__xludf.dummyfunction("""COMPUTED_VALUE"""),"Baptiste Miossec")</f>
        <v>Baptiste Miossec</v>
      </c>
      <c r="D88" s="0" t="n">
        <f aca="false">IFERROR(__xludf.dummyfunction("COUNTA(FILTER('Réponses au formulaire 1'!B:B,'Réponses au formulaire 1'!B:B=C88))"),1)</f>
        <v>1</v>
      </c>
    </row>
    <row r="89" customFormat="false" ht="15.75" hidden="false" customHeight="false" outlineLevel="0" collapsed="false">
      <c r="C89" s="0" t="str">
        <f aca="false">IFERROR(__xludf.dummyfunction("""COMPUTED_VALUE"""),"Ferreol GORIOUX")</f>
        <v>Ferreol GORIOUX</v>
      </c>
      <c r="D89" s="0" t="n">
        <f aca="false">IFERROR(__xludf.dummyfunction("COUNTA(FILTER('Réponses au formulaire 1'!B:B,'Réponses au formulaire 1'!B:B=C89))"),1)</f>
        <v>1</v>
      </c>
    </row>
    <row r="90" customFormat="false" ht="15.75" hidden="false" customHeight="false" outlineLevel="0" collapsed="false">
      <c r="C90" s="0" t="str">
        <f aca="false">IFERROR(__xludf.dummyfunction("""COMPUTED_VALUE"""),"Gauthier Maillard")</f>
        <v>Gauthier Maillard</v>
      </c>
      <c r="D90" s="0" t="n">
        <f aca="false">IFERROR(__xludf.dummyfunction("COUNTA(FILTER('Réponses au formulaire 1'!B:B,'Réponses au formulaire 1'!B:B=C90))"),1)</f>
        <v>1</v>
      </c>
    </row>
    <row r="91" customFormat="false" ht="15.75" hidden="false" customHeight="false" outlineLevel="0" collapsed="false">
      <c r="C91" s="0" t="str">
        <f aca="false">IFERROR(__xludf.dummyfunction("""COMPUTED_VALUE"""),"Thomas SAEZ")</f>
        <v>Thomas SAEZ</v>
      </c>
      <c r="D91" s="0" t="n">
        <f aca="false">IFERROR(__xludf.dummyfunction("COUNTA(FILTER('Réponses au formulaire 1'!B:B,'Réponses au formulaire 1'!B:B=C91))"),1)</f>
        <v>1</v>
      </c>
    </row>
    <row r="92" customFormat="false" ht="15.75" hidden="false" customHeight="false" outlineLevel="0" collapsed="false">
      <c r="C92" s="0" t="str">
        <f aca="false">IFERROR(__xludf.dummyfunction("""COMPUTED_VALUE"""),"Maixent TIGNON")</f>
        <v>Maixent TIGNON</v>
      </c>
      <c r="D92" s="0" t="n">
        <f aca="false">IFERROR(__xludf.dummyfunction("COUNTA(FILTER('Réponses au formulaire 1'!B:B,'Réponses au formulaire 1'!B:B=C92))"),1)</f>
        <v>1</v>
      </c>
    </row>
    <row r="93" customFormat="false" ht="15.75" hidden="false" customHeight="false" outlineLevel="0" collapsed="false">
      <c r="C93" s="0" t="str">
        <f aca="false">IFERROR(__xludf.dummyfunction("""COMPUTED_VALUE"""),"Quentin Peyle")</f>
        <v>Quentin Peyle</v>
      </c>
      <c r="D93" s="0" t="n">
        <f aca="false">IFERROR(__xludf.dummyfunction("COUNTA(FILTER('Réponses au formulaire 1'!B:B,'Réponses au formulaire 1'!B:B=C93))"),1)</f>
        <v>1</v>
      </c>
    </row>
    <row r="94" customFormat="false" ht="15.75" hidden="false" customHeight="false" outlineLevel="0" collapsed="false">
      <c r="C94" s="0" t="str">
        <f aca="false">IFERROR(__xludf.dummyfunction("""COMPUTED_VALUE"""),"Lucas Baraton")</f>
        <v>Lucas Baraton</v>
      </c>
      <c r="D94" s="0" t="n">
        <f aca="false">IFERROR(__xludf.dummyfunction("COUNTA(FILTER('Réponses au formulaire 1'!B:B,'Réponses au formulaire 1'!B:B=C94))"),1)</f>
        <v>1</v>
      </c>
    </row>
    <row r="95" customFormat="false" ht="15.75" hidden="false" customHeight="false" outlineLevel="0" collapsed="false">
      <c r="C95" s="0" t="str">
        <f aca="false">IFERROR(__xludf.dummyfunction("""COMPUTED_VALUE"""),"Samuel RATOUIT")</f>
        <v>Samuel RATOUIT</v>
      </c>
      <c r="D95" s="0" t="n">
        <f aca="false">IFERROR(__xludf.dummyfunction("COUNTA(FILTER('Réponses au formulaire 1'!B:B,'Réponses au formulaire 1'!B:B=C95))"),1)</f>
        <v>1</v>
      </c>
    </row>
    <row r="96" customFormat="false" ht="15.75" hidden="false" customHeight="false" outlineLevel="0" collapsed="false">
      <c r="C96" s="0" t="str">
        <f aca="false">IFERROR(__xludf.dummyfunction("""COMPUTED_VALUE"""),"Martin Fauchille-Martin")</f>
        <v>Martin Fauchille-Martin</v>
      </c>
      <c r="D96" s="0" t="n">
        <f aca="false">IFERROR(__xludf.dummyfunction("COUNTA(FILTER('Réponses au formulaire 1'!B:B,'Réponses au formulaire 1'!B:B=C96))"),1)</f>
        <v>1</v>
      </c>
    </row>
    <row r="97" customFormat="false" ht="15.75" hidden="false" customHeight="false" outlineLevel="0" collapsed="false">
      <c r="C97" s="0" t="str">
        <f aca="false">IFERROR(__xludf.dummyfunction("""COMPUTED_VALUE"""),"Nils Hornet")</f>
        <v>Nils Hornet</v>
      </c>
      <c r="D97" s="0" t="n">
        <f aca="false">IFERROR(__xludf.dummyfunction("COUNTA(FILTER('Réponses au formulaire 1'!B:B,'Réponses au formulaire 1'!B:B=C97))"),1)</f>
        <v>1</v>
      </c>
    </row>
    <row r="98" customFormat="false" ht="15.75" hidden="false" customHeight="false" outlineLevel="0" collapsed="false">
      <c r="C98" s="0" t="str">
        <f aca="false">IFERROR(__xludf.dummyfunction("""COMPUTED_VALUE"""),"Thomas MEDORI")</f>
        <v>Thomas MEDORI</v>
      </c>
      <c r="D98" s="0" t="n">
        <f aca="false">IFERROR(__xludf.dummyfunction("COUNTA(FILTER('Réponses au formulaire 1'!B:B,'Réponses au formulaire 1'!B:B=C98))"),1)</f>
        <v>1</v>
      </c>
    </row>
    <row r="99" customFormat="false" ht="15.75" hidden="false" customHeight="false" outlineLevel="0" collapsed="false">
      <c r="C99" s="0" t="str">
        <f aca="false">IFERROR(__xludf.dummyfunction("""COMPUTED_VALUE"""),"Aurèle HAINAUT")</f>
        <v>Aurèle HAINAUT</v>
      </c>
      <c r="D99" s="0" t="n">
        <f aca="false">IFERROR(__xludf.dummyfunction("COUNTA(FILTER('Réponses au formulaire 1'!B:B,'Réponses au formulaire 1'!B:B=C99))"),1)</f>
        <v>1</v>
      </c>
    </row>
    <row r="100" customFormat="false" ht="15.75" hidden="false" customHeight="false" outlineLevel="0" collapsed="false">
      <c r="C100" s="0" t="str">
        <f aca="false">IFERROR(__xludf.dummyfunction("""COMPUTED_VALUE"""),"Aurèle DALIBOT")</f>
        <v>Aurèle DALIBOT</v>
      </c>
      <c r="D100" s="0" t="n">
        <f aca="false">IFERROR(__xludf.dummyfunction("COUNTA(FILTER('Réponses au formulaire 1'!B:B,'Réponses au formulaire 1'!B:B=C100))"),1)</f>
        <v>1</v>
      </c>
    </row>
    <row r="101" customFormat="false" ht="15.75" hidden="false" customHeight="false" outlineLevel="0" collapsed="false">
      <c r="C101" s="0" t="str">
        <f aca="false">IFERROR(__xludf.dummyfunction("""COMPUTED_VALUE"""),"Quentin NIGRON")</f>
        <v>Quentin NIGRON</v>
      </c>
      <c r="D101" s="0" t="n">
        <f aca="false">IFERROR(__xludf.dummyfunction("COUNTA(FILTER('Réponses au formulaire 1'!B:B,'Réponses au formulaire 1'!B:B=C101))"),1)</f>
        <v>1</v>
      </c>
    </row>
    <row r="102" customFormat="false" ht="15.75" hidden="false" customHeight="false" outlineLevel="0" collapsed="false">
      <c r="C102" s="0" t="str">
        <f aca="false">IFERROR(__xludf.dummyfunction("""COMPUTED_VALUE"""),"Alessandro MASI")</f>
        <v>Alessandro MASI</v>
      </c>
      <c r="D102" s="0" t="n">
        <f aca="false">IFERROR(__xludf.dummyfunction("COUNTA(FILTER('Réponses au formulaire 1'!B:B,'Réponses au formulaire 1'!B:B=C102))"),1)</f>
        <v>1</v>
      </c>
    </row>
    <row r="103" customFormat="false" ht="15.75" hidden="false" customHeight="false" outlineLevel="0" collapsed="false">
      <c r="C103" s="0" t="str">
        <f aca="false">IFERROR(__xludf.dummyfunction("""COMPUTED_VALUE"""),"Robin Tanquerel")</f>
        <v>Robin Tanquerel</v>
      </c>
      <c r="D103" s="0" t="n">
        <f aca="false">IFERROR(__xludf.dummyfunction("COUNTA(FILTER('Réponses au formulaire 1'!B:B,'Réponses au formulaire 1'!B:B=C103))"),1)</f>
        <v>1</v>
      </c>
    </row>
    <row r="104" customFormat="false" ht="15.75" hidden="false" customHeight="false" outlineLevel="0" collapsed="false">
      <c r="C104" s="0" t="str">
        <f aca="false">IFERROR(__xludf.dummyfunction("""COMPUTED_VALUE"""),"Pauline AUBRY")</f>
        <v>Pauline AUBRY</v>
      </c>
      <c r="D104" s="0" t="n">
        <f aca="false">IFERROR(__xludf.dummyfunction("COUNTA(FILTER('Réponses au formulaire 1'!B:B,'Réponses au formulaire 1'!B:B=C104))"),1)</f>
        <v>1</v>
      </c>
    </row>
    <row r="105" customFormat="false" ht="15.75" hidden="false" customHeight="false" outlineLevel="0" collapsed="false">
      <c r="C105" s="0" t="str">
        <f aca="false">IFERROR(__xludf.dummyfunction("""COMPUTED_VALUE"""),"Nicolas GUYONNEAU")</f>
        <v>Nicolas GUYONNEAU</v>
      </c>
      <c r="D105" s="0" t="n">
        <f aca="false">IFERROR(__xludf.dummyfunction("COUNTA(FILTER('Réponses au formulaire 1'!B:B,'Réponses au formulaire 1'!B:B=C105))"),1)</f>
        <v>1</v>
      </c>
    </row>
    <row r="106" customFormat="false" ht="15.75" hidden="false" customHeight="false" outlineLevel="0" collapsed="false">
      <c r="C106" s="0" t="str">
        <f aca="false">IFERROR(__xludf.dummyfunction("""COMPUTED_VALUE"""),"Nathan Gérard")</f>
        <v>Nathan Gérard</v>
      </c>
      <c r="D106" s="0" t="n">
        <f aca="false">IFERROR(__xludf.dummyfunction("COUNTA(FILTER('Réponses au formulaire 1'!B:B,'Réponses au formulaire 1'!B:B=C106))"),1)</f>
        <v>1</v>
      </c>
    </row>
    <row r="107" customFormat="false" ht="15.75" hidden="false" customHeight="false" outlineLevel="0" collapsed="false">
      <c r="C107" s="0" t="str">
        <f aca="false">IFERROR(__xludf.dummyfunction("""COMPUTED_VALUE"""),"Flora SOUSSAND")</f>
        <v>Flora SOUSSAND</v>
      </c>
      <c r="D107" s="0" t="n">
        <f aca="false">IFERROR(__xludf.dummyfunction("COUNTA(FILTER('Réponses au formulaire 1'!B:B,'Réponses au formulaire 1'!B:B=C107))"),1)</f>
        <v>1</v>
      </c>
    </row>
    <row r="108" customFormat="false" ht="15.75" hidden="false" customHeight="false" outlineLevel="0" collapsed="false">
      <c r="C108" s="0" t="str">
        <f aca="false">IFERROR(__xludf.dummyfunction("""COMPUTED_VALUE"""),"Maxime Guldner")</f>
        <v>Maxime Guldner</v>
      </c>
      <c r="D108" s="0" t="n">
        <f aca="false">IFERROR(__xludf.dummyfunction("COUNTA(FILTER('Réponses au formulaire 1'!B:B,'Réponses au formulaire 1'!B:B=C108))"),1)</f>
        <v>1</v>
      </c>
    </row>
    <row r="109" customFormat="false" ht="15.75" hidden="false" customHeight="false" outlineLevel="0" collapsed="false">
      <c r="C109" s="0" t="str">
        <f aca="false">IFERROR(__xludf.dummyfunction("""COMPUTED_VALUE"""),"Alizée DIATCHENKO")</f>
        <v>Alizée DIATCHENKO</v>
      </c>
      <c r="D109" s="0" t="n">
        <f aca="false">IFERROR(__xludf.dummyfunction("COUNTA(FILTER('Réponses au formulaire 1'!B:B,'Réponses au formulaire 1'!B:B=C109))"),1)</f>
        <v>1</v>
      </c>
    </row>
    <row r="110" customFormat="false" ht="15.75" hidden="false" customHeight="false" outlineLevel="0" collapsed="false">
      <c r="C110" s="0" t="str">
        <f aca="false">IFERROR(__xludf.dummyfunction("""COMPUTED_VALUE"""),"Thibaut BERTHOMÉ")</f>
        <v>Thibaut BERTHOMÉ</v>
      </c>
      <c r="D110" s="0" t="n">
        <f aca="false">IFERROR(__xludf.dummyfunction("COUNTA(FILTER('Réponses au formulaire 1'!B:B,'Réponses au formulaire 1'!B:B=C110))"),1)</f>
        <v>1</v>
      </c>
    </row>
    <row r="111" customFormat="false" ht="15.75" hidden="false" customHeight="false" outlineLevel="0" collapsed="false">
      <c r="C111" s="0" t="str">
        <f aca="false">IFERROR(__xludf.dummyfunction("""COMPUTED_VALUE"""),"Claire TRINQUET")</f>
        <v>Claire TRINQUET</v>
      </c>
      <c r="D111" s="0" t="n">
        <f aca="false">IFERROR(__xludf.dummyfunction("COUNTA(FILTER('Réponses au formulaire 1'!B:B,'Réponses au formulaire 1'!B:B=C111))"),1)</f>
        <v>1</v>
      </c>
    </row>
    <row r="112" customFormat="false" ht="15.75" hidden="false" customHeight="false" outlineLevel="0" collapsed="false">
      <c r="C112" s="0" t="str">
        <f aca="false">IFERROR(__xludf.dummyfunction("""COMPUTED_VALUE"""),"Sol VILLEGAS")</f>
        <v>Sol VILLEGAS</v>
      </c>
      <c r="D112" s="0" t="n">
        <f aca="false">IFERROR(__xludf.dummyfunction("COUNTA(FILTER('Réponses au formulaire 1'!B:B,'Réponses au formulaire 1'!B:B=C112))"),1)</f>
        <v>1</v>
      </c>
    </row>
    <row r="113" customFormat="false" ht="15.75" hidden="false" customHeight="false" outlineLevel="0" collapsed="false">
      <c r="C113" s="0" t="str">
        <f aca="false">IFERROR(__xludf.dummyfunction("""COMPUTED_VALUE"""),"Mario ALVAREZ-CASTRILLON")</f>
        <v>Mario ALVAREZ-CASTRILLON</v>
      </c>
      <c r="D113" s="0" t="n">
        <f aca="false">IFERROR(__xludf.dummyfunction("COUNTA(FILTER('Réponses au formulaire 1'!B:B,'Réponses au formulaire 1'!B:B=C113))"),1)</f>
        <v>1</v>
      </c>
    </row>
    <row r="114" customFormat="false" ht="15.75" hidden="false" customHeight="false" outlineLevel="0" collapsed="false">
      <c r="C114" s="0" t="str">
        <f aca="false">IFERROR(__xludf.dummyfunction("""COMPUTED_VALUE"""),"Marie-Jeanne PAUL")</f>
        <v>Marie-Jeanne PAUL</v>
      </c>
      <c r="D114" s="0" t="n">
        <f aca="false">IFERROR(__xludf.dummyfunction("COUNTA(FILTER('Réponses au formulaire 1'!B:B,'Réponses au formulaire 1'!B:B=C114))"),1)</f>
        <v>1</v>
      </c>
    </row>
    <row r="115" customFormat="false" ht="15.75" hidden="false" customHeight="false" outlineLevel="0" collapsed="false">
      <c r="C115" s="0" t="str">
        <f aca="false">IFERROR(__xludf.dummyfunction("""COMPUTED_VALUE"""),"Vincent Maillou")</f>
        <v>Vincent Maillou</v>
      </c>
      <c r="D115" s="0" t="n">
        <f aca="false">IFERROR(__xludf.dummyfunction("COUNTA(FILTER('Réponses au formulaire 1'!B:B,'Réponses au formulaire 1'!B:B=C115))"),1)</f>
        <v>1</v>
      </c>
    </row>
    <row r="116" customFormat="false" ht="15.75" hidden="false" customHeight="false" outlineLevel="0" collapsed="false">
      <c r="C116" s="0" t="str">
        <f aca="false">IFERROR(__xludf.dummyfunction("""COMPUTED_VALUE"""),"Benjamin Martin")</f>
        <v>Benjamin Martin</v>
      </c>
      <c r="D116" s="0" t="n">
        <f aca="false">IFERROR(__xludf.dummyfunction("COUNTA(FILTER('Réponses au formulaire 1'!B:B,'Réponses au formulaire 1'!B:B=C116))"),1)</f>
        <v>1</v>
      </c>
    </row>
    <row r="117" customFormat="false" ht="15.75" hidden="false" customHeight="false" outlineLevel="0" collapsed="false">
      <c r="C117" s="0" t="str">
        <f aca="false">IFERROR(__xludf.dummyfunction("""COMPUTED_VALUE"""),"Alix BOSSU")</f>
        <v>Alix BOSSU</v>
      </c>
      <c r="D117" s="0" t="n">
        <f aca="false">IFERROR(__xludf.dummyfunction("COUNTA(FILTER('Réponses au formulaire 1'!B:B,'Réponses au formulaire 1'!B:B=C117))"),1)</f>
        <v>1</v>
      </c>
    </row>
    <row r="118" customFormat="false" ht="15.75" hidden="false" customHeight="false" outlineLevel="0" collapsed="false">
      <c r="C118" s="0" t="str">
        <f aca="false">IFERROR(__xludf.dummyfunction("""COMPUTED_VALUE"""),"Oscar JACINTHO")</f>
        <v>Oscar JACINTHO</v>
      </c>
      <c r="D118" s="0" t="n">
        <f aca="false">IFERROR(__xludf.dummyfunction("COUNTA(FILTER('Réponses au formulaire 1'!B:B,'Réponses au formulaire 1'!B:B=C118))"),1)</f>
        <v>1</v>
      </c>
    </row>
    <row r="119" customFormat="false" ht="15.75" hidden="false" customHeight="false" outlineLevel="0" collapsed="false">
      <c r="C119" s="0" t="str">
        <f aca="false">IFERROR(__xludf.dummyfunction("""COMPUTED_VALUE"""),"Henri CHHOA")</f>
        <v>Henri CHHOA</v>
      </c>
      <c r="D119" s="0" t="n">
        <f aca="false">IFERROR(__xludf.dummyfunction("COUNTA(FILTER('Réponses au formulaire 1'!B:B,'Réponses au formulaire 1'!B:B=C119))"),1)</f>
        <v>1</v>
      </c>
    </row>
    <row r="120" customFormat="false" ht="15.75" hidden="false" customHeight="false" outlineLevel="0" collapsed="false">
      <c r="C120" s="0" t="str">
        <f aca="false">IFERROR(__xludf.dummyfunction("""COMPUTED_VALUE"""),"Juan Felipe GÓMEZ ALFARO")</f>
        <v>Juan Felipe GÓMEZ ALFARO</v>
      </c>
      <c r="D120" s="0" t="n">
        <f aca="false">IFERROR(__xludf.dummyfunction("COUNTA(FILTER('Réponses au formulaire 1'!B:B,'Réponses au formulaire 1'!B:B=C120))"),1)</f>
        <v>1</v>
      </c>
    </row>
    <row r="121" customFormat="false" ht="15.75" hidden="false" customHeight="false" outlineLevel="0" collapsed="false">
      <c r="C121" s="0" t="str">
        <f aca="false">IFERROR(__xludf.dummyfunction("""COMPUTED_VALUE"""),"Alfonso COLON DE CARVAJAL")</f>
        <v>Alfonso COLON DE CARVAJAL</v>
      </c>
      <c r="D121" s="0" t="n">
        <f aca="false">IFERROR(__xludf.dummyfunction("COUNTA(FILTER('Réponses au formulaire 1'!B:B,'Réponses au formulaire 1'!B:B=C121))"),1)</f>
        <v>1</v>
      </c>
    </row>
    <row r="122" customFormat="false" ht="15.75" hidden="false" customHeight="false" outlineLevel="0" collapsed="false">
      <c r="C122" s="0" t="str">
        <f aca="false">IFERROR(__xludf.dummyfunction("""COMPUTED_VALUE"""),"Sarah PETROCCHI")</f>
        <v>Sarah PETROCCHI</v>
      </c>
      <c r="D122" s="0" t="n">
        <f aca="false">IFERROR(__xludf.dummyfunction("COUNTA(FILTER('Réponses au formulaire 1'!B:B,'Réponses au formulaire 1'!B:B=C122))"),1)</f>
        <v>1</v>
      </c>
    </row>
    <row r="123" customFormat="false" ht="15.75" hidden="false" customHeight="false" outlineLevel="0" collapsed="false">
      <c r="C123" s="0" t="str">
        <f aca="false">IFERROR(__xludf.dummyfunction("""COMPUTED_VALUE"""),"Constance PHILIPPE")</f>
        <v>Constance PHILIPPE</v>
      </c>
      <c r="D123" s="0" t="n">
        <f aca="false">IFERROR(__xludf.dummyfunction("COUNTA(FILTER('Réponses au formulaire 1'!B:B,'Réponses au formulaire 1'!B:B=C123))"),1)</f>
        <v>1</v>
      </c>
    </row>
    <row r="124" customFormat="false" ht="15.75" hidden="false" customHeight="false" outlineLevel="0" collapsed="false">
      <c r="C124" s="0" t="str">
        <f aca="false">IFERROR(__xludf.dummyfunction("""COMPUTED_VALUE"""),"Alban VILLEDIEU")</f>
        <v>Alban VILLEDIEU</v>
      </c>
      <c r="D124" s="0" t="n">
        <f aca="false">IFERROR(__xludf.dummyfunction("COUNTA(FILTER('Réponses au formulaire 1'!B:B,'Réponses au formulaire 1'!B:B=C124))"),1)</f>
        <v>1</v>
      </c>
    </row>
    <row r="125" customFormat="false" ht="15.75" hidden="false" customHeight="false" outlineLevel="0" collapsed="false">
      <c r="C125" s="0" t="str">
        <f aca="false">IFERROR(__xludf.dummyfunction("""COMPUTED_VALUE"""),"Marius DUVILLARD")</f>
        <v>Marius DUVILLARD</v>
      </c>
      <c r="D125" s="0" t="n">
        <f aca="false">IFERROR(__xludf.dummyfunction("COUNTA(FILTER('Réponses au formulaire 1'!B:B,'Réponses au formulaire 1'!B:B=C125))"),1)</f>
        <v>1</v>
      </c>
    </row>
    <row r="126" customFormat="false" ht="15.75" hidden="false" customHeight="false" outlineLevel="0" collapsed="false">
      <c r="C126" s="0" t="str">
        <f aca="false">IFERROR(__xludf.dummyfunction("""COMPUTED_VALUE"""),"Pierre Go")</f>
        <v>Pierre Go</v>
      </c>
      <c r="D126" s="0" t="n">
        <f aca="false">IFERROR(__xludf.dummyfunction("COUNTA(FILTER('Réponses au formulaire 1'!B:B,'Réponses au formulaire 1'!B:B=C126))"),1)</f>
        <v>1</v>
      </c>
    </row>
    <row r="127" customFormat="false" ht="15.75" hidden="false" customHeight="false" outlineLevel="0" collapsed="false">
      <c r="C127" s="0" t="str">
        <f aca="false">IFERROR(__xludf.dummyfunction("""COMPUTED_VALUE"""),"Mitsi R.")</f>
        <v>Mitsi R.</v>
      </c>
      <c r="D127" s="0" t="n">
        <f aca="false">IFERROR(__xludf.dummyfunction("COUNTA(FILTER('Réponses au formulaire 1'!B:B,'Réponses au formulaire 1'!B:B=C127))"),1)</f>
        <v>1</v>
      </c>
    </row>
    <row r="128" customFormat="false" ht="15.75" hidden="false" customHeight="false" outlineLevel="0" collapsed="false">
      <c r="C128" s="0" t="str">
        <f aca="false">IFERROR(__xludf.dummyfunction("""COMPUTED_VALUE"""),"Valentin Antonio")</f>
        <v>Valentin Antonio</v>
      </c>
      <c r="D128" s="0" t="n">
        <f aca="false">IFERROR(__xludf.dummyfunction("COUNTA(FILTER('Réponses au formulaire 1'!B:B,'Réponses au formulaire 1'!B:B=C128))"),1)</f>
        <v>1</v>
      </c>
    </row>
    <row r="129" customFormat="false" ht="15.75" hidden="false" customHeight="false" outlineLevel="0" collapsed="false">
      <c r="C129" s="0" t="str">
        <f aca="false">IFERROR(__xludf.dummyfunction("""COMPUTED_VALUE"""),"Juline CORNET-GOY")</f>
        <v>Juline CORNET-GOY</v>
      </c>
      <c r="D129" s="0" t="n">
        <f aca="false">IFERROR(__xludf.dummyfunction("COUNTA(FILTER('Réponses au formulaire 1'!B:B,'Réponses au formulaire 1'!B:B=C129))"),1)</f>
        <v>1</v>
      </c>
    </row>
    <row r="130" customFormat="false" ht="15.75" hidden="false" customHeight="false" outlineLevel="0" collapsed="false">
      <c r="C130" s="0" t="str">
        <f aca="false">IFERROR(__xludf.dummyfunction("""COMPUTED_VALUE"""),"Lise GERMON")</f>
        <v>Lise GERMON</v>
      </c>
      <c r="D130" s="0" t="n">
        <f aca="false">IFERROR(__xludf.dummyfunction("COUNTA(FILTER('Réponses au formulaire 1'!B:B,'Réponses au formulaire 1'!B:B=C130))"),1)</f>
        <v>1</v>
      </c>
    </row>
    <row r="131" customFormat="false" ht="15.75" hidden="false" customHeight="false" outlineLevel="0" collapsed="false">
      <c r="C131" s="0" t="str">
        <f aca="false">IFERROR(__xludf.dummyfunction("""COMPUTED_VALUE"""),"Alizée AMSLER")</f>
        <v>Alizée AMSLER</v>
      </c>
      <c r="D131" s="0" t="n">
        <f aca="false">IFERROR(__xludf.dummyfunction("COUNTA(FILTER('Réponses au formulaire 1'!B:B,'Réponses au formulaire 1'!B:B=C131))"),1)</f>
        <v>1</v>
      </c>
    </row>
    <row r="132" customFormat="false" ht="15.75" hidden="false" customHeight="false" outlineLevel="0" collapsed="false">
      <c r="C132" s="0" t="str">
        <f aca="false">IFERROR(__xludf.dummyfunction("""COMPUTED_VALUE"""),"Mai-Vi VU")</f>
        <v>Mai-Vi VU</v>
      </c>
      <c r="D132" s="0" t="n">
        <f aca="false">IFERROR(__xludf.dummyfunction("COUNTA(FILTER('Réponses au formulaire 1'!B:B,'Réponses au formulaire 1'!B:B=C132))"),1)</f>
        <v>1</v>
      </c>
    </row>
    <row r="133" customFormat="false" ht="15.75" hidden="false" customHeight="false" outlineLevel="0" collapsed="false">
      <c r="C133" s="0" t="str">
        <f aca="false">IFERROR(__xludf.dummyfunction("""COMPUTED_VALUE"""),"Perrine JUILLET")</f>
        <v>Perrine JUILLET</v>
      </c>
      <c r="D133" s="0" t="n">
        <f aca="false">IFERROR(__xludf.dummyfunction("COUNTA(FILTER('Réponses au formulaire 1'!B:B,'Réponses au formulaire 1'!B:B=C133))"),1)</f>
        <v>1</v>
      </c>
    </row>
    <row r="134" customFormat="false" ht="15.75" hidden="false" customHeight="false" outlineLevel="0" collapsed="false">
      <c r="C134" s="0" t="str">
        <f aca="false">IFERROR(__xludf.dummyfunction("""COMPUTED_VALUE"""),"Maxence PASCAL")</f>
        <v>Maxence PASCAL</v>
      </c>
    </row>
    <row r="135" customFormat="false" ht="15.75" hidden="false" customHeight="false" outlineLevel="0" collapsed="false">
      <c r="C135" s="0" t="str">
        <f aca="false">IFERROR(__xludf.dummyfunction("""COMPUTED_VALUE"""),"Lisa SAVARIEAU")</f>
        <v>Lisa SAVARIEAU</v>
      </c>
    </row>
    <row r="136" customFormat="false" ht="15.75" hidden="false" customHeight="false" outlineLevel="0" collapsed="false">
      <c r="C136" s="0" t="str">
        <f aca="false">IFERROR(__xludf.dummyfunction("""COMPUTED_VALUE"""),"Ludivine LUXEY")</f>
        <v>Ludivine LUXEY</v>
      </c>
    </row>
    <row r="137" customFormat="false" ht="15.75" hidden="false" customHeight="false" outlineLevel="0" collapsed="false">
      <c r="C137" s="0" t="str">
        <f aca="false">IFERROR(__xludf.dummyfunction("""COMPUTED_VALUE"""),"Henrique MARTINEZ DE AZEVEDO")</f>
        <v>Henrique MARTINEZ DE AZEVEDO</v>
      </c>
    </row>
    <row r="138" customFormat="false" ht="15.75" hidden="false" customHeight="false" outlineLevel="0" collapsed="false">
      <c r="C138" s="0" t="str">
        <f aca="false">IFERROR(__xludf.dummyfunction("""COMPUTED_VALUE"""),"Ariane BERGER")</f>
        <v>Ariane BERGER</v>
      </c>
    </row>
    <row r="139" customFormat="false" ht="15.75" hidden="false" customHeight="false" outlineLevel="0" collapsed="false">
      <c r="C139" s="0" t="str">
        <f aca="false">IFERROR(__xludf.dummyfunction("""COMPUTED_VALUE"""),"Alice Mennesson")</f>
        <v>Alice Mennesson</v>
      </c>
    </row>
    <row r="140" customFormat="false" ht="15.75" hidden="false" customHeight="false" outlineLevel="0" collapsed="false">
      <c r="C140" s="0" t="str">
        <f aca="false">IFERROR(__xludf.dummyfunction("""COMPUTED_VALUE"""),"José Ronzel")</f>
        <v>José Ronzel</v>
      </c>
    </row>
    <row r="141" customFormat="false" ht="15.75" hidden="false" customHeight="false" outlineLevel="0" collapsed="false">
      <c r="C141" s="0" t="str">
        <f aca="false">IFERROR(__xludf.dummyfunction("""COMPUTED_VALUE"""),"Exequiel")</f>
        <v>Exequiel</v>
      </c>
    </row>
    <row r="142" customFormat="false" ht="15.75" hidden="false" customHeight="false" outlineLevel="0" collapsed="false">
      <c r="C142" s="0" t="str">
        <f aca="false">IFERROR(__xludf.dummyfunction("""COMPUTED_VALUE"""),"Léa SCETBUN")</f>
        <v>Léa SCETBUN</v>
      </c>
    </row>
    <row r="143" customFormat="false" ht="15.75" hidden="false" customHeight="false" outlineLevel="0" collapsed="false">
      <c r="C143" s="0" t="str">
        <f aca="false">IFERROR(__xludf.dummyfunction("""COMPUTED_VALUE"""),"Théo DELOBEL")</f>
        <v>Théo DELOBEL</v>
      </c>
    </row>
    <row r="144" customFormat="false" ht="15.75" hidden="false" customHeight="false" outlineLevel="0" collapsed="false">
      <c r="C144" s="0" t="str">
        <f aca="false">IFERROR(__xludf.dummyfunction("""COMPUTED_VALUE"""),"Jérôme KAYSER")</f>
        <v>Jérôme KAYSER</v>
      </c>
    </row>
    <row r="145" customFormat="false" ht="15.75" hidden="false" customHeight="false" outlineLevel="0" collapsed="false">
      <c r="C145" s="0" t="str">
        <f aca="false">IFERROR(__xludf.dummyfunction("""COMPUTED_VALUE"""),"Esteban LECOURT")</f>
        <v>Esteban LECOURT</v>
      </c>
    </row>
    <row r="146" customFormat="false" ht="15.75" hidden="false" customHeight="false" outlineLevel="0" collapsed="false">
      <c r="C146" s="0" t="str">
        <f aca="false">IFERROR(__xludf.dummyfunction("""COMPUTED_VALUE"""),"Luis FERNANDEZ")</f>
        <v>Luis FERNANDEZ</v>
      </c>
    </row>
    <row r="147" customFormat="false" ht="15.75" hidden="false" customHeight="false" outlineLevel="0" collapsed="false">
      <c r="C147" s="0" t="str">
        <f aca="false">IFERROR(__xludf.dummyfunction("""COMPUTED_VALUE"""),"Solene LE FUR")</f>
        <v>Solene LE FUR</v>
      </c>
    </row>
    <row r="148" customFormat="false" ht="15.75" hidden="false" customHeight="false" outlineLevel="0" collapsed="false">
      <c r="C148" s="0" t="str">
        <f aca="false">IFERROR(__xludf.dummyfunction("""COMPUTED_VALUE"""),"Eugénie cotte")</f>
        <v>Eugénie cotte</v>
      </c>
    </row>
    <row r="149" customFormat="false" ht="15.75" hidden="false" customHeight="false" outlineLevel="0" collapsed="false">
      <c r="C149" s="0" t="str">
        <f aca="false">IFERROR(__xludf.dummyfunction("""COMPUTED_VALUE"""),"Samuel BISMUT")</f>
        <v>Samuel BISMUT</v>
      </c>
    </row>
    <row r="150" customFormat="false" ht="15.75" hidden="false" customHeight="false" outlineLevel="0" collapsed="false">
      <c r="C150" s="0" t="str">
        <f aca="false">IFERROR(__xludf.dummyfunction("""COMPUTED_VALUE"""),"Victor BLANCART")</f>
        <v>Victor BLANCART</v>
      </c>
    </row>
    <row r="151" customFormat="false" ht="15.75" hidden="false" customHeight="false" outlineLevel="0" collapsed="false">
      <c r="C151" s="0" t="str">
        <f aca="false">IFERROR(__xludf.dummyfunction("""COMPUTED_VALUE"""),"Tommy GEHENIAU")</f>
        <v>Tommy GEHENIAU</v>
      </c>
    </row>
    <row r="152" customFormat="false" ht="15.75" hidden="false" customHeight="false" outlineLevel="0" collapsed="false">
      <c r="C152" s="0" t="str">
        <f aca="false">IFERROR(__xludf.dummyfunction("""COMPUTED_VALUE"""),"Léo HUREAU")</f>
        <v>Léo HUREAU</v>
      </c>
    </row>
    <row r="153" customFormat="false" ht="15.75" hidden="false" customHeight="false" outlineLevel="0" collapsed="false">
      <c r="C153" s="0" t="str">
        <f aca="false">IFERROR(__xludf.dummyfunction("""COMPUTED_VALUE"""),"Awen BRUNEAU")</f>
        <v>Awen BRUNEAU</v>
      </c>
    </row>
    <row r="154" customFormat="false" ht="15.75" hidden="false" customHeight="false" outlineLevel="0" collapsed="false">
      <c r="C154" s="0" t="str">
        <f aca="false">IFERROR(__xludf.dummyfunction("""COMPUTED_VALUE"""),"simeo Potiron")</f>
        <v>simeo Potiron</v>
      </c>
    </row>
    <row r="155" customFormat="false" ht="15.75" hidden="false" customHeight="false" outlineLevel="0" collapsed="false">
      <c r="C155" s="0" t="str">
        <f aca="false">IFERROR(__xludf.dummyfunction("""COMPUTED_VALUE"""),"Pierre MAQUET")</f>
        <v>Pierre MAQUET</v>
      </c>
    </row>
    <row r="156" customFormat="false" ht="15.75" hidden="false" customHeight="false" outlineLevel="0" collapsed="false">
      <c r="C156" s="0" t="str">
        <f aca="false">IFERROR(__xludf.dummyfunction("""COMPUTED_VALUE"""),"Céline FEREC")</f>
        <v>Céline FEREC</v>
      </c>
    </row>
    <row r="157" customFormat="false" ht="15.75" hidden="false" customHeight="false" outlineLevel="0" collapsed="false">
      <c r="C157" s="0" t="str">
        <f aca="false">IFERROR(__xludf.dummyfunction("""COMPUTED_VALUE"""),"Maxime GRAS")</f>
        <v>Maxime GRAS</v>
      </c>
    </row>
    <row r="158" customFormat="false" ht="15.75" hidden="false" customHeight="false" outlineLevel="0" collapsed="false">
      <c r="C158" s="0" t="str">
        <f aca="false">IFERROR(__xludf.dummyfunction("""COMPUTED_VALUE"""),"Audrey BOYENVAL")</f>
        <v>Audrey BOYENVAL</v>
      </c>
    </row>
    <row r="159" customFormat="false" ht="15.75" hidden="false" customHeight="false" outlineLevel="0" collapsed="false">
      <c r="C159" s="0" t="str">
        <f aca="false">IFERROR(__xludf.dummyfunction("""COMPUTED_VALUE"""),"Chloé CANAVATE")</f>
        <v>Chloé CANAVATE</v>
      </c>
    </row>
    <row r="160" customFormat="false" ht="15.75" hidden="false" customHeight="false" outlineLevel="0" collapsed="false">
      <c r="C160" s="0" t="str">
        <f aca="false">IFERROR(__xludf.dummyfunction("""COMPUTED_VALUE"""),"Antoine TARDIVON")</f>
        <v>Antoine TARDIVON</v>
      </c>
    </row>
    <row r="161" customFormat="false" ht="15.75" hidden="false" customHeight="false" outlineLevel="0" collapsed="false">
      <c r="C161" s="0" t="str">
        <f aca="false">IFERROR(__xludf.dummyfunction("""COMPUTED_VALUE"""),"Adrien Simonet")</f>
        <v>Adrien Simonet</v>
      </c>
    </row>
    <row r="162" customFormat="false" ht="15.75" hidden="false" customHeight="false" outlineLevel="0" collapsed="false">
      <c r="C162" s="0" t="str">
        <f aca="false">IFERROR(__xludf.dummyfunction("""COMPUTED_VALUE"""),"Maena GALERON")</f>
        <v>Maena GALERON</v>
      </c>
    </row>
    <row r="163" customFormat="false" ht="15.75" hidden="false" customHeight="false" outlineLevel="0" collapsed="false">
      <c r="C163" s="0" t="str">
        <f aca="false">IFERROR(__xludf.dummyfunction("""COMPUTED_VALUE"""),"Antoine LETOFFET")</f>
        <v>Antoine LETOFFET</v>
      </c>
    </row>
    <row r="164" customFormat="false" ht="15.75" hidden="false" customHeight="false" outlineLevel="0" collapsed="false">
      <c r="C164" s="0" t="str">
        <f aca="false">IFERROR(__xludf.dummyfunction("""COMPUTED_VALUE"""),"Grégoire Turzo")</f>
        <v>Grégoire Turzo</v>
      </c>
    </row>
    <row r="165" customFormat="false" ht="15.75" hidden="false" customHeight="false" outlineLevel="0" collapsed="false">
      <c r="C165" s="0" t="str">
        <f aca="false">IFERROR(__xludf.dummyfunction("""COMPUTED_VALUE"""),"Henri de Chanterac")</f>
        <v>Henri de Chanterac</v>
      </c>
    </row>
    <row r="166" customFormat="false" ht="15.75" hidden="false" customHeight="false" outlineLevel="0" collapsed="false">
      <c r="C166" s="0" t="str">
        <f aca="false">IFERROR(__xludf.dummyfunction("""COMPUTED_VALUE"""),"Elouan BARBEREAU")</f>
        <v>Elouan BARBEREAU</v>
      </c>
    </row>
    <row r="167" customFormat="false" ht="15.75" hidden="false" customHeight="false" outlineLevel="0" collapsed="false">
      <c r="C167" s="0" t="str">
        <f aca="false">IFERROR(__xludf.dummyfunction("""COMPUTED_VALUE"""),"Moens Diego")</f>
        <v>Moens Diego</v>
      </c>
    </row>
    <row r="168" customFormat="false" ht="15.75" hidden="false" customHeight="false" outlineLevel="0" collapsed="false">
      <c r="C168" s="0" t="str">
        <f aca="false">IFERROR(__xludf.dummyfunction("""COMPUTED_VALUE"""),"Felipe Altamirano")</f>
        <v>Felipe Altamirano</v>
      </c>
    </row>
    <row r="169" customFormat="false" ht="15.75" hidden="false" customHeight="false" outlineLevel="0" collapsed="false">
      <c r="C169" s="0" t="str">
        <f aca="false">IFERROR(__xludf.dummyfunction("""COMPUTED_VALUE"""),"Alison ALIAGA")</f>
        <v>Alison ALIAGA</v>
      </c>
    </row>
    <row r="170" customFormat="false" ht="15.75" hidden="false" customHeight="false" outlineLevel="0" collapsed="false">
      <c r="C170" s="0" t="str">
        <f aca="false">IFERROR(__xludf.dummyfunction("""COMPUTED_VALUE"""),"Argueta Tamayo Emanuel")</f>
        <v>Argueta Tamayo Emanuel</v>
      </c>
    </row>
    <row r="171" customFormat="false" ht="15.75" hidden="false" customHeight="false" outlineLevel="0" collapsed="false">
      <c r="C171" s="0" t="str">
        <f aca="false">IFERROR(__xludf.dummyfunction("""COMPUTED_VALUE"""),"Marina THIEME PETERSEN")</f>
        <v>Marina THIEME PETERSEN</v>
      </c>
    </row>
    <row r="172" customFormat="false" ht="15.75" hidden="false" customHeight="false" outlineLevel="0" collapsed="false">
      <c r="C172" s="0" t="str">
        <f aca="false">IFERROR(__xludf.dummyfunction("""COMPUTED_VALUE"""),"Erwan Sauvage")</f>
        <v>Erwan Sauvage</v>
      </c>
    </row>
    <row r="173" customFormat="false" ht="15.75" hidden="false" customHeight="false" outlineLevel="0" collapsed="false">
      <c r="C173" s="0" t="str">
        <f aca="false">IFERROR(__xludf.dummyfunction("""COMPUTED_VALUE"""),"Mathieu Rey-Herme")</f>
        <v>Mathieu Rey-Herme</v>
      </c>
    </row>
    <row r="174" customFormat="false" ht="15.75" hidden="false" customHeight="false" outlineLevel="0" collapsed="false">
      <c r="C174" s="0" t="str">
        <f aca="false">IFERROR(__xludf.dummyfunction("""COMPUTED_VALUE"""),"Tapias")</f>
        <v>Tapias</v>
      </c>
    </row>
    <row r="175" customFormat="false" ht="15.75" hidden="false" customHeight="false" outlineLevel="0" collapsed="false">
      <c r="C175" s="0" t="str">
        <f aca="false">IFERROR(__xludf.dummyfunction("""COMPUTED_VALUE"""),"Manon VLIEGHE")</f>
        <v>Manon VLIEGHE</v>
      </c>
    </row>
    <row r="176" customFormat="false" ht="15.75" hidden="false" customHeight="false" outlineLevel="0" collapsed="false">
      <c r="C176" s="0" t="str">
        <f aca="false">IFERROR(__xludf.dummyfunction("""COMPUTED_VALUE"""),"Miguel MORENO")</f>
        <v>Miguel MORENO</v>
      </c>
    </row>
    <row r="177" customFormat="false" ht="15.75" hidden="false" customHeight="false" outlineLevel="0" collapsed="false">
      <c r="C177" s="0" t="str">
        <f aca="false">IFERROR(__xludf.dummyfunction("""COMPUTED_VALUE"""),"Baptiste Marlet")</f>
        <v>Baptiste Marlet</v>
      </c>
    </row>
    <row r="178" customFormat="false" ht="15.75" hidden="false" customHeight="false" outlineLevel="0" collapsed="false">
      <c r="C178" s="0" t="str">
        <f aca="false">IFERROR(__xludf.dummyfunction("""COMPUTED_VALUE"""),"Hugo SEMPÉ")</f>
        <v>Hugo SEMPÉ</v>
      </c>
    </row>
    <row r="179" customFormat="false" ht="15.75" hidden="false" customHeight="false" outlineLevel="0" collapsed="false">
      <c r="C179" s="0" t="str">
        <f aca="false">IFERROR(__xludf.dummyfunction("""COMPUTED_VALUE"""),"Nicolas Meniconi")</f>
        <v>Nicolas Meniconi</v>
      </c>
    </row>
    <row r="180" customFormat="false" ht="15.75" hidden="false" customHeight="false" outlineLevel="0" collapsed="false">
      <c r="C180" s="0" t="str">
        <f aca="false">IFERROR(__xludf.dummyfunction("""COMPUTED_VALUE"""),"Romain THIMON")</f>
        <v>Romain THIMON</v>
      </c>
    </row>
    <row r="181" customFormat="false" ht="15.75" hidden="false" customHeight="false" outlineLevel="0" collapsed="false">
      <c r="C181" s="0" t="str">
        <f aca="false">IFERROR(__xludf.dummyfunction("""COMPUTED_VALUE"""),"Maximilien LESSAULT")</f>
        <v>Maximilien LESSAULT</v>
      </c>
    </row>
    <row r="182" customFormat="false" ht="15.75" hidden="false" customHeight="false" outlineLevel="0" collapsed="false">
      <c r="C182" s="0" t="str">
        <f aca="false">IFERROR(__xludf.dummyfunction("""COMPUTED_VALUE"""),"Thomas oppmann")</f>
        <v>Thomas oppmann</v>
      </c>
    </row>
    <row r="183" customFormat="false" ht="15.75" hidden="false" customHeight="false" outlineLevel="0" collapsed="false">
      <c r="C183" s="0" t="str">
        <f aca="false">IFERROR(__xludf.dummyfunction("""COMPUTED_VALUE"""),"Alexandre Ghannad")</f>
        <v>Alexandre Ghannad</v>
      </c>
    </row>
    <row r="184" customFormat="false" ht="15.75" hidden="false" customHeight="false" outlineLevel="0" collapsed="false">
      <c r="C184" s="0" t="str">
        <f aca="false">IFERROR(__xludf.dummyfunction("""COMPUTED_VALUE"""),"Christopher LESDALONS")</f>
        <v>Christopher LESDALONS</v>
      </c>
    </row>
    <row r="185" customFormat="false" ht="15.75" hidden="false" customHeight="false" outlineLevel="0" collapsed="false">
      <c r="C185" s="0" t="str">
        <f aca="false">IFERROR(__xludf.dummyfunction("""COMPUTED_VALUE"""),"Amine BEDRANE")</f>
        <v>Amine BEDRANE</v>
      </c>
    </row>
    <row r="186" customFormat="false" ht="15.75" hidden="false" customHeight="false" outlineLevel="0" collapsed="false">
      <c r="C186" s="0" t="str">
        <f aca="false">IFERROR(__xludf.dummyfunction("""COMPUTED_VALUE"""),"Charles-Eole MARICHAL")</f>
        <v>Charles-Eole MARICHAL</v>
      </c>
    </row>
    <row r="187" customFormat="false" ht="15.75" hidden="false" customHeight="false" outlineLevel="0" collapsed="false">
      <c r="C187" s="0" t="str">
        <f aca="false">IFERROR(__xludf.dummyfunction("""COMPUTED_VALUE"""),"Justin Becker")</f>
        <v>Justin Becker</v>
      </c>
    </row>
    <row r="188" customFormat="false" ht="15.75" hidden="false" customHeight="false" outlineLevel="0" collapsed="false">
      <c r="C188" s="0" t="str">
        <f aca="false">IFERROR(__xludf.dummyfunction("""COMPUTED_VALUE"""),"Pierre-Jean POLLOT")</f>
        <v>Pierre-Jean POLLOT</v>
      </c>
    </row>
    <row r="189" customFormat="false" ht="15.75" hidden="false" customHeight="false" outlineLevel="0" collapsed="false">
      <c r="C189" s="0" t="str">
        <f aca="false">IFERROR(__xludf.dummyfunction("""COMPUTED_VALUE"""),"Judith LOUIS-ALEXANDRE")</f>
        <v>Judith LOUIS-ALEXANDRE</v>
      </c>
    </row>
    <row r="190" customFormat="false" ht="15.75" hidden="false" customHeight="false" outlineLevel="0" collapsed="false">
      <c r="C190" s="0" t="str">
        <f aca="false">IFERROR(__xludf.dummyfunction("""COMPUTED_VALUE"""),"Alexandre MERASLI")</f>
        <v>Alexandre MERASLI</v>
      </c>
    </row>
    <row r="191" customFormat="false" ht="15.75" hidden="false" customHeight="false" outlineLevel="0" collapsed="false">
      <c r="C191" s="0" t="str">
        <f aca="false">IFERROR(__xludf.dummyfunction("""COMPUTED_VALUE"""),"Charlotte BEAUNE")</f>
        <v>Charlotte BEAUNE</v>
      </c>
    </row>
    <row r="192" customFormat="false" ht="15.75" hidden="false" customHeight="false" outlineLevel="0" collapsed="false">
      <c r="C192" s="0" t="str">
        <f aca="false">IFERROR(__xludf.dummyfunction("""COMPUTED_VALUE"""),"Helena Delmotte")</f>
        <v>Helena Delmotte</v>
      </c>
    </row>
    <row r="193" customFormat="false" ht="15.75" hidden="false" customHeight="false" outlineLevel="0" collapsed="false">
      <c r="C193" s="0" t="str">
        <f aca="false">IFERROR(__xludf.dummyfunction("""COMPUTED_VALUE"""),"Anis KHEZNADJI")</f>
        <v>Anis KHEZNADJI</v>
      </c>
    </row>
    <row r="194" customFormat="false" ht="15.75" hidden="false" customHeight="false" outlineLevel="0" collapsed="false">
      <c r="C194" s="0" t="str">
        <f aca="false">IFERROR(__xludf.dummyfunction("""COMPUTED_VALUE"""),"Marie COUPÉ")</f>
        <v>Marie COUPÉ</v>
      </c>
    </row>
    <row r="195" customFormat="false" ht="15.75" hidden="false" customHeight="false" outlineLevel="0" collapsed="false">
      <c r="C195" s="0" t="str">
        <f aca="false">IFERROR(__xludf.dummyfunction("""COMPUTED_VALUE"""),"Geoffroy LECONTE")</f>
        <v>Geoffroy LECONTE</v>
      </c>
    </row>
    <row r="196" customFormat="false" ht="15.75" hidden="false" customHeight="false" outlineLevel="0" collapsed="false">
      <c r="C196" s="0" t="str">
        <f aca="false">IFERROR(__xludf.dummyfunction("""COMPUTED_VALUE"""),"Pierre BOURREAU")</f>
        <v>Pierre BOURREAU</v>
      </c>
    </row>
    <row r="197" customFormat="false" ht="15.75" hidden="false" customHeight="false" outlineLevel="0" collapsed="false">
      <c r="C197" s="0" t="str">
        <f aca="false">IFERROR(__xludf.dummyfunction("""COMPUTED_VALUE"""),"Antoine SENELLART")</f>
        <v>Antoine SENELLART</v>
      </c>
    </row>
    <row r="198" customFormat="false" ht="15.75" hidden="false" customHeight="false" outlineLevel="0" collapsed="false">
      <c r="C198" s="0" t="str">
        <f aca="false">IFERROR(__xludf.dummyfunction("""COMPUTED_VALUE"""),"Louis LEQUES")</f>
        <v>Louis LEQUES</v>
      </c>
    </row>
    <row r="199" customFormat="false" ht="15.75" hidden="false" customHeight="false" outlineLevel="0" collapsed="false">
      <c r="C199" s="0" t="str">
        <f aca="false">IFERROR(__xludf.dummyfunction("""COMPUTED_VALUE"""),"Louis CLAUCE")</f>
        <v>Louis CLAUCE</v>
      </c>
    </row>
    <row r="200" customFormat="false" ht="15.75" hidden="false" customHeight="false" outlineLevel="0" collapsed="false">
      <c r="C200" s="0" t="str">
        <f aca="false">IFERROR(__xludf.dummyfunction("""COMPUTED_VALUE"""),"Samir ZINA-RAGGOUA")</f>
        <v>Samir ZINA-RAGGOUA</v>
      </c>
    </row>
    <row r="201" customFormat="false" ht="15.75" hidden="false" customHeight="false" outlineLevel="0" collapsed="false">
      <c r="C201" s="0" t="str">
        <f aca="false">IFERROR(__xludf.dummyfunction("""COMPUTED_VALUE"""),"Mikaël Farje")</f>
        <v>Mikaël Farje</v>
      </c>
    </row>
    <row r="202" customFormat="false" ht="15.75" hidden="false" customHeight="false" outlineLevel="0" collapsed="false">
      <c r="C202" s="0" t="str">
        <f aca="false">IFERROR(__xludf.dummyfunction("""COMPUTED_VALUE"""),"Allouache")</f>
        <v>Allouache</v>
      </c>
    </row>
    <row r="203" customFormat="false" ht="15.75" hidden="false" customHeight="false" outlineLevel="0" collapsed="false">
      <c r="C203" s="0" t="str">
        <f aca="false">IFERROR(__xludf.dummyfunction("""COMPUTED_VALUE"""),"Noémie RABILLOUD")</f>
        <v>Noémie RABILLOUD</v>
      </c>
    </row>
    <row r="204" customFormat="false" ht="15.75" hidden="false" customHeight="false" outlineLevel="0" collapsed="false">
      <c r="C204" s="0" t="str">
        <f aca="false">IFERROR(__xludf.dummyfunction("""COMPUTED_VALUE"""),"Jean Pichard")</f>
        <v>Jean Pichard</v>
      </c>
    </row>
    <row r="205" customFormat="false" ht="15.75" hidden="false" customHeight="false" outlineLevel="0" collapsed="false">
      <c r="C205" s="0" t="str">
        <f aca="false">IFERROR(__xludf.dummyfunction("""COMPUTED_VALUE"""),"Mathis CELCE")</f>
        <v>Mathis CELCE</v>
      </c>
    </row>
    <row r="206" customFormat="false" ht="15.75" hidden="false" customHeight="false" outlineLevel="0" collapsed="false">
      <c r="C206" s="0" t="str">
        <f aca="false">IFERROR(__xludf.dummyfunction("""COMPUTED_VALUE"""),"Maxime Roy")</f>
        <v>Maxime Roy</v>
      </c>
    </row>
    <row r="207" customFormat="false" ht="15.75" hidden="false" customHeight="false" outlineLevel="0" collapsed="false">
      <c r="C207" s="0" t="str">
        <f aca="false">IFERROR(__xludf.dummyfunction("""COMPUTED_VALUE"""),"Gauthier PEZZOLI")</f>
        <v>Gauthier PEZZOLI</v>
      </c>
    </row>
    <row r="208" customFormat="false" ht="15.75" hidden="false" customHeight="false" outlineLevel="0" collapsed="false">
      <c r="C208" s="0" t="str">
        <f aca="false">IFERROR(__xludf.dummyfunction("""COMPUTED_VALUE"""),"Théo Hennion")</f>
        <v>Théo Hennion</v>
      </c>
    </row>
    <row r="209" customFormat="false" ht="15.75" hidden="false" customHeight="false" outlineLevel="0" collapsed="false">
      <c r="C209" s="0" t="str">
        <f aca="false">IFERROR(__xludf.dummyfunction("""COMPUTED_VALUE"""),"Clément Wozniak")</f>
        <v>Clément Wozniak</v>
      </c>
    </row>
    <row r="210" customFormat="false" ht="15.75" hidden="false" customHeight="false" outlineLevel="0" collapsed="false">
      <c r="C210" s="0" t="str">
        <f aca="false">IFERROR(__xludf.dummyfunction("""COMPUTED_VALUE"""),"Cyriane BIENVENUE")</f>
        <v>Cyriane BIENVENUE</v>
      </c>
    </row>
    <row r="211" customFormat="false" ht="15.75" hidden="false" customHeight="false" outlineLevel="0" collapsed="false">
      <c r="C211" s="0" t="str">
        <f aca="false">IFERROR(__xludf.dummyfunction("""COMPUTED_VALUE"""),"Marius MENAULT")</f>
        <v>Marius MENAULT</v>
      </c>
    </row>
    <row r="212" customFormat="false" ht="15.75" hidden="false" customHeight="false" outlineLevel="0" collapsed="false">
      <c r="C212" s="0" t="str">
        <f aca="false">IFERROR(__xludf.dummyfunction("""COMPUTED_VALUE"""),"Amine CHEKROUD")</f>
        <v>Amine CHEKROUD</v>
      </c>
    </row>
    <row r="213" customFormat="false" ht="15.75" hidden="false" customHeight="false" outlineLevel="0" collapsed="false">
      <c r="C213" s="0" t="str">
        <f aca="false">IFERROR(__xludf.dummyfunction("""COMPUTED_VALUE"""),"Cyprien MARION")</f>
        <v>Cyprien MARION</v>
      </c>
    </row>
    <row r="214" customFormat="false" ht="15.75" hidden="false" customHeight="false" outlineLevel="0" collapsed="false">
      <c r="C214" s="0" t="str">
        <f aca="false">IFERROR(__xludf.dummyfunction("""COMPUTED_VALUE"""),"Arthur LEMASSON")</f>
        <v>Arthur LEMASSON</v>
      </c>
    </row>
    <row r="215" customFormat="false" ht="15.75" hidden="false" customHeight="false" outlineLevel="0" collapsed="false">
      <c r="C215" s="0" t="str">
        <f aca="false">IFERROR(__xludf.dummyfunction("""COMPUTED_VALUE"""),"Vincent MESLIER")</f>
        <v>Vincent MESLIER</v>
      </c>
    </row>
    <row r="216" customFormat="false" ht="15.75" hidden="false" customHeight="false" outlineLevel="0" collapsed="false">
      <c r="C216" s="0" t="str">
        <f aca="false">IFERROR(__xludf.dummyfunction("""COMPUTED_VALUE"""),"Tom OVISTE")</f>
        <v>Tom OVISTE</v>
      </c>
    </row>
    <row r="217" customFormat="false" ht="15.75" hidden="false" customHeight="false" outlineLevel="0" collapsed="false">
      <c r="C217" s="0" t="str">
        <f aca="false">IFERROR(__xludf.dummyfunction("""COMPUTED_VALUE"""),"Léonce AUDIBERT")</f>
        <v>Léonce AUDIBERT</v>
      </c>
    </row>
    <row r="218" customFormat="false" ht="15.75" hidden="false" customHeight="false" outlineLevel="0" collapsed="false">
      <c r="C218" s="0" t="str">
        <f aca="false">IFERROR(__xludf.dummyfunction("""COMPUTED_VALUE"""),"Pm Guyot")</f>
        <v>Pm Guyot</v>
      </c>
    </row>
    <row r="219" customFormat="false" ht="15.75" hidden="false" customHeight="false" outlineLevel="0" collapsed="false">
      <c r="C219" s="0" t="str">
        <f aca="false">IFERROR(__xludf.dummyfunction("""COMPUTED_VALUE"""),"Antoine Chillet")</f>
        <v>Antoine Chillet</v>
      </c>
    </row>
    <row r="220" customFormat="false" ht="15.75" hidden="false" customHeight="false" outlineLevel="0" collapsed="false">
      <c r="C220" s="0" t="str">
        <f aca="false">IFERROR(__xludf.dummyfunction("""COMPUTED_VALUE"""),"Louis COGAN")</f>
        <v>Louis COGAN</v>
      </c>
    </row>
    <row r="221" customFormat="false" ht="15.75" hidden="false" customHeight="false" outlineLevel="0" collapsed="false">
      <c r="C221" s="0" t="str">
        <f aca="false">IFERROR(__xludf.dummyfunction("""COMPUTED_VALUE"""),"Richard ARNAUD")</f>
        <v>Richard ARNAUD</v>
      </c>
    </row>
    <row r="222" customFormat="false" ht="15.75" hidden="false" customHeight="false" outlineLevel="0" collapsed="false">
      <c r="C222" s="0" t="str">
        <f aca="false">IFERROR(__xludf.dummyfunction("""COMPUTED_VALUE"""),"Le Mintier Emmanuel")</f>
        <v>Le Mintier Emmanuel</v>
      </c>
    </row>
    <row r="223" customFormat="false" ht="15.75" hidden="false" customHeight="false" outlineLevel="0" collapsed="false">
      <c r="C223" s="0" t="str">
        <f aca="false">IFERROR(__xludf.dummyfunction("""COMPUTED_VALUE"""),"Lilie BOIZUMAULT")</f>
        <v>Lilie BOIZUMAULT</v>
      </c>
    </row>
    <row r="224" customFormat="false" ht="15.75" hidden="false" customHeight="false" outlineLevel="0" collapsed="false">
      <c r="C224" s="0" t="str">
        <f aca="false">IFERROR(__xludf.dummyfunction("""COMPUTED_VALUE"""),"Amine MEHMOUDEN")</f>
        <v>Amine MEHMOUDEN</v>
      </c>
    </row>
    <row r="225" customFormat="false" ht="15.75" hidden="false" customHeight="false" outlineLevel="0" collapsed="false">
      <c r="C225" s="0" t="str">
        <f aca="false">IFERROR(__xludf.dummyfunction("""COMPUTED_VALUE"""),"Adrien Jamelot")</f>
        <v>Adrien Jamelot</v>
      </c>
    </row>
    <row r="226" customFormat="false" ht="15.75" hidden="false" customHeight="false" outlineLevel="0" collapsed="false">
      <c r="C226" s="0" t="str">
        <f aca="false">IFERROR(__xludf.dummyfunction("""COMPUTED_VALUE"""),"Eric Ali Mehenni")</f>
        <v>Eric Ali Mehenni</v>
      </c>
    </row>
    <row r="227" customFormat="false" ht="15.75" hidden="false" customHeight="false" outlineLevel="0" collapsed="false">
      <c r="C227" s="0" t="str">
        <f aca="false">IFERROR(__xludf.dummyfunction("""COMPUTED_VALUE"""),"Anaïs BOUCHET")</f>
        <v>Anaïs BOUCHET</v>
      </c>
    </row>
    <row r="228" customFormat="false" ht="15.75" hidden="false" customHeight="false" outlineLevel="0" collapsed="false">
      <c r="C228" s="0" t="str">
        <f aca="false">IFERROR(__xludf.dummyfunction("""COMPUTED_VALUE"""),"Antoine DAROUX")</f>
        <v>Antoine DAROUX</v>
      </c>
    </row>
    <row r="229" customFormat="false" ht="15.75" hidden="false" customHeight="false" outlineLevel="0" collapsed="false">
      <c r="C229" s="0" t="str">
        <f aca="false">IFERROR(__xludf.dummyfunction("""COMPUTED_VALUE"""),"Lucas SANCIET--MUNIER")</f>
        <v>Lucas SANCIET--MUNIER</v>
      </c>
    </row>
    <row r="230" customFormat="false" ht="15.75" hidden="false" customHeight="false" outlineLevel="0" collapsed="false">
      <c r="C230" s="0" t="str">
        <f aca="false">IFERROR(__xludf.dummyfunction("""COMPUTED_VALUE"""),"Thomas LE BOURHIS")</f>
        <v>Thomas LE BOURHIS</v>
      </c>
    </row>
    <row r="231" customFormat="false" ht="15.75" hidden="false" customHeight="false" outlineLevel="0" collapsed="false">
      <c r="C231" s="0" t="str">
        <f aca="false">IFERROR(__xludf.dummyfunction("""COMPUTED_VALUE"""),"Hugo GAYRARD")</f>
        <v>Hugo GAYRARD</v>
      </c>
    </row>
    <row r="232" customFormat="false" ht="15.75" hidden="false" customHeight="false" outlineLevel="0" collapsed="false">
      <c r="C232" s="0" t="str">
        <f aca="false">IFERROR(__xludf.dummyfunction("""COMPUTED_VALUE"""),"Loïc")</f>
        <v>Loïc</v>
      </c>
    </row>
    <row r="233" customFormat="false" ht="15.75" hidden="false" customHeight="false" outlineLevel="0" collapsed="false">
      <c r="C233" s="0" t="str">
        <f aca="false">IFERROR(__xludf.dummyfunction("""COMPUTED_VALUE"""),"Pierre Veillard")</f>
        <v>Pierre Veillard</v>
      </c>
    </row>
    <row r="234" customFormat="false" ht="15.75" hidden="false" customHeight="false" outlineLevel="0" collapsed="false">
      <c r="C234" s="0" t="str">
        <f aca="false">IFERROR(__xludf.dummyfunction("""COMPUTED_VALUE"""),"Ruben MATONDZI")</f>
        <v>Ruben MATONDZI</v>
      </c>
    </row>
    <row r="235" customFormat="false" ht="15.75" hidden="false" customHeight="false" outlineLevel="0" collapsed="false">
      <c r="C235" s="0" t="str">
        <f aca="false">IFERROR(__xludf.dummyfunction("""COMPUTED_VALUE"""),"Manon DUBREIL")</f>
        <v>Manon DUBREIL</v>
      </c>
    </row>
    <row r="236" customFormat="false" ht="15.75" hidden="false" customHeight="false" outlineLevel="0" collapsed="false">
      <c r="C236" s="0" t="str">
        <f aca="false">IFERROR(__xludf.dummyfunction("""COMPUTED_VALUE"""),"Maëlenn COLSON")</f>
        <v>Maëlenn COLSON</v>
      </c>
    </row>
    <row r="237" customFormat="false" ht="15.75" hidden="false" customHeight="false" outlineLevel="0" collapsed="false">
      <c r="C237" s="0" t="str">
        <f aca="false">IFERROR(__xludf.dummyfunction("""COMPUTED_VALUE"""),"Rémy MAIGE")</f>
        <v>Rémy MAIGE</v>
      </c>
    </row>
    <row r="238" customFormat="false" ht="15.75" hidden="false" customHeight="false" outlineLevel="0" collapsed="false">
      <c r="C238" s="0" t="str">
        <f aca="false">IFERROR(__xludf.dummyfunction("""COMPUTED_VALUE"""),"Ramy SLIM")</f>
        <v>Ramy SLIM</v>
      </c>
    </row>
    <row r="239" customFormat="false" ht="15.75" hidden="false" customHeight="false" outlineLevel="0" collapsed="false">
      <c r="C239" s="0" t="str">
        <f aca="false">IFERROR(__xludf.dummyfunction("""COMPUTED_VALUE"""),"TOMAZ AMORIM")</f>
        <v>TOMAZ AMORIM</v>
      </c>
    </row>
    <row r="240" customFormat="false" ht="15.75" hidden="false" customHeight="false" outlineLevel="0" collapsed="false">
      <c r="C240" s="0" t="str">
        <f aca="false">IFERROR(__xludf.dummyfunction("""COMPUTED_VALUE"""),"Maxime Canard")</f>
        <v>Maxime Canard</v>
      </c>
    </row>
    <row r="241" customFormat="false" ht="15.75" hidden="false" customHeight="false" outlineLevel="0" collapsed="false">
      <c r="C241" s="0" t="str">
        <f aca="false">IFERROR(__xludf.dummyfunction("""COMPUTED_VALUE"""),"Corentin GILBERT")</f>
        <v>Corentin GILBERT</v>
      </c>
    </row>
    <row r="242" customFormat="false" ht="15.75" hidden="false" customHeight="false" outlineLevel="0" collapsed="false">
      <c r="C242" s="0" t="str">
        <f aca="false">IFERROR(__xludf.dummyfunction("""COMPUTED_VALUE"""),"Sergio MORENO LÓPEZ")</f>
        <v>Sergio MORENO LÓPEZ</v>
      </c>
    </row>
    <row r="243" customFormat="false" ht="15.75" hidden="false" customHeight="false" outlineLevel="0" collapsed="false">
      <c r="C243" s="0" t="str">
        <f aca="false">IFERROR(__xludf.dummyfunction("""COMPUTED_VALUE"""),"Adán REYES REYES")</f>
        <v>Adán REYES REYES</v>
      </c>
    </row>
    <row r="244" customFormat="false" ht="15.75" hidden="false" customHeight="false" outlineLevel="0" collapsed="false">
      <c r="C244" s="0" t="str">
        <f aca="false">IFERROR(__xludf.dummyfunction("""COMPUTED_VALUE"""),"Jose Luís RIVERA BLANCO")</f>
        <v>Jose Luís RIVERA BLANCO</v>
      </c>
    </row>
    <row r="245" customFormat="false" ht="15.75" hidden="false" customHeight="false" outlineLevel="0" collapsed="false">
      <c r="C245" s="0" t="str">
        <f aca="false">IFERROR(__xludf.dummyfunction("""COMPUTED_VALUE"""),"Yinzheng ZHOU")</f>
        <v>Yinzheng ZHOU</v>
      </c>
    </row>
    <row r="246" customFormat="false" ht="15.75" hidden="false" customHeight="false" outlineLevel="0" collapsed="false">
      <c r="C246" s="0" t="str">
        <f aca="false">IFERROR(__xludf.dummyfunction("""COMPUTED_VALUE"""),"Alexandre Bryk")</f>
        <v>Alexandre Bryk</v>
      </c>
    </row>
    <row r="247" customFormat="false" ht="15.75" hidden="false" customHeight="false" outlineLevel="0" collapsed="false">
      <c r="C247" s="0" t="str">
        <f aca="false">IFERROR(__xludf.dummyfunction("""COMPUTED_VALUE"""),"Sebastian CEPEDA")</f>
        <v>Sebastian CEPEDA</v>
      </c>
    </row>
    <row r="248" customFormat="false" ht="15.75" hidden="false" customHeight="false" outlineLevel="0" collapsed="false">
      <c r="C248" s="0" t="str">
        <f aca="false">IFERROR(__xludf.dummyfunction("""COMPUTED_VALUE"""),"Julián David HERNÁNDEZ TOVAR")</f>
        <v>Julián David HERNÁNDEZ TOVAR</v>
      </c>
    </row>
    <row r="249" customFormat="false" ht="15.75" hidden="false" customHeight="false" outlineLevel="0" collapsed="false">
      <c r="C249" s="0" t="str">
        <f aca="false">IFERROR(__xludf.dummyfunction("""COMPUTED_VALUE"""),"Ananda VANDERWEGEN")</f>
        <v>Ananda VANDERWEGEN</v>
      </c>
    </row>
    <row r="250" customFormat="false" ht="15.75" hidden="false" customHeight="false" outlineLevel="0" collapsed="false">
      <c r="C250" s="0" t="str">
        <f aca="false">IFERROR(__xludf.dummyfunction("""COMPUTED_VALUE"""),"Sébastien VILLA")</f>
        <v>Sébastien VILLA</v>
      </c>
    </row>
    <row r="251" customFormat="false" ht="15.75" hidden="false" customHeight="false" outlineLevel="0" collapsed="false">
      <c r="C251" s="0" t="str">
        <f aca="false">IFERROR(__xludf.dummyfunction("""COMPUTED_VALUE"""),"Pierre Libault")</f>
        <v>Pierre Libault</v>
      </c>
    </row>
    <row r="252" customFormat="false" ht="15.75" hidden="false" customHeight="false" outlineLevel="0" collapsed="false">
      <c r="C252" s="0" t="str">
        <f aca="false">IFERROR(__xludf.dummyfunction("""COMPUTED_VALUE"""),"Adam EL YOUMI")</f>
        <v>Adam EL YOUMI</v>
      </c>
    </row>
    <row r="253" customFormat="false" ht="15.75" hidden="false" customHeight="false" outlineLevel="0" collapsed="false">
      <c r="C253" s="0" t="str">
        <f aca="false">IFERROR(__xludf.dummyfunction("""COMPUTED_VALUE"""),"Vincent ESPINASSE")</f>
        <v>Vincent ESPINASSE</v>
      </c>
    </row>
    <row r="254" customFormat="false" ht="15.75" hidden="false" customHeight="false" outlineLevel="0" collapsed="false">
      <c r="C254" s="0" t="str">
        <f aca="false">IFERROR(__xludf.dummyfunction("""COMPUTED_VALUE"""),"Félix-Olivier Ngangue Nseke")</f>
        <v>Félix-Olivier Ngangue Nseke</v>
      </c>
    </row>
    <row r="255" customFormat="false" ht="15.75" hidden="false" customHeight="false" outlineLevel="0" collapsed="false">
      <c r="C255" s="0" t="str">
        <f aca="false">IFERROR(__xludf.dummyfunction("""COMPUTED_VALUE"""),"Laurène THILLIER")</f>
        <v>Laurène THILLIER</v>
      </c>
    </row>
    <row r="256" customFormat="false" ht="15.75" hidden="false" customHeight="false" outlineLevel="0" collapsed="false">
      <c r="C256" s="0" t="str">
        <f aca="false">IFERROR(__xludf.dummyfunction("""COMPUTED_VALUE"""),"Tanguy CABARET")</f>
        <v>Tanguy CABARET</v>
      </c>
    </row>
    <row r="257" customFormat="false" ht="15.75" hidden="false" customHeight="false" outlineLevel="0" collapsed="false">
      <c r="C257" s="0" t="str">
        <f aca="false">IFERROR(__xludf.dummyfunction("""COMPUTED_VALUE"""),"Romane CARIOU")</f>
        <v>Romane CARIOU</v>
      </c>
    </row>
    <row r="258" customFormat="false" ht="15.75" hidden="false" customHeight="false" outlineLevel="0" collapsed="false">
      <c r="C258" s="0" t="str">
        <f aca="false">IFERROR(__xludf.dummyfunction("""COMPUTED_VALUE"""),"Romain SUCCHE")</f>
        <v>Romain SUCCHE</v>
      </c>
    </row>
    <row r="259" customFormat="false" ht="15.75" hidden="false" customHeight="false" outlineLevel="0" collapsed="false">
      <c r="C259" s="0" t="str">
        <f aca="false">IFERROR(__xludf.dummyfunction("""COMPUTED_VALUE"""),"Nicolas ROGER")</f>
        <v>Nicolas ROGER</v>
      </c>
    </row>
    <row r="260" customFormat="false" ht="15.75" hidden="false" customHeight="false" outlineLevel="0" collapsed="false">
      <c r="C260" s="0" t="str">
        <f aca="false">IFERROR(__xludf.dummyfunction("""COMPUTED_VALUE"""),"Emmanuel COLLIGNAN")</f>
        <v>Emmanuel COLLIGNAN</v>
      </c>
    </row>
    <row r="261" customFormat="false" ht="15.75" hidden="false" customHeight="false" outlineLevel="0" collapsed="false">
      <c r="C261" s="0" t="str">
        <f aca="false">IFERROR(__xludf.dummyfunction("""COMPUTED_VALUE"""),"Jérôme VILLEROT")</f>
        <v>Jérôme VILLEROT</v>
      </c>
    </row>
    <row r="262" customFormat="false" ht="15.75" hidden="false" customHeight="false" outlineLevel="0" collapsed="false">
      <c r="C262" s="0" t="str">
        <f aca="false">IFERROR(__xludf.dummyfunction("""COMPUTED_VALUE"""),"Borget")</f>
        <v>Borget</v>
      </c>
    </row>
    <row r="263" customFormat="false" ht="15.75" hidden="false" customHeight="false" outlineLevel="0" collapsed="false">
      <c r="C263" s="0" t="str">
        <f aca="false">IFERROR(__xludf.dummyfunction("""COMPUTED_VALUE"""),"Raúl VILLAFUERTE")</f>
        <v>Raúl VILLAFUERTE</v>
      </c>
    </row>
    <row r="264" customFormat="false" ht="15.75" hidden="false" customHeight="false" outlineLevel="0" collapsed="false">
      <c r="C264" s="0" t="str">
        <f aca="false">IFERROR(__xludf.dummyfunction("""COMPUTED_VALUE"""),"Paul SAUBION")</f>
        <v>Paul SAUBION</v>
      </c>
    </row>
    <row r="265" customFormat="false" ht="15.75" hidden="false" customHeight="false" outlineLevel="0" collapsed="false">
      <c r="C265" s="0" t="str">
        <f aca="false">IFERROR(__xludf.dummyfunction("""COMPUTED_VALUE"""),"Florian BARTOCCI")</f>
        <v>Florian BARTOCCI</v>
      </c>
    </row>
    <row r="266" customFormat="false" ht="15.75" hidden="false" customHeight="false" outlineLevel="0" collapsed="false">
      <c r="C266" s="0" t="str">
        <f aca="false">IFERROR(__xludf.dummyfunction("""COMPUTED_VALUE"""),"Jean-Baptiste de BECO")</f>
        <v>Jean-Baptiste de BECO</v>
      </c>
    </row>
    <row r="267" customFormat="false" ht="15.75" hidden="false" customHeight="false" outlineLevel="0" collapsed="false">
      <c r="C267" s="0" t="str">
        <f aca="false">IFERROR(__xludf.dummyfunction("""COMPUTED_VALUE"""),"Matthieu LAMIELLE")</f>
        <v>Matthieu LAMIELLE</v>
      </c>
    </row>
    <row r="268" customFormat="false" ht="15.75" hidden="false" customHeight="false" outlineLevel="0" collapsed="false">
      <c r="C268" s="0" t="str">
        <f aca="false">IFERROR(__xludf.dummyfunction("""COMPUTED_VALUE"""),"Adrien BERSIER")</f>
        <v>Adrien BERSIER</v>
      </c>
    </row>
    <row r="269" customFormat="false" ht="15.75" hidden="false" customHeight="false" outlineLevel="0" collapsed="false">
      <c r="C269" s="0" t="str">
        <f aca="false">IFERROR(__xludf.dummyfunction("""COMPUTED_VALUE"""),"Aygalic JARA")</f>
        <v>Aygalic JARA</v>
      </c>
    </row>
    <row r="270" customFormat="false" ht="15.75" hidden="false" customHeight="false" outlineLevel="0" collapsed="false">
      <c r="C270" s="0" t="str">
        <f aca="false">IFERROR(__xludf.dummyfunction("""COMPUTED_VALUE"""),"Thomas HERRBACH")</f>
        <v>Thomas HERRBACH</v>
      </c>
    </row>
    <row r="271" customFormat="false" ht="15.75" hidden="false" customHeight="false" outlineLevel="0" collapsed="false">
      <c r="C271" s="0" t="str">
        <f aca="false">IFERROR(__xludf.dummyfunction("""COMPUTED_VALUE"""),"Márcio Bruno DOS SANTOS CORREIA")</f>
        <v>Márcio Bruno DOS SANTOS CORREIA</v>
      </c>
    </row>
    <row r="272" customFormat="false" ht="15.75" hidden="false" customHeight="false" outlineLevel="0" collapsed="false">
      <c r="C272" s="0" t="str">
        <f aca="false">IFERROR(__xludf.dummyfunction("""COMPUTED_VALUE"""),"Adrien BOUVIER")</f>
        <v>Adrien BOUVIER</v>
      </c>
    </row>
    <row r="273" customFormat="false" ht="15.75" hidden="false" customHeight="false" outlineLevel="0" collapsed="false">
      <c r="C273" s="0" t="str">
        <f aca="false">IFERROR(__xludf.dummyfunction("""COMPUTED_VALUE"""),"Hugo Weiss")</f>
        <v>Hugo Weiss</v>
      </c>
    </row>
    <row r="274" customFormat="false" ht="15.75" hidden="false" customHeight="false" outlineLevel="0" collapsed="false">
      <c r="C274" s="0" t="str">
        <f aca="false">IFERROR(__xludf.dummyfunction("""COMPUTED_VALUE"""),"Adele ONDARCUHU")</f>
        <v>Adele ONDARCUHU</v>
      </c>
    </row>
    <row r="275" customFormat="false" ht="15.75" hidden="false" customHeight="false" outlineLevel="0" collapsed="false">
      <c r="C275" s="0" t="str">
        <f aca="false">IFERROR(__xludf.dummyfunction("""COMPUTED_VALUE"""),"Vire")</f>
        <v>Vire</v>
      </c>
    </row>
    <row r="276" customFormat="false" ht="15.75" hidden="false" customHeight="false" outlineLevel="0" collapsed="false">
      <c r="C276" s="0" t="str">
        <f aca="false">IFERROR(__xludf.dummyfunction("""COMPUTED_VALUE"""),"Valentin Pibernus")</f>
        <v>Valentin Pibernus</v>
      </c>
    </row>
    <row r="277" customFormat="false" ht="15.75" hidden="false" customHeight="false" outlineLevel="0" collapsed="false">
      <c r="C277" s="0" t="str">
        <f aca="false">IFERROR(__xludf.dummyfunction("""COMPUTED_VALUE"""),"Fabien RAVET")</f>
        <v>Fabien RAVET</v>
      </c>
    </row>
    <row r="278" customFormat="false" ht="15.75" hidden="false" customHeight="false" outlineLevel="0" collapsed="false">
      <c r="C278" s="0" t="str">
        <f aca="false">IFERROR(__xludf.dummyfunction("""COMPUTED_VALUE"""),"Bastien")</f>
        <v>Bastien</v>
      </c>
    </row>
    <row r="279" customFormat="false" ht="15.75" hidden="false" customHeight="false" outlineLevel="0" collapsed="false">
      <c r="C279" s="0" t="str">
        <f aca="false">IFERROR(__xludf.dummyfunction("""COMPUTED_VALUE"""),"Audric BALSSA")</f>
        <v>Audric BALSSA</v>
      </c>
    </row>
    <row r="280" customFormat="false" ht="15.75" hidden="false" customHeight="false" outlineLevel="0" collapsed="false">
      <c r="C280" s="0" t="str">
        <f aca="false">IFERROR(__xludf.dummyfunction("""COMPUTED_VALUE"""),"Alexandre SEVENO")</f>
        <v>Alexandre SEVENO</v>
      </c>
    </row>
    <row r="281" customFormat="false" ht="15.75" hidden="false" customHeight="false" outlineLevel="0" collapsed="false">
      <c r="C281" s="0" t="str">
        <f aca="false">IFERROR(__xludf.dummyfunction("""COMPUTED_VALUE"""),"Maxime PATRY")</f>
        <v>Maxime PATRY</v>
      </c>
    </row>
    <row r="282" customFormat="false" ht="15.75" hidden="false" customHeight="false" outlineLevel="0" collapsed="false">
      <c r="C282" s="0" t="str">
        <f aca="false">IFERROR(__xludf.dummyfunction("""COMPUTED_VALUE"""),"Selim Autones")</f>
        <v>Selim Autones</v>
      </c>
    </row>
    <row r="283" customFormat="false" ht="15.75" hidden="false" customHeight="false" outlineLevel="0" collapsed="false">
      <c r="C283" s="0" t="str">
        <f aca="false">IFERROR(__xludf.dummyfunction("""COMPUTED_VALUE"""),"Arthur")</f>
        <v>Arthur</v>
      </c>
    </row>
    <row r="284" customFormat="false" ht="15.75" hidden="false" customHeight="false" outlineLevel="0" collapsed="false">
      <c r="C284" s="0" t="str">
        <f aca="false">IFERROR(__xludf.dummyfunction("""COMPUTED_VALUE"""),"Mathurin Schneider")</f>
        <v>Mathurin Schneider</v>
      </c>
    </row>
    <row r="285" customFormat="false" ht="15.75" hidden="false" customHeight="false" outlineLevel="0" collapsed="false">
      <c r="C285" s="0" t="str">
        <f aca="false">IFERROR(__xludf.dummyfunction("""COMPUTED_VALUE"""),"KONATE")</f>
        <v>KONATE</v>
      </c>
    </row>
    <row r="286" customFormat="false" ht="15.75" hidden="false" customHeight="false" outlineLevel="0" collapsed="false">
      <c r="C286" s="0" t="str">
        <f aca="false">IFERROR(__xludf.dummyfunction("""COMPUTED_VALUE"""),"Alexandre FOSSORIER")</f>
        <v>Alexandre FOSSORIER</v>
      </c>
    </row>
    <row r="287" customFormat="false" ht="15.75" hidden="false" customHeight="false" outlineLevel="0" collapsed="false">
      <c r="C287" s="0" t="str">
        <f aca="false">IFERROR(__xludf.dummyfunction("""COMPUTED_VALUE"""),"Werner")</f>
        <v>Werner</v>
      </c>
    </row>
    <row r="288" customFormat="false" ht="15.75" hidden="false" customHeight="false" outlineLevel="0" collapsed="false">
      <c r="C288" s="0" t="str">
        <f aca="false">IFERROR(__xludf.dummyfunction("""COMPUTED_VALUE"""),"Paniez")</f>
        <v>Paniez</v>
      </c>
    </row>
    <row r="289" customFormat="false" ht="15.75" hidden="false" customHeight="false" outlineLevel="0" collapsed="false">
      <c r="C289" s="0" t="str">
        <f aca="false">IFERROR(__xludf.dummyfunction("""COMPUTED_VALUE"""),"Adrien HALLARD")</f>
        <v>Adrien HALLARD</v>
      </c>
    </row>
    <row r="290" customFormat="false" ht="15.75" hidden="false" customHeight="false" outlineLevel="0" collapsed="false">
      <c r="C290" s="0" t="str">
        <f aca="false">IFERROR(__xludf.dummyfunction("""COMPUTED_VALUE"""),"Timothée Corlay")</f>
        <v>Timothée Corlay</v>
      </c>
    </row>
    <row r="291" customFormat="false" ht="15.75" hidden="false" customHeight="false" outlineLevel="0" collapsed="false">
      <c r="C291" s="0" t="str">
        <f aca="false">IFERROR(__xludf.dummyfunction("""COMPUTED_VALUE"""),"Aurélio Catel")</f>
        <v>Aurélio Catel</v>
      </c>
    </row>
    <row r="292" customFormat="false" ht="15.75" hidden="false" customHeight="false" outlineLevel="0" collapsed="false">
      <c r="C292" s="0" t="str">
        <f aca="false">IFERROR(__xludf.dummyfunction("""COMPUTED_VALUE"""),"Yuna Landais")</f>
        <v>Yuna Landais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2019-09-26T21:52:24Z</dcterms:modified>
  <cp:revision>2</cp:revision>
  <dc:subject/>
  <dc:title/>
</cp:coreProperties>
</file>