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27" i="1"/>
  <c r="K26"/>
  <c r="J27"/>
  <c r="J26"/>
  <c r="J25"/>
  <c r="I27"/>
  <c r="I26"/>
  <c r="I25"/>
  <c r="F22"/>
  <c r="C18"/>
  <c r="D22"/>
  <c r="D18"/>
  <c r="C22"/>
  <c r="E22" s="1"/>
  <c r="F2"/>
  <c r="E5" s="1"/>
  <c r="G4" l="1"/>
  <c r="G5"/>
  <c r="G6"/>
  <c r="H22"/>
  <c r="E18"/>
  <c r="E4"/>
  <c r="E6"/>
  <c r="H18"/>
  <c r="H12"/>
  <c r="E13"/>
  <c r="F14"/>
  <c r="H14"/>
  <c r="E12"/>
  <c r="F13"/>
  <c r="H13"/>
  <c r="E14"/>
  <c r="G14" s="1"/>
  <c r="C15"/>
  <c r="G13" l="1"/>
  <c r="H15"/>
  <c r="C21"/>
  <c r="C17"/>
  <c r="E15"/>
  <c r="F12"/>
  <c r="G12" l="1"/>
  <c r="C19"/>
  <c r="E21"/>
  <c r="E17"/>
  <c r="E19" s="1"/>
  <c r="C23"/>
  <c r="F18"/>
  <c r="G22" l="1"/>
  <c r="E23"/>
  <c r="G18"/>
  <c r="I14" l="1"/>
  <c r="J14" s="1"/>
  <c r="K12"/>
  <c r="K15" s="1"/>
  <c r="K13"/>
  <c r="K14"/>
  <c r="I12"/>
  <c r="J12" s="1"/>
  <c r="I13"/>
  <c r="J13" s="1"/>
  <c r="J15" l="1"/>
  <c r="H17"/>
  <c r="H21"/>
  <c r="H23" l="1"/>
  <c r="H19"/>
  <c r="F15"/>
  <c r="F17" s="1"/>
  <c r="G17" s="1"/>
  <c r="G19" s="1"/>
  <c r="F19" s="1"/>
  <c r="G15" l="1"/>
  <c r="F21"/>
  <c r="G21" s="1"/>
  <c r="G23" s="1"/>
  <c r="F23" s="1"/>
  <c r="E27" s="1"/>
  <c r="E25"/>
  <c r="F25" s="1"/>
  <c r="K17"/>
  <c r="K18"/>
  <c r="E26"/>
  <c r="I18"/>
  <c r="J18" s="1"/>
  <c r="I17"/>
  <c r="J17" s="1"/>
  <c r="I21" l="1"/>
  <c r="J21" s="1"/>
  <c r="K22"/>
  <c r="K21"/>
  <c r="I22"/>
  <c r="J22" s="1"/>
  <c r="J19"/>
  <c r="G27"/>
  <c r="F27"/>
  <c r="G26"/>
  <c r="F26"/>
  <c r="K19"/>
  <c r="J23" l="1"/>
  <c r="K23"/>
</calcChain>
</file>

<file path=xl/sharedStrings.xml><?xml version="1.0" encoding="utf-8"?>
<sst xmlns="http://schemas.openxmlformats.org/spreadsheetml/2006/main" count="56" uniqueCount="41">
  <si>
    <t>Positive Moment Region Section Properties</t>
  </si>
  <si>
    <t>Section</t>
  </si>
  <si>
    <t>Girder only:</t>
  </si>
  <si>
    <t>Top flange</t>
  </si>
  <si>
    <t>Web</t>
  </si>
  <si>
    <t>Bottom flange</t>
  </si>
  <si>
    <t>Total</t>
  </si>
  <si>
    <t>Girder</t>
  </si>
  <si>
    <t>Slab</t>
  </si>
  <si>
    <t>Composite (n):</t>
  </si>
  <si>
    <t>Girder only</t>
  </si>
  <si>
    <t>---</t>
  </si>
  <si>
    <t>Composite (3n)</t>
  </si>
  <si>
    <t>Composite (n)</t>
  </si>
  <si>
    <t>-</t>
  </si>
  <si>
    <t>Type of Section</t>
  </si>
  <si>
    <t>Rolled</t>
  </si>
  <si>
    <t>Built-Up</t>
  </si>
  <si>
    <t>Haunch</t>
  </si>
  <si>
    <t>in</t>
  </si>
  <si>
    <t>n</t>
  </si>
  <si>
    <t>deck</t>
  </si>
  <si>
    <t>Effective Width</t>
  </si>
  <si>
    <t>Composite (3n):</t>
  </si>
  <si>
    <r>
      <t xml:space="preserve">in </t>
    </r>
    <r>
      <rPr>
        <sz val="9"/>
        <color theme="1"/>
        <rFont val="Calibri"/>
        <family val="2"/>
        <scheme val="minor"/>
      </rPr>
      <t>(Include Top Flange Thicknesss)</t>
    </r>
  </si>
  <si>
    <t>Thickness
(in)</t>
  </si>
  <si>
    <t>Width
(in)</t>
  </si>
  <si>
    <t>Centroid, d
(in)</t>
  </si>
  <si>
    <r>
      <t>Area, A
(in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</si>
  <si>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y
(in)</t>
  </si>
  <si>
    <r>
      <t>A*d
(in</t>
    </r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</si>
  <si>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indexed="8"/>
        <rFont val="Calibri"/>
        <family val="2"/>
      </rPr>
      <t xml:space="preserve">x
</t>
    </r>
    <r>
      <rPr>
        <sz val="11"/>
        <color theme="1"/>
        <rFont val="Calibri"/>
        <family val="2"/>
        <scheme val="minor"/>
      </rPr>
      <t>(in</t>
    </r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>)</t>
    </r>
  </si>
  <si>
    <r>
      <t>A*y</t>
    </r>
    <r>
      <rPr>
        <vertAlign val="superscript"/>
        <sz val="11"/>
        <color indexed="8"/>
        <rFont val="Calibri"/>
        <family val="2"/>
      </rPr>
      <t xml:space="preserve">2
</t>
    </r>
    <r>
      <rPr>
        <sz val="11"/>
        <color theme="1"/>
        <rFont val="Calibri"/>
        <family val="2"/>
        <scheme val="minor"/>
      </rPr>
      <t>(in</t>
    </r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</si>
  <si>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indexed="8"/>
        <rFont val="Calibri"/>
        <family val="2"/>
      </rPr>
      <t xml:space="preserve">total
</t>
    </r>
    <r>
      <rPr>
        <sz val="11"/>
        <color theme="1"/>
        <rFont val="Calibri"/>
        <family val="2"/>
        <scheme val="minor"/>
      </rPr>
      <t>(in</t>
    </r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</si>
  <si>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indexed="8"/>
        <rFont val="Calibri"/>
        <family val="2"/>
      </rPr>
      <t xml:space="preserve">botgdr
</t>
    </r>
    <r>
      <rPr>
        <sz val="11"/>
        <color theme="1"/>
        <rFont val="Calibri"/>
        <family val="2"/>
        <scheme val="minor"/>
      </rPr>
      <t>(in)</t>
    </r>
  </si>
  <si>
    <r>
      <t>y</t>
    </r>
    <r>
      <rPr>
        <vertAlign val="subscript"/>
        <sz val="11"/>
        <color indexed="8"/>
        <rFont val="Calibri"/>
        <family val="2"/>
      </rPr>
      <t xml:space="preserve">topgdr
</t>
    </r>
    <r>
      <rPr>
        <sz val="11"/>
        <color theme="1"/>
        <rFont val="Calibri"/>
        <family val="2"/>
        <scheme val="minor"/>
      </rPr>
      <t>(in)</t>
    </r>
  </si>
  <si>
    <r>
      <t>y</t>
    </r>
    <r>
      <rPr>
        <vertAlign val="subscript"/>
        <sz val="11"/>
        <color indexed="8"/>
        <rFont val="Calibri"/>
        <family val="2"/>
      </rPr>
      <t xml:space="preserve">topslab
</t>
    </r>
    <r>
      <rPr>
        <sz val="11"/>
        <color theme="1"/>
        <rFont val="Calibri"/>
        <family val="2"/>
        <scheme val="minor"/>
      </rPr>
      <t>(in)</t>
    </r>
  </si>
  <si>
    <r>
      <t>S</t>
    </r>
    <r>
      <rPr>
        <vertAlign val="subscript"/>
        <sz val="11"/>
        <color indexed="8"/>
        <rFont val="Calibri"/>
        <family val="2"/>
      </rPr>
      <t xml:space="preserve">botgdr
</t>
    </r>
    <r>
      <rPr>
        <sz val="11"/>
        <color theme="1"/>
        <rFont val="Calibri"/>
        <family val="2"/>
        <scheme val="minor"/>
      </rPr>
      <t>(in</t>
    </r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</si>
  <si>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r>
      <t>S</t>
    </r>
    <r>
      <rPr>
        <vertAlign val="subscript"/>
        <sz val="11"/>
        <color indexed="8"/>
        <rFont val="Calibri"/>
        <family val="2"/>
      </rPr>
      <t xml:space="preserve">topgdr
</t>
    </r>
    <r>
      <rPr>
        <sz val="11"/>
        <color theme="1"/>
        <rFont val="Calibri"/>
        <family val="2"/>
        <scheme val="minor"/>
      </rPr>
      <t>(in</t>
    </r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</si>
  <si>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r>
      <t>S</t>
    </r>
    <r>
      <rPr>
        <vertAlign val="subscript"/>
        <sz val="11"/>
        <color indexed="8"/>
        <rFont val="Calibri"/>
        <family val="2"/>
      </rPr>
      <t xml:space="preserve">topslab
</t>
    </r>
    <r>
      <rPr>
        <sz val="11"/>
        <color theme="1"/>
        <rFont val="Calibri"/>
        <family val="2"/>
        <scheme val="minor"/>
      </rPr>
      <t>(in</t>
    </r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</si>
  <si>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t>&lt;= Select From Drop Down</t>
  </si>
</sst>
</file>

<file path=xl/styles.xml><?xml version="1.0" encoding="utf-8"?>
<styleSheet xmlns="http://schemas.openxmlformats.org/spreadsheetml/2006/main">
  <numFmts count="1">
    <numFmt numFmtId="168" formatCode="0.0000"/>
  </numFmts>
  <fonts count="7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168" fontId="0" fillId="3" borderId="4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4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0" xfId="0" applyFont="1"/>
    <xf numFmtId="168" fontId="0" fillId="2" borderId="4" xfId="0" applyNumberFormat="1" applyFont="1" applyFill="1" applyBorder="1" applyAlignment="1">
      <alignment horizontal="center" wrapText="1"/>
    </xf>
    <xf numFmtId="168" fontId="0" fillId="0" borderId="4" xfId="0" applyNumberFormat="1" applyFont="1" applyFill="1" applyBorder="1" applyAlignment="1">
      <alignment horizontal="center" wrapText="1"/>
    </xf>
    <xf numFmtId="168" fontId="0" fillId="3" borderId="4" xfId="0" applyNumberFormat="1" applyFill="1" applyBorder="1" applyAlignment="1">
      <alignment horizontal="center" wrapText="1"/>
    </xf>
    <xf numFmtId="168" fontId="0" fillId="2" borderId="1" xfId="0" applyNumberForma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3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8" fontId="0" fillId="2" borderId="4" xfId="0" applyNumberFormat="1" applyFill="1" applyBorder="1" applyAlignment="1">
      <alignment horizontal="center" wrapText="1"/>
    </xf>
    <xf numFmtId="168" fontId="0" fillId="4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7"/>
  <sheetViews>
    <sheetView tabSelected="1" workbookViewId="0">
      <selection activeCell="I29" sqref="I29"/>
    </sheetView>
  </sheetViews>
  <sheetFormatPr defaultRowHeight="15"/>
  <cols>
    <col min="1" max="1" width="9.140625" style="1"/>
    <col min="2" max="2" width="14.85546875" style="1" bestFit="1" customWidth="1"/>
    <col min="3" max="11" width="13.7109375" style="1" customWidth="1"/>
    <col min="12" max="16384" width="9.140625" style="1"/>
  </cols>
  <sheetData>
    <row r="1" spans="2:11">
      <c r="D1" s="8"/>
    </row>
    <row r="2" spans="2:11">
      <c r="B2" t="s">
        <v>15</v>
      </c>
      <c r="C2" s="1" t="s">
        <v>16</v>
      </c>
      <c r="D2" s="11" t="s">
        <v>40</v>
      </c>
      <c r="F2" s="7">
        <f>IF(C2=Sheet2!B3,Sheet2!C3,Sheet2!C4)</f>
        <v>1</v>
      </c>
    </row>
    <row r="4" spans="2:11">
      <c r="B4" t="s">
        <v>22</v>
      </c>
      <c r="C4" s="1">
        <v>75</v>
      </c>
      <c r="D4" t="s">
        <v>19</v>
      </c>
      <c r="E4" s="3" t="str">
        <f>IF(F2=1,"Beam Depth","")</f>
        <v>Beam Depth</v>
      </c>
      <c r="F4" s="1">
        <v>18.350000000000001</v>
      </c>
      <c r="G4" s="1" t="str">
        <f>IF($F$2=1,IF(F4="","&lt;= Enter Data",""),"")</f>
        <v/>
      </c>
    </row>
    <row r="5" spans="2:11">
      <c r="B5" t="s">
        <v>21</v>
      </c>
      <c r="C5" s="1">
        <v>15</v>
      </c>
      <c r="D5" t="s">
        <v>19</v>
      </c>
      <c r="E5" s="3" t="str">
        <f>IF(F2=1,"Beam Area","")</f>
        <v>Beam Area</v>
      </c>
      <c r="F5" s="1">
        <v>19.100000000000001</v>
      </c>
      <c r="G5" s="1" t="str">
        <f>IF($F$2=1,IF(F5="","&lt;= Enter Data",""),"")</f>
        <v/>
      </c>
    </row>
    <row r="6" spans="2:11">
      <c r="B6" t="s">
        <v>20</v>
      </c>
      <c r="C6" s="1">
        <v>9</v>
      </c>
      <c r="E6" s="3" t="str">
        <f>IF(F2=1,"Moment of Inertia","")</f>
        <v>Moment of Inertia</v>
      </c>
      <c r="F6" s="1">
        <v>1070</v>
      </c>
      <c r="G6" s="1" t="str">
        <f>IF($F$2=1,IF(F6="","&lt;= Enter Data",""),"")</f>
        <v/>
      </c>
    </row>
    <row r="7" spans="2:11">
      <c r="B7" t="s">
        <v>18</v>
      </c>
      <c r="C7" s="1">
        <v>0</v>
      </c>
      <c r="D7" t="s">
        <v>24</v>
      </c>
    </row>
    <row r="9" spans="2:11">
      <c r="B9" s="4" t="s">
        <v>0</v>
      </c>
      <c r="C9" s="5"/>
      <c r="D9" s="5"/>
      <c r="E9" s="5"/>
      <c r="F9" s="5"/>
      <c r="G9" s="5"/>
      <c r="H9" s="5"/>
      <c r="I9" s="5"/>
      <c r="J9" s="5"/>
      <c r="K9" s="6"/>
    </row>
    <row r="10" spans="2:11" ht="35.25">
      <c r="B10" s="9" t="s">
        <v>1</v>
      </c>
      <c r="C10" s="10" t="s">
        <v>25</v>
      </c>
      <c r="D10" s="10" t="s">
        <v>26</v>
      </c>
      <c r="E10" s="10" t="s">
        <v>28</v>
      </c>
      <c r="F10" s="10" t="s">
        <v>27</v>
      </c>
      <c r="G10" s="10" t="s">
        <v>30</v>
      </c>
      <c r="H10" s="10" t="s">
        <v>31</v>
      </c>
      <c r="I10" s="10" t="s">
        <v>29</v>
      </c>
      <c r="J10" s="10" t="s">
        <v>32</v>
      </c>
      <c r="K10" s="10" t="s">
        <v>33</v>
      </c>
    </row>
    <row r="11" spans="2:11">
      <c r="B11" s="4" t="s">
        <v>2</v>
      </c>
      <c r="C11" s="5"/>
      <c r="D11" s="5"/>
      <c r="E11" s="5"/>
      <c r="F11" s="5"/>
      <c r="G11" s="5"/>
      <c r="H11" s="5"/>
      <c r="I11" s="5"/>
      <c r="J11" s="5"/>
      <c r="K11" s="6"/>
    </row>
    <row r="12" spans="2:11">
      <c r="B12" s="12" t="s">
        <v>3</v>
      </c>
      <c r="C12" s="13"/>
      <c r="D12" s="13"/>
      <c r="E12" s="2" t="str">
        <f>IF(F2=1,"-",C12*D12)</f>
        <v>-</v>
      </c>
      <c r="F12" s="2" t="str">
        <f>IF(F2=1,"-",C15-C12/2)</f>
        <v>-</v>
      </c>
      <c r="G12" s="2" t="str">
        <f>IF(F2=1,"-",(E12*F12))</f>
        <v>-</v>
      </c>
      <c r="H12" s="2" t="str">
        <f>IF(F2=1,"-",D12*C12^3/12)</f>
        <v>-</v>
      </c>
      <c r="I12" s="2" t="str">
        <f>IF(F2=1,"-",F12-$F$15)</f>
        <v>-</v>
      </c>
      <c r="J12" s="2" t="str">
        <f>IF(F2=1,"-",E12*I12^2)</f>
        <v>-</v>
      </c>
      <c r="K12" s="2" t="str">
        <f>IF(F2=1,"-",H12+E12*(F12-$F$15)^2)</f>
        <v>-</v>
      </c>
    </row>
    <row r="13" spans="2:11">
      <c r="B13" s="12" t="s">
        <v>4</v>
      </c>
      <c r="C13" s="13"/>
      <c r="D13" s="13"/>
      <c r="E13" s="2" t="str">
        <f>IF(F2=1,"-",C13*D13)</f>
        <v>-</v>
      </c>
      <c r="F13" s="2" t="str">
        <f>IF(F2=1,"-",C14+0.5*C13)</f>
        <v>-</v>
      </c>
      <c r="G13" s="2" t="str">
        <f>IF(F2=1,"-",(E13*F13))</f>
        <v>-</v>
      </c>
      <c r="H13" s="2" t="str">
        <f>IF(F2=1,"-",D13*C13^3/12)</f>
        <v>-</v>
      </c>
      <c r="I13" s="2" t="str">
        <f>IF(F2=1,"-",F13-$F$15)</f>
        <v>-</v>
      </c>
      <c r="J13" s="2" t="str">
        <f>IF(F2=1,"-",E13*I13^2)</f>
        <v>-</v>
      </c>
      <c r="K13" s="2" t="str">
        <f>IF(F2=1,"-",H13+E13*(F13-$F$15)^2)</f>
        <v>-</v>
      </c>
    </row>
    <row r="14" spans="2:11">
      <c r="B14" s="12" t="s">
        <v>5</v>
      </c>
      <c r="C14" s="13"/>
      <c r="D14" s="13"/>
      <c r="E14" s="2" t="str">
        <f>IF(F2=1,"-",C14*D14)</f>
        <v>-</v>
      </c>
      <c r="F14" s="2" t="str">
        <f>IF(F2=1,"-",C14/2)</f>
        <v>-</v>
      </c>
      <c r="G14" s="2" t="str">
        <f>IF(F2=1,"-",(E14*F14))</f>
        <v>-</v>
      </c>
      <c r="H14" s="2" t="str">
        <f>IF(F2=1,"-",D14*C14^3/12)</f>
        <v>-</v>
      </c>
      <c r="I14" s="2" t="str">
        <f>IF(F2=1,"-",F14-$F$15)</f>
        <v>-</v>
      </c>
      <c r="J14" s="2" t="str">
        <f>IF(F2=1,"-",E14*I14^2)</f>
        <v>-</v>
      </c>
      <c r="K14" s="2" t="str">
        <f>IF(F2=1,"-",H14+E14*(F14-$F$15)^2)</f>
        <v>-</v>
      </c>
    </row>
    <row r="15" spans="2:11">
      <c r="B15" s="12" t="s">
        <v>6</v>
      </c>
      <c r="C15" s="2">
        <f>IF(F2=1,F4,SUM(C12:C14))</f>
        <v>18.350000000000001</v>
      </c>
      <c r="D15" s="2" t="s">
        <v>14</v>
      </c>
      <c r="E15" s="2">
        <f>IF(F2=1,F5,SUM(E12:E14))</f>
        <v>19.100000000000001</v>
      </c>
      <c r="F15" s="2">
        <f>IF(F2=1,C15/2,G15/E15)</f>
        <v>9.1750000000000007</v>
      </c>
      <c r="G15" s="2">
        <f>IF(F2=1,E15*F15,SUM(G12:G14))</f>
        <v>175.24250000000004</v>
      </c>
      <c r="H15" s="2">
        <f>IF(F2=1,F6,SUM(H12:H14))</f>
        <v>1070</v>
      </c>
      <c r="I15" s="14" t="s">
        <v>14</v>
      </c>
      <c r="J15" s="2">
        <f>SUM(J12:J14)</f>
        <v>0</v>
      </c>
      <c r="K15" s="2">
        <f>IF(F2=1,F6,SUM(K12:K14))</f>
        <v>1070</v>
      </c>
    </row>
    <row r="16" spans="2:11">
      <c r="B16" s="15" t="s">
        <v>23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2:11">
      <c r="B17" s="12" t="s">
        <v>7</v>
      </c>
      <c r="C17" s="2">
        <f>C15</f>
        <v>18.350000000000001</v>
      </c>
      <c r="D17" s="2" t="s">
        <v>14</v>
      </c>
      <c r="E17" s="2">
        <f>E15</f>
        <v>19.100000000000001</v>
      </c>
      <c r="F17" s="2">
        <f>F15</f>
        <v>9.1750000000000007</v>
      </c>
      <c r="G17" s="2">
        <f>(E17*F17)</f>
        <v>175.24250000000004</v>
      </c>
      <c r="H17" s="2">
        <f>K15</f>
        <v>1070</v>
      </c>
      <c r="I17" s="2">
        <f>F17-$F$19</f>
        <v>-11.433763027975864</v>
      </c>
      <c r="J17" s="2">
        <f>E17*I17^2</f>
        <v>2496.9608963162391</v>
      </c>
      <c r="K17" s="2">
        <f>H17+E17*(F17-$F$19)^2</f>
        <v>3566.9608963162391</v>
      </c>
    </row>
    <row r="18" spans="2:11">
      <c r="B18" s="12" t="s">
        <v>8</v>
      </c>
      <c r="C18" s="2">
        <f>C5</f>
        <v>15</v>
      </c>
      <c r="D18" s="2">
        <f>C4/(3*C6)</f>
        <v>2.7777777777777777</v>
      </c>
      <c r="E18" s="2">
        <f>C18*D18</f>
        <v>41.666666666666664</v>
      </c>
      <c r="F18" s="2">
        <f>F22</f>
        <v>25.85</v>
      </c>
      <c r="G18" s="2">
        <f>(E18*F18)</f>
        <v>1077.0833333333333</v>
      </c>
      <c r="H18" s="2">
        <f>D18*C18^3/12</f>
        <v>781.25</v>
      </c>
      <c r="I18" s="2">
        <f>F18-$F$19</f>
        <v>5.2412369720241365</v>
      </c>
      <c r="J18" s="2">
        <f>E18*I18^2</f>
        <v>1144.606874871364</v>
      </c>
      <c r="K18" s="2">
        <f>H18+E18*(F18-$F$19)^2</f>
        <v>1925.856874871364</v>
      </c>
    </row>
    <row r="19" spans="2:11">
      <c r="B19" s="12" t="s">
        <v>6</v>
      </c>
      <c r="C19" s="2">
        <f>SUM(C17:C18)</f>
        <v>33.35</v>
      </c>
      <c r="D19" s="2" t="s">
        <v>14</v>
      </c>
      <c r="E19" s="2">
        <f>SUM(E17:E18)</f>
        <v>60.766666666666666</v>
      </c>
      <c r="F19" s="2">
        <f>G19/E19</f>
        <v>20.608763027975865</v>
      </c>
      <c r="G19" s="2">
        <f>SUM(G17:G18)</f>
        <v>1252.3258333333333</v>
      </c>
      <c r="H19" s="2">
        <f>SUM(H17:H18)</f>
        <v>1851.25</v>
      </c>
      <c r="I19" s="14" t="s">
        <v>14</v>
      </c>
      <c r="J19" s="2">
        <f>SUM(J17:J18)</f>
        <v>3641.5677711876033</v>
      </c>
      <c r="K19" s="2">
        <f>SUM(K17:K18)</f>
        <v>5492.8177711876033</v>
      </c>
    </row>
    <row r="20" spans="2:11">
      <c r="B20" s="18" t="s">
        <v>9</v>
      </c>
      <c r="C20" s="16"/>
      <c r="D20" s="16"/>
      <c r="E20" s="16"/>
      <c r="F20" s="16"/>
      <c r="G20" s="16"/>
      <c r="H20" s="16"/>
      <c r="I20" s="16"/>
      <c r="J20" s="16"/>
      <c r="K20" s="17"/>
    </row>
    <row r="21" spans="2:11">
      <c r="B21" s="12" t="s">
        <v>7</v>
      </c>
      <c r="C21" s="2">
        <f>C15</f>
        <v>18.350000000000001</v>
      </c>
      <c r="D21" s="2" t="s">
        <v>14</v>
      </c>
      <c r="E21" s="2">
        <f>E15</f>
        <v>19.100000000000001</v>
      </c>
      <c r="F21" s="2">
        <f>F15</f>
        <v>9.1750000000000007</v>
      </c>
      <c r="G21" s="2">
        <f>(E21*F21)</f>
        <v>175.24250000000004</v>
      </c>
      <c r="H21" s="2">
        <f>K15</f>
        <v>1070</v>
      </c>
      <c r="I21" s="2">
        <f>F21-$F$23</f>
        <v>-14.464781401804299</v>
      </c>
      <c r="J21" s="2">
        <f>E21*I21^2</f>
        <v>3996.291109137886</v>
      </c>
      <c r="K21" s="2">
        <f>H21+E21*(F21-$F$23)^2</f>
        <v>5066.2911091378865</v>
      </c>
    </row>
    <row r="22" spans="2:11">
      <c r="B22" s="12" t="s">
        <v>8</v>
      </c>
      <c r="C22" s="2">
        <f>C5</f>
        <v>15</v>
      </c>
      <c r="D22" s="2">
        <f>C4/C6</f>
        <v>8.3333333333333339</v>
      </c>
      <c r="E22" s="2">
        <f>C22*D22</f>
        <v>125.00000000000001</v>
      </c>
      <c r="F22" s="2">
        <f>C21+C22/2</f>
        <v>25.85</v>
      </c>
      <c r="G22" s="2">
        <f>(E22*F22)</f>
        <v>3231.2500000000005</v>
      </c>
      <c r="H22" s="2">
        <f>D22*C22^3/12</f>
        <v>2343.7500000000005</v>
      </c>
      <c r="I22" s="2">
        <f>F22-$F$23</f>
        <v>2.2102185981957021</v>
      </c>
      <c r="J22" s="2">
        <f>E22*I22^2</f>
        <v>610.63328147627192</v>
      </c>
      <c r="K22" s="2">
        <f>H22+E22*(F22-$F$23)^2</f>
        <v>2954.3832814762723</v>
      </c>
    </row>
    <row r="23" spans="2:11">
      <c r="B23" s="12" t="s">
        <v>6</v>
      </c>
      <c r="C23" s="2">
        <f>SUM(C21:C22)</f>
        <v>33.35</v>
      </c>
      <c r="D23" s="2" t="s">
        <v>14</v>
      </c>
      <c r="E23" s="2">
        <f>SUM(E21:E22)</f>
        <v>144.10000000000002</v>
      </c>
      <c r="F23" s="2">
        <f>G23/E23</f>
        <v>23.639781401804299</v>
      </c>
      <c r="G23" s="2">
        <f>SUM(G21:G22)</f>
        <v>3406.4925000000003</v>
      </c>
      <c r="H23" s="2">
        <f>SUM(H21:H22)</f>
        <v>3413.7500000000005</v>
      </c>
      <c r="I23" s="14" t="s">
        <v>14</v>
      </c>
      <c r="J23" s="2">
        <f>SUM(J21:J22)</f>
        <v>4606.9243906141583</v>
      </c>
      <c r="K23" s="2">
        <f>SUM(K21:K22)</f>
        <v>8020.6743906141583</v>
      </c>
    </row>
    <row r="24" spans="2:11" ht="35.25">
      <c r="B24" s="12" t="s">
        <v>1</v>
      </c>
      <c r="C24" s="12"/>
      <c r="D24" s="12"/>
      <c r="E24" s="19" t="s">
        <v>34</v>
      </c>
      <c r="F24" s="19" t="s">
        <v>35</v>
      </c>
      <c r="G24" s="19" t="s">
        <v>36</v>
      </c>
      <c r="H24" s="12"/>
      <c r="I24" s="19" t="s">
        <v>37</v>
      </c>
      <c r="J24" s="19" t="s">
        <v>38</v>
      </c>
      <c r="K24" s="19" t="s">
        <v>39</v>
      </c>
    </row>
    <row r="25" spans="2:11">
      <c r="B25" s="12" t="s">
        <v>10</v>
      </c>
      <c r="C25" s="12"/>
      <c r="D25" s="12"/>
      <c r="E25" s="2">
        <f>F15</f>
        <v>9.1750000000000007</v>
      </c>
      <c r="F25" s="2">
        <f>C15-E25</f>
        <v>9.1750000000000007</v>
      </c>
      <c r="G25" s="20" t="s">
        <v>11</v>
      </c>
      <c r="H25" s="12"/>
      <c r="I25" s="20">
        <f>K15/E25</f>
        <v>116.62125340599454</v>
      </c>
      <c r="J25" s="20">
        <f>K15/F25</f>
        <v>116.62125340599454</v>
      </c>
      <c r="K25" s="20" t="s">
        <v>11</v>
      </c>
    </row>
    <row r="26" spans="2:11">
      <c r="B26" s="12" t="s">
        <v>12</v>
      </c>
      <c r="C26" s="12"/>
      <c r="D26" s="12"/>
      <c r="E26" s="2">
        <f>F19</f>
        <v>20.608763027975865</v>
      </c>
      <c r="F26" s="2">
        <f>C15-E26</f>
        <v>-2.2587630279758635</v>
      </c>
      <c r="G26" s="20">
        <f>C19-E26</f>
        <v>12.741236972024137</v>
      </c>
      <c r="H26" s="12"/>
      <c r="I26" s="20">
        <f>K19/E26</f>
        <v>266.52826099903444</v>
      </c>
      <c r="J26" s="20">
        <f>K19/F26</f>
        <v>-2431.7813348086634</v>
      </c>
      <c r="K26" s="20">
        <f>K19/G26</f>
        <v>431.10553419955636</v>
      </c>
    </row>
    <row r="27" spans="2:11">
      <c r="B27" s="12" t="s">
        <v>13</v>
      </c>
      <c r="C27" s="12"/>
      <c r="D27" s="12"/>
      <c r="E27" s="2">
        <f>F23</f>
        <v>23.639781401804299</v>
      </c>
      <c r="F27" s="2">
        <f>C15-E27</f>
        <v>-5.2897814018042979</v>
      </c>
      <c r="G27" s="20">
        <f>C23-E27</f>
        <v>9.7102185981957021</v>
      </c>
      <c r="H27" s="12"/>
      <c r="I27" s="20">
        <f>K23/E27</f>
        <v>339.28716405144013</v>
      </c>
      <c r="J27" s="20">
        <f>K23/F27</f>
        <v>-1516.2581931794718</v>
      </c>
      <c r="K27" s="20">
        <f>K23/G27</f>
        <v>826.00348380462981</v>
      </c>
    </row>
  </sheetData>
  <mergeCells count="4">
    <mergeCell ref="B9:K9"/>
    <mergeCell ref="B11:K11"/>
    <mergeCell ref="B16:K16"/>
    <mergeCell ref="B20:K20"/>
  </mergeCells>
  <dataValidations disablePrompts="1" count="1">
    <dataValidation type="list" allowBlank="1" showInputMessage="1" showErrorMessage="1" sqref="C2">
      <formula1>Sheet2!$B$3:$B$4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B5" sqref="B5"/>
    </sheetView>
  </sheetViews>
  <sheetFormatPr defaultRowHeight="15"/>
  <sheetData>
    <row r="3" spans="2:3">
      <c r="B3" t="s">
        <v>16</v>
      </c>
      <c r="C3">
        <v>1</v>
      </c>
    </row>
    <row r="4" spans="2:3">
      <c r="B4" t="s">
        <v>17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Greenhorne &amp; O'Mara,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David Wyland</dc:creator>
  <cp:lastModifiedBy>Jeremy David Wyland</cp:lastModifiedBy>
  <dcterms:created xsi:type="dcterms:W3CDTF">2012-02-10T15:36:30Z</dcterms:created>
  <dcterms:modified xsi:type="dcterms:W3CDTF">2012-02-13T15:01:13Z</dcterms:modified>
</cp:coreProperties>
</file>