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drawings/drawing5.xml" ContentType="application/vnd.openxmlformats-officedocument.drawing+xml"/>
  <Override PartName="/xl/comments4.xml" ContentType="application/vnd.openxmlformats-officedocument.spreadsheetml.comments+xml"/>
  <Override PartName="/xl/drawings/drawing6.xml" ContentType="application/vnd.openxmlformats-officedocument.drawing+xml"/>
  <Override PartName="/xl/comments5.xml" ContentType="application/vnd.openxmlformats-officedocument.spreadsheetml.comments+xml"/>
  <Override PartName="/xl/drawings/drawing7.xml" ContentType="application/vnd.openxmlformats-officedocument.drawing+xml"/>
  <Override PartName="/xl/comments6.xml" ContentType="application/vnd.openxmlformats-officedocument.spreadsheetml.comments+xml"/>
  <Override PartName="/xl/drawings/drawing8.xml" ContentType="application/vnd.openxmlformats-officedocument.drawing+xml"/>
  <Override PartName="/xl/comments7.xml" ContentType="application/vnd.openxmlformats-officedocument.spreadsheetml.comments+xml"/>
  <Override PartName="/xl/drawings/drawing9.xml" ContentType="application/vnd.openxmlformats-officedocument.drawing+xml"/>
  <Override PartName="/xl/comments8.xml" ContentType="application/vnd.openxmlformats-officedocument.spreadsheetml.comments+xml"/>
  <Override PartName="/xl/drawings/drawing10.xml" ContentType="application/vnd.openxmlformats-officedocument.drawing+xml"/>
  <Override PartName="/xl/comments9.xml" ContentType="application/vnd.openxmlformats-officedocument.spreadsheetml.comments+xml"/>
  <Override PartName="/xl/charts/chart1.xml" ContentType="application/vnd.openxmlformats-officedocument.drawingml.chart+xml"/>
  <Override PartName="/xl/drawings/drawing1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bookViews>
    <workbookView xWindow="840" yWindow="1245" windowWidth="11340" windowHeight="6480" tabRatio="904" activeTab="3"/>
  </bookViews>
  <sheets>
    <sheet name="Doc" sheetId="1" r:id="rId1"/>
    <sheet name="Table XIX" sheetId="2" r:id="rId2"/>
    <sheet name="Table XX" sheetId="3" r:id="rId3"/>
    <sheet name="Table XXI" sheetId="4" r:id="rId4"/>
    <sheet name="Table XXII" sheetId="5" r:id="rId5"/>
    <sheet name="Table XXIII" sheetId="6" r:id="rId6"/>
    <sheet name="Table XXIV" sheetId="7" r:id="rId7"/>
    <sheet name="Table XXV" sheetId="8" r:id="rId8"/>
    <sheet name="Table XXVI" sheetId="9" r:id="rId9"/>
    <sheet name="Weld Group (elastic)" sheetId="21" r:id="rId10"/>
    <sheet name="Weld Data" sheetId="11" r:id="rId11"/>
  </sheets>
  <definedNames>
    <definedName name="_xlnm.Print_Area" localSheetId="0">Doc!$A$1:$J$100</definedName>
    <definedName name="_xlnm.Print_Area" localSheetId="1">'Table XIX'!$A$1:$I$50</definedName>
    <definedName name="_xlnm.Print_Area" localSheetId="2">'Table XX'!$A$1:$I$50</definedName>
    <definedName name="_xlnm.Print_Area" localSheetId="3">'Table XXI'!$A$1:$I$50</definedName>
    <definedName name="_xlnm.Print_Area" localSheetId="4">'Table XXII'!$A$1:$I$50</definedName>
    <definedName name="_xlnm.Print_Area" localSheetId="5">'Table XXIII'!$A$1:$I$50</definedName>
    <definedName name="_xlnm.Print_Area" localSheetId="6">'Table XXIV'!$A$1:$I$50</definedName>
    <definedName name="_xlnm.Print_Area" localSheetId="7">'Table XXV'!$A$1:$I$50</definedName>
    <definedName name="_xlnm.Print_Area" localSheetId="8">'Table XXVI'!$A$1:$I$50</definedName>
    <definedName name="_xlnm.Print_Area" localSheetId="10">'Weld Data'!$A$1:$J$216</definedName>
    <definedName name="_xlnm.Print_Area" localSheetId="9">'Weld Group (elastic)'!$A$1:$I$100</definedName>
  </definedNames>
  <calcPr calcId="145621"/>
</workbook>
</file>

<file path=xl/calcChain.xml><?xml version="1.0" encoding="utf-8"?>
<calcChain xmlns="http://schemas.openxmlformats.org/spreadsheetml/2006/main">
  <c r="N5" i="21" l="1"/>
  <c r="O5" i="21"/>
  <c r="T5" i="21" s="1"/>
  <c r="P5" i="21"/>
  <c r="N6" i="21"/>
  <c r="O6" i="21"/>
  <c r="P6" i="21"/>
  <c r="N7" i="21"/>
  <c r="S7" i="21" s="1"/>
  <c r="O7" i="21"/>
  <c r="T7" i="21" s="1"/>
  <c r="P7" i="21"/>
  <c r="R7" i="21"/>
  <c r="N8" i="21"/>
  <c r="O8" i="21"/>
  <c r="P8" i="21"/>
  <c r="Q8" i="21"/>
  <c r="R8" i="21"/>
  <c r="S8" i="21"/>
  <c r="T8" i="21"/>
  <c r="U8" i="21"/>
  <c r="V8" i="21"/>
  <c r="W8" i="21"/>
  <c r="X8" i="21"/>
  <c r="Y8" i="21"/>
  <c r="Z8" i="21"/>
  <c r="D68" i="21" s="1"/>
  <c r="N9" i="21"/>
  <c r="O9" i="21"/>
  <c r="P9" i="21"/>
  <c r="Q9" i="21"/>
  <c r="R9" i="21"/>
  <c r="S9" i="21"/>
  <c r="T9" i="21"/>
  <c r="U9" i="21"/>
  <c r="V9" i="21"/>
  <c r="W9" i="21"/>
  <c r="X9" i="21"/>
  <c r="Y9" i="21"/>
  <c r="C69" i="21" s="1"/>
  <c r="Z9" i="21"/>
  <c r="D69" i="21" s="1"/>
  <c r="N10" i="21"/>
  <c r="O10" i="21"/>
  <c r="P10" i="21"/>
  <c r="Q10" i="21"/>
  <c r="R10" i="21"/>
  <c r="S10" i="21"/>
  <c r="T10" i="21"/>
  <c r="U10" i="21"/>
  <c r="V10" i="21"/>
  <c r="W10" i="21"/>
  <c r="X10" i="21"/>
  <c r="Y10" i="21"/>
  <c r="C70" i="21" s="1"/>
  <c r="Z10" i="21"/>
  <c r="N11" i="21"/>
  <c r="O11" i="21"/>
  <c r="P11" i="21"/>
  <c r="Q11" i="21"/>
  <c r="R11" i="21"/>
  <c r="S11" i="21"/>
  <c r="T11" i="21"/>
  <c r="U11" i="21"/>
  <c r="V11" i="21"/>
  <c r="W11" i="21"/>
  <c r="X11" i="21"/>
  <c r="Y11" i="21"/>
  <c r="C71" i="21" s="1"/>
  <c r="Z11" i="21"/>
  <c r="D71" i="21" s="1"/>
  <c r="N12" i="21"/>
  <c r="O12" i="21"/>
  <c r="P12" i="21"/>
  <c r="Q12" i="21"/>
  <c r="R12" i="21"/>
  <c r="S12" i="21"/>
  <c r="T12" i="21"/>
  <c r="U12" i="21"/>
  <c r="V12" i="21"/>
  <c r="W12" i="21"/>
  <c r="X12" i="21"/>
  <c r="Y12" i="21"/>
  <c r="Z12" i="21"/>
  <c r="D72" i="21" s="1"/>
  <c r="A13" i="21"/>
  <c r="N13" i="21"/>
  <c r="O13" i="21"/>
  <c r="P13" i="21"/>
  <c r="Q13" i="21"/>
  <c r="R13" i="21"/>
  <c r="S13" i="21"/>
  <c r="T13" i="21"/>
  <c r="U13" i="21"/>
  <c r="V13" i="21"/>
  <c r="W13" i="21"/>
  <c r="X13" i="21"/>
  <c r="Y13" i="21"/>
  <c r="C73" i="21" s="1"/>
  <c r="Z13" i="21"/>
  <c r="D73" i="21" s="1"/>
  <c r="A14" i="21"/>
  <c r="N14" i="21"/>
  <c r="O14" i="21"/>
  <c r="P14" i="21"/>
  <c r="Q14" i="21"/>
  <c r="R14" i="21"/>
  <c r="S14" i="21"/>
  <c r="T14" i="21"/>
  <c r="U14" i="21"/>
  <c r="V14" i="21"/>
  <c r="W14" i="21"/>
  <c r="X14" i="21"/>
  <c r="Y14" i="21"/>
  <c r="C74" i="21" s="1"/>
  <c r="Z14" i="21"/>
  <c r="D74" i="21" s="1"/>
  <c r="A15" i="21"/>
  <c r="N15" i="21"/>
  <c r="O15" i="21"/>
  <c r="P15" i="21"/>
  <c r="Q15" i="21"/>
  <c r="R15" i="21"/>
  <c r="S15" i="21"/>
  <c r="T15" i="21"/>
  <c r="U15" i="21"/>
  <c r="V15" i="21"/>
  <c r="W15" i="21"/>
  <c r="X15" i="21"/>
  <c r="Y15" i="21"/>
  <c r="C75" i="21" s="1"/>
  <c r="Z15" i="21"/>
  <c r="D75" i="21" s="1"/>
  <c r="A16" i="21"/>
  <c r="N16" i="21"/>
  <c r="O16" i="21"/>
  <c r="P16" i="21"/>
  <c r="Q16" i="21"/>
  <c r="R16" i="21"/>
  <c r="S16" i="21"/>
  <c r="T16" i="21"/>
  <c r="U16" i="21"/>
  <c r="V16" i="21"/>
  <c r="W16" i="21"/>
  <c r="X16" i="21"/>
  <c r="Y16" i="21"/>
  <c r="Z16" i="21"/>
  <c r="D76" i="21" s="1"/>
  <c r="A17" i="21"/>
  <c r="N17" i="21"/>
  <c r="O17" i="21"/>
  <c r="P17" i="21"/>
  <c r="Q17" i="21"/>
  <c r="R17" i="21"/>
  <c r="S17" i="21"/>
  <c r="T17" i="21"/>
  <c r="U17" i="21"/>
  <c r="V17" i="21"/>
  <c r="W17" i="21"/>
  <c r="X17" i="21"/>
  <c r="Y17" i="21"/>
  <c r="C77" i="21" s="1"/>
  <c r="Z17" i="21"/>
  <c r="D77" i="21" s="1"/>
  <c r="A18" i="21"/>
  <c r="N18" i="21"/>
  <c r="O18" i="21"/>
  <c r="P18" i="21"/>
  <c r="Q18" i="21"/>
  <c r="R18" i="21"/>
  <c r="S18" i="21"/>
  <c r="T18" i="21"/>
  <c r="U18" i="21"/>
  <c r="V18" i="21"/>
  <c r="W18" i="21"/>
  <c r="X18" i="21"/>
  <c r="Y18" i="21"/>
  <c r="C78" i="21" s="1"/>
  <c r="Z18" i="21"/>
  <c r="D78" i="21" s="1"/>
  <c r="A19" i="21"/>
  <c r="N19" i="21"/>
  <c r="O19" i="21"/>
  <c r="P19" i="21"/>
  <c r="Q19" i="21"/>
  <c r="R19" i="21"/>
  <c r="S19" i="21"/>
  <c r="T19" i="21"/>
  <c r="U19" i="21"/>
  <c r="V19" i="21"/>
  <c r="W19" i="21"/>
  <c r="X19" i="21"/>
  <c r="Y19" i="21"/>
  <c r="C79" i="21" s="1"/>
  <c r="Z19" i="21"/>
  <c r="D79" i="21" s="1"/>
  <c r="A20" i="21"/>
  <c r="N20" i="21"/>
  <c r="O20" i="21"/>
  <c r="P20" i="21"/>
  <c r="Q20" i="21"/>
  <c r="R20" i="21"/>
  <c r="S20" i="21"/>
  <c r="T20" i="21"/>
  <c r="U20" i="21"/>
  <c r="V20" i="21"/>
  <c r="W20" i="21"/>
  <c r="X20" i="21"/>
  <c r="Y20" i="21"/>
  <c r="Z20" i="21"/>
  <c r="D80" i="21" s="1"/>
  <c r="A21" i="21"/>
  <c r="N21" i="21"/>
  <c r="O21" i="21"/>
  <c r="P21" i="21"/>
  <c r="Q21" i="21"/>
  <c r="R21" i="21"/>
  <c r="S21" i="21"/>
  <c r="T21" i="21"/>
  <c r="U21" i="21"/>
  <c r="V21" i="21"/>
  <c r="W21" i="21"/>
  <c r="X21" i="21"/>
  <c r="Y21" i="21"/>
  <c r="C81" i="21" s="1"/>
  <c r="Z21" i="21"/>
  <c r="D81" i="21" s="1"/>
  <c r="A22" i="21"/>
  <c r="N22" i="21"/>
  <c r="O22" i="21"/>
  <c r="P22" i="21"/>
  <c r="Q22" i="21"/>
  <c r="R22" i="21"/>
  <c r="S22" i="21"/>
  <c r="T22" i="21"/>
  <c r="U22" i="21"/>
  <c r="V22" i="21"/>
  <c r="W22" i="21"/>
  <c r="X22" i="21"/>
  <c r="Y22" i="21"/>
  <c r="C82" i="21" s="1"/>
  <c r="Z22" i="21"/>
  <c r="D82" i="21" s="1"/>
  <c r="A23" i="21"/>
  <c r="N23" i="21"/>
  <c r="O23" i="21"/>
  <c r="P23" i="21"/>
  <c r="Q23" i="21"/>
  <c r="R23" i="21"/>
  <c r="S23" i="21"/>
  <c r="T23" i="21"/>
  <c r="U23" i="21"/>
  <c r="V23" i="21"/>
  <c r="W23" i="21"/>
  <c r="X23" i="21"/>
  <c r="Y23" i="21"/>
  <c r="C83" i="21" s="1"/>
  <c r="Z23" i="21"/>
  <c r="D83" i="21" s="1"/>
  <c r="A24" i="21"/>
  <c r="N24" i="21"/>
  <c r="O24" i="21"/>
  <c r="P24" i="21"/>
  <c r="Q24" i="21"/>
  <c r="R24" i="21"/>
  <c r="S24" i="21"/>
  <c r="T24" i="21"/>
  <c r="U24" i="21"/>
  <c r="V24" i="21"/>
  <c r="W24" i="21"/>
  <c r="X24" i="21"/>
  <c r="Y24" i="21"/>
  <c r="C84" i="21" s="1"/>
  <c r="Z24" i="21"/>
  <c r="D84" i="21" s="1"/>
  <c r="A25" i="21"/>
  <c r="N25" i="21"/>
  <c r="O25" i="21"/>
  <c r="P25" i="21"/>
  <c r="Q25" i="21"/>
  <c r="R25" i="21"/>
  <c r="S25" i="21"/>
  <c r="T25" i="21"/>
  <c r="U25" i="21"/>
  <c r="V25" i="21"/>
  <c r="W25" i="21"/>
  <c r="X25" i="21"/>
  <c r="Y25" i="21"/>
  <c r="C85" i="21" s="1"/>
  <c r="Z25" i="21"/>
  <c r="A26" i="21"/>
  <c r="N26" i="21"/>
  <c r="O26" i="21"/>
  <c r="P26" i="21"/>
  <c r="Q26" i="21"/>
  <c r="R26" i="21"/>
  <c r="S26" i="21"/>
  <c r="T26" i="21"/>
  <c r="U26" i="21"/>
  <c r="V26" i="21"/>
  <c r="W26" i="21"/>
  <c r="X26" i="21"/>
  <c r="Y26" i="21"/>
  <c r="C86" i="21" s="1"/>
  <c r="Z26" i="21"/>
  <c r="D86" i="21" s="1"/>
  <c r="A27" i="21"/>
  <c r="N27" i="21"/>
  <c r="O27" i="21"/>
  <c r="P27" i="21"/>
  <c r="Q27" i="21"/>
  <c r="R27" i="21"/>
  <c r="S27" i="21"/>
  <c r="T27" i="21"/>
  <c r="U27" i="21"/>
  <c r="V27" i="21"/>
  <c r="W27" i="21"/>
  <c r="X27" i="21"/>
  <c r="Y27" i="21"/>
  <c r="C87" i="21" s="1"/>
  <c r="Z27" i="21"/>
  <c r="D87" i="21" s="1"/>
  <c r="A28" i="21"/>
  <c r="N28" i="21"/>
  <c r="O28" i="21"/>
  <c r="P28" i="21"/>
  <c r="Q28" i="21"/>
  <c r="R28" i="21"/>
  <c r="S28" i="21"/>
  <c r="T28" i="21"/>
  <c r="U28" i="21"/>
  <c r="V28" i="21"/>
  <c r="W28" i="21"/>
  <c r="X28" i="21"/>
  <c r="Y28" i="21"/>
  <c r="C88" i="21" s="1"/>
  <c r="Z28" i="21"/>
  <c r="D88" i="21" s="1"/>
  <c r="A29" i="21"/>
  <c r="A30" i="21"/>
  <c r="A31" i="21"/>
  <c r="A32" i="21"/>
  <c r="S32" i="21"/>
  <c r="T32" i="21"/>
  <c r="U32" i="21"/>
  <c r="A33" i="21"/>
  <c r="S33" i="21"/>
  <c r="T33" i="21"/>
  <c r="U33" i="21"/>
  <c r="A34" i="21"/>
  <c r="S34" i="21"/>
  <c r="T34" i="21"/>
  <c r="U34" i="21"/>
  <c r="A35" i="21"/>
  <c r="S35" i="21"/>
  <c r="T35" i="21"/>
  <c r="U35" i="21"/>
  <c r="A36" i="21"/>
  <c r="R36" i="21"/>
  <c r="S36" i="21"/>
  <c r="T36" i="21"/>
  <c r="U36" i="21"/>
  <c r="R37" i="21"/>
  <c r="S37" i="21"/>
  <c r="T37" i="21"/>
  <c r="U37" i="21"/>
  <c r="S38" i="21"/>
  <c r="T38" i="21"/>
  <c r="U38" i="21"/>
  <c r="BJ39" i="21"/>
  <c r="S39" i="21"/>
  <c r="T39" i="21"/>
  <c r="U39" i="21"/>
  <c r="C40" i="21"/>
  <c r="D40" i="21"/>
  <c r="E40" i="21"/>
  <c r="F40" i="21"/>
  <c r="BR41" i="21"/>
  <c r="R42" i="21"/>
  <c r="R43" i="21"/>
  <c r="E56" i="21" s="1"/>
  <c r="BK43" i="21"/>
  <c r="BL43" i="21"/>
  <c r="BM43" i="21"/>
  <c r="BN43" i="21"/>
  <c r="R44" i="21"/>
  <c r="BK44" i="21"/>
  <c r="BL44" i="21"/>
  <c r="BM44" i="21"/>
  <c r="BN44" i="21"/>
  <c r="BK45" i="21"/>
  <c r="BL45" i="21"/>
  <c r="BM45" i="21"/>
  <c r="BN45" i="21"/>
  <c r="BK46" i="21"/>
  <c r="BL46" i="21"/>
  <c r="BM46" i="21"/>
  <c r="BN46" i="21"/>
  <c r="BK47" i="21"/>
  <c r="BL47" i="21"/>
  <c r="BM47" i="21"/>
  <c r="BN47" i="21"/>
  <c r="BK48" i="21"/>
  <c r="BL48" i="21"/>
  <c r="BM48" i="21"/>
  <c r="BN48" i="21"/>
  <c r="BK49" i="21"/>
  <c r="BL49" i="21"/>
  <c r="BM49" i="21"/>
  <c r="BN49" i="21"/>
  <c r="BK50" i="21"/>
  <c r="BL50" i="21"/>
  <c r="BM50" i="21"/>
  <c r="BN50" i="21"/>
  <c r="BK51" i="21"/>
  <c r="BL51" i="21"/>
  <c r="BM51" i="21"/>
  <c r="BN51" i="21"/>
  <c r="BK52" i="21"/>
  <c r="BL52" i="21"/>
  <c r="BM52" i="21"/>
  <c r="BN52" i="21"/>
  <c r="BK53" i="21"/>
  <c r="BL53" i="21"/>
  <c r="BM53" i="21"/>
  <c r="BN53" i="21"/>
  <c r="BK54" i="21"/>
  <c r="BL54" i="21"/>
  <c r="BM54" i="21"/>
  <c r="BN54" i="21"/>
  <c r="E55" i="21"/>
  <c r="BK55" i="21"/>
  <c r="BL55" i="21"/>
  <c r="BM55" i="21"/>
  <c r="BN55" i="21"/>
  <c r="BK56" i="21"/>
  <c r="BL56" i="21"/>
  <c r="BM56" i="21"/>
  <c r="BN56" i="21"/>
  <c r="E57" i="21"/>
  <c r="BK57" i="21"/>
  <c r="BL57" i="21"/>
  <c r="BM57" i="21"/>
  <c r="BN57" i="21"/>
  <c r="BK58" i="21"/>
  <c r="BL58" i="21"/>
  <c r="BM58" i="21"/>
  <c r="BN58" i="21"/>
  <c r="BK59" i="21"/>
  <c r="BL59" i="21"/>
  <c r="BM59" i="21"/>
  <c r="BN59" i="21"/>
  <c r="BK60" i="21"/>
  <c r="BL60" i="21"/>
  <c r="BM60" i="21"/>
  <c r="BN60" i="21"/>
  <c r="BK61" i="21"/>
  <c r="BL61" i="21"/>
  <c r="BM61" i="21"/>
  <c r="BN61" i="21"/>
  <c r="BK62" i="21"/>
  <c r="BL62" i="21"/>
  <c r="BM62" i="21"/>
  <c r="BN62" i="21"/>
  <c r="BK63" i="21"/>
  <c r="BL63" i="21"/>
  <c r="BM63" i="21"/>
  <c r="BN63" i="21"/>
  <c r="BK64" i="21"/>
  <c r="BL64" i="21"/>
  <c r="BM64" i="21"/>
  <c r="BN64" i="21"/>
  <c r="B65" i="21"/>
  <c r="BK65" i="21"/>
  <c r="BL65" i="21"/>
  <c r="BM65" i="21"/>
  <c r="BN65" i="21"/>
  <c r="B66" i="21"/>
  <c r="BK66" i="21"/>
  <c r="BL66" i="21"/>
  <c r="BM66" i="21"/>
  <c r="BN66" i="21"/>
  <c r="B67" i="21"/>
  <c r="B68" i="21"/>
  <c r="C68" i="21"/>
  <c r="B69" i="21"/>
  <c r="B70" i="21"/>
  <c r="D70" i="21"/>
  <c r="B71" i="21"/>
  <c r="B72" i="21"/>
  <c r="C72" i="21"/>
  <c r="B73" i="21"/>
  <c r="B74" i="21"/>
  <c r="B75" i="21"/>
  <c r="B76" i="21"/>
  <c r="C76" i="21"/>
  <c r="B77" i="21"/>
  <c r="BJ78" i="21"/>
  <c r="BN90" i="21" s="1"/>
  <c r="BJ81" i="21"/>
  <c r="BS86" i="21" s="1"/>
  <c r="B78" i="21"/>
  <c r="BJ79" i="21"/>
  <c r="B79" i="21"/>
  <c r="BJ80" i="21"/>
  <c r="BK87" i="21" s="1"/>
  <c r="B80" i="21"/>
  <c r="C80" i="21"/>
  <c r="B81" i="21"/>
  <c r="BP81" i="21"/>
  <c r="BR81" i="21"/>
  <c r="B82" i="21"/>
  <c r="B83" i="21"/>
  <c r="W83" i="21"/>
  <c r="X83" i="21"/>
  <c r="Y83" i="21"/>
  <c r="Z83" i="21"/>
  <c r="B84" i="21"/>
  <c r="W84" i="21"/>
  <c r="X84" i="21"/>
  <c r="Y84" i="21"/>
  <c r="Z84" i="21"/>
  <c r="B85" i="21"/>
  <c r="D85" i="21"/>
  <c r="W85" i="21"/>
  <c r="X85" i="21"/>
  <c r="Y85" i="21"/>
  <c r="Z85" i="21"/>
  <c r="BK85" i="21"/>
  <c r="BL85" i="21"/>
  <c r="BN85" i="21"/>
  <c r="B86" i="21"/>
  <c r="W86" i="21"/>
  <c r="X86" i="21"/>
  <c r="Y86" i="21"/>
  <c r="Z86" i="21"/>
  <c r="BK86" i="21"/>
  <c r="BL86" i="21"/>
  <c r="BM86" i="21"/>
  <c r="BN86" i="21"/>
  <c r="BP86" i="21"/>
  <c r="B87" i="21"/>
  <c r="W87" i="21"/>
  <c r="X87" i="21"/>
  <c r="Y87" i="21"/>
  <c r="Z87" i="21"/>
  <c r="BL87" i="21"/>
  <c r="BM87" i="21"/>
  <c r="BN87" i="21"/>
  <c r="B88" i="21"/>
  <c r="W88" i="21"/>
  <c r="X88" i="21"/>
  <c r="Y88" i="21"/>
  <c r="Z88" i="21"/>
  <c r="BK88" i="21"/>
  <c r="BN88" i="21"/>
  <c r="D89" i="21"/>
  <c r="W89" i="21"/>
  <c r="X89" i="21"/>
  <c r="Y89" i="21"/>
  <c r="Z89" i="21"/>
  <c r="BM89" i="21"/>
  <c r="BN89" i="21"/>
  <c r="D90" i="21"/>
  <c r="W90" i="21"/>
  <c r="X90" i="21"/>
  <c r="Y90" i="21"/>
  <c r="Z90" i="21"/>
  <c r="BL90" i="21"/>
  <c r="BM90" i="21"/>
  <c r="BL91" i="21"/>
  <c r="BM91" i="21"/>
  <c r="BK92" i="21"/>
  <c r="BL92" i="21"/>
  <c r="BK93" i="21"/>
  <c r="BN93" i="21"/>
  <c r="BK94" i="21"/>
  <c r="BM94" i="21"/>
  <c r="BN94" i="21"/>
  <c r="BM95" i="21"/>
  <c r="BN95" i="21"/>
  <c r="BK96" i="21"/>
  <c r="BL96" i="21"/>
  <c r="BM96" i="21"/>
  <c r="BN96" i="21"/>
  <c r="BJ108" i="21"/>
  <c r="BJ110" i="21"/>
  <c r="BP107" i="21"/>
  <c r="BJ109" i="21"/>
  <c r="BJ111" i="21"/>
  <c r="BS108" i="21"/>
  <c r="BR112" i="21"/>
  <c r="BL115" i="21"/>
  <c r="BN115" i="21"/>
  <c r="BL116" i="21"/>
  <c r="BN116" i="21"/>
  <c r="BL117" i="21"/>
  <c r="BN117" i="21"/>
  <c r="BK118" i="21"/>
  <c r="BL118" i="21"/>
  <c r="BN118" i="21"/>
  <c r="BL119" i="21"/>
  <c r="BM119" i="21"/>
  <c r="BN119" i="21"/>
  <c r="BK120" i="21"/>
  <c r="BL120" i="21"/>
  <c r="BM120" i="21"/>
  <c r="BN120" i="21"/>
  <c r="BL121" i="21"/>
  <c r="BM121" i="21"/>
  <c r="BN121" i="21"/>
  <c r="BK122" i="21"/>
  <c r="BL122" i="21"/>
  <c r="BM122" i="21"/>
  <c r="BN122" i="21"/>
  <c r="BJ134" i="21"/>
  <c r="BJ137" i="21"/>
  <c r="BS142" i="21" s="1"/>
  <c r="BS133" i="21"/>
  <c r="BJ135" i="21"/>
  <c r="BJ136" i="21"/>
  <c r="BR137" i="21"/>
  <c r="BK141" i="21"/>
  <c r="BL141" i="21"/>
  <c r="BM141" i="21"/>
  <c r="BN141" i="21"/>
  <c r="BK142" i="21"/>
  <c r="BL142" i="21"/>
  <c r="BM142" i="21"/>
  <c r="BN142" i="21"/>
  <c r="BQ142" i="21"/>
  <c r="BL143" i="21"/>
  <c r="BM143" i="21"/>
  <c r="BK144" i="21"/>
  <c r="BL144" i="21"/>
  <c r="BM144" i="21"/>
  <c r="BN144" i="21"/>
  <c r="BL145" i="21"/>
  <c r="BM145" i="21"/>
  <c r="BL146" i="21"/>
  <c r="BM146" i="21"/>
  <c r="BK147" i="21"/>
  <c r="BL147" i="21"/>
  <c r="BM147" i="21"/>
  <c r="BN147" i="21"/>
  <c r="BK148" i="21"/>
  <c r="BL148" i="21"/>
  <c r="BM148" i="21"/>
  <c r="BN148" i="21"/>
  <c r="BJ160" i="21"/>
  <c r="BJ161" i="21"/>
  <c r="BJ162" i="21"/>
  <c r="BR161" i="21"/>
  <c r="BK166" i="21"/>
  <c r="BL166" i="21"/>
  <c r="BN166" i="21"/>
  <c r="BS166" i="21"/>
  <c r="BL167" i="21"/>
  <c r="BN167" i="21"/>
  <c r="BM168" i="21"/>
  <c r="BN168" i="21"/>
  <c r="BK169" i="21"/>
  <c r="BL169" i="21"/>
  <c r="BM169" i="21"/>
  <c r="BN169" i="21"/>
  <c r="BM170" i="21"/>
  <c r="BN170" i="21"/>
  <c r="BK171" i="21"/>
  <c r="BL171" i="21"/>
  <c r="BM171" i="21"/>
  <c r="BN171" i="21"/>
  <c r="BJ183" i="21"/>
  <c r="BJ184" i="21"/>
  <c r="BM191" i="21" s="1"/>
  <c r="BQ182" i="21"/>
  <c r="BJ185" i="21"/>
  <c r="BS187" i="21"/>
  <c r="BK189" i="21"/>
  <c r="BN189" i="21"/>
  <c r="BK190" i="21"/>
  <c r="BL190" i="21"/>
  <c r="BN190" i="21"/>
  <c r="BK191" i="21"/>
  <c r="BL191" i="21"/>
  <c r="BK192" i="21"/>
  <c r="BM192" i="21"/>
  <c r="BK193" i="21"/>
  <c r="BL193" i="21"/>
  <c r="BK194" i="21"/>
  <c r="BL194" i="21"/>
  <c r="BN194" i="21"/>
  <c r="BK195" i="21"/>
  <c r="BN195" i="21"/>
  <c r="BK196" i="21"/>
  <c r="BL196" i="21"/>
  <c r="BN196" i="21"/>
  <c r="N4" i="2"/>
  <c r="N3" i="2"/>
  <c r="N6" i="2"/>
  <c r="N12" i="2"/>
  <c r="N11" i="2"/>
  <c r="B37" i="2" s="1"/>
  <c r="N9" i="2"/>
  <c r="H19" i="2"/>
  <c r="G18" i="2"/>
  <c r="N13" i="2"/>
  <c r="B39" i="2" s="1"/>
  <c r="B35" i="2"/>
  <c r="B31" i="2"/>
  <c r="G20" i="2"/>
  <c r="H7" i="2"/>
  <c r="H12" i="2"/>
  <c r="H13" i="2"/>
  <c r="H9" i="2"/>
  <c r="E11" i="2"/>
  <c r="G6" i="2"/>
  <c r="D11" i="2"/>
  <c r="G25" i="2"/>
  <c r="G24" i="2"/>
  <c r="P8" i="2"/>
  <c r="D34" i="2"/>
  <c r="H21" i="2"/>
  <c r="A19" i="2"/>
  <c r="D45" i="2"/>
  <c r="D44" i="2"/>
  <c r="E16" i="2"/>
  <c r="E24" i="2"/>
  <c r="E23" i="2"/>
  <c r="F198" i="2"/>
  <c r="N4" i="3"/>
  <c r="B29" i="3" s="1"/>
  <c r="N3" i="3"/>
  <c r="F16" i="3" s="1"/>
  <c r="N6" i="3"/>
  <c r="B30" i="3" s="1"/>
  <c r="N12" i="3"/>
  <c r="I10" i="3" s="1"/>
  <c r="N11" i="3"/>
  <c r="B35" i="3" s="1"/>
  <c r="N9" i="3"/>
  <c r="B33" i="3"/>
  <c r="G9" i="3"/>
  <c r="D11" i="3"/>
  <c r="H15" i="3"/>
  <c r="A20" i="3"/>
  <c r="A18" i="3"/>
  <c r="F198" i="3"/>
  <c r="N3" i="4"/>
  <c r="N4" i="4"/>
  <c r="N6" i="4"/>
  <c r="G8" i="4" s="1"/>
  <c r="I16" i="4"/>
  <c r="I15" i="4"/>
  <c r="N12" i="4"/>
  <c r="N11" i="4"/>
  <c r="N15" i="4"/>
  <c r="B39" i="4" s="1"/>
  <c r="N9" i="4"/>
  <c r="B33" i="4"/>
  <c r="B30" i="4"/>
  <c r="D11" i="4"/>
  <c r="I12" i="4"/>
  <c r="H9" i="4"/>
  <c r="E13" i="4"/>
  <c r="P18" i="4"/>
  <c r="D43" i="4"/>
  <c r="A20" i="4"/>
  <c r="A18" i="4"/>
  <c r="F198" i="4"/>
  <c r="N4" i="5"/>
  <c r="N3" i="5"/>
  <c r="B28" i="5" s="1"/>
  <c r="N8" i="5"/>
  <c r="E25" i="5"/>
  <c r="N6" i="5"/>
  <c r="Y24" i="5"/>
  <c r="Y23" i="5"/>
  <c r="AA23" i="5" s="1"/>
  <c r="AA24" i="5" s="1"/>
  <c r="Z24" i="5"/>
  <c r="Y45" i="5"/>
  <c r="Y38" i="5"/>
  <c r="N12" i="5"/>
  <c r="N11" i="5"/>
  <c r="N9" i="5"/>
  <c r="N15" i="5"/>
  <c r="B39" i="5" s="1"/>
  <c r="N13" i="5"/>
  <c r="B37" i="5" s="1"/>
  <c r="B35" i="5"/>
  <c r="B33" i="5"/>
  <c r="B29" i="5"/>
  <c r="I16" i="5"/>
  <c r="I15" i="5"/>
  <c r="I12" i="5"/>
  <c r="H9" i="5"/>
  <c r="G16" i="5"/>
  <c r="D11" i="5"/>
  <c r="Y47" i="5"/>
  <c r="Y43" i="5"/>
  <c r="Y41" i="5"/>
  <c r="Y40" i="5"/>
  <c r="Y35" i="5"/>
  <c r="Y34" i="5"/>
  <c r="Y33" i="5"/>
  <c r="Y30" i="5"/>
  <c r="Y29" i="5"/>
  <c r="Y27" i="5"/>
  <c r="P18" i="5"/>
  <c r="O8" i="5"/>
  <c r="E14" i="5"/>
  <c r="A20" i="5"/>
  <c r="D43" i="5"/>
  <c r="D42" i="5"/>
  <c r="A18" i="5"/>
  <c r="F198" i="5"/>
  <c r="N4" i="6"/>
  <c r="N3" i="6"/>
  <c r="N12" i="6"/>
  <c r="D27" i="6"/>
  <c r="N11" i="6"/>
  <c r="N9" i="6"/>
  <c r="B37" i="6"/>
  <c r="B34" i="6"/>
  <c r="G9" i="6"/>
  <c r="I13" i="6"/>
  <c r="H18" i="6"/>
  <c r="F24" i="6"/>
  <c r="D11" i="6"/>
  <c r="A20" i="6"/>
  <c r="A18" i="6"/>
  <c r="D44" i="6"/>
  <c r="D43" i="6"/>
  <c r="P19" i="6"/>
  <c r="P18" i="6"/>
  <c r="H12" i="6"/>
  <c r="F198" i="6"/>
  <c r="H24" i="6"/>
  <c r="H23" i="6"/>
  <c r="N4" i="7"/>
  <c r="B29" i="7" s="1"/>
  <c r="N3" i="7"/>
  <c r="E11" i="7"/>
  <c r="F10" i="7"/>
  <c r="N12" i="7"/>
  <c r="N11" i="7"/>
  <c r="B36" i="7" s="1"/>
  <c r="N9" i="7"/>
  <c r="B34" i="7"/>
  <c r="H16" i="7"/>
  <c r="D15" i="7"/>
  <c r="G23" i="7"/>
  <c r="D11" i="7"/>
  <c r="F18" i="7"/>
  <c r="F14" i="7"/>
  <c r="F17" i="7"/>
  <c r="A20" i="7"/>
  <c r="D43" i="7"/>
  <c r="A18" i="7"/>
  <c r="F198" i="7"/>
  <c r="N4" i="8"/>
  <c r="N3" i="8"/>
  <c r="N13" i="8"/>
  <c r="N15" i="8"/>
  <c r="B39" i="8" s="1"/>
  <c r="N12" i="8"/>
  <c r="N10" i="8"/>
  <c r="B34" i="8" s="1"/>
  <c r="I10" i="8"/>
  <c r="N14" i="8"/>
  <c r="B38" i="8" s="1"/>
  <c r="N16" i="8"/>
  <c r="N17" i="8"/>
  <c r="B41" i="8" s="1"/>
  <c r="N18" i="8"/>
  <c r="B42" i="8" s="1"/>
  <c r="B40" i="8"/>
  <c r="B37" i="8"/>
  <c r="B36" i="8"/>
  <c r="B28" i="8"/>
  <c r="I15" i="8"/>
  <c r="I16" i="8"/>
  <c r="H8" i="8"/>
  <c r="D11" i="8"/>
  <c r="D26" i="8"/>
  <c r="I12" i="8"/>
  <c r="E22" i="8"/>
  <c r="E16" i="8"/>
  <c r="G9" i="8"/>
  <c r="A20" i="8"/>
  <c r="P20" i="8"/>
  <c r="P19" i="8"/>
  <c r="D44" i="8"/>
  <c r="D43" i="8"/>
  <c r="A18" i="8"/>
  <c r="F198" i="8"/>
  <c r="N4" i="9"/>
  <c r="N3" i="9"/>
  <c r="N6" i="9" s="1"/>
  <c r="N5" i="9"/>
  <c r="N7" i="9" s="1"/>
  <c r="N13" i="9"/>
  <c r="N15" i="9"/>
  <c r="B39" i="9"/>
  <c r="N12" i="9"/>
  <c r="N10" i="9"/>
  <c r="N18" i="9"/>
  <c r="B42" i="9"/>
  <c r="N17" i="9"/>
  <c r="B41" i="9"/>
  <c r="N16" i="9"/>
  <c r="B40" i="9"/>
  <c r="N14" i="9"/>
  <c r="B38" i="9"/>
  <c r="B37" i="9"/>
  <c r="B34" i="9"/>
  <c r="B28" i="9"/>
  <c r="B27" i="9"/>
  <c r="E8" i="9"/>
  <c r="D26" i="9"/>
  <c r="F10" i="9"/>
  <c r="D11" i="9"/>
  <c r="D16" i="9"/>
  <c r="D15" i="9"/>
  <c r="F16" i="9"/>
  <c r="F15" i="9"/>
  <c r="D44" i="9"/>
  <c r="D43" i="9"/>
  <c r="P20" i="9"/>
  <c r="P19" i="9"/>
  <c r="F20" i="9"/>
  <c r="F12" i="9"/>
  <c r="F9" i="9"/>
  <c r="A20" i="9"/>
  <c r="A18" i="9"/>
  <c r="F198" i="9"/>
  <c r="N8" i="3" l="1"/>
  <c r="C32" i="3" s="1"/>
  <c r="H12" i="3"/>
  <c r="G10" i="3"/>
  <c r="N7" i="3"/>
  <c r="B31" i="3" s="1"/>
  <c r="S6" i="21"/>
  <c r="T6" i="21"/>
  <c r="N31" i="21"/>
  <c r="B55" i="21" s="1"/>
  <c r="Q6" i="21"/>
  <c r="R5" i="21"/>
  <c r="D27" i="3"/>
  <c r="B36" i="3"/>
  <c r="B28" i="3"/>
  <c r="AA38" i="5"/>
  <c r="AA43" i="5"/>
  <c r="AA37" i="5"/>
  <c r="AA33" i="5"/>
  <c r="AA29" i="5"/>
  <c r="AA48" i="5"/>
  <c r="AA41" i="5"/>
  <c r="Z41" i="5" s="1"/>
  <c r="AA34" i="5"/>
  <c r="Z34" i="5" s="1"/>
  <c r="AA28" i="5"/>
  <c r="AA46" i="5"/>
  <c r="AA47" i="5"/>
  <c r="AA40" i="5"/>
  <c r="AA32" i="5"/>
  <c r="AA27" i="5"/>
  <c r="Z27" i="5" s="1"/>
  <c r="AA25" i="5"/>
  <c r="Z29" i="5"/>
  <c r="AA45" i="5"/>
  <c r="AA42" i="5"/>
  <c r="AA30" i="5"/>
  <c r="Z47" i="5"/>
  <c r="Z33" i="5"/>
  <c r="AA36" i="5"/>
  <c r="AA26" i="5"/>
  <c r="Z26" i="5" s="1"/>
  <c r="AA39" i="5"/>
  <c r="Z38" i="5"/>
  <c r="AA35" i="5"/>
  <c r="Z40" i="5"/>
  <c r="AA44" i="5"/>
  <c r="AA31" i="5"/>
  <c r="Z31" i="5" s="1"/>
  <c r="B36" i="9"/>
  <c r="N8" i="9"/>
  <c r="B31" i="9"/>
  <c r="B30" i="9"/>
  <c r="I13" i="9"/>
  <c r="N5" i="8"/>
  <c r="N6" i="8"/>
  <c r="B27" i="8"/>
  <c r="B37" i="7"/>
  <c r="P19" i="7"/>
  <c r="D44" i="7"/>
  <c r="F12" i="7"/>
  <c r="N5" i="7"/>
  <c r="B28" i="7"/>
  <c r="I15" i="6"/>
  <c r="G11" i="5"/>
  <c r="N7" i="5"/>
  <c r="B30" i="5"/>
  <c r="B28" i="4"/>
  <c r="N7" i="4"/>
  <c r="B29" i="9"/>
  <c r="D27" i="7"/>
  <c r="B28" i="6"/>
  <c r="E18" i="6"/>
  <c r="E14" i="4"/>
  <c r="B35" i="4"/>
  <c r="I16" i="9"/>
  <c r="N9" i="9"/>
  <c r="F22" i="9"/>
  <c r="N9" i="8"/>
  <c r="P18" i="7"/>
  <c r="N8" i="7"/>
  <c r="N14" i="7" s="1"/>
  <c r="B36" i="6"/>
  <c r="N8" i="6"/>
  <c r="B29" i="6"/>
  <c r="N5" i="6"/>
  <c r="N16" i="5"/>
  <c r="B40" i="5" s="1"/>
  <c r="N14" i="5"/>
  <c r="B38" i="5" s="1"/>
  <c r="B36" i="5"/>
  <c r="N17" i="5"/>
  <c r="B41" i="5" s="1"/>
  <c r="D27" i="5"/>
  <c r="I10" i="5"/>
  <c r="P19" i="5"/>
  <c r="N8" i="4"/>
  <c r="F18" i="4"/>
  <c r="N16" i="2"/>
  <c r="B42" i="2" s="1"/>
  <c r="B38" i="2"/>
  <c r="D29" i="2"/>
  <c r="P18" i="2"/>
  <c r="N14" i="2"/>
  <c r="B40" i="2" s="1"/>
  <c r="N17" i="2"/>
  <c r="B43" i="2" s="1"/>
  <c r="N15" i="2"/>
  <c r="B41" i="2" s="1"/>
  <c r="P19" i="2"/>
  <c r="D43" i="3"/>
  <c r="P19" i="3"/>
  <c r="D42" i="3"/>
  <c r="N14" i="3"/>
  <c r="P18" i="3"/>
  <c r="Y48" i="5"/>
  <c r="Y42" i="5"/>
  <c r="Y36" i="5"/>
  <c r="Z36" i="5" s="1"/>
  <c r="Y32" i="5"/>
  <c r="Y28" i="5"/>
  <c r="Z48" i="5"/>
  <c r="Z42" i="5"/>
  <c r="Z32" i="5"/>
  <c r="Z28" i="5"/>
  <c r="C32" i="5"/>
  <c r="B32" i="5"/>
  <c r="N14" i="4"/>
  <c r="B38" i="4" s="1"/>
  <c r="N17" i="4"/>
  <c r="B41" i="4" s="1"/>
  <c r="B36" i="4"/>
  <c r="P19" i="4"/>
  <c r="D42" i="4"/>
  <c r="N13" i="4"/>
  <c r="B37" i="4" s="1"/>
  <c r="I10" i="4"/>
  <c r="D27" i="4"/>
  <c r="E14" i="3"/>
  <c r="B32" i="3"/>
  <c r="N7" i="2"/>
  <c r="B32" i="2"/>
  <c r="Y25" i="5"/>
  <c r="Z25" i="5" s="1"/>
  <c r="Z30" i="5"/>
  <c r="Z35" i="5"/>
  <c r="Z43" i="5"/>
  <c r="Y26" i="5"/>
  <c r="Y31" i="5"/>
  <c r="Y37" i="5"/>
  <c r="Z37" i="5" s="1"/>
  <c r="Y44" i="5"/>
  <c r="Z44" i="5" s="1"/>
  <c r="Z45" i="5"/>
  <c r="Y39" i="5"/>
  <c r="Z39" i="5" s="1"/>
  <c r="Y46" i="5"/>
  <c r="Z46" i="5" s="1"/>
  <c r="B29" i="4"/>
  <c r="N16" i="4"/>
  <c r="B40" i="4" s="1"/>
  <c r="F7" i="2"/>
  <c r="B30" i="2"/>
  <c r="E12" i="2"/>
  <c r="BM166" i="21"/>
  <c r="BK167" i="21"/>
  <c r="BP112" i="21"/>
  <c r="BM115" i="21"/>
  <c r="BM116" i="21"/>
  <c r="BM117" i="21"/>
  <c r="BM118" i="21"/>
  <c r="N8" i="2"/>
  <c r="BR182" i="21"/>
  <c r="BM190" i="21"/>
  <c r="BM194" i="21"/>
  <c r="BS189" i="21"/>
  <c r="BN191" i="21"/>
  <c r="BN192" i="21"/>
  <c r="BN193" i="21"/>
  <c r="BQ166" i="21"/>
  <c r="N35" i="21"/>
  <c r="BL195" i="21"/>
  <c r="BL192" i="21"/>
  <c r="BM189" i="21"/>
  <c r="BM167" i="21"/>
  <c r="BP161" i="21"/>
  <c r="BK168" i="21"/>
  <c r="BK170" i="21"/>
  <c r="BL168" i="21"/>
  <c r="BL170" i="21"/>
  <c r="BP137" i="21"/>
  <c r="BK143" i="21"/>
  <c r="BK145" i="21"/>
  <c r="BK146" i="21"/>
  <c r="BK115" i="21"/>
  <c r="BS77" i="21"/>
  <c r="Q5" i="21"/>
  <c r="BM85" i="21"/>
  <c r="BL95" i="21"/>
  <c r="BL94" i="21"/>
  <c r="BM93" i="21"/>
  <c r="BN92" i="21"/>
  <c r="BK91" i="21"/>
  <c r="BK90" i="21"/>
  <c r="BL89" i="21"/>
  <c r="BM88" i="21"/>
  <c r="Q7" i="21"/>
  <c r="R6" i="21"/>
  <c r="N33" i="21" s="1"/>
  <c r="S5" i="21"/>
  <c r="BM196" i="21"/>
  <c r="BM195" i="21"/>
  <c r="BM193" i="21"/>
  <c r="BN146" i="21"/>
  <c r="BN145" i="21"/>
  <c r="BN143" i="21"/>
  <c r="BK121" i="21"/>
  <c r="BK119" i="21"/>
  <c r="BK117" i="21"/>
  <c r="BK116" i="21"/>
  <c r="BK95" i="21"/>
  <c r="BL93" i="21"/>
  <c r="BM92" i="21"/>
  <c r="BN91" i="21"/>
  <c r="BK89" i="21"/>
  <c r="BL88" i="21"/>
  <c r="O8" i="3" l="1"/>
  <c r="AE24" i="3"/>
  <c r="E25" i="3"/>
  <c r="AD24" i="3"/>
  <c r="AD39" i="3" s="1"/>
  <c r="AE51" i="3"/>
  <c r="E24" i="3"/>
  <c r="AE50" i="3"/>
  <c r="C31" i="3"/>
  <c r="B38" i="3"/>
  <c r="N34" i="21"/>
  <c r="N37" i="21"/>
  <c r="R33" i="21" s="1"/>
  <c r="B39" i="7"/>
  <c r="X7" i="21"/>
  <c r="V7" i="21"/>
  <c r="AC50" i="3"/>
  <c r="AC52" i="3" s="1"/>
  <c r="AE52" i="3" s="1"/>
  <c r="N6" i="7"/>
  <c r="B30" i="7"/>
  <c r="F21" i="7"/>
  <c r="AE51" i="9"/>
  <c r="C32" i="9"/>
  <c r="E24" i="9"/>
  <c r="AE50" i="9"/>
  <c r="B32" i="9"/>
  <c r="N32" i="21"/>
  <c r="N36" i="21" s="1"/>
  <c r="N39" i="21" s="1"/>
  <c r="B59" i="21" s="1"/>
  <c r="E22" i="6"/>
  <c r="D16" i="6"/>
  <c r="B30" i="6"/>
  <c r="N6" i="6"/>
  <c r="B25" i="7"/>
  <c r="B33" i="7"/>
  <c r="C33" i="7"/>
  <c r="AD24" i="7"/>
  <c r="AE24" i="7"/>
  <c r="O8" i="7"/>
  <c r="H21" i="7"/>
  <c r="E24" i="5"/>
  <c r="Z51" i="5"/>
  <c r="C31" i="5"/>
  <c r="Z50" i="5"/>
  <c r="X50" i="5" s="1"/>
  <c r="X52" i="5" s="1"/>
  <c r="Z52" i="5" s="1"/>
  <c r="AA52" i="5" s="1"/>
  <c r="B31" i="5"/>
  <c r="G16" i="8"/>
  <c r="B30" i="8"/>
  <c r="B34" i="2"/>
  <c r="A26" i="2"/>
  <c r="C34" i="2"/>
  <c r="AE24" i="2"/>
  <c r="O8" i="2"/>
  <c r="AD24" i="2"/>
  <c r="A25" i="2"/>
  <c r="B33" i="2"/>
  <c r="C33" i="2"/>
  <c r="AE50" i="2"/>
  <c r="AE51" i="2"/>
  <c r="B32" i="4"/>
  <c r="E25" i="4"/>
  <c r="C32" i="4"/>
  <c r="Y24" i="4"/>
  <c r="Z24" i="4"/>
  <c r="O8" i="4"/>
  <c r="AD24" i="6"/>
  <c r="B33" i="6"/>
  <c r="C33" i="6"/>
  <c r="A25" i="6"/>
  <c r="N14" i="6"/>
  <c r="AE24" i="6"/>
  <c r="O8" i="6"/>
  <c r="G22" i="6"/>
  <c r="E25" i="8"/>
  <c r="C33" i="8"/>
  <c r="B33" i="8"/>
  <c r="G20" i="8"/>
  <c r="AD24" i="8"/>
  <c r="AE24" i="8"/>
  <c r="O9" i="8"/>
  <c r="B33" i="9"/>
  <c r="O9" i="9"/>
  <c r="AE24" i="9"/>
  <c r="C33" i="9"/>
  <c r="E25" i="9"/>
  <c r="AD24" i="9"/>
  <c r="H20" i="9"/>
  <c r="E24" i="4"/>
  <c r="Z51" i="4"/>
  <c r="Z50" i="4"/>
  <c r="X50" i="4" s="1"/>
  <c r="X52" i="4" s="1"/>
  <c r="Z52" i="4" s="1"/>
  <c r="B31" i="4"/>
  <c r="C31" i="4"/>
  <c r="D15" i="8"/>
  <c r="B29" i="8"/>
  <c r="N7" i="8"/>
  <c r="E20" i="8"/>
  <c r="AD33" i="3" l="1"/>
  <c r="AD30" i="3"/>
  <c r="AD35" i="3"/>
  <c r="AD36" i="3"/>
  <c r="AD28" i="3"/>
  <c r="AD27" i="3"/>
  <c r="AD37" i="3"/>
  <c r="AD25" i="3"/>
  <c r="AD40" i="3"/>
  <c r="AD23" i="3"/>
  <c r="AF23" i="3" s="1"/>
  <c r="AF24" i="3" s="1"/>
  <c r="AF48" i="3" s="1"/>
  <c r="AD45" i="3"/>
  <c r="AD29" i="3"/>
  <c r="AD46" i="3"/>
  <c r="AD32" i="3"/>
  <c r="AD38" i="3"/>
  <c r="AD31" i="3"/>
  <c r="AD43" i="3"/>
  <c r="AD44" i="3"/>
  <c r="AD26" i="3"/>
  <c r="AD41" i="3"/>
  <c r="AD48" i="3"/>
  <c r="AD34" i="3"/>
  <c r="AD47" i="3"/>
  <c r="AD42" i="3"/>
  <c r="V5" i="21"/>
  <c r="N38" i="21"/>
  <c r="B58" i="21" s="1"/>
  <c r="X6" i="21"/>
  <c r="B57" i="21"/>
  <c r="X5" i="21"/>
  <c r="V6" i="21"/>
  <c r="AD23" i="9"/>
  <c r="AF23" i="9" s="1"/>
  <c r="AF24" i="9" s="1"/>
  <c r="AD32" i="9"/>
  <c r="AD47" i="9"/>
  <c r="AD43" i="9"/>
  <c r="AD34" i="9"/>
  <c r="AD28" i="9"/>
  <c r="AD31" i="9"/>
  <c r="AD39" i="9"/>
  <c r="AD37" i="9"/>
  <c r="AD48" i="9"/>
  <c r="AD44" i="9"/>
  <c r="AD40" i="9"/>
  <c r="AD29" i="9"/>
  <c r="AD25" i="9"/>
  <c r="AD38" i="9"/>
  <c r="AD36" i="9"/>
  <c r="AD35" i="9"/>
  <c r="AD46" i="9"/>
  <c r="AD42" i="9"/>
  <c r="AD33" i="9"/>
  <c r="AD41" i="9"/>
  <c r="AD30" i="9"/>
  <c r="AD45" i="9"/>
  <c r="AD27" i="9"/>
  <c r="AD26" i="9"/>
  <c r="G10" i="8"/>
  <c r="N8" i="8"/>
  <c r="B31" i="8"/>
  <c r="AD23" i="2"/>
  <c r="AF23" i="2" s="1"/>
  <c r="AF24" i="2" s="1"/>
  <c r="AD35" i="2"/>
  <c r="AD43" i="2"/>
  <c r="AD25" i="2"/>
  <c r="AD30" i="2"/>
  <c r="AD38" i="2"/>
  <c r="AD46" i="2"/>
  <c r="AD37" i="2"/>
  <c r="AD44" i="2"/>
  <c r="AD34" i="2"/>
  <c r="AD48" i="2"/>
  <c r="AD28" i="2"/>
  <c r="AD27" i="2"/>
  <c r="AD42" i="2"/>
  <c r="AD32" i="2"/>
  <c r="AD26" i="2"/>
  <c r="AD41" i="2"/>
  <c r="AD47" i="2"/>
  <c r="AD40" i="2"/>
  <c r="AD33" i="2"/>
  <c r="AD36" i="2"/>
  <c r="AD31" i="2"/>
  <c r="AD29" i="2"/>
  <c r="AD39" i="2"/>
  <c r="AD45" i="2"/>
  <c r="AA50" i="5"/>
  <c r="U6" i="21"/>
  <c r="B56" i="21"/>
  <c r="W5" i="21"/>
  <c r="U7" i="21"/>
  <c r="W6" i="21"/>
  <c r="R32" i="21"/>
  <c r="U5" i="21"/>
  <c r="W7" i="21"/>
  <c r="B39" i="6"/>
  <c r="AD38" i="6"/>
  <c r="AD34" i="6"/>
  <c r="AD41" i="6"/>
  <c r="AD48" i="6"/>
  <c r="AD46" i="6"/>
  <c r="AD27" i="6"/>
  <c r="AD39" i="6"/>
  <c r="AD37" i="6"/>
  <c r="AD35" i="6"/>
  <c r="AD26" i="6"/>
  <c r="AD23" i="6"/>
  <c r="AF23" i="6" s="1"/>
  <c r="AF24" i="6" s="1"/>
  <c r="AD42" i="6"/>
  <c r="AD31" i="6"/>
  <c r="AD30" i="6"/>
  <c r="AD33" i="6"/>
  <c r="AD44" i="6"/>
  <c r="AD47" i="6"/>
  <c r="AD25" i="6"/>
  <c r="AD43" i="6"/>
  <c r="AD36" i="6"/>
  <c r="AD40" i="6"/>
  <c r="AD32" i="6"/>
  <c r="AD29" i="6"/>
  <c r="AD28" i="6"/>
  <c r="AD45" i="6"/>
  <c r="Y46" i="4"/>
  <c r="Y43" i="4"/>
  <c r="Y41" i="4"/>
  <c r="Y34" i="4"/>
  <c r="Y30" i="4"/>
  <c r="Y26" i="4"/>
  <c r="Y45" i="4"/>
  <c r="Y37" i="4"/>
  <c r="Y33" i="4"/>
  <c r="Y29" i="4"/>
  <c r="Y42" i="4"/>
  <c r="Y31" i="4"/>
  <c r="Y25" i="4"/>
  <c r="Y40" i="4"/>
  <c r="Y36" i="4"/>
  <c r="Y28" i="4"/>
  <c r="Y23" i="4"/>
  <c r="AA23" i="4" s="1"/>
  <c r="AA24" i="4" s="1"/>
  <c r="Y39" i="4"/>
  <c r="Y48" i="4"/>
  <c r="Y47" i="4"/>
  <c r="Y32" i="4"/>
  <c r="Y35" i="4"/>
  <c r="Y44" i="4"/>
  <c r="Y27" i="4"/>
  <c r="Y38" i="4"/>
  <c r="AC50" i="2"/>
  <c r="AC52" i="2" s="1"/>
  <c r="AE52" i="2" s="1"/>
  <c r="AA51" i="5"/>
  <c r="N10" i="5" s="1"/>
  <c r="AF43" i="3"/>
  <c r="AF25" i="3"/>
  <c r="F9" i="7"/>
  <c r="B31" i="7"/>
  <c r="N7" i="7"/>
  <c r="AD23" i="8"/>
  <c r="AF23" i="8" s="1"/>
  <c r="AF24" i="8" s="1"/>
  <c r="AD29" i="8"/>
  <c r="AD32" i="8"/>
  <c r="AD43" i="8"/>
  <c r="AD26" i="8"/>
  <c r="AD48" i="8"/>
  <c r="AD42" i="8"/>
  <c r="AD35" i="8"/>
  <c r="AD40" i="8"/>
  <c r="AD31" i="8"/>
  <c r="AD37" i="8"/>
  <c r="AD47" i="8"/>
  <c r="AD45" i="8"/>
  <c r="AD33" i="8"/>
  <c r="AD25" i="8"/>
  <c r="AD28" i="8"/>
  <c r="AD38" i="8"/>
  <c r="AD30" i="8"/>
  <c r="AD44" i="8"/>
  <c r="AD46" i="8"/>
  <c r="AD34" i="8"/>
  <c r="AD27" i="8"/>
  <c r="AD36" i="8"/>
  <c r="AD41" i="8"/>
  <c r="AD39" i="8"/>
  <c r="AD44" i="7"/>
  <c r="AD41" i="7"/>
  <c r="AD34" i="7"/>
  <c r="AD38" i="7"/>
  <c r="AD46" i="7"/>
  <c r="AD31" i="7"/>
  <c r="AD27" i="7"/>
  <c r="AD48" i="7"/>
  <c r="AD45" i="7"/>
  <c r="AD36" i="7"/>
  <c r="AD42" i="7"/>
  <c r="AD39" i="7"/>
  <c r="AD47" i="7"/>
  <c r="AD37" i="7"/>
  <c r="AD33" i="7"/>
  <c r="AD35" i="7"/>
  <c r="AD26" i="7"/>
  <c r="AD40" i="7"/>
  <c r="AD29" i="7"/>
  <c r="AD23" i="7"/>
  <c r="AF23" i="7" s="1"/>
  <c r="AF24" i="7" s="1"/>
  <c r="AD43" i="7"/>
  <c r="AD32" i="7"/>
  <c r="AD25" i="7"/>
  <c r="AD30" i="7"/>
  <c r="AD28" i="7"/>
  <c r="N7" i="6"/>
  <c r="G10" i="6"/>
  <c r="B31" i="6"/>
  <c r="AC50" i="9"/>
  <c r="AC52" i="9" s="1"/>
  <c r="AE52" i="9" s="1"/>
  <c r="R38" i="21"/>
  <c r="R34" i="21"/>
  <c r="R45" i="21" s="1"/>
  <c r="AF44" i="3" l="1"/>
  <c r="AE25" i="3"/>
  <c r="AE48" i="3"/>
  <c r="AF36" i="3"/>
  <c r="AE36" i="3" s="1"/>
  <c r="AF29" i="3"/>
  <c r="AE29" i="3" s="1"/>
  <c r="AF35" i="3"/>
  <c r="AE35" i="3" s="1"/>
  <c r="AF28" i="3"/>
  <c r="AE28" i="3" s="1"/>
  <c r="AF41" i="3"/>
  <c r="AE41" i="3" s="1"/>
  <c r="AF31" i="3"/>
  <c r="AE31" i="3" s="1"/>
  <c r="AF45" i="3"/>
  <c r="AE45" i="3" s="1"/>
  <c r="AF42" i="3"/>
  <c r="AE42" i="3" s="1"/>
  <c r="AF38" i="3"/>
  <c r="AE38" i="3" s="1"/>
  <c r="AF32" i="3"/>
  <c r="AE32" i="3" s="1"/>
  <c r="AF33" i="3"/>
  <c r="AE33" i="3" s="1"/>
  <c r="AF27" i="3"/>
  <c r="AE27" i="3" s="1"/>
  <c r="AF34" i="3"/>
  <c r="AF46" i="3"/>
  <c r="AE46" i="3" s="1"/>
  <c r="AF39" i="3"/>
  <c r="AE39" i="3" s="1"/>
  <c r="AF26" i="3"/>
  <c r="AE26" i="3" s="1"/>
  <c r="AF30" i="3"/>
  <c r="AE30" i="3" s="1"/>
  <c r="AF40" i="3"/>
  <c r="AE40" i="3" s="1"/>
  <c r="AF47" i="3"/>
  <c r="AE47" i="3" s="1"/>
  <c r="AF37" i="3"/>
  <c r="AE37" i="3" s="1"/>
  <c r="AE34" i="3"/>
  <c r="AE44" i="3"/>
  <c r="AE43" i="3"/>
  <c r="N40" i="21"/>
  <c r="B60" i="21" s="1"/>
  <c r="AF50" i="3"/>
  <c r="AF52" i="3"/>
  <c r="AF51" i="3" s="1"/>
  <c r="N10" i="3" s="1"/>
  <c r="AE50" i="6"/>
  <c r="A24" i="6"/>
  <c r="B32" i="6"/>
  <c r="AE51" i="6"/>
  <c r="AC50" i="6"/>
  <c r="AC52" i="6" s="1"/>
  <c r="AE52" i="6" s="1"/>
  <c r="C32" i="6"/>
  <c r="B24" i="7"/>
  <c r="AE50" i="7"/>
  <c r="AC50" i="7" s="1"/>
  <c r="AC52" i="7" s="1"/>
  <c r="AE52" i="7" s="1"/>
  <c r="B32" i="7"/>
  <c r="AE51" i="7"/>
  <c r="C32" i="7"/>
  <c r="AA44" i="4"/>
  <c r="Z44" i="4" s="1"/>
  <c r="AA41" i="4"/>
  <c r="Z41" i="4" s="1"/>
  <c r="AA34" i="4"/>
  <c r="Z34" i="4" s="1"/>
  <c r="AA30" i="4"/>
  <c r="Z30" i="4" s="1"/>
  <c r="AA26" i="4"/>
  <c r="Z26" i="4" s="1"/>
  <c r="AA40" i="4"/>
  <c r="Z40" i="4" s="1"/>
  <c r="AA39" i="4"/>
  <c r="Z39" i="4" s="1"/>
  <c r="AA52" i="4" s="1"/>
  <c r="AA51" i="4" s="1"/>
  <c r="N10" i="4" s="1"/>
  <c r="AA46" i="4"/>
  <c r="Z46" i="4" s="1"/>
  <c r="AA43" i="4"/>
  <c r="Z43" i="4" s="1"/>
  <c r="AA37" i="4"/>
  <c r="Z37" i="4" s="1"/>
  <c r="AA33" i="4"/>
  <c r="Z33" i="4" s="1"/>
  <c r="AA29" i="4"/>
  <c r="Z29" i="4" s="1"/>
  <c r="AA25" i="4"/>
  <c r="Z25" i="4" s="1"/>
  <c r="AA48" i="4"/>
  <c r="Z48" i="4" s="1"/>
  <c r="AA42" i="4"/>
  <c r="Z42" i="4" s="1"/>
  <c r="AA31" i="4"/>
  <c r="Z31" i="4" s="1"/>
  <c r="AA38" i="4"/>
  <c r="Z38" i="4" s="1"/>
  <c r="AA50" i="4" s="1"/>
  <c r="AA36" i="4"/>
  <c r="Z36" i="4" s="1"/>
  <c r="AA28" i="4"/>
  <c r="Z28" i="4" s="1"/>
  <c r="AA45" i="4"/>
  <c r="Z45" i="4" s="1"/>
  <c r="AA47" i="4"/>
  <c r="Z47" i="4" s="1"/>
  <c r="AA32" i="4"/>
  <c r="Z32" i="4" s="1"/>
  <c r="AA35" i="4"/>
  <c r="AA27" i="4"/>
  <c r="Z27" i="4" s="1"/>
  <c r="Z35" i="4"/>
  <c r="AF48" i="2"/>
  <c r="AE48" i="2" s="1"/>
  <c r="AF44" i="2"/>
  <c r="AE44" i="2" s="1"/>
  <c r="AF34" i="2"/>
  <c r="AE34" i="2" s="1"/>
  <c r="AF31" i="2"/>
  <c r="AE31" i="2" s="1"/>
  <c r="AF29" i="2"/>
  <c r="AE29" i="2" s="1"/>
  <c r="AF27" i="2"/>
  <c r="AE27" i="2" s="1"/>
  <c r="AF47" i="2"/>
  <c r="AE47" i="2" s="1"/>
  <c r="AF35" i="2"/>
  <c r="AE35" i="2" s="1"/>
  <c r="AF50" i="2" s="1"/>
  <c r="AF43" i="2"/>
  <c r="AE43" i="2" s="1"/>
  <c r="AF32" i="2"/>
  <c r="AE32" i="2" s="1"/>
  <c r="AF25" i="2"/>
  <c r="AE25" i="2" s="1"/>
  <c r="AF26" i="2"/>
  <c r="AE26" i="2" s="1"/>
  <c r="AF41" i="2"/>
  <c r="AE41" i="2" s="1"/>
  <c r="AF36" i="2"/>
  <c r="AE36" i="2" s="1"/>
  <c r="AF39" i="2"/>
  <c r="AE39" i="2" s="1"/>
  <c r="AF45" i="2"/>
  <c r="AE45" i="2" s="1"/>
  <c r="AF33" i="2"/>
  <c r="AE33" i="2" s="1"/>
  <c r="AF30" i="2"/>
  <c r="AE30" i="2" s="1"/>
  <c r="AF42" i="2"/>
  <c r="AE42" i="2" s="1"/>
  <c r="AF28" i="2"/>
  <c r="AE28" i="2" s="1"/>
  <c r="AF38" i="2"/>
  <c r="AE38" i="2" s="1"/>
  <c r="AF46" i="2"/>
  <c r="AE46" i="2" s="1"/>
  <c r="AF37" i="2"/>
  <c r="AE37" i="2" s="1"/>
  <c r="AF40" i="2"/>
  <c r="AE40" i="2" s="1"/>
  <c r="AF31" i="9"/>
  <c r="AE31" i="9" s="1"/>
  <c r="AF50" i="9" s="1"/>
  <c r="AF39" i="9"/>
  <c r="AE39" i="9" s="1"/>
  <c r="AF35" i="9"/>
  <c r="AE35" i="9" s="1"/>
  <c r="AF38" i="9"/>
  <c r="AE38" i="9" s="1"/>
  <c r="AF37" i="9"/>
  <c r="AE37" i="9" s="1"/>
  <c r="AF48" i="9"/>
  <c r="AE48" i="9" s="1"/>
  <c r="AF44" i="9"/>
  <c r="AE44" i="9" s="1"/>
  <c r="AF40" i="9"/>
  <c r="AE40" i="9" s="1"/>
  <c r="AF29" i="9"/>
  <c r="AE29" i="9" s="1"/>
  <c r="AF25" i="9"/>
  <c r="AE25" i="9" s="1"/>
  <c r="AF32" i="9"/>
  <c r="AE32" i="9" s="1"/>
  <c r="AF52" i="9" s="1"/>
  <c r="AF51" i="9" s="1"/>
  <c r="N11" i="9" s="1"/>
  <c r="AF45" i="9"/>
  <c r="AE45" i="9" s="1"/>
  <c r="AF41" i="9"/>
  <c r="AE41" i="9" s="1"/>
  <c r="AF30" i="9"/>
  <c r="AE30" i="9" s="1"/>
  <c r="AF26" i="9"/>
  <c r="AE26" i="9" s="1"/>
  <c r="AF47" i="9"/>
  <c r="AE47" i="9" s="1"/>
  <c r="AF43" i="9"/>
  <c r="AE43" i="9" s="1"/>
  <c r="AF34" i="9"/>
  <c r="AE34" i="9" s="1"/>
  <c r="AF42" i="9"/>
  <c r="AE42" i="9" s="1"/>
  <c r="AF28" i="9"/>
  <c r="AE28" i="9" s="1"/>
  <c r="AF36" i="9"/>
  <c r="AE36" i="9" s="1"/>
  <c r="AF46" i="9"/>
  <c r="AE46" i="9" s="1"/>
  <c r="AF27" i="9"/>
  <c r="AE27" i="9" s="1"/>
  <c r="AF33" i="9"/>
  <c r="AE33" i="9" s="1"/>
  <c r="B34" i="5"/>
  <c r="N19" i="5"/>
  <c r="N18" i="5"/>
  <c r="R35" i="21"/>
  <c r="R46" i="21" s="1"/>
  <c r="E59" i="21" s="1"/>
  <c r="R39" i="21"/>
  <c r="R47" i="21" s="1"/>
  <c r="AF52" i="2"/>
  <c r="AF51" i="2" s="1"/>
  <c r="N10" i="2" s="1"/>
  <c r="C32" i="8"/>
  <c r="AE50" i="8"/>
  <c r="AC50" i="8" s="1"/>
  <c r="AC52" i="8" s="1"/>
  <c r="AE52" i="8" s="1"/>
  <c r="AF52" i="8" s="1"/>
  <c r="E24" i="8"/>
  <c r="AE51" i="8"/>
  <c r="B32" i="8"/>
  <c r="E58" i="21"/>
  <c r="AF45" i="7"/>
  <c r="AE45" i="7" s="1"/>
  <c r="AF36" i="7"/>
  <c r="AE36" i="7" s="1"/>
  <c r="AF50" i="7" s="1"/>
  <c r="AF39" i="7"/>
  <c r="AF47" i="7"/>
  <c r="AE47" i="7" s="1"/>
  <c r="AF32" i="7"/>
  <c r="AF28" i="7"/>
  <c r="AE28" i="7" s="1"/>
  <c r="AF37" i="7"/>
  <c r="AE37" i="7" s="1"/>
  <c r="AF41" i="7"/>
  <c r="AE41" i="7" s="1"/>
  <c r="AF33" i="7"/>
  <c r="AF42" i="7"/>
  <c r="AE42" i="7" s="1"/>
  <c r="AF40" i="7"/>
  <c r="AE40" i="7" s="1"/>
  <c r="AF38" i="7"/>
  <c r="AE38" i="7" s="1"/>
  <c r="AF46" i="7"/>
  <c r="AE46" i="7" s="1"/>
  <c r="AF31" i="7"/>
  <c r="AE31" i="7" s="1"/>
  <c r="AF29" i="7"/>
  <c r="AE29" i="7" s="1"/>
  <c r="AF43" i="7"/>
  <c r="AE43" i="7" s="1"/>
  <c r="AF27" i="7"/>
  <c r="AE27" i="7" s="1"/>
  <c r="AF25" i="7"/>
  <c r="AE25" i="7" s="1"/>
  <c r="AF48" i="7"/>
  <c r="AE48" i="7" s="1"/>
  <c r="AF30" i="7"/>
  <c r="AE30" i="7" s="1"/>
  <c r="AF44" i="7"/>
  <c r="AE44" i="7" s="1"/>
  <c r="AF34" i="7"/>
  <c r="AE34" i="7" s="1"/>
  <c r="AF35" i="7"/>
  <c r="AE35" i="7" s="1"/>
  <c r="AF26" i="7"/>
  <c r="AE26" i="7" s="1"/>
  <c r="AE32" i="7"/>
  <c r="AE39" i="7"/>
  <c r="AE33" i="7"/>
  <c r="AF30" i="8"/>
  <c r="AE30" i="8" s="1"/>
  <c r="AF45" i="8"/>
  <c r="AE45" i="8" s="1"/>
  <c r="AF39" i="8"/>
  <c r="AE39" i="8" s="1"/>
  <c r="AF27" i="8"/>
  <c r="AE27" i="8" s="1"/>
  <c r="AF25" i="8"/>
  <c r="AE25" i="8" s="1"/>
  <c r="AF31" i="8"/>
  <c r="AE31" i="8" s="1"/>
  <c r="AF37" i="8"/>
  <c r="AE37" i="8" s="1"/>
  <c r="AF44" i="8"/>
  <c r="AE44" i="8" s="1"/>
  <c r="AF47" i="8"/>
  <c r="AE47" i="8" s="1"/>
  <c r="AF35" i="8"/>
  <c r="AE35" i="8" s="1"/>
  <c r="AF33" i="8"/>
  <c r="AE33" i="8" s="1"/>
  <c r="AF32" i="8"/>
  <c r="AE32" i="8" s="1"/>
  <c r="AF26" i="8"/>
  <c r="AE26" i="8" s="1"/>
  <c r="AF36" i="8"/>
  <c r="AE36" i="8" s="1"/>
  <c r="AF41" i="8"/>
  <c r="AE41" i="8" s="1"/>
  <c r="AF29" i="8"/>
  <c r="AE29" i="8" s="1"/>
  <c r="AF28" i="8"/>
  <c r="AE28" i="8" s="1"/>
  <c r="AF42" i="8"/>
  <c r="AE42" i="8" s="1"/>
  <c r="AF40" i="8"/>
  <c r="AE40" i="8" s="1"/>
  <c r="AF38" i="8"/>
  <c r="AE38" i="8" s="1"/>
  <c r="AF48" i="8"/>
  <c r="AE48" i="8" s="1"/>
  <c r="AF43" i="8"/>
  <c r="AE43" i="8" s="1"/>
  <c r="AF46" i="8"/>
  <c r="AE46" i="8" s="1"/>
  <c r="AF34" i="8"/>
  <c r="AE34" i="8" s="1"/>
  <c r="AF39" i="6"/>
  <c r="AE39" i="6" s="1"/>
  <c r="AF40" i="6"/>
  <c r="AF35" i="6"/>
  <c r="AE35" i="6" s="1"/>
  <c r="AF31" i="6"/>
  <c r="AE31" i="6" s="1"/>
  <c r="AF33" i="6"/>
  <c r="AE33" i="6" s="1"/>
  <c r="AF28" i="6"/>
  <c r="AE28" i="6" s="1"/>
  <c r="AF47" i="6"/>
  <c r="AE47" i="6" s="1"/>
  <c r="AF43" i="6"/>
  <c r="AE43" i="6" s="1"/>
  <c r="AF42" i="6"/>
  <c r="AE42" i="6" s="1"/>
  <c r="AF29" i="6"/>
  <c r="AE29" i="6" s="1"/>
  <c r="AF46" i="6"/>
  <c r="AE46" i="6" s="1"/>
  <c r="AF44" i="6"/>
  <c r="AE44" i="6" s="1"/>
  <c r="AF38" i="6"/>
  <c r="AE38" i="6" s="1"/>
  <c r="AF36" i="6"/>
  <c r="AE36" i="6" s="1"/>
  <c r="AF50" i="6" s="1"/>
  <c r="AF27" i="6"/>
  <c r="AE27" i="6" s="1"/>
  <c r="AF25" i="6"/>
  <c r="AE25" i="6" s="1"/>
  <c r="AF34" i="6"/>
  <c r="AE34" i="6" s="1"/>
  <c r="AF48" i="6"/>
  <c r="AE48" i="6" s="1"/>
  <c r="AF37" i="6"/>
  <c r="AE37" i="6" s="1"/>
  <c r="AF41" i="6"/>
  <c r="AF32" i="6"/>
  <c r="AE32" i="6" s="1"/>
  <c r="AF30" i="6"/>
  <c r="AE30" i="6" s="1"/>
  <c r="AF45" i="6"/>
  <c r="AF26" i="6"/>
  <c r="AE26" i="6" s="1"/>
  <c r="AE41" i="6"/>
  <c r="AE40" i="6"/>
  <c r="AE45" i="6"/>
  <c r="B34" i="3" l="1"/>
  <c r="N13" i="3"/>
  <c r="E60" i="21"/>
  <c r="Y6" i="21"/>
  <c r="C66" i="21" s="1"/>
  <c r="Z6" i="21"/>
  <c r="D66" i="21" s="1"/>
  <c r="Y7" i="21"/>
  <c r="C67" i="21" s="1"/>
  <c r="AF52" i="7"/>
  <c r="B35" i="9"/>
  <c r="N20" i="9"/>
  <c r="N19" i="9"/>
  <c r="B34" i="4"/>
  <c r="N19" i="4"/>
  <c r="N18" i="4"/>
  <c r="Z5" i="21"/>
  <c r="D65" i="21" s="1"/>
  <c r="Z7" i="21"/>
  <c r="D67" i="21" s="1"/>
  <c r="Y5" i="21"/>
  <c r="D45" i="5"/>
  <c r="AF7" i="5"/>
  <c r="B42" i="5"/>
  <c r="AC7" i="5"/>
  <c r="D46" i="5"/>
  <c r="AF51" i="7"/>
  <c r="N10" i="7" s="1"/>
  <c r="AF50" i="8"/>
  <c r="AF51" i="8" s="1"/>
  <c r="N11" i="8" s="1"/>
  <c r="B36" i="2"/>
  <c r="N18" i="2"/>
  <c r="N19" i="2"/>
  <c r="AF8" i="5"/>
  <c r="D47" i="5"/>
  <c r="B43" i="5"/>
  <c r="AC8" i="5"/>
  <c r="AF52" i="6"/>
  <c r="AF51" i="6" s="1"/>
  <c r="N10" i="6" s="1"/>
  <c r="B37" i="3" l="1"/>
  <c r="N15" i="3"/>
  <c r="N13" i="6"/>
  <c r="B35" i="6"/>
  <c r="N19" i="8"/>
  <c r="B35" i="8"/>
  <c r="N20" i="8"/>
  <c r="D92" i="21"/>
  <c r="C65" i="21"/>
  <c r="AI12" i="9"/>
  <c r="AL7" i="9"/>
  <c r="B43" i="9"/>
  <c r="AI11" i="9"/>
  <c r="D46" i="9"/>
  <c r="AI7" i="9"/>
  <c r="D47" i="9"/>
  <c r="AC11" i="4"/>
  <c r="D45" i="4"/>
  <c r="AC7" i="4"/>
  <c r="D46" i="4"/>
  <c r="B42" i="4"/>
  <c r="AF7" i="4"/>
  <c r="AC12" i="4"/>
  <c r="AL8" i="9"/>
  <c r="B44" i="9"/>
  <c r="AI13" i="9"/>
  <c r="AI8" i="9"/>
  <c r="D48" i="9"/>
  <c r="B45" i="2"/>
  <c r="AK8" i="2"/>
  <c r="D49" i="2"/>
  <c r="AH13" i="2"/>
  <c r="AH8" i="2"/>
  <c r="N13" i="7"/>
  <c r="B35" i="7"/>
  <c r="AC13" i="4"/>
  <c r="B43" i="4"/>
  <c r="AF8" i="4"/>
  <c r="D47" i="4"/>
  <c r="AC8" i="4"/>
  <c r="AH12" i="2"/>
  <c r="D47" i="2"/>
  <c r="AH7" i="2"/>
  <c r="AH11" i="2"/>
  <c r="B44" i="2"/>
  <c r="AK7" i="2"/>
  <c r="D48" i="2"/>
  <c r="B39" i="3" l="1"/>
  <c r="N16" i="3"/>
  <c r="B38" i="7"/>
  <c r="N15" i="7"/>
  <c r="D47" i="8"/>
  <c r="AL7" i="8"/>
  <c r="B43" i="8"/>
  <c r="D46" i="8"/>
  <c r="AI7" i="8"/>
  <c r="AI12" i="8"/>
  <c r="AI11" i="8"/>
  <c r="D93" i="21"/>
  <c r="D94" i="21"/>
  <c r="D48" i="8"/>
  <c r="AI13" i="8"/>
  <c r="AL8" i="8"/>
  <c r="B44" i="8"/>
  <c r="AI8" i="8"/>
  <c r="B38" i="6"/>
  <c r="N15" i="6"/>
  <c r="B40" i="3" l="1"/>
  <c r="N17" i="3"/>
  <c r="N16" i="6"/>
  <c r="B40" i="6"/>
  <c r="B40" i="7"/>
  <c r="N16" i="7"/>
  <c r="B41" i="3" l="1"/>
  <c r="N19" i="3"/>
  <c r="N18" i="3"/>
  <c r="B41" i="7"/>
  <c r="N17" i="7"/>
  <c r="B41" i="6"/>
  <c r="N17" i="6"/>
  <c r="AH12" i="3" l="1"/>
  <c r="D46" i="3"/>
  <c r="AH7" i="3"/>
  <c r="D45" i="3"/>
  <c r="AH11" i="3"/>
  <c r="AK7" i="3"/>
  <c r="B42" i="3"/>
  <c r="AH8" i="3"/>
  <c r="AK8" i="3"/>
  <c r="AH13" i="3"/>
  <c r="D47" i="3"/>
  <c r="B43" i="3"/>
  <c r="B42" i="6"/>
  <c r="N18" i="6"/>
  <c r="N19" i="6"/>
  <c r="N18" i="7"/>
  <c r="B42" i="7"/>
  <c r="N19" i="7"/>
  <c r="AI12" i="7" l="1"/>
  <c r="D46" i="7"/>
  <c r="AI7" i="7"/>
  <c r="AI11" i="7"/>
  <c r="D47" i="7"/>
  <c r="B43" i="7"/>
  <c r="AL7" i="7"/>
  <c r="AL8" i="6"/>
  <c r="D48" i="6"/>
  <c r="AI13" i="6"/>
  <c r="B44" i="6"/>
  <c r="AI8" i="6"/>
  <c r="AI11" i="6"/>
  <c r="AI7" i="6"/>
  <c r="B43" i="6"/>
  <c r="AL7" i="6"/>
  <c r="D47" i="6"/>
  <c r="D46" i="6"/>
  <c r="AI12" i="6"/>
  <c r="B44" i="7"/>
  <c r="D48" i="7"/>
  <c r="AI13" i="7"/>
  <c r="AL8" i="7"/>
  <c r="AI8" i="7"/>
</calcChain>
</file>

<file path=xl/comments1.xml><?xml version="1.0" encoding="utf-8"?>
<comments xmlns="http://schemas.openxmlformats.org/spreadsheetml/2006/main">
  <authors>
    <author>Bob Dalpiaz</author>
    <author>Alex Tomanovich</author>
  </authors>
  <commentList>
    <comment ref="AG1" authorId="0">
      <text>
        <r>
          <rPr>
            <sz val="8"/>
            <color indexed="81"/>
            <rFont val="Tahoma"/>
            <family val="2"/>
          </rPr>
          <t xml:space="preserve">              "</t>
        </r>
        <r>
          <rPr>
            <b/>
            <sz val="8"/>
            <color indexed="81"/>
            <rFont val="Tahoma"/>
            <family val="2"/>
          </rPr>
          <t>WELDGRP.xls</t>
        </r>
        <r>
          <rPr>
            <sz val="8"/>
            <color indexed="81"/>
            <rFont val="Tahoma"/>
            <family val="2"/>
          </rPr>
          <t>"
written by:  Alex Tomanovich, P.E.</t>
        </r>
      </text>
    </comment>
    <comment ref="C11" authorId="1">
      <text>
        <r>
          <rPr>
            <b/>
            <u/>
            <sz val="8"/>
            <color indexed="81"/>
            <rFont val="Tahoma"/>
            <family val="2"/>
          </rPr>
          <t>Note on Fillet Weld Size vs. Connected Material Thickness:</t>
        </r>
        <r>
          <rPr>
            <sz val="8"/>
            <color indexed="81"/>
            <rFont val="Tahoma"/>
            <family val="2"/>
          </rPr>
          <t xml:space="preserve"> 
The minimum connected material (base metal) thickness to develop a given fillet weld size is determined by equating the base metal shear strength to the fillet weld shear strength as follows:
</t>
        </r>
        <r>
          <rPr>
            <b/>
            <sz val="8"/>
            <color indexed="81"/>
            <rFont val="Tahoma"/>
            <family val="2"/>
          </rPr>
          <t>t(min) = (</t>
        </r>
        <r>
          <rPr>
            <b/>
            <sz val="8"/>
            <color indexed="81"/>
            <rFont val="Symbol"/>
            <family val="1"/>
            <charset val="2"/>
          </rPr>
          <t>w</t>
        </r>
        <r>
          <rPr>
            <b/>
            <sz val="8"/>
            <color indexed="81"/>
            <rFont val="Tahoma"/>
            <family val="2"/>
          </rPr>
          <t xml:space="preserve"> *(SQRT(2)/2)*0.30*70*(N))/(0.40*Fy)</t>
        </r>
        <r>
          <rPr>
            <sz val="8"/>
            <color indexed="81"/>
            <rFont val="Tahoma"/>
            <family val="2"/>
          </rPr>
          <t xml:space="preserve">
    where: t(min) = minimum thickness of connected material (in.) 
                </t>
        </r>
        <r>
          <rPr>
            <sz val="8"/>
            <color indexed="81"/>
            <rFont val="Symbol"/>
            <family val="1"/>
            <charset val="2"/>
          </rPr>
          <t>w</t>
        </r>
        <r>
          <rPr>
            <sz val="8"/>
            <color indexed="81"/>
            <rFont val="Tahoma"/>
            <family val="2"/>
          </rPr>
          <t xml:space="preserve"> = fillet weld leg size (in.)
                N = 1 for weld on only one side of material thickness
                N = 2 for weld on both sides of material thickness
                Fy = yield strength of base metal (ksi)
                E70XX weld electrode is assumed above (70 ksi yield)
</t>
        </r>
        <r>
          <rPr>
            <b/>
            <sz val="8"/>
            <color indexed="81"/>
            <rFont val="Tahoma"/>
            <family val="2"/>
          </rPr>
          <t>Case 1 -  For fillet weld on one side of material thickness:</t>
        </r>
        <r>
          <rPr>
            <sz val="8"/>
            <color indexed="81"/>
            <rFont val="Tahoma"/>
            <family val="2"/>
          </rPr>
          <t xml:space="preserve">
t(min) = 1.031*</t>
        </r>
        <r>
          <rPr>
            <sz val="8"/>
            <color indexed="81"/>
            <rFont val="Symbol"/>
            <family val="1"/>
            <charset val="2"/>
          </rPr>
          <t xml:space="preserve">w   </t>
        </r>
        <r>
          <rPr>
            <sz val="8"/>
            <color indexed="81"/>
            <rFont val="Tahoma"/>
            <family val="2"/>
          </rPr>
          <t>(for Fy = 36 ksi material)
t(min) = 0.742*</t>
        </r>
        <r>
          <rPr>
            <sz val="8"/>
            <color indexed="81"/>
            <rFont val="Symbol"/>
            <family val="1"/>
            <charset val="2"/>
          </rPr>
          <t>w</t>
        </r>
        <r>
          <rPr>
            <sz val="8"/>
            <color indexed="81"/>
            <rFont val="Tahoma"/>
            <family val="2"/>
          </rPr>
          <t xml:space="preserve">   (for Fy = 50 ksi material)
</t>
        </r>
        <r>
          <rPr>
            <b/>
            <sz val="8"/>
            <color indexed="81"/>
            <rFont val="Tahoma"/>
            <family val="2"/>
          </rPr>
          <t>Case 2 -  For fillet weld on both sides of material thickness:</t>
        </r>
        <r>
          <rPr>
            <sz val="8"/>
            <color indexed="81"/>
            <rFont val="Tahoma"/>
            <family val="2"/>
          </rPr>
          <t xml:space="preserve">
t(min) = 2.062*</t>
        </r>
        <r>
          <rPr>
            <sz val="8"/>
            <color indexed="81"/>
            <rFont val="Symbol"/>
            <family val="1"/>
            <charset val="2"/>
          </rPr>
          <t>w</t>
        </r>
        <r>
          <rPr>
            <sz val="8"/>
            <color indexed="81"/>
            <rFont val="Tahoma"/>
            <family val="2"/>
          </rPr>
          <t xml:space="preserve">   (for Fy = 36 ksi material)
t(min) = 1.485*</t>
        </r>
        <r>
          <rPr>
            <sz val="8"/>
            <color indexed="81"/>
            <rFont val="Symbol"/>
            <family val="1"/>
            <charset val="2"/>
          </rPr>
          <t>w</t>
        </r>
        <r>
          <rPr>
            <sz val="8"/>
            <color indexed="81"/>
            <rFont val="Tahoma"/>
            <family val="2"/>
          </rPr>
          <t xml:space="preserve">   (for Fy = 50 ksi material)
</t>
        </r>
      </text>
    </comment>
  </commentList>
</comments>
</file>

<file path=xl/comments2.xml><?xml version="1.0" encoding="utf-8"?>
<comments xmlns="http://schemas.openxmlformats.org/spreadsheetml/2006/main">
  <authors>
    <author>Bob Dalpiaz</author>
    <author>Alex Tomanovich</author>
  </authors>
  <commentList>
    <comment ref="AG1" authorId="0">
      <text>
        <r>
          <rPr>
            <sz val="8"/>
            <color indexed="81"/>
            <rFont val="Tahoma"/>
            <family val="2"/>
          </rPr>
          <t xml:space="preserve">              "</t>
        </r>
        <r>
          <rPr>
            <b/>
            <sz val="8"/>
            <color indexed="81"/>
            <rFont val="Tahoma"/>
            <family val="2"/>
          </rPr>
          <t>WELDGRP.xls</t>
        </r>
        <r>
          <rPr>
            <sz val="8"/>
            <color indexed="81"/>
            <rFont val="Tahoma"/>
            <family val="2"/>
          </rPr>
          <t>"
written by:  Alex Tomanovich, P.E.</t>
        </r>
      </text>
    </comment>
    <comment ref="C11" authorId="1">
      <text>
        <r>
          <rPr>
            <b/>
            <u/>
            <sz val="8"/>
            <color indexed="81"/>
            <rFont val="Tahoma"/>
            <family val="2"/>
          </rPr>
          <t>Note on Fillet Weld Size vs. Connected Material Thickness:</t>
        </r>
        <r>
          <rPr>
            <sz val="8"/>
            <color indexed="81"/>
            <rFont val="Tahoma"/>
            <family val="2"/>
          </rPr>
          <t xml:space="preserve"> 
The minimum connected material (base metal) thickness to develop a given fillet weld size is determined by equating the base metal shear strength to the fillet weld shear strength as follows:
</t>
        </r>
        <r>
          <rPr>
            <b/>
            <sz val="8"/>
            <color indexed="81"/>
            <rFont val="Tahoma"/>
            <family val="2"/>
          </rPr>
          <t>t(min) = (</t>
        </r>
        <r>
          <rPr>
            <b/>
            <sz val="8"/>
            <color indexed="81"/>
            <rFont val="Symbol"/>
            <family val="1"/>
            <charset val="2"/>
          </rPr>
          <t>w</t>
        </r>
        <r>
          <rPr>
            <b/>
            <sz val="8"/>
            <color indexed="81"/>
            <rFont val="Tahoma"/>
            <family val="2"/>
          </rPr>
          <t xml:space="preserve"> *(SQRT(2)/2)*0.30*70*(N))/(0.40*Fy)</t>
        </r>
        <r>
          <rPr>
            <sz val="8"/>
            <color indexed="81"/>
            <rFont val="Tahoma"/>
            <family val="2"/>
          </rPr>
          <t xml:space="preserve">
    where: t(min) = minimum thickness of connected material (in.) 
                </t>
        </r>
        <r>
          <rPr>
            <sz val="8"/>
            <color indexed="81"/>
            <rFont val="Symbol"/>
            <family val="1"/>
            <charset val="2"/>
          </rPr>
          <t>w</t>
        </r>
        <r>
          <rPr>
            <sz val="8"/>
            <color indexed="81"/>
            <rFont val="Tahoma"/>
            <family val="2"/>
          </rPr>
          <t xml:space="preserve"> = fillet weld leg size (in.)
                N = 1 for weld on only one side of material thickness
                N = 2 for weld on both sides of material thickness
                Fy = yield strength of base metal (ksi)
                E70XX weld electrode is assumed above (70 ksi yield)
</t>
        </r>
        <r>
          <rPr>
            <b/>
            <sz val="8"/>
            <color indexed="81"/>
            <rFont val="Tahoma"/>
            <family val="2"/>
          </rPr>
          <t>Case 1 -  For fillet weld on one side of material thickness:</t>
        </r>
        <r>
          <rPr>
            <sz val="8"/>
            <color indexed="81"/>
            <rFont val="Tahoma"/>
            <family val="2"/>
          </rPr>
          <t xml:space="preserve">
t(min) = 1.031*</t>
        </r>
        <r>
          <rPr>
            <sz val="8"/>
            <color indexed="81"/>
            <rFont val="Symbol"/>
            <family val="1"/>
            <charset val="2"/>
          </rPr>
          <t xml:space="preserve">w   </t>
        </r>
        <r>
          <rPr>
            <sz val="8"/>
            <color indexed="81"/>
            <rFont val="Tahoma"/>
            <family val="2"/>
          </rPr>
          <t>(for Fy = 36 ksi material)
t(min) = 0.742*</t>
        </r>
        <r>
          <rPr>
            <sz val="8"/>
            <color indexed="81"/>
            <rFont val="Symbol"/>
            <family val="1"/>
            <charset val="2"/>
          </rPr>
          <t>w</t>
        </r>
        <r>
          <rPr>
            <sz val="8"/>
            <color indexed="81"/>
            <rFont val="Tahoma"/>
            <family val="2"/>
          </rPr>
          <t xml:space="preserve">   (for Fy = 50 ksi material)
</t>
        </r>
        <r>
          <rPr>
            <b/>
            <sz val="8"/>
            <color indexed="81"/>
            <rFont val="Tahoma"/>
            <family val="2"/>
          </rPr>
          <t>Case 2 -  For fillet weld on both sides of material thickness:</t>
        </r>
        <r>
          <rPr>
            <sz val="8"/>
            <color indexed="81"/>
            <rFont val="Tahoma"/>
            <family val="2"/>
          </rPr>
          <t xml:space="preserve">
t(min) = 2.062*</t>
        </r>
        <r>
          <rPr>
            <sz val="8"/>
            <color indexed="81"/>
            <rFont val="Symbol"/>
            <family val="1"/>
            <charset val="2"/>
          </rPr>
          <t>w</t>
        </r>
        <r>
          <rPr>
            <sz val="8"/>
            <color indexed="81"/>
            <rFont val="Tahoma"/>
            <family val="2"/>
          </rPr>
          <t xml:space="preserve">   (for Fy = 36 ksi material)
t(min) = 1.485*</t>
        </r>
        <r>
          <rPr>
            <sz val="8"/>
            <color indexed="81"/>
            <rFont val="Symbol"/>
            <family val="1"/>
            <charset val="2"/>
          </rPr>
          <t>w</t>
        </r>
        <r>
          <rPr>
            <sz val="8"/>
            <color indexed="81"/>
            <rFont val="Tahoma"/>
            <family val="2"/>
          </rPr>
          <t xml:space="preserve">   (for Fy = 50 ksi material)
</t>
        </r>
      </text>
    </comment>
  </commentList>
</comments>
</file>

<file path=xl/comments3.xml><?xml version="1.0" encoding="utf-8"?>
<comments xmlns="http://schemas.openxmlformats.org/spreadsheetml/2006/main">
  <authors>
    <author>Bob Dalpiaz</author>
    <author>Alex Tomanovich</author>
  </authors>
  <commentList>
    <comment ref="AB1" authorId="0">
      <text>
        <r>
          <rPr>
            <sz val="8"/>
            <color indexed="81"/>
            <rFont val="Tahoma"/>
            <family val="2"/>
          </rPr>
          <t xml:space="preserve">              "</t>
        </r>
        <r>
          <rPr>
            <b/>
            <sz val="8"/>
            <color indexed="81"/>
            <rFont val="Tahoma"/>
            <family val="2"/>
          </rPr>
          <t>WELDGRP.xls</t>
        </r>
        <r>
          <rPr>
            <sz val="8"/>
            <color indexed="81"/>
            <rFont val="Tahoma"/>
            <family val="2"/>
          </rPr>
          <t>"
written by:  Alex Tomanovich, P.E.</t>
        </r>
      </text>
    </comment>
    <comment ref="C11" authorId="1">
      <text>
        <r>
          <rPr>
            <b/>
            <u/>
            <sz val="8"/>
            <color indexed="81"/>
            <rFont val="Tahoma"/>
            <family val="2"/>
          </rPr>
          <t>Note on Fillet Weld Size vs. Connected Material Thickness:</t>
        </r>
        <r>
          <rPr>
            <sz val="8"/>
            <color indexed="81"/>
            <rFont val="Tahoma"/>
            <family val="2"/>
          </rPr>
          <t xml:space="preserve"> 
The minimum connected material (base metal) thickness to develop a given fillet weld size is determined by equating the base metal shear strength to the fillet weld shear strength as follows:
</t>
        </r>
        <r>
          <rPr>
            <b/>
            <sz val="8"/>
            <color indexed="81"/>
            <rFont val="Tahoma"/>
            <family val="2"/>
          </rPr>
          <t>t(min) = (</t>
        </r>
        <r>
          <rPr>
            <b/>
            <sz val="8"/>
            <color indexed="81"/>
            <rFont val="Symbol"/>
            <family val="1"/>
            <charset val="2"/>
          </rPr>
          <t>w</t>
        </r>
        <r>
          <rPr>
            <b/>
            <sz val="8"/>
            <color indexed="81"/>
            <rFont val="Tahoma"/>
            <family val="2"/>
          </rPr>
          <t xml:space="preserve"> *(SQRT(2)/2)*0.30*70*(N))/(0.40*Fy)</t>
        </r>
        <r>
          <rPr>
            <sz val="8"/>
            <color indexed="81"/>
            <rFont val="Tahoma"/>
            <family val="2"/>
          </rPr>
          <t xml:space="preserve">
    where: t(min) = minimum thickness of connected material (in.) 
                </t>
        </r>
        <r>
          <rPr>
            <sz val="8"/>
            <color indexed="81"/>
            <rFont val="Symbol"/>
            <family val="1"/>
            <charset val="2"/>
          </rPr>
          <t>w</t>
        </r>
        <r>
          <rPr>
            <sz val="8"/>
            <color indexed="81"/>
            <rFont val="Tahoma"/>
            <family val="2"/>
          </rPr>
          <t xml:space="preserve"> = fillet weld leg size (in.)
                N = 1 for weld on only one side of material thickness
                N = 2 for weld on both sides of material thickness
                Fy = yield strength of base metal (ksi)
                E70XX weld electrode is assumed above (70 ksi yield)
</t>
        </r>
        <r>
          <rPr>
            <b/>
            <sz val="8"/>
            <color indexed="81"/>
            <rFont val="Tahoma"/>
            <family val="2"/>
          </rPr>
          <t>Case 1 -  For fillet weld on one side of material thickness:</t>
        </r>
        <r>
          <rPr>
            <sz val="8"/>
            <color indexed="81"/>
            <rFont val="Tahoma"/>
            <family val="2"/>
          </rPr>
          <t xml:space="preserve">
t(min) = 1.031*</t>
        </r>
        <r>
          <rPr>
            <sz val="8"/>
            <color indexed="81"/>
            <rFont val="Symbol"/>
            <family val="1"/>
            <charset val="2"/>
          </rPr>
          <t xml:space="preserve">w   </t>
        </r>
        <r>
          <rPr>
            <sz val="8"/>
            <color indexed="81"/>
            <rFont val="Tahoma"/>
            <family val="2"/>
          </rPr>
          <t>(for Fy = 36 ksi material)
t(min) = 0.742*</t>
        </r>
        <r>
          <rPr>
            <sz val="8"/>
            <color indexed="81"/>
            <rFont val="Symbol"/>
            <family val="1"/>
            <charset val="2"/>
          </rPr>
          <t>w</t>
        </r>
        <r>
          <rPr>
            <sz val="8"/>
            <color indexed="81"/>
            <rFont val="Tahoma"/>
            <family val="2"/>
          </rPr>
          <t xml:space="preserve">   (for Fy = 50 ksi material)
</t>
        </r>
        <r>
          <rPr>
            <b/>
            <sz val="8"/>
            <color indexed="81"/>
            <rFont val="Tahoma"/>
            <family val="2"/>
          </rPr>
          <t>Case 2 -  For fillet weld on both sides of material thickness:</t>
        </r>
        <r>
          <rPr>
            <sz val="8"/>
            <color indexed="81"/>
            <rFont val="Tahoma"/>
            <family val="2"/>
          </rPr>
          <t xml:space="preserve">
t(min) = 2.062*</t>
        </r>
        <r>
          <rPr>
            <sz val="8"/>
            <color indexed="81"/>
            <rFont val="Symbol"/>
            <family val="1"/>
            <charset val="2"/>
          </rPr>
          <t>w</t>
        </r>
        <r>
          <rPr>
            <sz val="8"/>
            <color indexed="81"/>
            <rFont val="Tahoma"/>
            <family val="2"/>
          </rPr>
          <t xml:space="preserve">   (for Fy = 36 ksi material)
t(min) = 1.485*</t>
        </r>
        <r>
          <rPr>
            <sz val="8"/>
            <color indexed="81"/>
            <rFont val="Symbol"/>
            <family val="1"/>
            <charset val="2"/>
          </rPr>
          <t>w</t>
        </r>
        <r>
          <rPr>
            <sz val="8"/>
            <color indexed="81"/>
            <rFont val="Tahoma"/>
            <family val="2"/>
          </rPr>
          <t xml:space="preserve">   (for Fy = 50 ksi material)
</t>
        </r>
      </text>
    </comment>
  </commentList>
</comments>
</file>

<file path=xl/comments4.xml><?xml version="1.0" encoding="utf-8"?>
<comments xmlns="http://schemas.openxmlformats.org/spreadsheetml/2006/main">
  <authors>
    <author>Bob Dalpiaz</author>
    <author>Alex Tomanovich</author>
  </authors>
  <commentList>
    <comment ref="AB1" authorId="0">
      <text>
        <r>
          <rPr>
            <sz val="8"/>
            <color indexed="81"/>
            <rFont val="Tahoma"/>
            <family val="2"/>
          </rPr>
          <t xml:space="preserve">              "</t>
        </r>
        <r>
          <rPr>
            <b/>
            <sz val="8"/>
            <color indexed="81"/>
            <rFont val="Tahoma"/>
            <family val="2"/>
          </rPr>
          <t>WELDGRP.xls</t>
        </r>
        <r>
          <rPr>
            <sz val="8"/>
            <color indexed="81"/>
            <rFont val="Tahoma"/>
            <family val="2"/>
          </rPr>
          <t>"
written by:  Alex Tomanovich, P.E.</t>
        </r>
      </text>
    </comment>
    <comment ref="C11" authorId="1">
      <text>
        <r>
          <rPr>
            <b/>
            <u/>
            <sz val="8"/>
            <color indexed="81"/>
            <rFont val="Tahoma"/>
            <family val="2"/>
          </rPr>
          <t>Note on Fillet Weld Size vs. Connected Material Thickness:</t>
        </r>
        <r>
          <rPr>
            <sz val="8"/>
            <color indexed="81"/>
            <rFont val="Tahoma"/>
            <family val="2"/>
          </rPr>
          <t xml:space="preserve"> 
The minimum connected material (base metal) thickness to develop a given fillet weld size is determined by equating the base metal shear strength to the fillet weld shear strength as follows:
</t>
        </r>
        <r>
          <rPr>
            <b/>
            <sz val="8"/>
            <color indexed="81"/>
            <rFont val="Tahoma"/>
            <family val="2"/>
          </rPr>
          <t>t(min) = (</t>
        </r>
        <r>
          <rPr>
            <b/>
            <sz val="8"/>
            <color indexed="81"/>
            <rFont val="Symbol"/>
            <family val="1"/>
            <charset val="2"/>
          </rPr>
          <t>w</t>
        </r>
        <r>
          <rPr>
            <b/>
            <sz val="8"/>
            <color indexed="81"/>
            <rFont val="Tahoma"/>
            <family val="2"/>
          </rPr>
          <t xml:space="preserve"> *(SQRT(2)/2)*0.30*70*(N))/(0.40*Fy)</t>
        </r>
        <r>
          <rPr>
            <sz val="8"/>
            <color indexed="81"/>
            <rFont val="Tahoma"/>
            <family val="2"/>
          </rPr>
          <t xml:space="preserve">
    where: t(min) = minimum thickness of connected material (in.) 
                </t>
        </r>
        <r>
          <rPr>
            <sz val="8"/>
            <color indexed="81"/>
            <rFont val="Symbol"/>
            <family val="1"/>
            <charset val="2"/>
          </rPr>
          <t>w</t>
        </r>
        <r>
          <rPr>
            <sz val="8"/>
            <color indexed="81"/>
            <rFont val="Tahoma"/>
            <family val="2"/>
          </rPr>
          <t xml:space="preserve"> = fillet weld leg size (in.)
                N = 1 for weld on only one side of material thickness
                N = 2 for weld on both sides of material thickness
                Fy = yield strength of base metal (ksi)
                E70XX weld electrode is assumed above (70 ksi yield)
</t>
        </r>
        <r>
          <rPr>
            <b/>
            <sz val="8"/>
            <color indexed="81"/>
            <rFont val="Tahoma"/>
            <family val="2"/>
          </rPr>
          <t>Case 1 -  For fillet weld on one side of material thickness:</t>
        </r>
        <r>
          <rPr>
            <sz val="8"/>
            <color indexed="81"/>
            <rFont val="Tahoma"/>
            <family val="2"/>
          </rPr>
          <t xml:space="preserve">
t(min) = 1.031*</t>
        </r>
        <r>
          <rPr>
            <sz val="8"/>
            <color indexed="81"/>
            <rFont val="Symbol"/>
            <family val="1"/>
            <charset val="2"/>
          </rPr>
          <t xml:space="preserve">w   </t>
        </r>
        <r>
          <rPr>
            <sz val="8"/>
            <color indexed="81"/>
            <rFont val="Tahoma"/>
            <family val="2"/>
          </rPr>
          <t>(for Fy = 36 ksi material)
t(min) = 0.742*</t>
        </r>
        <r>
          <rPr>
            <sz val="8"/>
            <color indexed="81"/>
            <rFont val="Symbol"/>
            <family val="1"/>
            <charset val="2"/>
          </rPr>
          <t>w</t>
        </r>
        <r>
          <rPr>
            <sz val="8"/>
            <color indexed="81"/>
            <rFont val="Tahoma"/>
            <family val="2"/>
          </rPr>
          <t xml:space="preserve">   (for Fy = 50 ksi material)
</t>
        </r>
        <r>
          <rPr>
            <b/>
            <sz val="8"/>
            <color indexed="81"/>
            <rFont val="Tahoma"/>
            <family val="2"/>
          </rPr>
          <t>Case 2 -  For fillet weld on both sides of material thickness:</t>
        </r>
        <r>
          <rPr>
            <sz val="8"/>
            <color indexed="81"/>
            <rFont val="Tahoma"/>
            <family val="2"/>
          </rPr>
          <t xml:space="preserve">
t(min) = 2.062*</t>
        </r>
        <r>
          <rPr>
            <sz val="8"/>
            <color indexed="81"/>
            <rFont val="Symbol"/>
            <family val="1"/>
            <charset val="2"/>
          </rPr>
          <t>w</t>
        </r>
        <r>
          <rPr>
            <sz val="8"/>
            <color indexed="81"/>
            <rFont val="Tahoma"/>
            <family val="2"/>
          </rPr>
          <t xml:space="preserve">   (for Fy = 36 ksi material)
t(min) = 1.485*</t>
        </r>
        <r>
          <rPr>
            <sz val="8"/>
            <color indexed="81"/>
            <rFont val="Symbol"/>
            <family val="1"/>
            <charset val="2"/>
          </rPr>
          <t>w</t>
        </r>
        <r>
          <rPr>
            <sz val="8"/>
            <color indexed="81"/>
            <rFont val="Tahoma"/>
            <family val="2"/>
          </rPr>
          <t xml:space="preserve">   (for Fy = 50 ksi material)
</t>
        </r>
      </text>
    </comment>
  </commentList>
</comments>
</file>

<file path=xl/comments5.xml><?xml version="1.0" encoding="utf-8"?>
<comments xmlns="http://schemas.openxmlformats.org/spreadsheetml/2006/main">
  <authors>
    <author>Bob Dalpiaz</author>
    <author>Alex Tomanovich</author>
  </authors>
  <commentList>
    <comment ref="AH1" authorId="0">
      <text>
        <r>
          <rPr>
            <sz val="8"/>
            <color indexed="81"/>
            <rFont val="Tahoma"/>
            <family val="2"/>
          </rPr>
          <t xml:space="preserve">              "</t>
        </r>
        <r>
          <rPr>
            <b/>
            <sz val="8"/>
            <color indexed="81"/>
            <rFont val="Tahoma"/>
            <family val="2"/>
          </rPr>
          <t>WELDGRP.xls</t>
        </r>
        <r>
          <rPr>
            <sz val="8"/>
            <color indexed="81"/>
            <rFont val="Tahoma"/>
            <family val="2"/>
          </rPr>
          <t>"
written by:  Alex Tomanovich, P.E.</t>
        </r>
      </text>
    </comment>
    <comment ref="C11" authorId="1">
      <text>
        <r>
          <rPr>
            <b/>
            <u/>
            <sz val="8"/>
            <color indexed="81"/>
            <rFont val="Tahoma"/>
            <family val="2"/>
          </rPr>
          <t>Note on Fillet Weld Size vs. Connected Material Thickness:</t>
        </r>
        <r>
          <rPr>
            <sz val="8"/>
            <color indexed="81"/>
            <rFont val="Tahoma"/>
            <family val="2"/>
          </rPr>
          <t xml:space="preserve"> 
The minimum connected material (base metal) thickness to develop a given fillet weld size is determined by equating the base metal shear strength to the fillet weld shear strength as follows:
</t>
        </r>
        <r>
          <rPr>
            <b/>
            <sz val="8"/>
            <color indexed="81"/>
            <rFont val="Tahoma"/>
            <family val="2"/>
          </rPr>
          <t>t(min) = (</t>
        </r>
        <r>
          <rPr>
            <b/>
            <sz val="8"/>
            <color indexed="81"/>
            <rFont val="Symbol"/>
            <family val="1"/>
            <charset val="2"/>
          </rPr>
          <t>w</t>
        </r>
        <r>
          <rPr>
            <b/>
            <sz val="8"/>
            <color indexed="81"/>
            <rFont val="Tahoma"/>
            <family val="2"/>
          </rPr>
          <t xml:space="preserve"> *(SQRT(2)/2)*0.30*70*(N))/(0.40*Fy)</t>
        </r>
        <r>
          <rPr>
            <sz val="8"/>
            <color indexed="81"/>
            <rFont val="Tahoma"/>
            <family val="2"/>
          </rPr>
          <t xml:space="preserve">
    where: t(min) = minimum thickness of connected material (in.) 
                </t>
        </r>
        <r>
          <rPr>
            <sz val="8"/>
            <color indexed="81"/>
            <rFont val="Symbol"/>
            <family val="1"/>
            <charset val="2"/>
          </rPr>
          <t>w</t>
        </r>
        <r>
          <rPr>
            <sz val="8"/>
            <color indexed="81"/>
            <rFont val="Tahoma"/>
            <family val="2"/>
          </rPr>
          <t xml:space="preserve"> = fillet weld leg size (in.)
                N = 1 for weld on only one side of material thickness
                N = 2 for weld on both sides of material thickness
                Fy = yield strength of base metal (ksi)
                E70XX weld electrode is assumed above (70 ksi yield)
</t>
        </r>
        <r>
          <rPr>
            <b/>
            <sz val="8"/>
            <color indexed="81"/>
            <rFont val="Tahoma"/>
            <family val="2"/>
          </rPr>
          <t>Case 1 -  For fillet weld on one side of material thickness:</t>
        </r>
        <r>
          <rPr>
            <sz val="8"/>
            <color indexed="81"/>
            <rFont val="Tahoma"/>
            <family val="2"/>
          </rPr>
          <t xml:space="preserve">
t(min) = 1.031*</t>
        </r>
        <r>
          <rPr>
            <sz val="8"/>
            <color indexed="81"/>
            <rFont val="Symbol"/>
            <family val="1"/>
            <charset val="2"/>
          </rPr>
          <t xml:space="preserve">w   </t>
        </r>
        <r>
          <rPr>
            <sz val="8"/>
            <color indexed="81"/>
            <rFont val="Tahoma"/>
            <family val="2"/>
          </rPr>
          <t>(for Fy = 36 ksi material)
t(min) = 0.742*</t>
        </r>
        <r>
          <rPr>
            <sz val="8"/>
            <color indexed="81"/>
            <rFont val="Symbol"/>
            <family val="1"/>
            <charset val="2"/>
          </rPr>
          <t>w</t>
        </r>
        <r>
          <rPr>
            <sz val="8"/>
            <color indexed="81"/>
            <rFont val="Tahoma"/>
            <family val="2"/>
          </rPr>
          <t xml:space="preserve">   (for Fy = 50 ksi material)
</t>
        </r>
        <r>
          <rPr>
            <b/>
            <sz val="8"/>
            <color indexed="81"/>
            <rFont val="Tahoma"/>
            <family val="2"/>
          </rPr>
          <t>Case 2 -  For fillet weld on both sides of material thickness:</t>
        </r>
        <r>
          <rPr>
            <sz val="8"/>
            <color indexed="81"/>
            <rFont val="Tahoma"/>
            <family val="2"/>
          </rPr>
          <t xml:space="preserve">
t(min) = 2.062*</t>
        </r>
        <r>
          <rPr>
            <sz val="8"/>
            <color indexed="81"/>
            <rFont val="Symbol"/>
            <family val="1"/>
            <charset val="2"/>
          </rPr>
          <t>w</t>
        </r>
        <r>
          <rPr>
            <sz val="8"/>
            <color indexed="81"/>
            <rFont val="Tahoma"/>
            <family val="2"/>
          </rPr>
          <t xml:space="preserve">   (for Fy = 36 ksi material)
t(min) = 1.485*</t>
        </r>
        <r>
          <rPr>
            <sz val="8"/>
            <color indexed="81"/>
            <rFont val="Symbol"/>
            <family val="1"/>
            <charset val="2"/>
          </rPr>
          <t>w</t>
        </r>
        <r>
          <rPr>
            <sz val="8"/>
            <color indexed="81"/>
            <rFont val="Tahoma"/>
            <family val="2"/>
          </rPr>
          <t xml:space="preserve">   (for Fy = 50 ksi material)
</t>
        </r>
      </text>
    </comment>
  </commentList>
</comments>
</file>

<file path=xl/comments6.xml><?xml version="1.0" encoding="utf-8"?>
<comments xmlns="http://schemas.openxmlformats.org/spreadsheetml/2006/main">
  <authors>
    <author>Bob Dalpiaz</author>
    <author>Alex Tomanovich</author>
  </authors>
  <commentList>
    <comment ref="AH1" authorId="0">
      <text>
        <r>
          <rPr>
            <sz val="8"/>
            <color indexed="81"/>
            <rFont val="Tahoma"/>
            <family val="2"/>
          </rPr>
          <t xml:space="preserve">              "</t>
        </r>
        <r>
          <rPr>
            <b/>
            <sz val="8"/>
            <color indexed="81"/>
            <rFont val="Tahoma"/>
            <family val="2"/>
          </rPr>
          <t>WELDGRP.xls</t>
        </r>
        <r>
          <rPr>
            <sz val="8"/>
            <color indexed="81"/>
            <rFont val="Tahoma"/>
            <family val="2"/>
          </rPr>
          <t>"
written by:  Alex Tomanovich, P.E.</t>
        </r>
      </text>
    </comment>
    <comment ref="C11" authorId="1">
      <text>
        <r>
          <rPr>
            <b/>
            <u/>
            <sz val="8"/>
            <color indexed="81"/>
            <rFont val="Tahoma"/>
            <family val="2"/>
          </rPr>
          <t>Note on Fillet Weld Size vs. Connected Material Thickness:</t>
        </r>
        <r>
          <rPr>
            <sz val="8"/>
            <color indexed="81"/>
            <rFont val="Tahoma"/>
            <family val="2"/>
          </rPr>
          <t xml:space="preserve"> 
The minimum connected material (base metal) thickness to develop a given fillet weld size is determined by equating the base metal shear strength to the fillet weld shear strength as follows:
</t>
        </r>
        <r>
          <rPr>
            <b/>
            <sz val="8"/>
            <color indexed="81"/>
            <rFont val="Tahoma"/>
            <family val="2"/>
          </rPr>
          <t>t(min) = (</t>
        </r>
        <r>
          <rPr>
            <b/>
            <sz val="8"/>
            <color indexed="81"/>
            <rFont val="Symbol"/>
            <family val="1"/>
            <charset val="2"/>
          </rPr>
          <t>w</t>
        </r>
        <r>
          <rPr>
            <b/>
            <sz val="8"/>
            <color indexed="81"/>
            <rFont val="Tahoma"/>
            <family val="2"/>
          </rPr>
          <t xml:space="preserve"> *(SQRT(2)/2)*0.30*70*(N))/(0.40*Fy)</t>
        </r>
        <r>
          <rPr>
            <sz val="8"/>
            <color indexed="81"/>
            <rFont val="Tahoma"/>
            <family val="2"/>
          </rPr>
          <t xml:space="preserve">
    where: t(min) = minimum thickness of connected material (in.) 
                </t>
        </r>
        <r>
          <rPr>
            <sz val="8"/>
            <color indexed="81"/>
            <rFont val="Symbol"/>
            <family val="1"/>
            <charset val="2"/>
          </rPr>
          <t>w</t>
        </r>
        <r>
          <rPr>
            <sz val="8"/>
            <color indexed="81"/>
            <rFont val="Tahoma"/>
            <family val="2"/>
          </rPr>
          <t xml:space="preserve"> = fillet weld leg size (in.)
                N = 1 for weld on only one side of material thickness
                N = 2 for weld on both sides of material thickness
                Fy = yield strength of base metal (ksi)
                E70XX weld electrode is assumed above (70 ksi yield)
</t>
        </r>
        <r>
          <rPr>
            <b/>
            <sz val="8"/>
            <color indexed="81"/>
            <rFont val="Tahoma"/>
            <family val="2"/>
          </rPr>
          <t>Case 1 -  For fillet weld on one side of material thickness:</t>
        </r>
        <r>
          <rPr>
            <sz val="8"/>
            <color indexed="81"/>
            <rFont val="Tahoma"/>
            <family val="2"/>
          </rPr>
          <t xml:space="preserve">
t(min) = 1.031*</t>
        </r>
        <r>
          <rPr>
            <sz val="8"/>
            <color indexed="81"/>
            <rFont val="Symbol"/>
            <family val="1"/>
            <charset val="2"/>
          </rPr>
          <t xml:space="preserve">w   </t>
        </r>
        <r>
          <rPr>
            <sz val="8"/>
            <color indexed="81"/>
            <rFont val="Tahoma"/>
            <family val="2"/>
          </rPr>
          <t>(for Fy = 36 ksi material)
t(min) = 0.742*</t>
        </r>
        <r>
          <rPr>
            <sz val="8"/>
            <color indexed="81"/>
            <rFont val="Symbol"/>
            <family val="1"/>
            <charset val="2"/>
          </rPr>
          <t>w</t>
        </r>
        <r>
          <rPr>
            <sz val="8"/>
            <color indexed="81"/>
            <rFont val="Tahoma"/>
            <family val="2"/>
          </rPr>
          <t xml:space="preserve">   (for Fy = 50 ksi material)
</t>
        </r>
        <r>
          <rPr>
            <b/>
            <sz val="8"/>
            <color indexed="81"/>
            <rFont val="Tahoma"/>
            <family val="2"/>
          </rPr>
          <t>Case 2 -  For fillet weld on both sides of material thickness:</t>
        </r>
        <r>
          <rPr>
            <sz val="8"/>
            <color indexed="81"/>
            <rFont val="Tahoma"/>
            <family val="2"/>
          </rPr>
          <t xml:space="preserve">
t(min) = 2.062*</t>
        </r>
        <r>
          <rPr>
            <sz val="8"/>
            <color indexed="81"/>
            <rFont val="Symbol"/>
            <family val="1"/>
            <charset val="2"/>
          </rPr>
          <t>w</t>
        </r>
        <r>
          <rPr>
            <sz val="8"/>
            <color indexed="81"/>
            <rFont val="Tahoma"/>
            <family val="2"/>
          </rPr>
          <t xml:space="preserve">   (for Fy = 36 ksi material)
t(min) = 1.485*</t>
        </r>
        <r>
          <rPr>
            <sz val="8"/>
            <color indexed="81"/>
            <rFont val="Symbol"/>
            <family val="1"/>
            <charset val="2"/>
          </rPr>
          <t>w</t>
        </r>
        <r>
          <rPr>
            <sz val="8"/>
            <color indexed="81"/>
            <rFont val="Tahoma"/>
            <family val="2"/>
          </rPr>
          <t xml:space="preserve">   (for Fy = 50 ksi material)
</t>
        </r>
      </text>
    </comment>
  </commentList>
</comments>
</file>

<file path=xl/comments7.xml><?xml version="1.0" encoding="utf-8"?>
<comments xmlns="http://schemas.openxmlformats.org/spreadsheetml/2006/main">
  <authors>
    <author>Bob Dalpiaz</author>
    <author>Alex Tomanovich</author>
  </authors>
  <commentList>
    <comment ref="AH1" authorId="0">
      <text>
        <r>
          <rPr>
            <sz val="8"/>
            <color indexed="81"/>
            <rFont val="Tahoma"/>
            <family val="2"/>
          </rPr>
          <t xml:space="preserve">              "</t>
        </r>
        <r>
          <rPr>
            <b/>
            <sz val="8"/>
            <color indexed="81"/>
            <rFont val="Tahoma"/>
            <family val="2"/>
          </rPr>
          <t>WELDGRP.xls</t>
        </r>
        <r>
          <rPr>
            <sz val="8"/>
            <color indexed="81"/>
            <rFont val="Tahoma"/>
            <family val="2"/>
          </rPr>
          <t>"
written by:  Alex Tomanovich, P.E.</t>
        </r>
      </text>
    </comment>
    <comment ref="C11" authorId="1">
      <text>
        <r>
          <rPr>
            <b/>
            <u/>
            <sz val="8"/>
            <color indexed="81"/>
            <rFont val="Tahoma"/>
            <family val="2"/>
          </rPr>
          <t>Note on Fillet Weld Size vs. Connected Material Thickness:</t>
        </r>
        <r>
          <rPr>
            <sz val="8"/>
            <color indexed="81"/>
            <rFont val="Tahoma"/>
            <family val="2"/>
          </rPr>
          <t xml:space="preserve"> 
The minimum connected material (base metal) thickness to develop a given fillet weld size is determined by equating the base metal shear strength to the fillet weld shear strength as follows:
</t>
        </r>
        <r>
          <rPr>
            <b/>
            <sz val="8"/>
            <color indexed="81"/>
            <rFont val="Tahoma"/>
            <family val="2"/>
          </rPr>
          <t>t(min) = (</t>
        </r>
        <r>
          <rPr>
            <b/>
            <sz val="8"/>
            <color indexed="81"/>
            <rFont val="Symbol"/>
            <family val="1"/>
            <charset val="2"/>
          </rPr>
          <t>w</t>
        </r>
        <r>
          <rPr>
            <b/>
            <sz val="8"/>
            <color indexed="81"/>
            <rFont val="Tahoma"/>
            <family val="2"/>
          </rPr>
          <t xml:space="preserve"> *(SQRT(2)/2)*0.30*70*(N))/(0.40*Fy)</t>
        </r>
        <r>
          <rPr>
            <sz val="8"/>
            <color indexed="81"/>
            <rFont val="Tahoma"/>
            <family val="2"/>
          </rPr>
          <t xml:space="preserve">
    where: t(min) = minimum thickness of connected material (in.) 
                </t>
        </r>
        <r>
          <rPr>
            <sz val="8"/>
            <color indexed="81"/>
            <rFont val="Symbol"/>
            <family val="1"/>
            <charset val="2"/>
          </rPr>
          <t>w</t>
        </r>
        <r>
          <rPr>
            <sz val="8"/>
            <color indexed="81"/>
            <rFont val="Tahoma"/>
            <family val="2"/>
          </rPr>
          <t xml:space="preserve"> = fillet weld leg size (in.)
                N = 1 for weld on only one side of material thickness
                N = 2 for weld on both sides of material thickness
                Fy = yield strength of base metal (ksi)
                E70XX weld electrode is assumed above (70 ksi yield)
</t>
        </r>
        <r>
          <rPr>
            <b/>
            <sz val="8"/>
            <color indexed="81"/>
            <rFont val="Tahoma"/>
            <family val="2"/>
          </rPr>
          <t>Case 1 -  For fillet weld on one side of material thickness:</t>
        </r>
        <r>
          <rPr>
            <sz val="8"/>
            <color indexed="81"/>
            <rFont val="Tahoma"/>
            <family val="2"/>
          </rPr>
          <t xml:space="preserve">
t(min) = 1.031*</t>
        </r>
        <r>
          <rPr>
            <sz val="8"/>
            <color indexed="81"/>
            <rFont val="Symbol"/>
            <family val="1"/>
            <charset val="2"/>
          </rPr>
          <t xml:space="preserve">w   </t>
        </r>
        <r>
          <rPr>
            <sz val="8"/>
            <color indexed="81"/>
            <rFont val="Tahoma"/>
            <family val="2"/>
          </rPr>
          <t>(for Fy = 36 ksi material)
t(min) = 0.742*</t>
        </r>
        <r>
          <rPr>
            <sz val="8"/>
            <color indexed="81"/>
            <rFont val="Symbol"/>
            <family val="1"/>
            <charset val="2"/>
          </rPr>
          <t>w</t>
        </r>
        <r>
          <rPr>
            <sz val="8"/>
            <color indexed="81"/>
            <rFont val="Tahoma"/>
            <family val="2"/>
          </rPr>
          <t xml:space="preserve">   (for Fy = 50 ksi material)
</t>
        </r>
        <r>
          <rPr>
            <b/>
            <sz val="8"/>
            <color indexed="81"/>
            <rFont val="Tahoma"/>
            <family val="2"/>
          </rPr>
          <t>Case 2 -  For fillet weld on both sides of material thickness:</t>
        </r>
        <r>
          <rPr>
            <sz val="8"/>
            <color indexed="81"/>
            <rFont val="Tahoma"/>
            <family val="2"/>
          </rPr>
          <t xml:space="preserve">
t(min) = 2.062*</t>
        </r>
        <r>
          <rPr>
            <sz val="8"/>
            <color indexed="81"/>
            <rFont val="Symbol"/>
            <family val="1"/>
            <charset val="2"/>
          </rPr>
          <t>w</t>
        </r>
        <r>
          <rPr>
            <sz val="8"/>
            <color indexed="81"/>
            <rFont val="Tahoma"/>
            <family val="2"/>
          </rPr>
          <t xml:space="preserve">   (for Fy = 36 ksi material)
t(min) = 1.485*</t>
        </r>
        <r>
          <rPr>
            <sz val="8"/>
            <color indexed="81"/>
            <rFont val="Symbol"/>
            <family val="1"/>
            <charset val="2"/>
          </rPr>
          <t>w</t>
        </r>
        <r>
          <rPr>
            <sz val="8"/>
            <color indexed="81"/>
            <rFont val="Tahoma"/>
            <family val="2"/>
          </rPr>
          <t xml:space="preserve">   (for Fy = 50 ksi material)
</t>
        </r>
      </text>
    </comment>
  </commentList>
</comments>
</file>

<file path=xl/comments8.xml><?xml version="1.0" encoding="utf-8"?>
<comments xmlns="http://schemas.openxmlformats.org/spreadsheetml/2006/main">
  <authors>
    <author>Bob Dalpiaz</author>
    <author>Alex Tomanovich</author>
  </authors>
  <commentList>
    <comment ref="AH1" authorId="0">
      <text>
        <r>
          <rPr>
            <sz val="8"/>
            <color indexed="81"/>
            <rFont val="Tahoma"/>
            <family val="2"/>
          </rPr>
          <t xml:space="preserve">              "</t>
        </r>
        <r>
          <rPr>
            <b/>
            <sz val="8"/>
            <color indexed="81"/>
            <rFont val="Tahoma"/>
            <family val="2"/>
          </rPr>
          <t>WELDGRP.xls</t>
        </r>
        <r>
          <rPr>
            <sz val="8"/>
            <color indexed="81"/>
            <rFont val="Tahoma"/>
            <family val="2"/>
          </rPr>
          <t>"
written by:  Alex Tomanovich, P.E.</t>
        </r>
      </text>
    </comment>
    <comment ref="C11" authorId="1">
      <text>
        <r>
          <rPr>
            <b/>
            <u/>
            <sz val="8"/>
            <color indexed="81"/>
            <rFont val="Tahoma"/>
            <family val="2"/>
          </rPr>
          <t>Note on Fillet Weld Size vs. Connected Material Thickness:</t>
        </r>
        <r>
          <rPr>
            <sz val="8"/>
            <color indexed="81"/>
            <rFont val="Tahoma"/>
            <family val="2"/>
          </rPr>
          <t xml:space="preserve"> 
The minimum connected material (base metal) thickness to develop a given fillet weld size is determined by equating the base metal shear strength to the fillet weld shear strength as follows:
</t>
        </r>
        <r>
          <rPr>
            <b/>
            <sz val="8"/>
            <color indexed="81"/>
            <rFont val="Tahoma"/>
            <family val="2"/>
          </rPr>
          <t>t(min) = (</t>
        </r>
        <r>
          <rPr>
            <b/>
            <sz val="8"/>
            <color indexed="81"/>
            <rFont val="Symbol"/>
            <family val="1"/>
            <charset val="2"/>
          </rPr>
          <t>w</t>
        </r>
        <r>
          <rPr>
            <b/>
            <sz val="8"/>
            <color indexed="81"/>
            <rFont val="Tahoma"/>
            <family val="2"/>
          </rPr>
          <t xml:space="preserve"> *(SQRT(2)/2)*0.30*70*(N))/(0.40*Fy)</t>
        </r>
        <r>
          <rPr>
            <sz val="8"/>
            <color indexed="81"/>
            <rFont val="Tahoma"/>
            <family val="2"/>
          </rPr>
          <t xml:space="preserve">
    where: t(min) = minimum thickness of connected material (in.) 
                </t>
        </r>
        <r>
          <rPr>
            <sz val="8"/>
            <color indexed="81"/>
            <rFont val="Symbol"/>
            <family val="1"/>
            <charset val="2"/>
          </rPr>
          <t>w</t>
        </r>
        <r>
          <rPr>
            <sz val="8"/>
            <color indexed="81"/>
            <rFont val="Tahoma"/>
            <family val="2"/>
          </rPr>
          <t xml:space="preserve"> = fillet weld leg size (in.)
                N = 1 for weld on only one side of material thickness
                N = 2 for weld on both sides of material thickness
                Fy = yield strength of base metal (ksi)
                E70XX weld electrode is assumed above (70 ksi yield)
</t>
        </r>
        <r>
          <rPr>
            <b/>
            <sz val="8"/>
            <color indexed="81"/>
            <rFont val="Tahoma"/>
            <family val="2"/>
          </rPr>
          <t>Case 1 -  For fillet weld on one side of material thickness:</t>
        </r>
        <r>
          <rPr>
            <sz val="8"/>
            <color indexed="81"/>
            <rFont val="Tahoma"/>
            <family val="2"/>
          </rPr>
          <t xml:space="preserve">
t(min) = 1.031*</t>
        </r>
        <r>
          <rPr>
            <sz val="8"/>
            <color indexed="81"/>
            <rFont val="Symbol"/>
            <family val="1"/>
            <charset val="2"/>
          </rPr>
          <t xml:space="preserve">w   </t>
        </r>
        <r>
          <rPr>
            <sz val="8"/>
            <color indexed="81"/>
            <rFont val="Tahoma"/>
            <family val="2"/>
          </rPr>
          <t>(for Fy = 36 ksi material)
t(min) = 0.742*</t>
        </r>
        <r>
          <rPr>
            <sz val="8"/>
            <color indexed="81"/>
            <rFont val="Symbol"/>
            <family val="1"/>
            <charset val="2"/>
          </rPr>
          <t>w</t>
        </r>
        <r>
          <rPr>
            <sz val="8"/>
            <color indexed="81"/>
            <rFont val="Tahoma"/>
            <family val="2"/>
          </rPr>
          <t xml:space="preserve">   (for Fy = 50 ksi material)
</t>
        </r>
        <r>
          <rPr>
            <b/>
            <sz val="8"/>
            <color indexed="81"/>
            <rFont val="Tahoma"/>
            <family val="2"/>
          </rPr>
          <t>Case 2 -  For fillet weld on both sides of material thickness:</t>
        </r>
        <r>
          <rPr>
            <sz val="8"/>
            <color indexed="81"/>
            <rFont val="Tahoma"/>
            <family val="2"/>
          </rPr>
          <t xml:space="preserve">
t(min) = 2.062*</t>
        </r>
        <r>
          <rPr>
            <sz val="8"/>
            <color indexed="81"/>
            <rFont val="Symbol"/>
            <family val="1"/>
            <charset val="2"/>
          </rPr>
          <t>w</t>
        </r>
        <r>
          <rPr>
            <sz val="8"/>
            <color indexed="81"/>
            <rFont val="Tahoma"/>
            <family val="2"/>
          </rPr>
          <t xml:space="preserve">   (for Fy = 36 ksi material)
t(min) = 1.485*</t>
        </r>
        <r>
          <rPr>
            <sz val="8"/>
            <color indexed="81"/>
            <rFont val="Symbol"/>
            <family val="1"/>
            <charset val="2"/>
          </rPr>
          <t>w</t>
        </r>
        <r>
          <rPr>
            <sz val="8"/>
            <color indexed="81"/>
            <rFont val="Tahoma"/>
            <family val="2"/>
          </rPr>
          <t xml:space="preserve">   (for Fy = 50 ksi material)
</t>
        </r>
      </text>
    </comment>
  </commentList>
</comments>
</file>

<file path=xl/comments9.xml><?xml version="1.0" encoding="utf-8"?>
<comments xmlns="http://schemas.openxmlformats.org/spreadsheetml/2006/main">
  <authors>
    <author>Bob Dalpiaz</author>
    <author>O'Neal User</author>
    <author xml:space="preserve"> </author>
    <author>ATOMANOV</author>
    <author>4892</author>
  </authors>
  <commentList>
    <comment ref="BH1" authorId="0">
      <text>
        <r>
          <rPr>
            <sz val="8"/>
            <color indexed="81"/>
            <rFont val="Tahoma"/>
            <family val="2"/>
          </rPr>
          <t xml:space="preserve">              "</t>
        </r>
        <r>
          <rPr>
            <b/>
            <sz val="8"/>
            <color indexed="81"/>
            <rFont val="Tahoma"/>
            <family val="2"/>
          </rPr>
          <t>WELDGRP.xls</t>
        </r>
        <r>
          <rPr>
            <sz val="8"/>
            <color indexed="81"/>
            <rFont val="Tahoma"/>
            <family val="2"/>
          </rPr>
          <t>"
written by:  Alex Tomanovich, P.E.</t>
        </r>
      </text>
    </comment>
    <comment ref="BK2" authorId="1">
      <text>
        <r>
          <rPr>
            <sz val="8"/>
            <color indexed="81"/>
            <rFont val="Tahoma"/>
            <family val="2"/>
          </rPr>
          <t>The user may manually adjust the scaling of the plotted weld group by adjusting the "X" and "Y" plot scale factors below.  The object is to try to equalize the maximum X-axis and Y-axis values which are shown.</t>
        </r>
      </text>
    </comment>
    <comment ref="AB3" authorId="2">
      <text>
        <r>
          <rPr>
            <u/>
            <sz val="10"/>
            <color indexed="81"/>
            <rFont val="Arial"/>
            <family val="2"/>
          </rPr>
          <t>Reference:</t>
        </r>
        <r>
          <rPr>
            <sz val="10"/>
            <color indexed="81"/>
            <rFont val="Arial"/>
            <family val="2"/>
          </rPr>
          <t xml:space="preserve">
The shapes contained in this database are taken from the AISC Version 13.0 "Shapes Database" CD-ROM Version (12/2005), as well as those listed in the AISC 13th Edition Manual of Steel Construction (12/2005).</t>
        </r>
      </text>
    </comment>
    <comment ref="AH3" authorId="2">
      <text>
        <r>
          <rPr>
            <u/>
            <sz val="10"/>
            <color indexed="81"/>
            <rFont val="Arial"/>
            <family val="2"/>
          </rPr>
          <t>Reference:</t>
        </r>
        <r>
          <rPr>
            <sz val="10"/>
            <color indexed="81"/>
            <rFont val="Arial"/>
            <family val="2"/>
          </rPr>
          <t xml:space="preserve">
The shapes contained in this database are taken from the AISC Version 13.0 "Shapes Database" CD-ROM Version (12/2005), as well as those listed in the AISC 13th Edition Manual of Steel Construction (12/2005).</t>
        </r>
      </text>
    </comment>
    <comment ref="AN3" authorId="2">
      <text>
        <r>
          <rPr>
            <u/>
            <sz val="10"/>
            <color indexed="81"/>
            <rFont val="Arial"/>
            <family val="2"/>
          </rPr>
          <t>Reference:</t>
        </r>
        <r>
          <rPr>
            <sz val="10"/>
            <color indexed="81"/>
            <rFont val="Arial"/>
            <family val="2"/>
          </rPr>
          <t xml:space="preserve">
The shapes contained in this database are taken from the AISC Version 13.0 "Shapes Database" CD-ROM Version (12/2005), as well as those listed in the AISC 13th Edition Manual of Steel Construction (12/2005).</t>
        </r>
      </text>
    </comment>
    <comment ref="AT3" authorId="2">
      <text>
        <r>
          <rPr>
            <u/>
            <sz val="10"/>
            <color indexed="81"/>
            <rFont val="Arial"/>
            <family val="2"/>
          </rPr>
          <t>Reference:</t>
        </r>
        <r>
          <rPr>
            <sz val="10"/>
            <color indexed="81"/>
            <rFont val="Arial"/>
            <family val="2"/>
          </rPr>
          <t xml:space="preserve">
The shapes contained in this database are taken from the AISC Version 13.0 "Shapes Database" CD-ROM Version (12/2005), as well as those listed in the AISC 13th Edition Manual of Steel Construction (12/2005).</t>
        </r>
      </text>
    </comment>
    <comment ref="AY3" authorId="2">
      <text>
        <r>
          <rPr>
            <u/>
            <sz val="10"/>
            <color indexed="81"/>
            <rFont val="Arial"/>
            <family val="2"/>
          </rPr>
          <t>Reference:</t>
        </r>
        <r>
          <rPr>
            <sz val="10"/>
            <color indexed="81"/>
            <rFont val="Arial"/>
            <family val="2"/>
          </rPr>
          <t xml:space="preserve">
The shapes contained in this database are taken from the AISC Version 13.0 "Shapes Database" CD-ROM Version (12/2005), as well as those listed in the AISC 13th Edition Manual of Steel Construction (12/2005).</t>
        </r>
      </text>
    </comment>
    <comment ref="BE3" authorId="2">
      <text>
        <r>
          <rPr>
            <u/>
            <sz val="10"/>
            <color indexed="81"/>
            <rFont val="Arial"/>
            <family val="2"/>
          </rPr>
          <t>Reference:</t>
        </r>
        <r>
          <rPr>
            <sz val="10"/>
            <color indexed="81"/>
            <rFont val="Arial"/>
            <family val="2"/>
          </rPr>
          <t xml:space="preserve">
The shapes contained in this database are taken from the AISC Version 13.0 "Shapes Database" CD-ROM Version (12/2005), as well as those listed in the AISC 13th Edition Manual of Steel Construction (12/2005).</t>
        </r>
      </text>
    </comment>
    <comment ref="D10" authorId="3">
      <text>
        <r>
          <rPr>
            <sz val="8"/>
            <color indexed="81"/>
            <rFont val="Tahoma"/>
            <family val="2"/>
          </rPr>
          <t xml:space="preserve">All welds must be located in the positive 1st quadrant.  That is, all weld X1, Y1, X2, Y2 coordinate values must be &gt;= 0.
</t>
        </r>
        <r>
          <rPr>
            <b/>
            <sz val="8"/>
            <color indexed="81"/>
            <rFont val="Tahoma"/>
            <family val="2"/>
          </rPr>
          <t>Note: The user should make sure to either clear the contents of all cells that are not used for input of weld coordinates, or those cell values should be input = 0.</t>
        </r>
      </text>
    </comment>
    <comment ref="B12" authorId="3">
      <text>
        <r>
          <rPr>
            <sz val="8"/>
            <color indexed="81"/>
            <rFont val="Tahoma"/>
            <family val="2"/>
          </rPr>
          <t>The 'X1' coordinate is the x-distance from the origin axis to the start of a particular weld line/segment.</t>
        </r>
      </text>
    </comment>
    <comment ref="C12" authorId="3">
      <text>
        <r>
          <rPr>
            <sz val="8"/>
            <color indexed="81"/>
            <rFont val="Tahoma"/>
            <family val="2"/>
          </rPr>
          <t>The 'Y1' coordinate is the y-distance from the origin axis to the start of a particular weld line/segment.</t>
        </r>
      </text>
    </comment>
    <comment ref="D12" authorId="3">
      <text>
        <r>
          <rPr>
            <sz val="8"/>
            <color indexed="81"/>
            <rFont val="Tahoma"/>
            <family val="2"/>
          </rPr>
          <t>The 'X2' coordinate is the x-distance from the origin axis to the end of a particular weld line/segment.</t>
        </r>
      </text>
    </comment>
    <comment ref="E12" authorId="3">
      <text>
        <r>
          <rPr>
            <sz val="8"/>
            <color indexed="81"/>
            <rFont val="Tahoma"/>
            <family val="2"/>
          </rPr>
          <t>The 'Y2' coordinate is the y-distance from the origin axis to the end of a particular weld line/segment.</t>
        </r>
      </text>
    </comment>
    <comment ref="E39" authorId="3">
      <text>
        <r>
          <rPr>
            <sz val="8"/>
            <color indexed="81"/>
            <rFont val="Tahoma"/>
            <family val="2"/>
          </rPr>
          <t xml:space="preserve">All load points must be located in the positive 1st quadrant.  That is, all load point X, Y coordinate values must be &gt;= 0.
</t>
        </r>
        <r>
          <rPr>
            <b/>
            <sz val="8"/>
            <color indexed="81"/>
            <rFont val="Tahoma"/>
            <family val="2"/>
          </rPr>
          <t>Note: The user should make sure to either clear the contents of all cells that are not used for input of load point coordinates, or those cell values should be input = 0.</t>
        </r>
      </text>
    </comment>
    <comment ref="B41" authorId="3">
      <text>
        <r>
          <rPr>
            <sz val="8"/>
            <color indexed="81"/>
            <rFont val="Tahoma"/>
            <family val="2"/>
          </rPr>
          <t>The 'X' coordinate is the x-distance from the origin axis to a particular load point.</t>
        </r>
      </text>
    </comment>
    <comment ref="B42" authorId="3">
      <text>
        <r>
          <rPr>
            <sz val="8"/>
            <color indexed="81"/>
            <rFont val="Tahoma"/>
            <family val="2"/>
          </rPr>
          <t>The 'Y' coordinate is the y-distance from the origin axis to a particular load point.</t>
        </r>
      </text>
    </comment>
    <comment ref="B43" authorId="3">
      <text>
        <r>
          <rPr>
            <sz val="8"/>
            <color indexed="81"/>
            <rFont val="Tahoma"/>
            <family val="2"/>
          </rPr>
          <t>The Z-axis distance, 'Z',  from the point of application of any shear loads (Hx, Hy) to the plane of the bolt group. This 'Z' distance should always be a positive number, but it may be input = 0 if there are no shear loads at that load point.  The 'Z' distance is used in conjunction with the shear loads to obtain any additional moments (Mx, My) that are to be eventually summed with the applied moments.</t>
        </r>
      </text>
    </comment>
    <comment ref="B44" authorId="3">
      <text>
        <r>
          <rPr>
            <sz val="8"/>
            <color indexed="81"/>
            <rFont val="Tahoma"/>
            <family val="2"/>
          </rPr>
          <t>'Pz' is the axial (Z-axis) load to be applied at the load point location.
Sign convention: + = out of page (+Z-axis direction)
                            -  = into page (-Z-axis direction)</t>
        </r>
      </text>
    </comment>
    <comment ref="B45" authorId="3">
      <text>
        <r>
          <rPr>
            <sz val="8"/>
            <color indexed="81"/>
            <rFont val="Tahoma"/>
            <family val="2"/>
          </rPr>
          <t>'Px' is the shear (X-axis) load to be applied at the load point  location.
Sign convention: + = to right (+X-axis direction)</t>
        </r>
      </text>
    </comment>
    <comment ref="B46" authorId="3">
      <text>
        <r>
          <rPr>
            <sz val="8"/>
            <color indexed="81"/>
            <rFont val="Tahoma"/>
            <family val="2"/>
          </rPr>
          <t>'Py' is the shear (Y-axis) load to be applied at the load point  location.
Sign convention: + = up the page (+Y-axis direction)</t>
        </r>
      </text>
    </comment>
    <comment ref="B47" authorId="3">
      <text>
        <r>
          <rPr>
            <sz val="8"/>
            <color indexed="81"/>
            <rFont val="Tahoma"/>
            <family val="2"/>
          </rPr>
          <t>'Mx' is the X-axis moment to be applied at the load point  location.
Sign convention: + = by "Right-Hand-Rule"</t>
        </r>
      </text>
    </comment>
    <comment ref="B48" authorId="3">
      <text>
        <r>
          <rPr>
            <sz val="8"/>
            <color indexed="81"/>
            <rFont val="Tahoma"/>
            <family val="2"/>
          </rPr>
          <t>'My' is the Y-axis moment to be applied at the load point  location.
Sign convention: + = by "Right-Hand-Rule"</t>
        </r>
      </text>
    </comment>
    <comment ref="B49" authorId="3">
      <text>
        <r>
          <rPr>
            <sz val="8"/>
            <color indexed="81"/>
            <rFont val="Tahoma"/>
            <family val="2"/>
          </rPr>
          <t>'Mz' is the Z-axis moment to be applied at the load point  location.
Sign convention: + = by "Right-Hand-Rule"</t>
        </r>
      </text>
    </comment>
    <comment ref="B55" authorId="3">
      <text>
        <r>
          <rPr>
            <sz val="8"/>
            <color indexed="81"/>
            <rFont val="Tahoma"/>
            <family val="2"/>
          </rPr>
          <t xml:space="preserve">The total length of all weld lines/segments, 'Lw', is calculated as follows:
  Lw = </t>
        </r>
        <r>
          <rPr>
            <sz val="8"/>
            <color indexed="81"/>
            <rFont val="Symbol"/>
            <family val="1"/>
            <charset val="2"/>
          </rPr>
          <t>S</t>
        </r>
        <r>
          <rPr>
            <sz val="8"/>
            <color indexed="81"/>
            <rFont val="Tahoma"/>
            <family val="2"/>
          </rPr>
          <t xml:space="preserve"> (L)
where:
  L = length of each weld line/segment 
     = ((X2-X1)^2 + (Y2-Y1)^2)^(1/2) 
  X1,Y1 = start coordinates of weld line/segment
  X2,Y2 = end coordinates of weld line/segment</t>
        </r>
      </text>
    </comment>
    <comment ref="E55" authorId="3">
      <text>
        <r>
          <rPr>
            <sz val="8"/>
            <color indexed="81"/>
            <rFont val="Symbol"/>
            <family val="1"/>
            <charset val="2"/>
          </rPr>
          <t xml:space="preserve">S </t>
        </r>
        <r>
          <rPr>
            <sz val="8"/>
            <color indexed="81"/>
            <rFont val="Tahoma"/>
            <family val="2"/>
          </rPr>
          <t xml:space="preserve"> Pz = sum of all applied axial (Z-axis) loads translated to the centroid of the weld group.
Sign convention: positive in +Z-axis direction</t>
        </r>
      </text>
    </comment>
    <comment ref="B56" authorId="4">
      <text>
        <r>
          <rPr>
            <sz val="8"/>
            <color indexed="81"/>
            <rFont val="Tahoma"/>
            <family val="2"/>
          </rPr>
          <t xml:space="preserve">The location of the centroidal Y-axis from the origin Y-axis is calculated as follows:
   Xc = </t>
        </r>
        <r>
          <rPr>
            <sz val="8"/>
            <color indexed="81"/>
            <rFont val="Symbol"/>
            <family val="1"/>
            <charset val="2"/>
          </rPr>
          <t>S</t>
        </r>
        <r>
          <rPr>
            <sz val="8"/>
            <color indexed="81"/>
            <rFont val="Tahoma"/>
            <family val="2"/>
          </rPr>
          <t xml:space="preserve"> (L*X)/Lw
where:
   L = length of each weld line/segment
   X = distance from center of weld line/segment
          to origin Y-axis
   Lw = total length of weld lines/segments</t>
        </r>
      </text>
    </comment>
    <comment ref="E56" authorId="3">
      <text>
        <r>
          <rPr>
            <sz val="8"/>
            <color indexed="81"/>
            <rFont val="Symbol"/>
            <family val="1"/>
            <charset val="2"/>
          </rPr>
          <t xml:space="preserve">S </t>
        </r>
        <r>
          <rPr>
            <sz val="8"/>
            <color indexed="81"/>
            <rFont val="Tahoma"/>
            <family val="2"/>
          </rPr>
          <t xml:space="preserve"> Px = sum of all applied shear (X-axis) loads translated to the centroid of the weld group.
Sign convention: positive in +X-axis direction</t>
        </r>
      </text>
    </comment>
    <comment ref="B57" authorId="4">
      <text>
        <r>
          <rPr>
            <sz val="8"/>
            <color indexed="81"/>
            <rFont val="Tahoma"/>
            <family val="2"/>
          </rPr>
          <t xml:space="preserve">The location of the centroidal X-axis from the origin X-axis is calculated as follows:
   Yc = </t>
        </r>
        <r>
          <rPr>
            <sz val="8"/>
            <color indexed="81"/>
            <rFont val="Symbol"/>
            <family val="1"/>
            <charset val="2"/>
          </rPr>
          <t>S</t>
        </r>
        <r>
          <rPr>
            <sz val="8"/>
            <color indexed="81"/>
            <rFont val="Tahoma"/>
            <family val="2"/>
          </rPr>
          <t xml:space="preserve"> (L*Y)/Lw
where:
   L = length of each weld line/segment
   Y = distance from center of weld line/segment
          to origin X-axis
   Lw = total length of weld lines/segments</t>
        </r>
      </text>
    </comment>
    <comment ref="E57" authorId="3">
      <text>
        <r>
          <rPr>
            <sz val="8"/>
            <color indexed="81"/>
            <rFont val="Symbol"/>
            <family val="1"/>
            <charset val="2"/>
          </rPr>
          <t xml:space="preserve">S </t>
        </r>
        <r>
          <rPr>
            <sz val="8"/>
            <color indexed="81"/>
            <rFont val="Tahoma"/>
            <family val="2"/>
          </rPr>
          <t xml:space="preserve"> Py = sum of all applied shear (Y-axis) loads translated to the centroid of the weld group.
Sign convention: positive in +Y-axis direction</t>
        </r>
      </text>
    </comment>
    <comment ref="B58" authorId="4">
      <text>
        <r>
          <rPr>
            <sz val="8"/>
            <color indexed="81"/>
            <rFont val="Tahoma"/>
            <family val="2"/>
          </rPr>
          <t xml:space="preserve">The X-axis Moment of Inertia, 'Ix',  for the weld group is calculated as follows:
   Ix = </t>
        </r>
        <r>
          <rPr>
            <sz val="8"/>
            <color indexed="81"/>
            <rFont val="Symbol"/>
            <family val="1"/>
            <charset val="2"/>
          </rPr>
          <t>S</t>
        </r>
        <r>
          <rPr>
            <sz val="8"/>
            <color indexed="81"/>
            <rFont val="Tahoma"/>
            <family val="2"/>
          </rPr>
          <t xml:space="preserve"> (Ixo) - Lw*Yc^2
where:
   Ixo = the moment of inertia of each weld line/segment
             about the origin X-axis
          = L*(Y2-Y1)^2/12 + L*(Y)^2
   L = length of each weld line/segment
  X1,Y1 = start coordinates of weld line/segment
  X2,Y2 = end coordinates of weld line/segment
   Y = distance from center of weld line/segment
          to origin X-axis
   Lw = total length of weld lines/segments
   Yc = the location of the centroidal X-axis from the
            origin X-axis </t>
        </r>
      </text>
    </comment>
    <comment ref="E58" authorId="3">
      <text>
        <r>
          <rPr>
            <sz val="8"/>
            <color indexed="81"/>
            <rFont val="Symbol"/>
            <family val="1"/>
            <charset val="2"/>
          </rPr>
          <t xml:space="preserve">S </t>
        </r>
        <r>
          <rPr>
            <sz val="8"/>
            <color indexed="81"/>
            <rFont val="Tahoma"/>
            <family val="2"/>
          </rPr>
          <t xml:space="preserve"> Mx = sum of all applied X-axis moments calculated at the X-Y plane of the weld and  translated to the centroid of the weld group.
Sign convention: positive by "Right-Hand-Rule"</t>
        </r>
      </text>
    </comment>
    <comment ref="B59" authorId="4">
      <text>
        <r>
          <rPr>
            <sz val="8"/>
            <color indexed="81"/>
            <rFont val="Tahoma"/>
            <family val="2"/>
          </rPr>
          <t xml:space="preserve">The Y-axis Moment of Inertia, 'Iy',  for the weld group is calculated as follows:
   Iy = </t>
        </r>
        <r>
          <rPr>
            <sz val="8"/>
            <color indexed="81"/>
            <rFont val="Symbol"/>
            <family val="1"/>
            <charset val="2"/>
          </rPr>
          <t>S</t>
        </r>
        <r>
          <rPr>
            <sz val="8"/>
            <color indexed="81"/>
            <rFont val="Tahoma"/>
            <family val="2"/>
          </rPr>
          <t xml:space="preserve"> (Iyo) - Lw*Xc^2
where:
   Iyo = the moment of inertia of each weld line/segment
             about the origin Y-axis
          = L*(X2-X1)^2/12 + L*(X)^2
   L = length of each weld line/segment
   X1,Y1 = start coordinates of weld line/segment
   X2,Y2 = end coordinates of weld line/segment
   X = distance from center of weld line/segment
          to origin Y-axis
   Lw = total length of weld lines/segments
   Xc = the location of the centroidal Y-axis from the
            origin Y-axis </t>
        </r>
      </text>
    </comment>
    <comment ref="E59" authorId="3">
      <text>
        <r>
          <rPr>
            <sz val="8"/>
            <color indexed="81"/>
            <rFont val="Symbol"/>
            <family val="1"/>
            <charset val="2"/>
          </rPr>
          <t xml:space="preserve">S </t>
        </r>
        <r>
          <rPr>
            <sz val="8"/>
            <color indexed="81"/>
            <rFont val="Tahoma"/>
            <family val="2"/>
          </rPr>
          <t xml:space="preserve"> My = sum of all applied Y-axis moments calculated at the X-Y plane of the weld and  translated to the centroid of the weld group.
Sign convention: positive by "Right-Hand-Rule"</t>
        </r>
      </text>
    </comment>
    <comment ref="B60" authorId="4">
      <text>
        <r>
          <rPr>
            <sz val="8"/>
            <color indexed="81"/>
            <rFont val="Tahoma"/>
            <family val="2"/>
          </rPr>
          <t>The Polar Moment of Inertia for the weld group is calculated as follows:
   J = Ix+Iy</t>
        </r>
      </text>
    </comment>
    <comment ref="E60" authorId="3">
      <text>
        <r>
          <rPr>
            <sz val="8"/>
            <color indexed="81"/>
            <rFont val="Symbol"/>
            <family val="1"/>
            <charset val="2"/>
          </rPr>
          <t xml:space="preserve">S </t>
        </r>
        <r>
          <rPr>
            <sz val="8"/>
            <color indexed="81"/>
            <rFont val="Tahoma"/>
            <family val="2"/>
          </rPr>
          <t xml:space="preserve"> Mz = sum of all applied Z-axis moments translated to the centroid of the weld group.
Sign convention: positive by "Right-Hand-Rule"</t>
        </r>
      </text>
    </comment>
    <comment ref="C64" authorId="4">
      <text>
        <r>
          <rPr>
            <sz val="8"/>
            <color indexed="81"/>
            <rFont val="Tahoma"/>
            <family val="2"/>
          </rPr>
          <t>The weld force at the start of the weld line/segment, 'Fw(1)':
   Fw(1) = (((-</t>
        </r>
        <r>
          <rPr>
            <sz val="8"/>
            <color indexed="81"/>
            <rFont val="Symbol"/>
            <family val="1"/>
            <charset val="2"/>
          </rPr>
          <t>S</t>
        </r>
        <r>
          <rPr>
            <sz val="8"/>
            <color indexed="81"/>
            <rFont val="Tahoma"/>
            <family val="2"/>
          </rPr>
          <t xml:space="preserve"> Pz)/Lw+</t>
        </r>
        <r>
          <rPr>
            <sz val="8"/>
            <color indexed="81"/>
            <rFont val="Symbol"/>
            <family val="1"/>
            <charset val="2"/>
          </rPr>
          <t>(-S</t>
        </r>
        <r>
          <rPr>
            <sz val="8"/>
            <color indexed="81"/>
            <rFont val="Tahoma"/>
            <family val="2"/>
          </rPr>
          <t xml:space="preserve"> Mx)*cy1/Ix+(</t>
        </r>
        <r>
          <rPr>
            <sz val="8"/>
            <color indexed="81"/>
            <rFont val="Symbol"/>
            <family val="1"/>
            <charset val="2"/>
          </rPr>
          <t>S</t>
        </r>
        <r>
          <rPr>
            <sz val="8"/>
            <color indexed="81"/>
            <rFont val="Tahoma"/>
            <family val="2"/>
          </rPr>
          <t xml:space="preserve"> My)*cx1/Iy)^2 + ((</t>
        </r>
        <r>
          <rPr>
            <sz val="8"/>
            <color indexed="81"/>
            <rFont val="Symbol"/>
            <family val="1"/>
            <charset val="2"/>
          </rPr>
          <t>S</t>
        </r>
        <r>
          <rPr>
            <sz val="8"/>
            <color indexed="81"/>
            <rFont val="Tahoma"/>
            <family val="2"/>
          </rPr>
          <t xml:space="preserve"> Px)/Lw+(</t>
        </r>
        <r>
          <rPr>
            <sz val="8"/>
            <color indexed="81"/>
            <rFont val="Symbol"/>
            <family val="1"/>
            <charset val="2"/>
          </rPr>
          <t>S</t>
        </r>
        <r>
          <rPr>
            <sz val="8"/>
            <color indexed="81"/>
            <rFont val="Tahoma"/>
            <family val="2"/>
          </rPr>
          <t xml:space="preserve"> Mz)*(-cy1)/J)^2 + ... 
                   ... ((</t>
        </r>
        <r>
          <rPr>
            <sz val="8"/>
            <color indexed="81"/>
            <rFont val="Symbol"/>
            <family val="1"/>
            <charset val="2"/>
          </rPr>
          <t>S</t>
        </r>
        <r>
          <rPr>
            <sz val="8"/>
            <color indexed="81"/>
            <rFont val="Tahoma"/>
            <family val="2"/>
          </rPr>
          <t xml:space="preserve"> Py)/Lw+(</t>
        </r>
        <r>
          <rPr>
            <sz val="8"/>
            <color indexed="81"/>
            <rFont val="Symbol"/>
            <family val="1"/>
            <charset val="2"/>
          </rPr>
          <t>S</t>
        </r>
        <r>
          <rPr>
            <sz val="8"/>
            <color indexed="81"/>
            <rFont val="Tahoma"/>
            <family val="2"/>
          </rPr>
          <t xml:space="preserve"> Mz)*cx1/J)^2)^(1/2)
where:
   cx1 = x-distance of start of weld line/segment from centroidal Y-axis
   cy1 = y-distance of start of weld line/segment from centroidal X-axis
</t>
        </r>
      </text>
    </comment>
    <comment ref="D64" authorId="4">
      <text>
        <r>
          <rPr>
            <sz val="8"/>
            <color indexed="81"/>
            <rFont val="Tahoma"/>
            <family val="2"/>
          </rPr>
          <t>The weld force at the end of the weld line/segment, 'Fw(2)':
   Fw(2) = (((-</t>
        </r>
        <r>
          <rPr>
            <sz val="8"/>
            <color indexed="81"/>
            <rFont val="Symbol"/>
            <family val="1"/>
            <charset val="2"/>
          </rPr>
          <t>S</t>
        </r>
        <r>
          <rPr>
            <sz val="8"/>
            <color indexed="81"/>
            <rFont val="Tahoma"/>
            <family val="2"/>
          </rPr>
          <t xml:space="preserve"> Pz)/Lw+</t>
        </r>
        <r>
          <rPr>
            <sz val="8"/>
            <color indexed="81"/>
            <rFont val="Symbol"/>
            <family val="1"/>
            <charset val="2"/>
          </rPr>
          <t>(-S</t>
        </r>
        <r>
          <rPr>
            <sz val="8"/>
            <color indexed="81"/>
            <rFont val="Tahoma"/>
            <family val="2"/>
          </rPr>
          <t xml:space="preserve"> Mx)*cy2/Ix+(</t>
        </r>
        <r>
          <rPr>
            <sz val="8"/>
            <color indexed="81"/>
            <rFont val="Symbol"/>
            <family val="1"/>
            <charset val="2"/>
          </rPr>
          <t>S</t>
        </r>
        <r>
          <rPr>
            <sz val="8"/>
            <color indexed="81"/>
            <rFont val="Tahoma"/>
            <family val="2"/>
          </rPr>
          <t xml:space="preserve"> My)*cx2/Iy)^2 + ((</t>
        </r>
        <r>
          <rPr>
            <sz val="8"/>
            <color indexed="81"/>
            <rFont val="Symbol"/>
            <family val="1"/>
            <charset val="2"/>
          </rPr>
          <t>S</t>
        </r>
        <r>
          <rPr>
            <sz val="8"/>
            <color indexed="81"/>
            <rFont val="Tahoma"/>
            <family val="2"/>
          </rPr>
          <t xml:space="preserve"> Px)/Lw+(</t>
        </r>
        <r>
          <rPr>
            <sz val="8"/>
            <color indexed="81"/>
            <rFont val="Symbol"/>
            <family val="1"/>
            <charset val="2"/>
          </rPr>
          <t>S</t>
        </r>
        <r>
          <rPr>
            <sz val="8"/>
            <color indexed="81"/>
            <rFont val="Tahoma"/>
            <family val="2"/>
          </rPr>
          <t xml:space="preserve"> Mz)*(-cy2)/J)^2 + ... 
                   ... ((</t>
        </r>
        <r>
          <rPr>
            <sz val="8"/>
            <color indexed="81"/>
            <rFont val="Symbol"/>
            <family val="1"/>
            <charset val="2"/>
          </rPr>
          <t>S</t>
        </r>
        <r>
          <rPr>
            <sz val="8"/>
            <color indexed="81"/>
            <rFont val="Tahoma"/>
            <family val="2"/>
          </rPr>
          <t xml:space="preserve"> Py)/Lw+(</t>
        </r>
        <r>
          <rPr>
            <sz val="8"/>
            <color indexed="81"/>
            <rFont val="Symbol"/>
            <family val="1"/>
            <charset val="2"/>
          </rPr>
          <t>S</t>
        </r>
        <r>
          <rPr>
            <sz val="8"/>
            <color indexed="81"/>
            <rFont val="Tahoma"/>
            <family val="2"/>
          </rPr>
          <t xml:space="preserve"> Mz)*cx2/J)^2)^(1/2)
where:
   cx2 = x-distance of end of weld line/segment from centroidal Y-axis
   cy2 = y-distance of end of weld line/segment from centroidal X-axis
</t>
        </r>
      </text>
    </comment>
    <comment ref="E91" authorId="3">
      <text>
        <r>
          <rPr>
            <sz val="8"/>
            <color indexed="81"/>
            <rFont val="Tahoma"/>
            <family val="2"/>
          </rPr>
          <t>See "Weld Data" worksheet for minimum fillet weld sizes per AISC Code.</t>
        </r>
      </text>
    </comment>
  </commentList>
</comments>
</file>

<file path=xl/sharedStrings.xml><?xml version="1.0" encoding="utf-8"?>
<sst xmlns="http://schemas.openxmlformats.org/spreadsheetml/2006/main" count="3134" uniqueCount="1872">
  <si>
    <t>S3X7.5</t>
  </si>
  <si>
    <t>S3X5.7</t>
  </si>
  <si>
    <t>HP14X117</t>
  </si>
  <si>
    <t>HP14X102</t>
  </si>
  <si>
    <t>HP14X89</t>
  </si>
  <si>
    <t>HP14X73</t>
  </si>
  <si>
    <t>HP12X84</t>
  </si>
  <si>
    <t>HP12X74</t>
  </si>
  <si>
    <t>HP12X63</t>
  </si>
  <si>
    <t>HP12X53</t>
  </si>
  <si>
    <t>HP10X57</t>
  </si>
  <si>
    <t>HP10X42</t>
  </si>
  <si>
    <t>HP8X36</t>
  </si>
  <si>
    <t>C15X50</t>
  </si>
  <si>
    <t>C15X40</t>
  </si>
  <si>
    <t>C15X33.9</t>
  </si>
  <si>
    <t>C12X30</t>
  </si>
  <si>
    <t>C12X25</t>
  </si>
  <si>
    <t>C12X20.7</t>
  </si>
  <si>
    <t>C10X30</t>
  </si>
  <si>
    <t>C10X25</t>
  </si>
  <si>
    <t>C10X20</t>
  </si>
  <si>
    <t>C10X15.3</t>
  </si>
  <si>
    <t>C9X20</t>
  </si>
  <si>
    <t>C9X15</t>
  </si>
  <si>
    <t>C9X13.4</t>
  </si>
  <si>
    <t>C8X18.7</t>
  </si>
  <si>
    <t>C8X13.7</t>
  </si>
  <si>
    <t>C8X11.5</t>
  </si>
  <si>
    <t>C7X14.7</t>
  </si>
  <si>
    <t>C7X12.2</t>
  </si>
  <si>
    <t>C7X9.8</t>
  </si>
  <si>
    <t>C6X13</t>
  </si>
  <si>
    <t>C6X10.5</t>
  </si>
  <si>
    <t>C6X8.2</t>
  </si>
  <si>
    <t>C5X9</t>
  </si>
  <si>
    <t>C5X6.7</t>
  </si>
  <si>
    <t>C4X7.2</t>
  </si>
  <si>
    <t>C4X5.4</t>
  </si>
  <si>
    <t>C4X4.5</t>
  </si>
  <si>
    <t>C3X6</t>
  </si>
  <si>
    <t>C3X5</t>
  </si>
  <si>
    <t>C3X4.1</t>
  </si>
  <si>
    <t>C3X3.5</t>
  </si>
  <si>
    <t>MC18X58</t>
  </si>
  <si>
    <t>MC18X51.9</t>
  </si>
  <si>
    <t>MC18X45.8</t>
  </si>
  <si>
    <t>MC18X42.7</t>
  </si>
  <si>
    <t>MC13X50</t>
  </si>
  <si>
    <t>MC13X40</t>
  </si>
  <si>
    <t>MC13X35</t>
  </si>
  <si>
    <t>MC13X31.8</t>
  </si>
  <si>
    <t>MC12X50</t>
  </si>
  <si>
    <t>MC12X45</t>
  </si>
  <si>
    <t>MC12X40</t>
  </si>
  <si>
    <t>MC12X35</t>
  </si>
  <si>
    <t>MC12X31</t>
  </si>
  <si>
    <t>MC12X10.6</t>
  </si>
  <si>
    <t>MC10X41.1</t>
  </si>
  <si>
    <t>MC10X33.6</t>
  </si>
  <si>
    <t>MC10X28.5</t>
  </si>
  <si>
    <t>MC10X25</t>
  </si>
  <si>
    <t>MC10X22</t>
  </si>
  <si>
    <t>MC10X8.4</t>
  </si>
  <si>
    <t>MC10X6.5</t>
  </si>
  <si>
    <t>MC9X25.4</t>
  </si>
  <si>
    <t>MC9X23.9</t>
  </si>
  <si>
    <t>MC8X22.8</t>
  </si>
  <si>
    <t>MC8X21.4</t>
  </si>
  <si>
    <t>MC8X20</t>
  </si>
  <si>
    <t>MC8X18.7</t>
  </si>
  <si>
    <t>MC8X8.5</t>
  </si>
  <si>
    <t>MC7X22.7</t>
  </si>
  <si>
    <t>MC7X19.1</t>
  </si>
  <si>
    <t>MC6X18</t>
  </si>
  <si>
    <t>MC6X15.3</t>
  </si>
  <si>
    <t>MC6X16.3</t>
  </si>
  <si>
    <t>MC6X15.1</t>
  </si>
  <si>
    <t>MC6X12</t>
  </si>
  <si>
    <t>MC6x7</t>
  </si>
  <si>
    <t>MC6x6.5</t>
  </si>
  <si>
    <t>MC4x13.8</t>
  </si>
  <si>
    <t>MC3x7.1</t>
  </si>
  <si>
    <t>WT22X167.5</t>
  </si>
  <si>
    <t>WT22X145</t>
  </si>
  <si>
    <t>WT22X131</t>
  </si>
  <si>
    <t>WT22X115</t>
  </si>
  <si>
    <t>WT20X296.5</t>
  </si>
  <si>
    <t>WT20X251.5</t>
  </si>
  <si>
    <t>WT20X215.5</t>
  </si>
  <si>
    <t>WT20X198.5</t>
  </si>
  <si>
    <t>WT20X186</t>
  </si>
  <si>
    <t>WT20X181</t>
  </si>
  <si>
    <t>WT20X162</t>
  </si>
  <si>
    <t>WT20X148.5</t>
  </si>
  <si>
    <t>WT20X138.5</t>
  </si>
  <si>
    <t>WT20X124.5</t>
  </si>
  <si>
    <t>WT20X107.5</t>
  </si>
  <si>
    <t>WT20X99.5</t>
  </si>
  <si>
    <t>WT20X196</t>
  </si>
  <si>
    <t>WT20X165.5</t>
  </si>
  <si>
    <t>WT20X163.5</t>
  </si>
  <si>
    <t>WT20X147</t>
  </si>
  <si>
    <t>WT20X139</t>
  </si>
  <si>
    <t>WT20X132</t>
  </si>
  <si>
    <t>WT20X117.5</t>
  </si>
  <si>
    <t>WT20X105.5</t>
  </si>
  <si>
    <t>WT20X91.5</t>
  </si>
  <si>
    <t>WT20X83.5</t>
  </si>
  <si>
    <t>WT20X74.5</t>
  </si>
  <si>
    <t>WT18X400</t>
  </si>
  <si>
    <t>WT18X326</t>
  </si>
  <si>
    <t>WT18X264.5</t>
  </si>
  <si>
    <t>WT18X243.5</t>
  </si>
  <si>
    <t>WT18X220.5</t>
  </si>
  <si>
    <t>WT18X197.5</t>
  </si>
  <si>
    <t>WT18X180.5</t>
  </si>
  <si>
    <t>WT18X165</t>
  </si>
  <si>
    <t>WT18X151</t>
  </si>
  <si>
    <t>WT18X141</t>
  </si>
  <si>
    <t>WT18X131</t>
  </si>
  <si>
    <t>WT18X123.5</t>
  </si>
  <si>
    <t>WT18X116</t>
  </si>
  <si>
    <t>WT18X128</t>
  </si>
  <si>
    <t>WT18X115.5</t>
  </si>
  <si>
    <t>WT18X105</t>
  </si>
  <si>
    <t>WT18X97</t>
  </si>
  <si>
    <t>WT18X91</t>
  </si>
  <si>
    <t>WT18X85</t>
  </si>
  <si>
    <t>WT18X80</t>
  </si>
  <si>
    <t>WT18X75</t>
  </si>
  <si>
    <t>WT18X67.5</t>
  </si>
  <si>
    <t>WT16.5X193.5</t>
  </si>
  <si>
    <t>WT16.5X177</t>
  </si>
  <si>
    <t>WT16.5X159</t>
  </si>
  <si>
    <t>WT16.5X145.5</t>
  </si>
  <si>
    <t>WT16.5X131.5</t>
  </si>
  <si>
    <t>WT16.5X120.5</t>
  </si>
  <si>
    <t>WT16.5X110.5</t>
  </si>
  <si>
    <t>WT16.5X100.5</t>
  </si>
  <si>
    <t>WT16.5X84.5</t>
  </si>
  <si>
    <t>WT16.5X76</t>
  </si>
  <si>
    <t>WT16.5X70.5</t>
  </si>
  <si>
    <t>WT16.5X65</t>
  </si>
  <si>
    <t>WT16.5X59</t>
  </si>
  <si>
    <t>WT15X195.5</t>
  </si>
  <si>
    <t>WT15X178.5</t>
  </si>
  <si>
    <t>WT15X163</t>
  </si>
  <si>
    <t>WT15X146</t>
  </si>
  <si>
    <t>WT15X130.5</t>
  </si>
  <si>
    <t>WT15X117.5</t>
  </si>
  <si>
    <t>WT15X105.5</t>
  </si>
  <si>
    <t>WT15X95.5</t>
  </si>
  <si>
    <t>WT15X86.5</t>
  </si>
  <si>
    <t>WT15X74</t>
  </si>
  <si>
    <t>WT15X66</t>
  </si>
  <si>
    <t>WT15X62</t>
  </si>
  <si>
    <t>WT15X58</t>
  </si>
  <si>
    <t>WT15X54</t>
  </si>
  <si>
    <t>WT15X49.5</t>
  </si>
  <si>
    <t>WT15X45</t>
  </si>
  <si>
    <t>WT13.5X269.5</t>
  </si>
  <si>
    <t>WT13.5X184</t>
  </si>
  <si>
    <t>WT13.5X168</t>
  </si>
  <si>
    <t>WT13.5X153.5</t>
  </si>
  <si>
    <t>WT13.5X140.5</t>
  </si>
  <si>
    <t>WT13.5X129</t>
  </si>
  <si>
    <t>WT13.5X117.5</t>
  </si>
  <si>
    <t>WT13.5X108.5</t>
  </si>
  <si>
    <t>WT13.5X97</t>
  </si>
  <si>
    <t>WT13.5X89</t>
  </si>
  <si>
    <t>WT13.5X80.5</t>
  </si>
  <si>
    <t>WT13.5X73</t>
  </si>
  <si>
    <t>WT13.5X64.5</t>
  </si>
  <si>
    <t>WT13.5X57</t>
  </si>
  <si>
    <t>WT13.5X51</t>
  </si>
  <si>
    <t>WT13.5X47</t>
  </si>
  <si>
    <t>WT13.5X42</t>
  </si>
  <si>
    <t>WT12X185</t>
  </si>
  <si>
    <t>WT12X167.5</t>
  </si>
  <si>
    <t>WT12X153</t>
  </si>
  <si>
    <t>WT12X139.5</t>
  </si>
  <si>
    <t>WT12X125</t>
  </si>
  <si>
    <t>WT12X114.5</t>
  </si>
  <si>
    <t>WT12X103.5</t>
  </si>
  <si>
    <t>WT12X96</t>
  </si>
  <si>
    <t>WT12X88</t>
  </si>
  <si>
    <t>WT12X81</t>
  </si>
  <si>
    <t>WT12X73</t>
  </si>
  <si>
    <t>WT12X65.5</t>
  </si>
  <si>
    <t>WT12X58.5</t>
  </si>
  <si>
    <t>WT12X52</t>
  </si>
  <si>
    <t>WT12X51.5</t>
  </si>
  <si>
    <t>WT12X47</t>
  </si>
  <si>
    <t>WT12X42</t>
  </si>
  <si>
    <t>WT12X38</t>
  </si>
  <si>
    <t>WT12X34</t>
  </si>
  <si>
    <t>WT12X31</t>
  </si>
  <si>
    <t>WT12X27.5</t>
  </si>
  <si>
    <t>WT10.5X100.5</t>
  </si>
  <si>
    <t>WT10.5X91</t>
  </si>
  <si>
    <t>WT10.5X83</t>
  </si>
  <si>
    <t>WT10.5X73.5</t>
  </si>
  <si>
    <t>WT10.5X66</t>
  </si>
  <si>
    <t>WT10.5X61</t>
  </si>
  <si>
    <t>WT10.5X55.5</t>
  </si>
  <si>
    <t>WT10.5X50.5</t>
  </si>
  <si>
    <t>WT10.5X46.5</t>
  </si>
  <si>
    <t>WT10.5X41.5</t>
  </si>
  <si>
    <t>WT10.5X36.5</t>
  </si>
  <si>
    <t>WT10.5X34</t>
  </si>
  <si>
    <t>WT10.5X31</t>
  </si>
  <si>
    <t>WT10.5X27.5</t>
  </si>
  <si>
    <t>WT10.5X24</t>
  </si>
  <si>
    <t>WT10.5X28.5</t>
  </si>
  <si>
    <t>WT10.5X25</t>
  </si>
  <si>
    <t>WT10.5X22</t>
  </si>
  <si>
    <t>WT9X155.5</t>
  </si>
  <si>
    <t>WT9X141.5</t>
  </si>
  <si>
    <t>WT9X129</t>
  </si>
  <si>
    <t>WT9X117</t>
  </si>
  <si>
    <t>WT9X105.5</t>
  </si>
  <si>
    <t>WT9X96</t>
  </si>
  <si>
    <t>WT9X87.5</t>
  </si>
  <si>
    <t>WT9X79</t>
  </si>
  <si>
    <t>WT9X71.5</t>
  </si>
  <si>
    <t>WT9X65</t>
  </si>
  <si>
    <t>WT9X59.5</t>
  </si>
  <si>
    <t>WT9X53</t>
  </si>
  <si>
    <t>WT9X48.5</t>
  </si>
  <si>
    <t>WT9X43</t>
  </si>
  <si>
    <t>WT9X38</t>
  </si>
  <si>
    <t>WT9X35.5</t>
  </si>
  <si>
    <t>WT9X32.5</t>
  </si>
  <si>
    <t>WT9X30</t>
  </si>
  <si>
    <t>WT9X27.5</t>
  </si>
  <si>
    <t>WT9X25</t>
  </si>
  <si>
    <t>WT9X23</t>
  </si>
  <si>
    <t>WT9X20</t>
  </si>
  <si>
    <t>WT9X17.5</t>
  </si>
  <si>
    <t>WT8X50</t>
  </si>
  <si>
    <t>WT8X44.5</t>
  </si>
  <si>
    <t>WT8X38.5</t>
  </si>
  <si>
    <t>WT8X33.5</t>
  </si>
  <si>
    <t>WT8X28.5</t>
  </si>
  <si>
    <t>WT8X25</t>
  </si>
  <si>
    <t>WT8X22.5</t>
  </si>
  <si>
    <t>WT8X20</t>
  </si>
  <si>
    <t>WT8X18</t>
  </si>
  <si>
    <t>WT8X15.5</t>
  </si>
  <si>
    <t>WT8X13</t>
  </si>
  <si>
    <t>WT7X365</t>
  </si>
  <si>
    <t>WT7X332.5</t>
  </si>
  <si>
    <t>WT7X302.5</t>
  </si>
  <si>
    <t>WT7X275</t>
  </si>
  <si>
    <t>WT7X250</t>
  </si>
  <si>
    <t>WT7X227.5</t>
  </si>
  <si>
    <t>WT7X213</t>
  </si>
  <si>
    <t>WT7X199</t>
  </si>
  <si>
    <t>WT7X185</t>
  </si>
  <si>
    <t>WT7X171</t>
  </si>
  <si>
    <t>WT7X155.5</t>
  </si>
  <si>
    <t>WT7X141.5</t>
  </si>
  <si>
    <t>WT7X128.5</t>
  </si>
  <si>
    <t>WT7X116.5</t>
  </si>
  <si>
    <t>WT7X105.5</t>
  </si>
  <si>
    <t>WT7X96.5</t>
  </si>
  <si>
    <t>WT7X88</t>
  </si>
  <si>
    <t>WT7X79.5</t>
  </si>
  <si>
    <t>WT7X72.5</t>
  </si>
  <si>
    <t>WT7X66</t>
  </si>
  <si>
    <t>WT7X60</t>
  </si>
  <si>
    <t>WT7X54.5</t>
  </si>
  <si>
    <t>WT7X49.5</t>
  </si>
  <si>
    <t>WT7X45</t>
  </si>
  <si>
    <t>WT7X41</t>
  </si>
  <si>
    <t>WT7X37</t>
  </si>
  <si>
    <t>WT7X34</t>
  </si>
  <si>
    <t>WT7X30.5</t>
  </si>
  <si>
    <t>WT7X26.5</t>
  </si>
  <si>
    <t>WT7X24</t>
  </si>
  <si>
    <t>WT7X21.5</t>
  </si>
  <si>
    <t>WT7X19</t>
  </si>
  <si>
    <t>WT7X17</t>
  </si>
  <si>
    <t>WT7X15</t>
  </si>
  <si>
    <t>WT7X13</t>
  </si>
  <si>
    <t>WT7X11</t>
  </si>
  <si>
    <t>WT6X168</t>
  </si>
  <si>
    <t>WT6X152.5</t>
  </si>
  <si>
    <t>WT6X139.5</t>
  </si>
  <si>
    <t>WT6X126</t>
  </si>
  <si>
    <t>WT6X115</t>
  </si>
  <si>
    <t>WT6X105</t>
  </si>
  <si>
    <t>WT6X95</t>
  </si>
  <si>
    <t>WT6X85</t>
  </si>
  <si>
    <t>WT6X76</t>
  </si>
  <si>
    <t>WT6X68</t>
  </si>
  <si>
    <t>WT6X60</t>
  </si>
  <si>
    <t>WT6X53</t>
  </si>
  <si>
    <t>WT6X48</t>
  </si>
  <si>
    <t>WT6X43.5</t>
  </si>
  <si>
    <t>WT6X39.5</t>
  </si>
  <si>
    <t>WT6X36</t>
  </si>
  <si>
    <t>WT6X32.5</t>
  </si>
  <si>
    <t>WT6X29</t>
  </si>
  <si>
    <t>WT6X26.5</t>
  </si>
  <si>
    <t>WT6X25</t>
  </si>
  <si>
    <t>WT6X22.5</t>
  </si>
  <si>
    <t>WT6X20</t>
  </si>
  <si>
    <t>WT6X17.5</t>
  </si>
  <si>
    <t>WT6X15</t>
  </si>
  <si>
    <t>WT6X13</t>
  </si>
  <si>
    <t>WT6X11</t>
  </si>
  <si>
    <t>WT6X9.5</t>
  </si>
  <si>
    <t>WT6X8</t>
  </si>
  <si>
    <t>WT6X7</t>
  </si>
  <si>
    <t>WT5X56</t>
  </si>
  <si>
    <t>WT5X50</t>
  </si>
  <si>
    <t>WT5X44</t>
  </si>
  <si>
    <t>WT5X38.5</t>
  </si>
  <si>
    <t>WT5X34</t>
  </si>
  <si>
    <t>WT5X30</t>
  </si>
  <si>
    <t>WT5X27</t>
  </si>
  <si>
    <t>WT5X24.5</t>
  </si>
  <si>
    <t>WT5X22.5</t>
  </si>
  <si>
    <t>WT5X19.5</t>
  </si>
  <si>
    <t>WT5X16.5</t>
  </si>
  <si>
    <t>WT5X15</t>
  </si>
  <si>
    <t>WT5X13</t>
  </si>
  <si>
    <t>WT5X11</t>
  </si>
  <si>
    <t>WT5X9.5</t>
  </si>
  <si>
    <t>WT5X8.5</t>
  </si>
  <si>
    <t>WT5X7.5</t>
  </si>
  <si>
    <t>WT5X6</t>
  </si>
  <si>
    <t>WT4X33.5</t>
  </si>
  <si>
    <t>WT4X29</t>
  </si>
  <si>
    <t>WT4X24</t>
  </si>
  <si>
    <t>WT4X20</t>
  </si>
  <si>
    <t>WT4X17.5</t>
  </si>
  <si>
    <t>WT4X15.5</t>
  </si>
  <si>
    <t>WT4X14</t>
  </si>
  <si>
    <t>WT4X12</t>
  </si>
  <si>
    <t>WT4X10.5</t>
  </si>
  <si>
    <t>WT4X9</t>
  </si>
  <si>
    <t>WT4X7.5</t>
  </si>
  <si>
    <t>WT4X6.5</t>
  </si>
  <si>
    <t>WT4X5</t>
  </si>
  <si>
    <t>WT3X12.5</t>
  </si>
  <si>
    <t>WT3X10</t>
  </si>
  <si>
    <t>WT3X7.5</t>
  </si>
  <si>
    <t>WT3X8</t>
  </si>
  <si>
    <t>WT3X6</t>
  </si>
  <si>
    <t>WT3X4.5</t>
  </si>
  <si>
    <t>WT3X4.25</t>
  </si>
  <si>
    <t>WT2.5X9.5</t>
  </si>
  <si>
    <t>WT2.5X8</t>
  </si>
  <si>
    <t>WT2X6.5</t>
  </si>
  <si>
    <t>MT6.25X6.2</t>
  </si>
  <si>
    <t>MT6.25X5.9</t>
  </si>
  <si>
    <t>MT6X5.9</t>
  </si>
  <si>
    <t>MT6X5.4</t>
  </si>
  <si>
    <t>MT6X5</t>
  </si>
  <si>
    <t>MT5X4.5</t>
  </si>
  <si>
    <t>MT5X4</t>
  </si>
  <si>
    <t>MT5X3.75</t>
  </si>
  <si>
    <t>MT4X3.25</t>
  </si>
  <si>
    <t>MT4X3.1</t>
  </si>
  <si>
    <t>MT3X2.2</t>
  </si>
  <si>
    <t>MT3X1.85</t>
  </si>
  <si>
    <t>MT2.5X9.45</t>
  </si>
  <si>
    <t>MT2X3</t>
  </si>
  <si>
    <t>ST12X60.5</t>
  </si>
  <si>
    <t>ST12X53</t>
  </si>
  <si>
    <t>ST12X50</t>
  </si>
  <si>
    <t>ST12X45</t>
  </si>
  <si>
    <t>ST12X40</t>
  </si>
  <si>
    <t>ST10X48</t>
  </si>
  <si>
    <t>ST10X43</t>
  </si>
  <si>
    <t>ST10X37.5</t>
  </si>
  <si>
    <t>ST10X33</t>
  </si>
  <si>
    <t>ST9X35</t>
  </si>
  <si>
    <t>ST9X27.35</t>
  </si>
  <si>
    <t>ST7.5X25</t>
  </si>
  <si>
    <t>ST7.5X21.45</t>
  </si>
  <si>
    <t>ST6X25</t>
  </si>
  <si>
    <t>ST6X20.4</t>
  </si>
  <si>
    <t>ST6X17.5</t>
  </si>
  <si>
    <t>ST6X15.9</t>
  </si>
  <si>
    <t>ST5X17.5</t>
  </si>
  <si>
    <t>ST5X12.7</t>
  </si>
  <si>
    <t>ST4X11.5</t>
  </si>
  <si>
    <t>ST4X9.2</t>
  </si>
  <si>
    <t>ST3X8.6</t>
  </si>
  <si>
    <t>ST3X6.25</t>
  </si>
  <si>
    <t>ST2.5X5</t>
  </si>
  <si>
    <t>ST2X4.75</t>
  </si>
  <si>
    <t>ST2X3.85</t>
  </si>
  <si>
    <t>ST1.5X3.75</t>
  </si>
  <si>
    <t>ST1.5X2.85</t>
  </si>
  <si>
    <t>b</t>
  </si>
  <si>
    <t>t</t>
  </si>
  <si>
    <t>L8X8X1-1/8</t>
  </si>
  <si>
    <t>L8X8X1</t>
  </si>
  <si>
    <t>L8X8X7/8</t>
  </si>
  <si>
    <t>L8X8X3/4</t>
  </si>
  <si>
    <t>L8X8X5/8</t>
  </si>
  <si>
    <t>L8X8X9/16</t>
  </si>
  <si>
    <t>L8X8X1/2</t>
  </si>
  <si>
    <t>L8X6X1</t>
  </si>
  <si>
    <t>L8X6X7/8</t>
  </si>
  <si>
    <t>L8X6X3/4</t>
  </si>
  <si>
    <t>L8X6X5/8</t>
  </si>
  <si>
    <t>L8X6X9/16</t>
  </si>
  <si>
    <t>L8X6X1/2</t>
  </si>
  <si>
    <t>L8X6X7/16</t>
  </si>
  <si>
    <t>L8X4X1</t>
  </si>
  <si>
    <t>L8X4X7/8</t>
  </si>
  <si>
    <t>L8X4X3/4</t>
  </si>
  <si>
    <t>L8X4X5/8</t>
  </si>
  <si>
    <t>L8X4X9/16</t>
  </si>
  <si>
    <t>L8X4X1/2</t>
  </si>
  <si>
    <t>L8X4X7/16</t>
  </si>
  <si>
    <t>L7X4X3/4</t>
  </si>
  <si>
    <t>L7X4X5/8</t>
  </si>
  <si>
    <t>L7X4X1/2</t>
  </si>
  <si>
    <t>L7X4X7/16</t>
  </si>
  <si>
    <t>L7X4X3/8</t>
  </si>
  <si>
    <t>L6X6X1</t>
  </si>
  <si>
    <t>L6X6X7/8</t>
  </si>
  <si>
    <t>L6X6X3/4</t>
  </si>
  <si>
    <t>L6X6X5/8</t>
  </si>
  <si>
    <t>L6X6X9/16</t>
  </si>
  <si>
    <t>L6X6X1/2</t>
  </si>
  <si>
    <t>L6X6X7/16</t>
  </si>
  <si>
    <t>L6X6X3/8</t>
  </si>
  <si>
    <t>L6X6X5/16</t>
  </si>
  <si>
    <t>L6X4X7/8</t>
  </si>
  <si>
    <t>L6X4X3/4</t>
  </si>
  <si>
    <t>L6X4X5/8</t>
  </si>
  <si>
    <t>L6X4X9/16</t>
  </si>
  <si>
    <t>L6X4X1/2</t>
  </si>
  <si>
    <t>L6X4X7/16</t>
  </si>
  <si>
    <t>L6X4X3/8</t>
  </si>
  <si>
    <t>L6X4X5/16</t>
  </si>
  <si>
    <t>L6X3-1/2X1/2</t>
  </si>
  <si>
    <t>L6X3-1/2X3/8</t>
  </si>
  <si>
    <t>L6X3-1/2X5/16</t>
  </si>
  <si>
    <t>L5X5X7/8</t>
  </si>
  <si>
    <t>L5X5X3/4</t>
  </si>
  <si>
    <t>L5X5X5/8</t>
  </si>
  <si>
    <t>L5X5X1/2</t>
  </si>
  <si>
    <t>L5X5X7/16</t>
  </si>
  <si>
    <t>L5X5X3/8</t>
  </si>
  <si>
    <t>L5X5X5/16</t>
  </si>
  <si>
    <t>L5X3-1/2X3/4</t>
  </si>
  <si>
    <t>L5X3-1/2X5/8</t>
  </si>
  <si>
    <t>L5X3-1/2X1/2</t>
  </si>
  <si>
    <t>L5X3-1/2X3/8</t>
  </si>
  <si>
    <t>L5X3-1/2X5/16</t>
  </si>
  <si>
    <t>L5X3-1/2X1/4</t>
  </si>
  <si>
    <t>L5X3X1/2</t>
  </si>
  <si>
    <t>L5X3X7/16</t>
  </si>
  <si>
    <t>L5X3X3/8</t>
  </si>
  <si>
    <t>L5X3X5/16</t>
  </si>
  <si>
    <t>L5X3X1/4</t>
  </si>
  <si>
    <t>L4X4X3/4</t>
  </si>
  <si>
    <t>L4X4X5/8</t>
  </si>
  <si>
    <t>L4X4X1/2</t>
  </si>
  <si>
    <t>L4X4X7/16</t>
  </si>
  <si>
    <t>L4X4X3/8</t>
  </si>
  <si>
    <t>L4X4X5/16</t>
  </si>
  <si>
    <t>L4X4X1/4</t>
  </si>
  <si>
    <t>L4X3-1/2X1/2</t>
  </si>
  <si>
    <t>L4X3-1/2X3/8</t>
  </si>
  <si>
    <t>L4X3-1/2X5/16</t>
  </si>
  <si>
    <t>L4X3-1/2X1/4</t>
  </si>
  <si>
    <t>L4X3X5/8</t>
  </si>
  <si>
    <t>L4X3X1/2</t>
  </si>
  <si>
    <t>L4X3X3/8</t>
  </si>
  <si>
    <t>L4X3X5/16</t>
  </si>
  <si>
    <t>L4X3X1/4</t>
  </si>
  <si>
    <t>L3-1/2X3-1/2X1/2</t>
  </si>
  <si>
    <t>L3-1/2X3-1/2X7/16</t>
  </si>
  <si>
    <t>L3-1/2X3-1/2X3/8</t>
  </si>
  <si>
    <t>L3-1/2X3-1/2X5/16</t>
  </si>
  <si>
    <t>L3-1/2X3-1/2X1/4</t>
  </si>
  <si>
    <t>L3-1/2X3X1/2</t>
  </si>
  <si>
    <t>L3-1/2X3X7/16</t>
  </si>
  <si>
    <t>L3-1/2X3X3/8</t>
  </si>
  <si>
    <t>L3-1/2X3X5/16</t>
  </si>
  <si>
    <t>L3-1/2X3X1/4</t>
  </si>
  <si>
    <t>L3-1/2X2-1/2X1/2</t>
  </si>
  <si>
    <t>L3-1/2X2-1/2X3/8</t>
  </si>
  <si>
    <t>L3-1/2X2-1/2X5/16</t>
  </si>
  <si>
    <t>L3-1/2X2-1/2X1/4</t>
  </si>
  <si>
    <t>L3X3X1/2</t>
  </si>
  <si>
    <t>L3X3X7/16</t>
  </si>
  <si>
    <t>L3X3X3/8</t>
  </si>
  <si>
    <t>L3X3X5/16</t>
  </si>
  <si>
    <t>L3X3X1/4</t>
  </si>
  <si>
    <t>L3X3X3/16</t>
  </si>
  <si>
    <t>L3X2-1/2X1/2</t>
  </si>
  <si>
    <t>L3X2-1/2X7/16</t>
  </si>
  <si>
    <t>L3X2-1/2X3/8</t>
  </si>
  <si>
    <t>L3X2-1/2X5/16</t>
  </si>
  <si>
    <t>L3X2-1/2X1/4</t>
  </si>
  <si>
    <t>L3X2-1/2X3/16</t>
  </si>
  <si>
    <t>L3X2X1/2</t>
  </si>
  <si>
    <t>L3X2X3/8</t>
  </si>
  <si>
    <t>L3X2X5/16</t>
  </si>
  <si>
    <t>L3X2X1/4</t>
  </si>
  <si>
    <t>L3X2X3/16</t>
  </si>
  <si>
    <t>L2-1/2X2-1/2X1/2</t>
  </si>
  <si>
    <t>L2-1/2X2-1/2X3/8</t>
  </si>
  <si>
    <t>L2-1/2X2-1/2X5/16</t>
  </si>
  <si>
    <t>L2-1/2X2-1/2X1/4</t>
  </si>
  <si>
    <t>L2-1/2X2-1/2X3/16</t>
  </si>
  <si>
    <t>L2-1/2X2X3/8</t>
  </si>
  <si>
    <t>L2-1/2X2X5/16</t>
  </si>
  <si>
    <t>L2-1/2X2X1/4</t>
  </si>
  <si>
    <t>L2-1/2X2X3/16</t>
  </si>
  <si>
    <t>L2-1/2X1-1/2X1/4</t>
  </si>
  <si>
    <t>L2-1/2X1-1/2X3/16</t>
  </si>
  <si>
    <t>L2X2X3/8</t>
  </si>
  <si>
    <t>L2X2X5/16</t>
  </si>
  <si>
    <t>L2X2X1/4</t>
  </si>
  <si>
    <t>L2X2X3/16</t>
  </si>
  <si>
    <t>L2X2X1/8</t>
  </si>
  <si>
    <t>h</t>
  </si>
  <si>
    <t>HSS20X12X5/8</t>
  </si>
  <si>
    <t>HSS20X12X1/2</t>
  </si>
  <si>
    <t>HSS20X12X3/8</t>
  </si>
  <si>
    <t>HSS20X12X5/16</t>
  </si>
  <si>
    <t>HSS20X8X5/8</t>
  </si>
  <si>
    <t>HSS20X8X1/2</t>
  </si>
  <si>
    <t>HSS20X8X3/8</t>
  </si>
  <si>
    <t>HSS20X8X5/16</t>
  </si>
  <si>
    <t>HSS20X4X1/2</t>
  </si>
  <si>
    <t>HSS20X4X3/8</t>
  </si>
  <si>
    <t>HSS20X4X5/16</t>
  </si>
  <si>
    <t>HSS20X4X1/4</t>
  </si>
  <si>
    <t>HSS18X6X5/8</t>
  </si>
  <si>
    <t>HSS18X6X1/2</t>
  </si>
  <si>
    <t>HSS18X6X3/8</t>
  </si>
  <si>
    <t>HSS18X6X5/16</t>
  </si>
  <si>
    <t>HSS18X6X1/4</t>
  </si>
  <si>
    <t>HSS16X16X5/8</t>
  </si>
  <si>
    <t>HSS16X16X1/2</t>
  </si>
  <si>
    <t>HSS16X16X3/8</t>
  </si>
  <si>
    <t>HSS16X16X5/16</t>
  </si>
  <si>
    <t>HSS16X12X5/8</t>
  </si>
  <si>
    <t>HSS16X12X1/2</t>
  </si>
  <si>
    <t>HSS16X12X3/8</t>
  </si>
  <si>
    <t>HSS16X12X5/16</t>
  </si>
  <si>
    <t>HSS16X8X5/8</t>
  </si>
  <si>
    <t>HSS16X8X1/2</t>
  </si>
  <si>
    <t>HSS16X8X3/8</t>
  </si>
  <si>
    <t>HSS16X8X5/16</t>
  </si>
  <si>
    <t>HSS16X8X1/4</t>
  </si>
  <si>
    <t>HSS16X4X5/8</t>
  </si>
  <si>
    <t>HSS16X4X1/2</t>
  </si>
  <si>
    <t>HSS16X4X3/8</t>
  </si>
  <si>
    <t>HSS16X4X5/16</t>
  </si>
  <si>
    <t>HSS16X4X1/4</t>
  </si>
  <si>
    <t>HSS16X4X3/16</t>
  </si>
  <si>
    <t>HSS14X14X5/8</t>
  </si>
  <si>
    <t>HSS14X14X1/2</t>
  </si>
  <si>
    <t>HSS14X14X3/8</t>
  </si>
  <si>
    <t>HSS14X14X5/16</t>
  </si>
  <si>
    <t>HSS14X10X5/8</t>
  </si>
  <si>
    <t>HSS14X10X1/2</t>
  </si>
  <si>
    <t>HSS14X10X3/8</t>
  </si>
  <si>
    <t>HSS14X10X5/16</t>
  </si>
  <si>
    <t>HSS14X10X1/4</t>
  </si>
  <si>
    <t>HSS14X6X5/8</t>
  </si>
  <si>
    <t>HSS14X6X1/2</t>
  </si>
  <si>
    <t>HSS14X6X3/8</t>
  </si>
  <si>
    <t>HSS14X6X5/16</t>
  </si>
  <si>
    <t>HSS14X6X1/4</t>
  </si>
  <si>
    <t>HSS14X6X3/16</t>
  </si>
  <si>
    <t>HSS14X4X5/8</t>
  </si>
  <si>
    <t>HSS14X4X1/2</t>
  </si>
  <si>
    <t>HSS14X4X3/8</t>
  </si>
  <si>
    <t>HSS14X4X5/16</t>
  </si>
  <si>
    <t>HSS14X4X1/4</t>
  </si>
  <si>
    <t>HSS14X4X3/16</t>
  </si>
  <si>
    <t>HSS12X12X5/8</t>
  </si>
  <si>
    <t>HSS12X12X1/2</t>
  </si>
  <si>
    <t>HSS12X12X3/8</t>
  </si>
  <si>
    <t>HSS12X12X5/16</t>
  </si>
  <si>
    <t>HSS12X12X1/4</t>
  </si>
  <si>
    <t>HSS12X12X3/16</t>
  </si>
  <si>
    <t>HSS12X10X1/2</t>
  </si>
  <si>
    <t>HSS12X10X3/8</t>
  </si>
  <si>
    <t>HSS12X10X5/16</t>
  </si>
  <si>
    <t>HSS12X10X1/4</t>
  </si>
  <si>
    <t>HSS12X8X5/8</t>
  </si>
  <si>
    <t>HSS12X8X1/2</t>
  </si>
  <si>
    <t>HSS12X8X3/8</t>
  </si>
  <si>
    <t>HSS12X8X5/16</t>
  </si>
  <si>
    <t>HSS12X8X1/4</t>
  </si>
  <si>
    <t>HSS12X8X3/16</t>
  </si>
  <si>
    <t>HSS12X6X5/8</t>
  </si>
  <si>
    <t>HSS12X6X1/2</t>
  </si>
  <si>
    <t>HSS12X6X3/8</t>
  </si>
  <si>
    <t>HSS12X6X5/16</t>
  </si>
  <si>
    <t>HSS12X6X1/4</t>
  </si>
  <si>
    <t>HSS12X6X3/16</t>
  </si>
  <si>
    <t>HSS12X4X5/8</t>
  </si>
  <si>
    <t>HSS12X4X1/2</t>
  </si>
  <si>
    <t>HSS12X4X3/8</t>
  </si>
  <si>
    <t>HSS12X4X5/16</t>
  </si>
  <si>
    <t>HSS12X4X1/4</t>
  </si>
  <si>
    <t>HSS12X4X3/16</t>
  </si>
  <si>
    <t>HSS12X3-1/2X3/8</t>
  </si>
  <si>
    <t>HSS12X3-1/2X5/16</t>
  </si>
  <si>
    <t>HSS12X3X5/16</t>
  </si>
  <si>
    <t>HSS12X3X1/4</t>
  </si>
  <si>
    <t>HSS12X3X3/16</t>
  </si>
  <si>
    <t>HSS12X2X5/16</t>
  </si>
  <si>
    <t>HSS12X2X1/4</t>
  </si>
  <si>
    <t>HSS12X2X3/16</t>
  </si>
  <si>
    <t>HSS10X10X5/8</t>
  </si>
  <si>
    <t>HSS10X10X1/2</t>
  </si>
  <si>
    <t>HSS10X10X3/8</t>
  </si>
  <si>
    <t>HSS10X10X5/16</t>
  </si>
  <si>
    <t>HSS10X10X1/4</t>
  </si>
  <si>
    <t>HSS10X10X3/16</t>
  </si>
  <si>
    <t>HSS10X8X5/8</t>
  </si>
  <si>
    <t>HSS10X8X1/2</t>
  </si>
  <si>
    <t>HSS10X8X3/8</t>
  </si>
  <si>
    <t>HSS10X8X5/16</t>
  </si>
  <si>
    <t>HSS10X8X1/4</t>
  </si>
  <si>
    <t>HSS10X8X3/16</t>
  </si>
  <si>
    <t>HSS10X6X5/8</t>
  </si>
  <si>
    <t>HSS10X6X1/2</t>
  </si>
  <si>
    <t>HSS10X6X3/8</t>
  </si>
  <si>
    <t>HSS10X6X5/16</t>
  </si>
  <si>
    <t>HSS10X6X1/4</t>
  </si>
  <si>
    <t>HSS10X6X3/16</t>
  </si>
  <si>
    <t>HSS10X5X3/8</t>
  </si>
  <si>
    <t>HSS10X5X5/16</t>
  </si>
  <si>
    <t>HSS10X5X1/4</t>
  </si>
  <si>
    <t>HSS10X5X3/16</t>
  </si>
  <si>
    <t>HSS10X4X5/8</t>
  </si>
  <si>
    <t>HSS10X4X1/2</t>
  </si>
  <si>
    <t>HSS10X4X3/8</t>
  </si>
  <si>
    <t>HSS10X4X5/16</t>
  </si>
  <si>
    <t>HSS10X4X1/4</t>
  </si>
  <si>
    <t>HSS10X4X3/16</t>
  </si>
  <si>
    <t>HSS10X4X1/8</t>
  </si>
  <si>
    <t>HSS10X3-1/2X1/2</t>
  </si>
  <si>
    <t>HSS10X3-1/2X3/8</t>
  </si>
  <si>
    <t>HSS10X3-1/2X5/16</t>
  </si>
  <si>
    <t>HSS10X3-1/2X1/4</t>
  </si>
  <si>
    <t>HSS10X3-1/2X3/16</t>
  </si>
  <si>
    <t>HSS10X3-1/2X1/8</t>
  </si>
  <si>
    <t>HSS10X3X3/8</t>
  </si>
  <si>
    <t>HSS10X3X5/16</t>
  </si>
  <si>
    <t>HSS10X3X1/4</t>
  </si>
  <si>
    <t>HSS10X3X3/16</t>
  </si>
  <si>
    <t>HSS10X3X1/8</t>
  </si>
  <si>
    <t>HSS10X2X3/8</t>
  </si>
  <si>
    <t>HSS10X2X5/16</t>
  </si>
  <si>
    <t>HSS10X2X1/4</t>
  </si>
  <si>
    <t>HSS10X2X3/16</t>
  </si>
  <si>
    <t>HSS10X2X1/8</t>
  </si>
  <si>
    <t>HSS9X9X5/8</t>
  </si>
  <si>
    <t>HSS9X9X1/2</t>
  </si>
  <si>
    <t>HSS9X9X3/8</t>
  </si>
  <si>
    <t>HSS9X9X5/16</t>
  </si>
  <si>
    <t>HSS9X9X1/4</t>
  </si>
  <si>
    <t>HSS9X9X3/16</t>
  </si>
  <si>
    <t>HSS9X9X1/8</t>
  </si>
  <si>
    <t>HSS9X7X5/8</t>
  </si>
  <si>
    <t>HSS9X7X1/2</t>
  </si>
  <si>
    <t>HSS9X7X3/8</t>
  </si>
  <si>
    <t>HSS9X7X5/16</t>
  </si>
  <si>
    <t>HSS9X7X1/4</t>
  </si>
  <si>
    <t>HSS9X7X3/16</t>
  </si>
  <si>
    <t>HSS9X5X5/8</t>
  </si>
  <si>
    <t>HSS9X5X1/2</t>
  </si>
  <si>
    <t>HSS9X5X3/8</t>
  </si>
  <si>
    <t>HSS9X5X5/16</t>
  </si>
  <si>
    <t>HSS9X5X1/4</t>
  </si>
  <si>
    <t>HSS9X5X3/16</t>
  </si>
  <si>
    <t>HSS9X3X1/2</t>
  </si>
  <si>
    <t>HSS9X3X3/8</t>
  </si>
  <si>
    <t>HSS9X3X5/16</t>
  </si>
  <si>
    <t>HSS9X3X1/4</t>
  </si>
  <si>
    <t>HSS9X3X3/16</t>
  </si>
  <si>
    <t>HSS8X8X5/8</t>
  </si>
  <si>
    <t>HSS8X8X1/2</t>
  </si>
  <si>
    <t>HSS8X8X3/8</t>
  </si>
  <si>
    <t>HSS8X8X5/16</t>
  </si>
  <si>
    <t>HSS8X8X1/4</t>
  </si>
  <si>
    <t>HSS8X8X3/16</t>
  </si>
  <si>
    <t>HSS8X8X1/8</t>
  </si>
  <si>
    <t>HSS8X6X5/8</t>
  </si>
  <si>
    <t>HSS8X6X1/2</t>
  </si>
  <si>
    <t>HSS8X6X3/8</t>
  </si>
  <si>
    <t>HSS8X6X5/16</t>
  </si>
  <si>
    <t>HSS8X6X1/4</t>
  </si>
  <si>
    <t>HSS8X6X3/16</t>
  </si>
  <si>
    <t>HSS8X4X5/8</t>
  </si>
  <si>
    <t>HSS8X4X1/2</t>
  </si>
  <si>
    <t>HSS8X4X3/8</t>
  </si>
  <si>
    <t>HSS8X4X5/16</t>
  </si>
  <si>
    <t>HSS8X4X1/4</t>
  </si>
  <si>
    <t>HSS8X4X3/16</t>
  </si>
  <si>
    <t>HSS8X4X1/8</t>
  </si>
  <si>
    <t>HSS8X3X1/2</t>
  </si>
  <si>
    <t>HSS8X3X3/8</t>
  </si>
  <si>
    <t>HSS8X3X5/16</t>
  </si>
  <si>
    <t>HSS8X3X1/4</t>
  </si>
  <si>
    <t>HSS8X3X3/16</t>
  </si>
  <si>
    <t>HSS8X3X1/8</t>
  </si>
  <si>
    <t>HSS8X2X3/8</t>
  </si>
  <si>
    <t>HSS8X2X5/16</t>
  </si>
  <si>
    <t>HSS8X2X1/4</t>
  </si>
  <si>
    <t>HSS8X2X3/16</t>
  </si>
  <si>
    <t>HSS8X2X1/8</t>
  </si>
  <si>
    <t>HSS7X7X5/8</t>
  </si>
  <si>
    <t>HSS7X7X1/2</t>
  </si>
  <si>
    <t>AISC Wide Flange (W) Shapes</t>
  </si>
  <si>
    <t>AISC Tee (WT) Shapes</t>
  </si>
  <si>
    <t>AISC Channel (C) Shapes</t>
  </si>
  <si>
    <t>AISC Single Angle (L) Shapes</t>
  </si>
  <si>
    <t>t(des)</t>
  </si>
  <si>
    <t>AISC Round HSS &amp; Pipes</t>
  </si>
  <si>
    <t>AISC Rectangular &amp; Square Tube (HSS) Shapes</t>
  </si>
  <si>
    <t>Shape:</t>
  </si>
  <si>
    <t>t(nom)</t>
  </si>
  <si>
    <t>d =</t>
  </si>
  <si>
    <t>tw =</t>
  </si>
  <si>
    <t>bf =</t>
  </si>
  <si>
    <t>tf =</t>
  </si>
  <si>
    <t>OD =</t>
  </si>
  <si>
    <t>b =</t>
  </si>
  <si>
    <t>t =</t>
  </si>
  <si>
    <t>h =</t>
  </si>
  <si>
    <r>
      <t>(Corner Clip)</t>
    </r>
    <r>
      <rPr>
        <sz val="9"/>
        <color indexed="12"/>
        <rFont val="Arial"/>
        <family val="2"/>
      </rPr>
      <t xml:space="preserve"> c =</t>
    </r>
  </si>
  <si>
    <t>HSS7X7X3/8</t>
  </si>
  <si>
    <t>HSS7X7X5/16</t>
  </si>
  <si>
    <t>HSS7X7X1/4</t>
  </si>
  <si>
    <t>HSS7X7X3/16</t>
  </si>
  <si>
    <t>HSS7X7X1/8</t>
  </si>
  <si>
    <t>HSS7X5X1/2</t>
  </si>
  <si>
    <t>HSS7X5X3/8</t>
  </si>
  <si>
    <t>HSS7X5X5/16</t>
  </si>
  <si>
    <t>HSS7X5X1/4</t>
  </si>
  <si>
    <t>HSS7X5X3/16</t>
  </si>
  <si>
    <t>HSS7X5X1/8</t>
  </si>
  <si>
    <t>HSS7X4X1/2</t>
  </si>
  <si>
    <t>HSS7X4X3/8</t>
  </si>
  <si>
    <t>HSS7X4X5/16</t>
  </si>
  <si>
    <t>HSS7X4X1/4</t>
  </si>
  <si>
    <t>HSS7X4X3/16</t>
  </si>
  <si>
    <t>HSS7X4X1/8</t>
  </si>
  <si>
    <t>HSS7X3X1/2</t>
  </si>
  <si>
    <t>HSS7X3X3/8</t>
  </si>
  <si>
    <t>HSS7X3X5/16</t>
  </si>
  <si>
    <t>HSS7X3X1/4</t>
  </si>
  <si>
    <t>HSS7X3X3/16</t>
  </si>
  <si>
    <t>HSS7X3X1/8</t>
  </si>
  <si>
    <t>HSS7X2X1/4</t>
  </si>
  <si>
    <t>HSS7X2X3/16</t>
  </si>
  <si>
    <t>HSS7X2X1/8</t>
  </si>
  <si>
    <t>HSS6X6X5/8</t>
  </si>
  <si>
    <t>HSS6X6X1/2</t>
  </si>
  <si>
    <t>HSS6X6X3/8</t>
  </si>
  <si>
    <t>HSS6X6X5/16</t>
  </si>
  <si>
    <t>HSS6X6X1/4</t>
  </si>
  <si>
    <t>HSS6X6X3/16</t>
  </si>
  <si>
    <t>HSS6X6X1/8</t>
  </si>
  <si>
    <t>HSS6X5X1/2</t>
  </si>
  <si>
    <t>HSS6X5X3/8</t>
  </si>
  <si>
    <t>HSS6X5X5/16</t>
  </si>
  <si>
    <t>HSS6X5X1/4</t>
  </si>
  <si>
    <t>HSS6X5X3/16</t>
  </si>
  <si>
    <t>HSS6X5X1/8</t>
  </si>
  <si>
    <t>HSS6X4X1/2</t>
  </si>
  <si>
    <t>HSS6X4X3/8</t>
  </si>
  <si>
    <t>HSS6X4X5/16</t>
  </si>
  <si>
    <t>HSS6X4X1/4</t>
  </si>
  <si>
    <t>HSS6X4X3/16</t>
  </si>
  <si>
    <t>HSS6X4X1/8</t>
  </si>
  <si>
    <t>HSS6X3X1/2</t>
  </si>
  <si>
    <t>HSS6X3X3/8</t>
  </si>
  <si>
    <t>HSS6X3X5/16</t>
  </si>
  <si>
    <t>HSS6X3X1/4</t>
  </si>
  <si>
    <t>HSS6X3X3/16</t>
  </si>
  <si>
    <t>HSS6X3X1/8</t>
  </si>
  <si>
    <t>HSS6X2X3/8</t>
  </si>
  <si>
    <t>HSS6X2X5/16</t>
  </si>
  <si>
    <t>HSS6X2X1/4</t>
  </si>
  <si>
    <t>HSS6X2X3/16</t>
  </si>
  <si>
    <t>HSS6X2X1/8</t>
  </si>
  <si>
    <t>HSS5-1/2X5-1/2X3/8</t>
  </si>
  <si>
    <t>HSS5-1/2X5-1/2X5/16</t>
  </si>
  <si>
    <t>HSS5-1/2X5-1/2X1/4</t>
  </si>
  <si>
    <t>HSS5-1/2X5-1/2X3/16</t>
  </si>
  <si>
    <t>HSS5-1/2X5-1/2X1/8</t>
  </si>
  <si>
    <t>HSS5X5X1/2</t>
  </si>
  <si>
    <t>HSS5X5X3/8</t>
  </si>
  <si>
    <t>HSS5X5X5/16</t>
  </si>
  <si>
    <t>HSS5X5X1/4</t>
  </si>
  <si>
    <t>HSS5X5X3/16</t>
  </si>
  <si>
    <t>HSS5X5X1/8</t>
  </si>
  <si>
    <t>HSS5X4X1/2</t>
  </si>
  <si>
    <t>HSS5X4X3/8</t>
  </si>
  <si>
    <t>HSS5X4X5/16</t>
  </si>
  <si>
    <t>HSS5X4X1/4</t>
  </si>
  <si>
    <t>HSS5X4X3/16</t>
  </si>
  <si>
    <t>HSS5X4X1/8</t>
  </si>
  <si>
    <t>HSS5X3X1/2</t>
  </si>
  <si>
    <t>HSS5X3X3/8</t>
  </si>
  <si>
    <t>HSS5X3X5/16</t>
  </si>
  <si>
    <t>HSS5X3X1/4</t>
  </si>
  <si>
    <t>HSS5X3X3/16</t>
  </si>
  <si>
    <t>HSS5X3X1/8</t>
  </si>
  <si>
    <t>HSS5X2-1/2X1/4</t>
  </si>
  <si>
    <t>HSS5X2-1/2X3/16</t>
  </si>
  <si>
    <t>HSS5X2-1/2X1/8</t>
  </si>
  <si>
    <t>HSS5X2X3/8</t>
  </si>
  <si>
    <t>HSS5X2X5/16</t>
  </si>
  <si>
    <t>HSS5X2X1/4</t>
  </si>
  <si>
    <t>HSS5X2X3/16</t>
  </si>
  <si>
    <t>HSS5X2X1/8</t>
  </si>
  <si>
    <t>HSS4-1/2X4-1/2X1/2</t>
  </si>
  <si>
    <t>HSS4-1/2X4-1/2X3/8</t>
  </si>
  <si>
    <t>HSS4-1/2X4-1/2X5/16</t>
  </si>
  <si>
    <t>HSS4-1/2X4-1/2X1/4</t>
  </si>
  <si>
    <t>HSS4-1/2X4-1/2X3/16</t>
  </si>
  <si>
    <t>HSS4-1/2X4-1/2X1/8</t>
  </si>
  <si>
    <t>HSS4X4X1/2</t>
  </si>
  <si>
    <t>HSS4X4X3/8</t>
  </si>
  <si>
    <t>HSS4X4X5/16</t>
  </si>
  <si>
    <t>HSS4X4X1/4</t>
  </si>
  <si>
    <t>HSS4X4X3/16</t>
  </si>
  <si>
    <t>HSS4X4X1/8</t>
  </si>
  <si>
    <t>HSS4X3X3/8</t>
  </si>
  <si>
    <t>HSS4X3X5/16</t>
  </si>
  <si>
    <t>HSS4X3X1/4</t>
  </si>
  <si>
    <t>HSS4X3X3/16</t>
  </si>
  <si>
    <t>HSS4X3X1/8</t>
  </si>
  <si>
    <t>HSS4X2-1/2X3/8</t>
  </si>
  <si>
    <t>HSS4X2-1/2X5/16</t>
  </si>
  <si>
    <t>HSS4X2-1/2X1/4</t>
  </si>
  <si>
    <t>HSS4X2-1/2X3/16</t>
  </si>
  <si>
    <t>HSS4X2-1/2X1/8</t>
  </si>
  <si>
    <t>HSS4X2X3/8</t>
  </si>
  <si>
    <t>HSS4X2X5/16</t>
  </si>
  <si>
    <t>HSS4X2X1/4</t>
  </si>
  <si>
    <t>HSS4X2X3/16</t>
  </si>
  <si>
    <t>HSS4X2X1/8</t>
  </si>
  <si>
    <t>HSS3-1/2X2-1/2X3/8</t>
  </si>
  <si>
    <t>HSS3-1/2X2-1/2X5/16</t>
  </si>
  <si>
    <t>HSS3-1/2X2-1/2X1/4</t>
  </si>
  <si>
    <t>HSS3-1/2X2-1/2X3/16</t>
  </si>
  <si>
    <t>HSS3-1/2X2-1/2X1/8</t>
  </si>
  <si>
    <t>HSS3-1/2X3-1/2X3/8</t>
  </si>
  <si>
    <t>HSS3-1/2X3-1/2X5/16</t>
  </si>
  <si>
    <t>HSS3-1/2X3-1/2X1/4</t>
  </si>
  <si>
    <t>HSS3-1/2X3-1/2X3/16</t>
  </si>
  <si>
    <t>HSS3-1/2X3-1/2X1/8</t>
  </si>
  <si>
    <t>HSS3-1/2X2X1/4</t>
  </si>
  <si>
    <t>HSS3-1/2X2X3/16</t>
  </si>
  <si>
    <t>HSS3-1/2X2X1/8</t>
  </si>
  <si>
    <t>HSS3-1/2X1-1/2X1/4</t>
  </si>
  <si>
    <t>HSS3-1/2X1-1/2X3/16</t>
  </si>
  <si>
    <t>HSS3-1/2X1-1/2X1/8</t>
  </si>
  <si>
    <t>HSS3X3X3/8</t>
  </si>
  <si>
    <t>HSS3X3X5/16</t>
  </si>
  <si>
    <t>HSS3X3X1/4</t>
  </si>
  <si>
    <t>HSS3X3X3/16</t>
  </si>
  <si>
    <t>HSS3X3X1/8</t>
  </si>
  <si>
    <t>HSS3X2-1/2X5/16</t>
  </si>
  <si>
    <t>HSS3X2-1/2X1/4</t>
  </si>
  <si>
    <t>HSS3X2-1/2X3/16</t>
  </si>
  <si>
    <t>HSS3X2-1/2X1/8</t>
  </si>
  <si>
    <t>HSS3X2X5/16</t>
  </si>
  <si>
    <t>HSS3X2X1/4</t>
  </si>
  <si>
    <t>HSS3X2X3/16</t>
  </si>
  <si>
    <t>HSS3X2X1/8</t>
  </si>
  <si>
    <t>HSS3X1-1/2X1/4</t>
  </si>
  <si>
    <t>HSS3X1-1/2X3/16</t>
  </si>
  <si>
    <t>HSS3X1-1/2X1/8</t>
  </si>
  <si>
    <t>HSS3X1X3/16</t>
  </si>
  <si>
    <t>HSS3X1X1/8</t>
  </si>
  <si>
    <t>HSS2-1/2X2-1/2X5/16</t>
  </si>
  <si>
    <t>HSS2-1/2X2-1/2X1/4</t>
  </si>
  <si>
    <t>HSS2-1/2X2-1/2X3/16</t>
  </si>
  <si>
    <t>HSS2-1/2X2-1/2X1/8</t>
  </si>
  <si>
    <t>HSS2-1/2X2X1/4</t>
  </si>
  <si>
    <t>HSS2-1/2X2X3/16</t>
  </si>
  <si>
    <t>HSS2-1/2X2X1/8</t>
  </si>
  <si>
    <t>HSS2-1/2X1-1/2X1/4</t>
  </si>
  <si>
    <t>HSS2-1/2X1-1/2X3/16</t>
  </si>
  <si>
    <t>HSS2-1/2X1-1/2X1/8</t>
  </si>
  <si>
    <t>HSS2-1/2X1X3/16</t>
  </si>
  <si>
    <t>HSS2-1/2X1X1/8</t>
  </si>
  <si>
    <t>HSS2-1/4X2-1/4X1/4</t>
  </si>
  <si>
    <t>HSS2-1/4X2-1/4X3/16</t>
  </si>
  <si>
    <t>HSS2-1/4X2-1/4X1/8</t>
  </si>
  <si>
    <t>HSS2-1/4X2X3/16</t>
  </si>
  <si>
    <t>HSS2-1/4X2X1/8</t>
  </si>
  <si>
    <t>HSS2X2X1/4</t>
  </si>
  <si>
    <t>HSS2X2X3/16</t>
  </si>
  <si>
    <t>HSS2X2X1/8</t>
  </si>
  <si>
    <t>HSS2X1-1/2X3/16</t>
  </si>
  <si>
    <t>HSS2X1-1/2X1/8</t>
  </si>
  <si>
    <t>HSS2X1X3/16</t>
  </si>
  <si>
    <t>HSS2X1X1/8</t>
  </si>
  <si>
    <t>OD</t>
  </si>
  <si>
    <t>HSS20X0.500</t>
  </si>
  <si>
    <t>HSS20X0.375</t>
  </si>
  <si>
    <t>HSS18X0.500</t>
  </si>
  <si>
    <t>HSS18X0.375</t>
  </si>
  <si>
    <t>HSS16X0.625</t>
  </si>
  <si>
    <t>HSS16X0.500</t>
  </si>
  <si>
    <t>HSS16X0.438</t>
  </si>
  <si>
    <t>HSS16X0.375</t>
  </si>
  <si>
    <t>HSS16X0.312</t>
  </si>
  <si>
    <t>HSS16X0.250</t>
  </si>
  <si>
    <t>HSS14X0.625</t>
  </si>
  <si>
    <t>HSS14X0.500</t>
  </si>
  <si>
    <t>HSS14X0.375</t>
  </si>
  <si>
    <t>HSS14X0.312</t>
  </si>
  <si>
    <t>HSS14X0.250</t>
  </si>
  <si>
    <t>HSS12.750X0.500</t>
  </si>
  <si>
    <t>HSS12.750X0.375</t>
  </si>
  <si>
    <t>HSS12.750X0.250</t>
  </si>
  <si>
    <t>HSS10.750X0.500</t>
  </si>
  <si>
    <t>HSS10.750X0.375</t>
  </si>
  <si>
    <t>HSS10.750X0.250</t>
  </si>
  <si>
    <t>HSS10X0.625</t>
  </si>
  <si>
    <t>HSS10X0.500</t>
  </si>
  <si>
    <t>HSS10X0.375</t>
  </si>
  <si>
    <t>HSS10X0.312</t>
  </si>
  <si>
    <t>HSS10X0.250</t>
  </si>
  <si>
    <t>HSS10X0.188</t>
  </si>
  <si>
    <t>HSS9.625X0.500</t>
  </si>
  <si>
    <t>HSS9.625X0.375</t>
  </si>
  <si>
    <t>HSS9.625X0.312</t>
  </si>
  <si>
    <t>HSS9.625X0.250</t>
  </si>
  <si>
    <t>HSS9.625X0.188</t>
  </si>
  <si>
    <t>HSS8.625X0.625</t>
  </si>
  <si>
    <t>HSS8.625X0.500</t>
  </si>
  <si>
    <t>HSS8.625X0.375</t>
  </si>
  <si>
    <t>HSS8.625X0.322</t>
  </si>
  <si>
    <t>HSS8.625X0.250</t>
  </si>
  <si>
    <t>HSS8.625X0.188</t>
  </si>
  <si>
    <t>HSS7.625X0.375</t>
  </si>
  <si>
    <t>HSS7.625X0.328</t>
  </si>
  <si>
    <t>HSS7.500X0.500</t>
  </si>
  <si>
    <t>HSS7.500X0.375</t>
  </si>
  <si>
    <t>HSS7.500X0.312</t>
  </si>
  <si>
    <t>HSS7.500X0.250</t>
  </si>
  <si>
    <t>HSS7.500X0.188</t>
  </si>
  <si>
    <t>HSS7X0.500</t>
  </si>
  <si>
    <t>HSS7X0.375</t>
  </si>
  <si>
    <t>HSS7X0.312</t>
  </si>
  <si>
    <t>HSS7X0.250</t>
  </si>
  <si>
    <t>HSS7X0.188</t>
  </si>
  <si>
    <t>HSS7X0.125</t>
  </si>
  <si>
    <t>HSS6.875X0.500</t>
  </si>
  <si>
    <t>HSS6.875X0.375</t>
  </si>
  <si>
    <t>HSS6.875X0.312</t>
  </si>
  <si>
    <t>HSS6.875X0.250</t>
  </si>
  <si>
    <t>HSS6.875X0.188</t>
  </si>
  <si>
    <t>HSS6.625X0.500</t>
  </si>
  <si>
    <t>HSS6.625X0.432</t>
  </si>
  <si>
    <t>HSS6.625X0.375</t>
  </si>
  <si>
    <t>HSS6.625X0.312</t>
  </si>
  <si>
    <t>HSS6.625X0.280</t>
  </si>
  <si>
    <t>HSS6.625X0.250</t>
  </si>
  <si>
    <t>HSS6.625X0.188</t>
  </si>
  <si>
    <t>HSS6.625X0.125</t>
  </si>
  <si>
    <t>HSS6X0.500</t>
  </si>
  <si>
    <t>HSS6X0.375</t>
  </si>
  <si>
    <t>HSS6X0.312</t>
  </si>
  <si>
    <t>HSS6X0.280</t>
  </si>
  <si>
    <t>HSS6X0.250</t>
  </si>
  <si>
    <t>HSS6X0.188</t>
  </si>
  <si>
    <t>HSS6X0.125</t>
  </si>
  <si>
    <t>HSS5.563X0.500</t>
  </si>
  <si>
    <t>HSS5.563X0.375</t>
  </si>
  <si>
    <t>HSS5.563X0.258</t>
  </si>
  <si>
    <t>HSS5.563X0.188</t>
  </si>
  <si>
    <t>HSS5.563X0.134</t>
  </si>
  <si>
    <t>HSS5.500X0.500</t>
  </si>
  <si>
    <t>HSS5.500X0.375</t>
  </si>
  <si>
    <t>HSS5.500X0.258</t>
  </si>
  <si>
    <t>HSS5X0.500</t>
  </si>
  <si>
    <t>HSS5X0.375</t>
  </si>
  <si>
    <t>HSS5X0.312</t>
  </si>
  <si>
    <t>HSS5X0.258</t>
  </si>
  <si>
    <t>HSS5X0.250</t>
  </si>
  <si>
    <t>HSS5X0.188</t>
  </si>
  <si>
    <t>HSS5X0.125</t>
  </si>
  <si>
    <t>HSS4.500X0.375</t>
  </si>
  <si>
    <t>HSS4.500X0.337</t>
  </si>
  <si>
    <t>HSS4.500X0.237</t>
  </si>
  <si>
    <t>HSS4.500X0.188</t>
  </si>
  <si>
    <t>HSS4.500X0.125</t>
  </si>
  <si>
    <t>HSS4X0.313</t>
  </si>
  <si>
    <t>HSS4X0.250</t>
  </si>
  <si>
    <t>HSS4X0.237</t>
  </si>
  <si>
    <t>HSS4X0.226</t>
  </si>
  <si>
    <t>HSS4X0.220</t>
  </si>
  <si>
    <t>HSS4X0.188</t>
  </si>
  <si>
    <t>HSS4X0.125</t>
  </si>
  <si>
    <t>HSS3.500X0.313</t>
  </si>
  <si>
    <t>HSS3.500X0.300</t>
  </si>
  <si>
    <t>HSS3.500X0.250</t>
  </si>
  <si>
    <t>HSS3.500X0.216</t>
  </si>
  <si>
    <t>HSS3.500X0.203</t>
  </si>
  <si>
    <t>HSS3.500X0.188</t>
  </si>
  <si>
    <t>HSS3.500X0.125</t>
  </si>
  <si>
    <t>HSS3X0.250</t>
  </si>
  <si>
    <t>HSS3X0.216</t>
  </si>
  <si>
    <t>HSS3X0.203</t>
  </si>
  <si>
    <t>HSS3X0.188</t>
  </si>
  <si>
    <t>HSS3X0.152</t>
  </si>
  <si>
    <t>HSS3X0.134</t>
  </si>
  <si>
    <t>HSS3X0.125</t>
  </si>
  <si>
    <t>HSS2.875X0.250</t>
  </si>
  <si>
    <t>HSS2.875X0.203</t>
  </si>
  <si>
    <t>HSS2.875X0.188</t>
  </si>
  <si>
    <t>HSS2.875X0.125</t>
  </si>
  <si>
    <t>HSS2.500X0.250</t>
  </si>
  <si>
    <t>HSS2.500X0.188</t>
  </si>
  <si>
    <t>HSS2.500X0.125</t>
  </si>
  <si>
    <t>HSS2.375X0.250</t>
  </si>
  <si>
    <t>HSS2.375X0.218</t>
  </si>
  <si>
    <t>HSS2.375X0.188</t>
  </si>
  <si>
    <t>HSS2.375X0.154</t>
  </si>
  <si>
    <t>HSS2.375X0.125</t>
  </si>
  <si>
    <t>HSS1.900X0.188</t>
  </si>
  <si>
    <t>HSS1.900X0.145</t>
  </si>
  <si>
    <t>HSS1.900X0.120</t>
  </si>
  <si>
    <t>HSS1.660X0.140</t>
  </si>
  <si>
    <t>Pipe1/2STD</t>
  </si>
  <si>
    <t>Pipe3/4STD</t>
  </si>
  <si>
    <t>Pipe1STD</t>
  </si>
  <si>
    <t>Pipe1-1/4STD</t>
  </si>
  <si>
    <t>Pipe1-1/2STD</t>
  </si>
  <si>
    <t xml:space="preserve">Pipe2STD </t>
  </si>
  <si>
    <t>Pipe2-1/2STD</t>
  </si>
  <si>
    <t>Pipe3STD</t>
  </si>
  <si>
    <t xml:space="preserve">Pipe3-1/2STD </t>
  </si>
  <si>
    <t>Pipe4STD</t>
  </si>
  <si>
    <t>Pipe5STD</t>
  </si>
  <si>
    <t>Pipe6STD</t>
  </si>
  <si>
    <t>Pipe8STD</t>
  </si>
  <si>
    <t>Pipe10STD</t>
  </si>
  <si>
    <t>Pipe12STD</t>
  </si>
  <si>
    <t>Pipe1/2XS</t>
  </si>
  <si>
    <t>Pipe3/4XS</t>
  </si>
  <si>
    <t>Pipe1XS</t>
  </si>
  <si>
    <t>Pipe1-1/4XS</t>
  </si>
  <si>
    <t>Pipe1-1/2XS</t>
  </si>
  <si>
    <t>Pipe2XS</t>
  </si>
  <si>
    <t>Pipe2-1/2XS</t>
  </si>
  <si>
    <t>Pipe3XS</t>
  </si>
  <si>
    <t>Pipe3-1/2XS</t>
  </si>
  <si>
    <t>Pipe4XS</t>
  </si>
  <si>
    <t>Pipe5XS</t>
  </si>
  <si>
    <t>Pipe6XS</t>
  </si>
  <si>
    <t>Pipe8XS</t>
  </si>
  <si>
    <t>Pipe10XS</t>
  </si>
  <si>
    <t>Pipe12XS</t>
  </si>
  <si>
    <t>Pipe2XXS</t>
  </si>
  <si>
    <t>Pipe2-1/2XXS</t>
  </si>
  <si>
    <t>Pipe3XXS</t>
  </si>
  <si>
    <t>Pipe4XXS</t>
  </si>
  <si>
    <t>Pipe5XXS</t>
  </si>
  <si>
    <t>Pipe6XXS</t>
  </si>
  <si>
    <t>Pipe8XXS</t>
  </si>
  <si>
    <t>Using Table XXV1 from AISC 9th Ed. Manual (ASD) - page 4-82</t>
  </si>
  <si>
    <t>Stress Ratio:</t>
  </si>
  <si>
    <t>ECCENTRIC LOADS ON HORIZONTAL PARALLEL WELD GROUPS</t>
  </si>
  <si>
    <t>Co = C (from AISC Table XX)</t>
  </si>
  <si>
    <t>Using Table XXII from AISC 9th Ed. Manual (ASD) - page 4-78</t>
  </si>
  <si>
    <t>aL =</t>
  </si>
  <si>
    <t>a = (aL)/L</t>
  </si>
  <si>
    <t>aL = (Dist. to Pv)-(xL)</t>
  </si>
  <si>
    <t>k = (kL)/L</t>
  </si>
  <si>
    <t>TABLE XXIII Coefficients, "C" (AISC Manual - page 4-79)</t>
  </si>
  <si>
    <t>yL =</t>
  </si>
  <si>
    <t>Vertical Weld Length =</t>
  </si>
  <si>
    <t>Interpolate for "C"</t>
  </si>
  <si>
    <t>k(table)</t>
  </si>
  <si>
    <t>k Index:</t>
  </si>
  <si>
    <t>a</t>
  </si>
  <si>
    <t>a Index:</t>
  </si>
  <si>
    <t>C values:</t>
  </si>
  <si>
    <t>ECCENTRIC LOADS ON VERTICAL PARALLEL WELD GROUPS</t>
  </si>
  <si>
    <t>1/16's</t>
  </si>
  <si>
    <t>kL = horizontal weld length</t>
  </si>
  <si>
    <t>ECCENTRIC LOADS ON C-SHAPED WELD GROUPS</t>
  </si>
  <si>
    <t>Vertical Load, Pv =</t>
  </si>
  <si>
    <t>deg.</t>
  </si>
  <si>
    <r>
      <t>Ca/Co = A/(SIN</t>
    </r>
    <r>
      <rPr>
        <sz val="10"/>
        <color indexed="8"/>
        <rFont val="Symbol"/>
        <family val="1"/>
        <charset val="2"/>
      </rPr>
      <t>q</t>
    </r>
    <r>
      <rPr>
        <sz val="10"/>
        <color indexed="8"/>
        <rFont val="Arial"/>
        <family val="2"/>
      </rPr>
      <t>+A*COS</t>
    </r>
    <r>
      <rPr>
        <sz val="10"/>
        <color indexed="8"/>
        <rFont val="Symbol"/>
        <family val="1"/>
        <charset val="2"/>
      </rPr>
      <t>q</t>
    </r>
    <r>
      <rPr>
        <sz val="10"/>
        <color indexed="8"/>
        <rFont val="Arial"/>
        <family val="2"/>
      </rPr>
      <t>) &gt;= 1.0</t>
    </r>
  </si>
  <si>
    <t>Ca = (Ca/Co)*Co</t>
  </si>
  <si>
    <t>C1 = coef. for electrode, use 1.0 for E70XX</t>
  </si>
  <si>
    <t>x</t>
  </si>
  <si>
    <t>L = horizontal weld length</t>
  </si>
  <si>
    <t>kL = spacing of horiz. welds</t>
  </si>
  <si>
    <t>TABLE XX Coefficients, "C" (AISC Manual - page 4-76)</t>
  </si>
  <si>
    <t>Job Number:</t>
  </si>
  <si>
    <t>Input Data:</t>
  </si>
  <si>
    <t>Results:</t>
  </si>
  <si>
    <t>kips</t>
  </si>
  <si>
    <t>Job Name:</t>
  </si>
  <si>
    <t>(interpolated from Table XXV)</t>
  </si>
  <si>
    <t>Co = C (from AISC Table XXVI)</t>
  </si>
  <si>
    <t>aL = dist. from Pv to C.G.</t>
  </si>
  <si>
    <t>(interpolated from Table XXI)</t>
  </si>
  <si>
    <t>P = SQRT(Pv^2+Ph^2)</t>
  </si>
  <si>
    <t>Horizontal  Load, Ph =</t>
  </si>
  <si>
    <t>C =</t>
  </si>
  <si>
    <t>C(max) = 0.928*(1+k)</t>
  </si>
  <si>
    <t>a =</t>
  </si>
  <si>
    <r>
      <t xml:space="preserve">Angle </t>
    </r>
    <r>
      <rPr>
        <sz val="10"/>
        <rFont val="Symbol"/>
        <family val="1"/>
        <charset val="2"/>
      </rPr>
      <t>q</t>
    </r>
    <r>
      <rPr>
        <sz val="10"/>
        <rFont val="Arial"/>
      </rPr>
      <t xml:space="preserve"> =</t>
    </r>
  </si>
  <si>
    <r>
      <t>q</t>
    </r>
    <r>
      <rPr>
        <sz val="10"/>
        <color indexed="8"/>
        <rFont val="Arial"/>
        <family val="2"/>
      </rPr>
      <t xml:space="preserve"> = 90-(ATAN(Pv/Ph))</t>
    </r>
  </si>
  <si>
    <t>Co = C (from AISC Table XXII)</t>
  </si>
  <si>
    <t>Dist. from Pv to C.G. =</t>
  </si>
  <si>
    <t>TABLE XIX Coefficients, "C" (AISC Manual - page 4-75)</t>
  </si>
  <si>
    <t>C(max) =</t>
  </si>
  <si>
    <t>C(max) = 0.928*(1+2*k)</t>
  </si>
  <si>
    <t>A = C(max)/Co &gt;= 1.0</t>
  </si>
  <si>
    <t>Ca/Co =</t>
  </si>
  <si>
    <t>kL = spacing of vertical welds</t>
  </si>
  <si>
    <t>D = number of 1/16's of an inch (weld size)</t>
  </si>
  <si>
    <t>xL = ((kL)^2/(2*kL+L))</t>
  </si>
  <si>
    <t>(interpolated from Table XXII)</t>
  </si>
  <si>
    <t>k =</t>
  </si>
  <si>
    <t>Using Table XX from AISC 9th Ed. Manual (ASD) - page 4-76</t>
  </si>
  <si>
    <t>Horiz. Weld Length =</t>
  </si>
  <si>
    <t>q</t>
  </si>
  <si>
    <t>Co = C (from AISC Table XXI)</t>
  </si>
  <si>
    <t>Ca =</t>
  </si>
  <si>
    <t>TABLE XXVI Coefficients, "C" (AISC Manual - page 4--82)</t>
  </si>
  <si>
    <r>
      <t xml:space="preserve">Weld Size, </t>
    </r>
    <r>
      <rPr>
        <sz val="10"/>
        <color indexed="8"/>
        <rFont val="Symbol"/>
        <family val="1"/>
        <charset val="2"/>
      </rPr>
      <t>w</t>
    </r>
    <r>
      <rPr>
        <sz val="10"/>
        <color indexed="8"/>
        <rFont val="Arial"/>
        <family val="2"/>
      </rPr>
      <t xml:space="preserve"> =</t>
    </r>
  </si>
  <si>
    <r>
      <t xml:space="preserve">Angle </t>
    </r>
    <r>
      <rPr>
        <sz val="10"/>
        <color indexed="8"/>
        <rFont val="Symbol"/>
        <family val="1"/>
        <charset val="2"/>
      </rPr>
      <t>q</t>
    </r>
    <r>
      <rPr>
        <sz val="10"/>
        <color indexed="8"/>
        <rFont val="Arial"/>
        <family val="2"/>
      </rPr>
      <t xml:space="preserve"> =</t>
    </r>
  </si>
  <si>
    <t>No</t>
  </si>
  <si>
    <t>k</t>
  </si>
  <si>
    <t xml:space="preserve">                </t>
  </si>
  <si>
    <t>TABLE XXIV Coefficients, "C" (AISC Manual - page 4-80)</t>
  </si>
  <si>
    <t>TABLE XXV Coefficients, "C" (AISC Manual - page 4--81)</t>
  </si>
  <si>
    <t>y</t>
  </si>
  <si>
    <t>Co = C (from AISC Table XXV)</t>
  </si>
  <si>
    <t>P = allowable load on eccentric weld group (kips)</t>
  </si>
  <si>
    <t>C = coefficient interpolated from Table XIX</t>
  </si>
  <si>
    <t xml:space="preserve">        (kL)/2</t>
  </si>
  <si>
    <r>
      <t>q</t>
    </r>
    <r>
      <rPr>
        <sz val="10"/>
        <color indexed="12"/>
        <rFont val="Arial"/>
        <family val="2"/>
      </rPr>
      <t xml:space="preserve"> = 90-(ATAN(Pv/Ph))</t>
    </r>
  </si>
  <si>
    <t>Dist. from Pv to Weld =</t>
  </si>
  <si>
    <t>L=</t>
  </si>
  <si>
    <t>Co =</t>
  </si>
  <si>
    <t>Yes</t>
  </si>
  <si>
    <t>Using Table XXI from AISC 9th Ed. Manual (ASD) - page 4-77</t>
  </si>
  <si>
    <t>TABLE XXII Coefficients, "C" (AISC Manual - page 4-78)</t>
  </si>
  <si>
    <t>Using Table XIX from AISC 9th Ed. Manual (ASD) - page 4-75</t>
  </si>
  <si>
    <t>TABLE XXI Coefficients, "C" (AISC Manual - page 4-77)</t>
  </si>
  <si>
    <t>kL = vertical weld length</t>
  </si>
  <si>
    <t>ECCENTRIC LOADS ON L-SHAPED WELD GROUPS</t>
  </si>
  <si>
    <t>(interpolated from Table XXVI)</t>
  </si>
  <si>
    <t>C(max) = 0.928*(2)</t>
  </si>
  <si>
    <t>C(max) = 0.928*(2+2*k)</t>
  </si>
  <si>
    <t>(interpolated from Table XXIII)</t>
  </si>
  <si>
    <t>in.</t>
  </si>
  <si>
    <t>Row No.:</t>
  </si>
  <si>
    <t>SUMMARY OF CHECKS:</t>
  </si>
  <si>
    <t xml:space="preserve"> C.G.</t>
  </si>
  <si>
    <t xml:space="preserve">    C.G.</t>
  </si>
  <si>
    <t>xL = (kL)^2/(2*(kL+L))</t>
  </si>
  <si>
    <t>L = vertical weld length</t>
  </si>
  <si>
    <t>Weld Size and Length:</t>
  </si>
  <si>
    <t>kL =</t>
  </si>
  <si>
    <t>CALCULATIONS:</t>
  </si>
  <si>
    <t>(interpolated from Table XX)</t>
  </si>
  <si>
    <r>
      <t xml:space="preserve">Angle </t>
    </r>
    <r>
      <rPr>
        <sz val="10"/>
        <color indexed="12"/>
        <rFont val="Symbol"/>
        <family val="1"/>
        <charset val="2"/>
      </rPr>
      <t>q</t>
    </r>
    <r>
      <rPr>
        <sz val="10"/>
        <color indexed="12"/>
        <rFont val="Arial"/>
        <family val="2"/>
      </rPr>
      <t xml:space="preserve"> =</t>
    </r>
  </si>
  <si>
    <t>C1 =</t>
  </si>
  <si>
    <t>C1 = 1.0 for E70XX electrode</t>
  </si>
  <si>
    <t>Spacing of Welds =</t>
  </si>
  <si>
    <t>P =</t>
  </si>
  <si>
    <t>A =</t>
  </si>
  <si>
    <t>Co = C (from AISC Table XXIII)</t>
  </si>
  <si>
    <t>L(req'd) =</t>
  </si>
  <si>
    <t>C1 = coefficient for electrode, use 1.0 for E70XX</t>
  </si>
  <si>
    <t>yL = L^2/(2*(kL+L))</t>
  </si>
  <si>
    <t>D(req'd) =</t>
  </si>
  <si>
    <t>a(table)</t>
  </si>
  <si>
    <t>xL =</t>
  </si>
  <si>
    <t>L =</t>
  </si>
  <si>
    <r>
      <t xml:space="preserve">Weld Size, </t>
    </r>
    <r>
      <rPr>
        <sz val="10"/>
        <rFont val="Symbol"/>
        <family val="1"/>
        <charset val="2"/>
      </rPr>
      <t>w</t>
    </r>
    <r>
      <rPr>
        <sz val="10"/>
        <rFont val="Arial"/>
      </rPr>
      <t xml:space="preserve"> =</t>
    </r>
  </si>
  <si>
    <r>
      <t>Ca/Co = A/(SIN</t>
    </r>
    <r>
      <rPr>
        <sz val="10"/>
        <color indexed="12"/>
        <rFont val="Symbol"/>
        <family val="1"/>
        <charset val="2"/>
      </rPr>
      <t>q</t>
    </r>
    <r>
      <rPr>
        <sz val="10"/>
        <color indexed="12"/>
        <rFont val="Arial"/>
        <family val="2"/>
      </rPr>
      <t>+A*COS</t>
    </r>
    <r>
      <rPr>
        <sz val="10"/>
        <color indexed="12"/>
        <rFont val="Symbol"/>
        <family val="1"/>
        <charset val="2"/>
      </rPr>
      <t>q</t>
    </r>
    <r>
      <rPr>
        <sz val="10"/>
        <color indexed="12"/>
        <rFont val="Arial"/>
        <family val="2"/>
      </rPr>
      <t>) &gt;= 1.0</t>
    </r>
  </si>
  <si>
    <t>aL = (Dist. to Pv)+(xL)</t>
  </si>
  <si>
    <t>Use Special Case?</t>
  </si>
  <si>
    <t>Nomenclature:</t>
  </si>
  <si>
    <t>Using Table XXIII from AISC 9th Ed. Manual (ASD) - page 4-79</t>
  </si>
  <si>
    <t>Using Table XXIV from AISC 9th Ed. Manual (ASD) - page 4-80</t>
  </si>
  <si>
    <t>Using Table XXV from AISC 9th Ed. Manual (ASD) - page 4-81</t>
  </si>
  <si>
    <t>ECCENTRIC LOADS ON RECTANGULAR  WELD GROUPS</t>
  </si>
  <si>
    <t>Subject:</t>
  </si>
  <si>
    <t>Originator:</t>
  </si>
  <si>
    <t>Checker:</t>
  </si>
  <si>
    <r>
      <t>P = allowable load on eccentric weld group (</t>
    </r>
    <r>
      <rPr>
        <sz val="10"/>
        <rFont val="Arial"/>
        <family val="2"/>
      </rPr>
      <t>kips</t>
    </r>
    <r>
      <rPr>
        <sz val="10"/>
        <rFont val="Arial"/>
      </rPr>
      <t>)</t>
    </r>
  </si>
  <si>
    <r>
      <t xml:space="preserve">           </t>
    </r>
    <r>
      <rPr>
        <sz val="10"/>
        <color indexed="12"/>
        <rFont val="Symbol"/>
        <family val="1"/>
        <charset val="2"/>
      </rPr>
      <t>q</t>
    </r>
    <r>
      <rPr>
        <sz val="10"/>
        <color indexed="12"/>
        <rFont val="Arial"/>
        <family val="2"/>
      </rPr>
      <t xml:space="preserve"> =</t>
    </r>
  </si>
  <si>
    <t>WELD GROUP ANALYSIS</t>
  </si>
  <si>
    <t>Using the Elastic Method for up to 24 Total Welds</t>
  </si>
  <si>
    <t>Plot Scale Factors</t>
  </si>
  <si>
    <t>Weld Forces:</t>
  </si>
  <si>
    <t>X-axis</t>
  </si>
  <si>
    <t>Y-axis</t>
  </si>
  <si>
    <t>Weld No.:</t>
  </si>
  <si>
    <t>Y</t>
  </si>
  <si>
    <t>X</t>
  </si>
  <si>
    <t>L</t>
  </si>
  <si>
    <t>XC</t>
  </si>
  <si>
    <t>YC</t>
  </si>
  <si>
    <t>Ixo</t>
  </si>
  <si>
    <t>Iyo</t>
  </si>
  <si>
    <t>cx1</t>
  </si>
  <si>
    <t>cy1</t>
  </si>
  <si>
    <t>cx2</t>
  </si>
  <si>
    <t>cy2</t>
  </si>
  <si>
    <t>Fw(1)</t>
  </si>
  <si>
    <t>Fw(2)</t>
  </si>
  <si>
    <t>Weld #1</t>
  </si>
  <si>
    <t>Weld #2</t>
  </si>
  <si>
    <t>Description, Assumptions and Limitations:</t>
  </si>
  <si>
    <t>Weld #3</t>
  </si>
  <si>
    <t>Weld #4</t>
  </si>
  <si>
    <t>1.  This weld group analysis worksheet may be used for the analysis of weld groups using the "elastic" (vector)</t>
  </si>
  <si>
    <t>Number of Welds, Nw =</t>
  </si>
  <si>
    <t>Weld #5</t>
  </si>
  <si>
    <t xml:space="preserve">     method.  Specifically, the properties of the weld group are calculated, and then based upon the applied axial</t>
  </si>
  <si>
    <t>Weld Coordinates:</t>
  </si>
  <si>
    <t>Weld #6</t>
  </si>
  <si>
    <t xml:space="preserve">     and shear loadings, the resulting forces at both ends of the weld line/segment  are calculated.</t>
  </si>
  <si>
    <t>Start</t>
  </si>
  <si>
    <t>End</t>
  </si>
  <si>
    <t>Weld #7</t>
  </si>
  <si>
    <t>X1 (in.)</t>
  </si>
  <si>
    <t>Y1 (in.)</t>
  </si>
  <si>
    <t>X2 (in.)</t>
  </si>
  <si>
    <t>Y2 (in.)</t>
  </si>
  <si>
    <t>Weld #8</t>
  </si>
  <si>
    <t>Weld #9</t>
  </si>
  <si>
    <t>Weld #10</t>
  </si>
  <si>
    <t>Weld #11</t>
  </si>
  <si>
    <t>3.  This weld group worksheet uses the "elastic" (vector) method of analysis.  Welds are treated as "lines"</t>
  </si>
  <si>
    <t xml:space="preserve"> Weld #12</t>
  </si>
  <si>
    <t xml:space="preserve">     possessing a length, but no actual theoretical thickness.  All welds are assumed to contribute to the moment</t>
  </si>
  <si>
    <t>Weld #13</t>
  </si>
  <si>
    <t xml:space="preserve">     of inertia of the group, and the applied loads are linearly distributed among the welds based on the location of</t>
  </si>
  <si>
    <t>Weld #14</t>
  </si>
  <si>
    <t xml:space="preserve">     the welds from the centroidal axes. </t>
  </si>
  <si>
    <t>Weld #15</t>
  </si>
  <si>
    <t>4.  The weld group must be composed of straight lines/segments, but they all need not be connected.</t>
  </si>
  <si>
    <t>Weld #16</t>
  </si>
  <si>
    <t xml:space="preserve">     Circular or portions of a circular pattern weld may be adequately modeled by using a series of segments.</t>
  </si>
  <si>
    <t>Weld #17</t>
  </si>
  <si>
    <t>Version 2.3</t>
  </si>
  <si>
    <t xml:space="preserve">     (Note: see below for information on modeling a circular weld pattern and input data which may be copied.)</t>
  </si>
  <si>
    <t>Weld #18</t>
  </si>
  <si>
    <t>5.  Each weld line/segment is defined by its own start (X1,Y1) and end (X2,Y2) sets of coordinates.</t>
  </si>
  <si>
    <t>Weld #19</t>
  </si>
  <si>
    <t xml:space="preserve">     Coordinates defining weld lines/segments can be input irrespective of direction.  That is, a weld   </t>
  </si>
  <si>
    <t>Weld #20</t>
  </si>
  <si>
    <t xml:space="preserve">     line/segment may be defined from left-to-right and top-to-bottom or vice-versa.</t>
  </si>
  <si>
    <t>Weld #21</t>
  </si>
  <si>
    <t>6.  This weld group worksheet assumes an orthogonal X-Y-Z coordinate system.  All welds and loads points</t>
  </si>
  <si>
    <t>Weld #22</t>
  </si>
  <si>
    <t xml:space="preserve">     MUST BE located in the "positive" (1st) quadrant.  "Negative" weld or load point location coordinates are NOT</t>
  </si>
  <si>
    <t>Weld #23</t>
  </si>
  <si>
    <t xml:space="preserve">     permitted.  "Right-Hand-Rule" sign convention is used for all applied forces and moments at load point</t>
  </si>
  <si>
    <t>Weld #24</t>
  </si>
  <si>
    <t xml:space="preserve">     locations.</t>
  </si>
  <si>
    <t xml:space="preserve">           +Y</t>
  </si>
  <si>
    <t xml:space="preserve">    1=Start</t>
  </si>
  <si>
    <t xml:space="preserve">7.  The welds and load points can be numbered in any desired order.  However, the user should make sure to   </t>
  </si>
  <si>
    <t xml:space="preserve">    2=End</t>
  </si>
  <si>
    <t>Weld Group Properties:</t>
  </si>
  <si>
    <t>Load Point Data:</t>
  </si>
  <si>
    <t xml:space="preserve">     either clear the contents of all spreadsheet cells that are not used for input or those cell values should be</t>
  </si>
  <si>
    <t xml:space="preserve">     1      2</t>
  </si>
  <si>
    <t>Lw =</t>
  </si>
  <si>
    <t>Point #1</t>
  </si>
  <si>
    <t>Point #2</t>
  </si>
  <si>
    <t>Point #3</t>
  </si>
  <si>
    <t>Point #4</t>
  </si>
  <si>
    <t xml:space="preserve">     input = 0.  All welds and load points MUST BE input in proper numerical sequence with no "breaks" in the</t>
  </si>
  <si>
    <t xml:space="preserve">  2</t>
  </si>
  <si>
    <r>
      <t>S</t>
    </r>
    <r>
      <rPr>
        <sz val="10"/>
        <color indexed="12"/>
        <rFont val="Arial"/>
        <family val="2"/>
      </rPr>
      <t xml:space="preserve"> XC =</t>
    </r>
  </si>
  <si>
    <t>dx</t>
  </si>
  <si>
    <t xml:space="preserve">     numerical order of input data.</t>
  </si>
  <si>
    <r>
      <t>S</t>
    </r>
    <r>
      <rPr>
        <sz val="10"/>
        <color indexed="12"/>
        <rFont val="Arial"/>
        <family val="2"/>
      </rPr>
      <t xml:space="preserve"> YC =</t>
    </r>
  </si>
  <si>
    <t>dy</t>
  </si>
  <si>
    <t>8.  This weld group worksheet calculates the required weld size in terms of both fillet leg and effective throat</t>
  </si>
  <si>
    <r>
      <t>S</t>
    </r>
    <r>
      <rPr>
        <sz val="10"/>
        <color indexed="12"/>
        <rFont val="Arial"/>
        <family val="2"/>
      </rPr>
      <t xml:space="preserve"> Ixo =</t>
    </r>
  </si>
  <si>
    <t>Mx(Pz)</t>
  </si>
  <si>
    <t xml:space="preserve">     dimensions, based on the assumption of using E70XX welding electrodes.  The user should check AISC</t>
  </si>
  <si>
    <r>
      <t>S</t>
    </r>
    <r>
      <rPr>
        <sz val="10"/>
        <color indexed="12"/>
        <rFont val="Arial"/>
        <family val="2"/>
      </rPr>
      <t xml:space="preserve"> Iyo =</t>
    </r>
  </si>
  <si>
    <t>My(Pz)</t>
  </si>
  <si>
    <t xml:space="preserve">     specification for limitations on minimum and maximum weld sizes.</t>
  </si>
  <si>
    <t xml:space="preserve">  1</t>
  </si>
  <si>
    <t>Xc =</t>
  </si>
  <si>
    <t>Mx(Py)</t>
  </si>
  <si>
    <t xml:space="preserve">    1             2</t>
  </si>
  <si>
    <t>Yc =</t>
  </si>
  <si>
    <t>My(Px)</t>
  </si>
  <si>
    <t>No. of Load Points =</t>
  </si>
  <si>
    <t xml:space="preserve">                  0</t>
  </si>
  <si>
    <t xml:space="preserve"> +X</t>
  </si>
  <si>
    <t>Ix =</t>
  </si>
  <si>
    <t>Mz(Px)</t>
  </si>
  <si>
    <t xml:space="preserve">   Origin</t>
  </si>
  <si>
    <t>Iy =</t>
  </si>
  <si>
    <t>Mz(Py)</t>
  </si>
  <si>
    <t xml:space="preserve">   +Z</t>
  </si>
  <si>
    <t>J =</t>
  </si>
  <si>
    <t>X-Coordinate (in.) =</t>
  </si>
  <si>
    <t>NOMENCLATURE</t>
  </si>
  <si>
    <t>Y-Coordinate (in.) =</t>
  </si>
  <si>
    <r>
      <t>S</t>
    </r>
    <r>
      <rPr>
        <sz val="10"/>
        <color indexed="12"/>
        <rFont val="Arial"/>
        <family val="2"/>
      </rPr>
      <t xml:space="preserve"> Pz =</t>
    </r>
  </si>
  <si>
    <t>Z-Coordinate (in.) =</t>
  </si>
  <si>
    <r>
      <t>S</t>
    </r>
    <r>
      <rPr>
        <sz val="10"/>
        <color indexed="12"/>
        <rFont val="Arial"/>
        <family val="2"/>
      </rPr>
      <t xml:space="preserve"> Px =</t>
    </r>
  </si>
  <si>
    <t>Axial Load, Pz (k) =</t>
  </si>
  <si>
    <r>
      <t>S</t>
    </r>
    <r>
      <rPr>
        <sz val="10"/>
        <color indexed="12"/>
        <rFont val="Arial"/>
        <family val="2"/>
      </rPr>
      <t xml:space="preserve"> Py =</t>
    </r>
  </si>
  <si>
    <t>Shear Load, Px (k) =</t>
  </si>
  <si>
    <r>
      <t>S</t>
    </r>
    <r>
      <rPr>
        <sz val="10"/>
        <color indexed="12"/>
        <rFont val="Arial"/>
        <family val="2"/>
      </rPr>
      <t xml:space="preserve"> Mx =</t>
    </r>
  </si>
  <si>
    <t>in-k</t>
  </si>
  <si>
    <t>Shear Load, Py (k) =</t>
  </si>
  <si>
    <r>
      <t>S</t>
    </r>
    <r>
      <rPr>
        <sz val="10"/>
        <color indexed="12"/>
        <rFont val="Arial"/>
        <family val="2"/>
      </rPr>
      <t xml:space="preserve"> My =</t>
    </r>
  </si>
  <si>
    <t>Moment, Mx (in-k) =</t>
  </si>
  <si>
    <r>
      <t>S</t>
    </r>
    <r>
      <rPr>
        <sz val="10"/>
        <color indexed="12"/>
        <rFont val="Arial"/>
        <family val="2"/>
      </rPr>
      <t xml:space="preserve"> Mz =</t>
    </r>
  </si>
  <si>
    <t>Moment, My (in-k) =</t>
  </si>
  <si>
    <t>Moment, Mz (in-k) =</t>
  </si>
  <si>
    <t>(continued)</t>
  </si>
  <si>
    <t>Weld #12</t>
  </si>
  <si>
    <t>Input which can be copied</t>
  </si>
  <si>
    <t>(See notes below)</t>
  </si>
  <si>
    <t>Weld Forces (k/in.)</t>
  </si>
  <si>
    <t>Required E70XX Weld Size:</t>
  </si>
  <si>
    <t>Fw(max) =</t>
  </si>
  <si>
    <t>kips/in.</t>
  </si>
  <si>
    <t>Fillet (leg) =</t>
  </si>
  <si>
    <t>Throat (eff) =</t>
  </si>
  <si>
    <r>
      <t>Note:</t>
    </r>
    <r>
      <rPr>
        <b/>
        <sz val="10"/>
        <color indexed="12"/>
        <rFont val="Arial"/>
        <family val="2"/>
      </rPr>
      <t xml:space="preserve">  The following may be used to facilitate input of weld line coordinates for a circular weld:</t>
    </r>
  </si>
  <si>
    <r>
      <t>S</t>
    </r>
    <r>
      <rPr>
        <u/>
        <sz val="10"/>
        <color indexed="12"/>
        <rFont val="Arial"/>
        <family val="2"/>
      </rPr>
      <t xml:space="preserve"> Loads @ C.G. of Weld Group:</t>
    </r>
  </si>
  <si>
    <r>
      <t>S</t>
    </r>
    <r>
      <rPr>
        <b/>
        <u/>
        <sz val="10"/>
        <color indexed="8"/>
        <rFont val="Arial"/>
        <family val="2"/>
      </rPr>
      <t xml:space="preserve"> Loads @ C.G. of Weld Group:</t>
    </r>
  </si>
  <si>
    <r>
      <t>S</t>
    </r>
    <r>
      <rPr>
        <sz val="10"/>
        <color indexed="8"/>
        <rFont val="Arial"/>
        <family val="2"/>
      </rPr>
      <t xml:space="preserve"> Pz =</t>
    </r>
  </si>
  <si>
    <r>
      <t>S</t>
    </r>
    <r>
      <rPr>
        <sz val="10"/>
        <color indexed="8"/>
        <rFont val="Arial"/>
        <family val="2"/>
      </rPr>
      <t xml:space="preserve"> Px =</t>
    </r>
  </si>
  <si>
    <r>
      <t>S</t>
    </r>
    <r>
      <rPr>
        <sz val="10"/>
        <color indexed="8"/>
        <rFont val="Arial"/>
        <family val="2"/>
      </rPr>
      <t xml:space="preserve"> Py =</t>
    </r>
  </si>
  <si>
    <r>
      <t>S</t>
    </r>
    <r>
      <rPr>
        <sz val="10"/>
        <color indexed="8"/>
        <rFont val="Arial"/>
        <family val="2"/>
      </rPr>
      <t xml:space="preserve"> Mx =</t>
    </r>
  </si>
  <si>
    <r>
      <t>S</t>
    </r>
    <r>
      <rPr>
        <sz val="10"/>
        <color indexed="8"/>
        <rFont val="Arial"/>
        <family val="2"/>
      </rPr>
      <t xml:space="preserve"> My =</t>
    </r>
  </si>
  <si>
    <r>
      <t>S</t>
    </r>
    <r>
      <rPr>
        <sz val="10"/>
        <color indexed="8"/>
        <rFont val="Arial"/>
        <family val="2"/>
      </rPr>
      <t xml:space="preserve"> Mz =</t>
    </r>
  </si>
  <si>
    <t>WELD GROUP  PLOT</t>
  </si>
  <si>
    <r>
      <t xml:space="preserve">          </t>
    </r>
    <r>
      <rPr>
        <sz val="10"/>
        <color indexed="12"/>
        <rFont val="Symbol"/>
        <family val="1"/>
        <charset val="2"/>
      </rPr>
      <t>q</t>
    </r>
    <r>
      <rPr>
        <sz val="10"/>
        <color indexed="12"/>
        <rFont val="Arial"/>
        <family val="2"/>
      </rPr>
      <t xml:space="preserve"> =</t>
    </r>
  </si>
  <si>
    <t>(interpolated from AISC Table XXIII, page 4-79)</t>
  </si>
  <si>
    <t>Co = C (from AISC Table XXIII, page 4-79)</t>
  </si>
  <si>
    <t>Based on the Instantaneous Center of Rotation Method and Alternate Method 2</t>
  </si>
  <si>
    <t>(interpolated from AISC Table XXIV, page 4-80)</t>
  </si>
  <si>
    <t>Co = C (from AISC Table XXIV, page 4-80)</t>
  </si>
  <si>
    <t>eq. spaces</t>
  </si>
  <si>
    <t xml:space="preserve">                C.G.</t>
  </si>
  <si>
    <t>(interpolated from Table XIX, page 4-75)</t>
  </si>
  <si>
    <t>Co = C (from AISC Table XIX, page 4-75)</t>
  </si>
  <si>
    <r>
      <t xml:space="preserve">             </t>
    </r>
    <r>
      <rPr>
        <sz val="10"/>
        <color indexed="12"/>
        <rFont val="Symbol"/>
        <family val="1"/>
        <charset val="2"/>
      </rPr>
      <t>q</t>
    </r>
  </si>
  <si>
    <r>
      <t xml:space="preserve">          </t>
    </r>
    <r>
      <rPr>
        <b/>
        <u/>
        <sz val="9"/>
        <rFont val="Arial"/>
        <family val="2"/>
      </rPr>
      <t>Special Case (out of plane)</t>
    </r>
    <r>
      <rPr>
        <b/>
        <sz val="9"/>
        <rFont val="Arial"/>
        <family val="2"/>
      </rPr>
      <t xml:space="preserve">  </t>
    </r>
    <r>
      <rPr>
        <sz val="8"/>
        <rFont val="Arial"/>
        <family val="2"/>
      </rPr>
      <t>(Use C values for k=0)</t>
    </r>
  </si>
  <si>
    <t xml:space="preserve">                    (kL)/2</t>
  </si>
  <si>
    <t>(interpolated from Table XX, page 4-76)</t>
  </si>
  <si>
    <t>Co = C (from AISC Table XX, page 4-76)</t>
  </si>
  <si>
    <r>
      <t xml:space="preserve">               </t>
    </r>
    <r>
      <rPr>
        <sz val="10"/>
        <color indexed="12"/>
        <rFont val="Symbol"/>
        <family val="1"/>
        <charset val="2"/>
      </rPr>
      <t>q</t>
    </r>
    <r>
      <rPr>
        <sz val="9"/>
        <color indexed="12"/>
        <rFont val="Arial"/>
        <family val="2"/>
      </rPr>
      <t xml:space="preserve"> =</t>
    </r>
  </si>
  <si>
    <t>Program Description:</t>
  </si>
  <si>
    <t>Worksheet Name</t>
  </si>
  <si>
    <t>Description</t>
  </si>
  <si>
    <t>Doc</t>
  </si>
  <si>
    <t>This documentation sheet</t>
  </si>
  <si>
    <t>Weld Data</t>
  </si>
  <si>
    <t>Fillet Weld Data Tables</t>
  </si>
  <si>
    <t>Program Assumptions and Limitations:</t>
  </si>
  <si>
    <t xml:space="preserve">     (Note: see below for an example of modeling a circular weld pattern.)</t>
  </si>
  <si>
    <t xml:space="preserve">     explanations of input or output items, equations used, data tables, etc.  (Note:  presence of a “comment box”</t>
  </si>
  <si>
    <t xml:space="preserve">     is denoted by a “red triangle” in the upper right-hand corner of a cell.  Merely move the mouse pointer to the </t>
  </si>
  <si>
    <t xml:space="preserve">     desired cell to view the contents of that particular "comment box".)</t>
  </si>
  <si>
    <t xml:space="preserve">     intermittent fillet weld lengths and spacings.</t>
  </si>
  <si>
    <t xml:space="preserve">     A circular weld of diameter, 'D', with its center located at 0.50*D from both the origin X and Y axes, may be </t>
  </si>
  <si>
    <t xml:space="preserve">     modeled as 24-sided shape inscribed within the circle.  The coordinates of the 24 connected segments can</t>
  </si>
  <si>
    <t xml:space="preserve">     be described as follows:</t>
  </si>
  <si>
    <t>X1</t>
  </si>
  <si>
    <t>Y1</t>
  </si>
  <si>
    <t>X2</t>
  </si>
  <si>
    <t>Y2</t>
  </si>
  <si>
    <t>0.50*D</t>
  </si>
  <si>
    <t>0.0170*D</t>
  </si>
  <si>
    <t>0.3706*D</t>
  </si>
  <si>
    <t>0.0670*D</t>
  </si>
  <si>
    <t>0.2500*D</t>
  </si>
  <si>
    <t>0.1464*D</t>
  </si>
  <si>
    <t>0.6294*D</t>
  </si>
  <si>
    <t>0.7500*D</t>
  </si>
  <si>
    <t>0.8536*D</t>
  </si>
  <si>
    <t>0.9330*D</t>
  </si>
  <si>
    <t>0.9830*D</t>
  </si>
  <si>
    <t>1.0*D</t>
  </si>
  <si>
    <t>FILLET WELD DATA TABLES</t>
  </si>
  <si>
    <t>AISC Table J2.3 - Minimum Effective Throat Thickness of</t>
  </si>
  <si>
    <t>Partial-Penetration Groove Welds</t>
  </si>
  <si>
    <t>Material Thickness of</t>
  </si>
  <si>
    <t>Minimum Effective Throat</t>
  </si>
  <si>
    <t>Thicker Part Joined (in.)</t>
  </si>
  <si>
    <t>Thickness (in.)</t>
  </si>
  <si>
    <t>To 1/4 Inclusive</t>
  </si>
  <si>
    <t>1/8</t>
  </si>
  <si>
    <t>Over 1/4 to 1/2</t>
  </si>
  <si>
    <t>3/16</t>
  </si>
  <si>
    <t>Over 1/2 to 3/4</t>
  </si>
  <si>
    <t>1/4</t>
  </si>
  <si>
    <t>Over 3/4 to 1-1/2</t>
  </si>
  <si>
    <t>5/16</t>
  </si>
  <si>
    <t>Over 1-1/2 to 2-1/4</t>
  </si>
  <si>
    <t>3/8</t>
  </si>
  <si>
    <t>Over 2-1/4 to 6</t>
  </si>
  <si>
    <t>1/2</t>
  </si>
  <si>
    <t>Over 6</t>
  </si>
  <si>
    <t>5/8</t>
  </si>
  <si>
    <t>AISC Table J2.4 - Minimum Size of Fillet Welds</t>
  </si>
  <si>
    <t>Minimum Size of</t>
  </si>
  <si>
    <t>Fillet Weld (in.)</t>
  </si>
  <si>
    <t>Over 3/4</t>
  </si>
  <si>
    <t>Notes:</t>
  </si>
  <si>
    <t>1. Sizes of fillets welds shown are "leg" dimensions.</t>
  </si>
  <si>
    <t>2. Single-pass welds must be used.</t>
  </si>
  <si>
    <t>Allowable Force on Fillet Welds (k/in.)</t>
  </si>
  <si>
    <t>Weld Size (in.)</t>
  </si>
  <si>
    <t>Weld Force (for E70XX)</t>
  </si>
  <si>
    <t>7/16</t>
  </si>
  <si>
    <t>Note:</t>
  </si>
  <si>
    <t>Weld force is calculated by 0.928*D, where 'D' is the</t>
  </si>
  <si>
    <t>number of 1/16's of an inch for the weld size.</t>
  </si>
  <si>
    <t>Intermittent Fillet Welds</t>
  </si>
  <si>
    <t>% of Continuous Weld</t>
  </si>
  <si>
    <t>Weld Length and Spacing (in.)</t>
  </si>
  <si>
    <t>---</t>
  </si>
  <si>
    <t>3 - 4</t>
  </si>
  <si>
    <t>4 - 6</t>
  </si>
  <si>
    <t>3 - 5</t>
  </si>
  <si>
    <t>2 - 4</t>
  </si>
  <si>
    <t>3 - 6</t>
  </si>
  <si>
    <t>4 - 8</t>
  </si>
  <si>
    <t>4 - 9</t>
  </si>
  <si>
    <t>2 - 5</t>
  </si>
  <si>
    <t>4 - 10</t>
  </si>
  <si>
    <t>3 - 8</t>
  </si>
  <si>
    <t>2 - 6</t>
  </si>
  <si>
    <t>3 - 9</t>
  </si>
  <si>
    <t>4 - 12</t>
  </si>
  <si>
    <t>3 -10</t>
  </si>
  <si>
    <t>2 - 8</t>
  </si>
  <si>
    <t>3 -12</t>
  </si>
  <si>
    <t>2 - 10</t>
  </si>
  <si>
    <t>2 - 12</t>
  </si>
  <si>
    <t>Weld Group (elastic)</t>
  </si>
  <si>
    <t>Table XIX</t>
  </si>
  <si>
    <t>Weld group elastic analysis for up to 24 total weld lines and 4 load points</t>
  </si>
  <si>
    <t>Table XX</t>
  </si>
  <si>
    <t>Table XXI</t>
  </si>
  <si>
    <t>Table XXII</t>
  </si>
  <si>
    <t>Table XXIII</t>
  </si>
  <si>
    <t>Table XXIV</t>
  </si>
  <si>
    <t>Table XXV</t>
  </si>
  <si>
    <t>Table XXVI</t>
  </si>
  <si>
    <t>Weld group instantaneous center analysis for vertical parallel welds</t>
  </si>
  <si>
    <t>Weld group instantaneous center analysis for horizontal parallel welds</t>
  </si>
  <si>
    <t>Weld group instantaneous center analysis for vertical rectangular welds</t>
  </si>
  <si>
    <t>Weld group instantaneous center analysis for horizontal rectangular welds</t>
  </si>
  <si>
    <t>Weld group instantaneous center analysis for C-shaped welds (case 1)</t>
  </si>
  <si>
    <t>Weld group instantaneous center analysis for C-shaped welds (case 2)</t>
  </si>
  <si>
    <t>Weld group instantaneous center analysis for L-shaped welds (case 2)</t>
  </si>
  <si>
    <t>Weld group instantaneous center analysis for L-shaped welds (case1)</t>
  </si>
  <si>
    <t>Circular Weld Example (using elastic method):</t>
  </si>
  <si>
    <t>q =</t>
  </si>
  <si>
    <r>
      <t xml:space="preserve">              </t>
    </r>
    <r>
      <rPr>
        <sz val="10"/>
        <color indexed="12"/>
        <rFont val="Symbol"/>
        <family val="1"/>
        <charset val="2"/>
      </rPr>
      <t>q</t>
    </r>
  </si>
  <si>
    <r>
      <t>q</t>
    </r>
    <r>
      <rPr>
        <sz val="10"/>
        <color indexed="12"/>
        <rFont val="Arial"/>
        <family val="2"/>
      </rPr>
      <t xml:space="preserve"> =</t>
    </r>
  </si>
  <si>
    <t xml:space="preserve">      C.G.</t>
  </si>
  <si>
    <t xml:space="preserve">               C.G.</t>
  </si>
  <si>
    <t xml:space="preserve">     theoretical thickness.  All welds are assumed to contribute to the moment of inertia of the group, and the</t>
  </si>
  <si>
    <t xml:space="preserve">     applied loads are linearly distributed among the welds based on the location of the welds from the centroidal</t>
  </si>
  <si>
    <t xml:space="preserve">     axes. </t>
  </si>
  <si>
    <t xml:space="preserve">     they all need not be connected.  Circular or portions of a circular pattern weld may be adequately modeled by </t>
  </si>
  <si>
    <t xml:space="preserve">     using a series of segments.</t>
  </si>
  <si>
    <t xml:space="preserve">     (X2,Y2) sets of coordinates.  Coordinates defining weld lines/segments can be input irrespective of direction.  </t>
  </si>
  <si>
    <t xml:space="preserve">     That is, a weld line/segment may be defined from left-to-right and top-to-bottom or vice-versa.</t>
  </si>
  <si>
    <t xml:space="preserve">     points MUST BE located in the "positive" (1st) quadrant.  "Negative" weld or load point location </t>
  </si>
  <si>
    <t xml:space="preserve">     coordinates are NOT permitted.  "Right-Hand-Rule" sign convention is used for all applied forces and moments</t>
  </si>
  <si>
    <t xml:space="preserve">     at load point locations.     </t>
  </si>
  <si>
    <t xml:space="preserve">     However, the user should make sure to either clear the contents of all spreadsheet cells that are not used for </t>
  </si>
  <si>
    <t xml:space="preserve">     input or those cell values should be input = 0.  All welds and load points MUST BE input in proper numerical </t>
  </si>
  <si>
    <t xml:space="preserve">     sequence with no "breaks" in the numerical order of input data.   </t>
  </si>
  <si>
    <t xml:space="preserve">     throat dimensions, based on the assumption of using E70XX welding electrodes.  The user should check AISC</t>
  </si>
  <si>
    <t xml:space="preserve">1.  The AISC eccentric loads on weld groups worksheets (Tables XX through XXVI, pages 4-75 through 4-82) are </t>
  </si>
  <si>
    <t xml:space="preserve">     applicable for only in-plane shear loads and torques (moments) on the weld group.  With the one exception</t>
  </si>
  <si>
    <t xml:space="preserve">     being the "Special Case" of out-of-plane loading for vertical parallel welds, AISC Table XIX.</t>
  </si>
  <si>
    <t xml:space="preserve">2.  The "Weld Group (elastic)" worksheet can be used for all cases of in-plane and out-of-plane loads on the weld </t>
  </si>
  <si>
    <t>This program is a workbook consisting of eleven (11) worksheets, described as follows:</t>
  </si>
  <si>
    <t xml:space="preserve">     group, or where geometry limitations of the AISC Tables XIX through XXVI are ecceeded.  The "elastic" method</t>
  </si>
  <si>
    <t xml:space="preserve">     (AISC "Alternate" Method 1) will always give conservative results when compared to using the AISC Tables.</t>
  </si>
  <si>
    <t>3.  The "Weld Group (elastic)" worksheet assumes a minimum of 1 weld and a maximum of 24 welds in a group.</t>
  </si>
  <si>
    <t>4.  In the "Weld Group (elastic)" worksheet, the welds are treated as "lines" possessing a length, but no actual</t>
  </si>
  <si>
    <t xml:space="preserve">5.   In the "Weld Group (elastic)" worksheet, the weld group must be composed of straight lines/segments, but </t>
  </si>
  <si>
    <t xml:space="preserve">6.  In the "Weld Group (elastic)" worksheet, each weld line/segment is defined by its own start (X1,Y1) and end </t>
  </si>
  <si>
    <t xml:space="preserve">7.  The "Weld Group (elastic)" worksheet assumes an orthogonal X-Y-Z coordinate system.  All welds and loads </t>
  </si>
  <si>
    <t xml:space="preserve">8.  In the "Weld Group (elastic)" worksheet, the welds and load points can be numbered in any desired order.  </t>
  </si>
  <si>
    <t xml:space="preserve">9.  The "Weld Group (elastic)" worksheet calculates the required weld size in terms of both fillet leg and effective </t>
  </si>
  <si>
    <t>10.  This program contains numerous “comment boxes” which contain a wide variety of information including</t>
  </si>
  <si>
    <t xml:space="preserve">11.  Weld Data worksheet shows data tables for minimum size of fillet welds, allowable force on fillet welds, and </t>
  </si>
  <si>
    <t>either the ultimate strength method (also known as "instantaneous center of rotation" method) or the "elastic"</t>
  </si>
  <si>
    <t>(vector) method ("Alternate Method 1" in AISC Manual).  A separate worksheet contains data tables for welds.</t>
  </si>
  <si>
    <t>"WELDGRP" --- WELD GROUP ANALYSIS PROGRAM</t>
  </si>
  <si>
    <t>"WELDGRP" is a spreadsheet program written in MS-Excel for the purpose of analysis of weld groups using</t>
  </si>
  <si>
    <t>2.  This weld group worksheet assumes a minimum of 1 weld and a maximum of 24 welds in a group.</t>
  </si>
  <si>
    <r>
      <t xml:space="preserve">                in the appropriate position, starting at cell </t>
    </r>
    <r>
      <rPr>
        <b/>
        <sz val="10"/>
        <color indexed="12"/>
        <rFont val="Arial"/>
        <family val="2"/>
      </rPr>
      <t>B13</t>
    </r>
    <r>
      <rPr>
        <sz val="10"/>
        <color indexed="12"/>
        <rFont val="Arial"/>
        <family val="2"/>
      </rPr>
      <t xml:space="preserve"> on the input page. </t>
    </r>
  </si>
  <si>
    <r>
      <t>Notes:</t>
    </r>
    <r>
      <rPr>
        <sz val="10"/>
        <color indexed="12"/>
        <rFont val="Arial"/>
        <family val="2"/>
      </rPr>
      <t xml:space="preserve">  1. Copy only the block of cells from </t>
    </r>
    <r>
      <rPr>
        <b/>
        <sz val="10"/>
        <color indexed="12"/>
        <rFont val="Arial"/>
        <family val="2"/>
      </rPr>
      <t>BK43</t>
    </r>
    <r>
      <rPr>
        <sz val="10"/>
        <color indexed="12"/>
        <rFont val="Arial"/>
        <family val="2"/>
      </rPr>
      <t xml:space="preserve"> to </t>
    </r>
    <r>
      <rPr>
        <b/>
        <sz val="10"/>
        <color indexed="12"/>
        <rFont val="Arial"/>
        <family val="2"/>
      </rPr>
      <t>BN66</t>
    </r>
    <r>
      <rPr>
        <sz val="10"/>
        <color indexed="12"/>
        <rFont val="Arial"/>
        <family val="2"/>
      </rPr>
      <t xml:space="preserve"> above, and "Paste Special" only their "values"</t>
    </r>
  </si>
  <si>
    <r>
      <t>Notes:</t>
    </r>
    <r>
      <rPr>
        <sz val="10"/>
        <color indexed="12"/>
        <rFont val="Arial"/>
        <family val="2"/>
      </rPr>
      <t xml:space="preserve">  1. Copy only the block of cells from </t>
    </r>
    <r>
      <rPr>
        <b/>
        <sz val="10"/>
        <color indexed="12"/>
        <rFont val="Arial"/>
        <family val="2"/>
      </rPr>
      <t>BK85</t>
    </r>
    <r>
      <rPr>
        <sz val="10"/>
        <color indexed="12"/>
        <rFont val="Arial"/>
        <family val="2"/>
      </rPr>
      <t xml:space="preserve"> to </t>
    </r>
    <r>
      <rPr>
        <b/>
        <sz val="10"/>
        <color indexed="12"/>
        <rFont val="Arial"/>
        <family val="2"/>
      </rPr>
      <t>BN96</t>
    </r>
    <r>
      <rPr>
        <sz val="10"/>
        <color indexed="12"/>
        <rFont val="Arial"/>
        <family val="2"/>
      </rPr>
      <t xml:space="preserve"> above, and "Paste Special" only their "values"</t>
    </r>
  </si>
  <si>
    <r>
      <t>Notes:</t>
    </r>
    <r>
      <rPr>
        <sz val="10"/>
        <color indexed="12"/>
        <rFont val="Arial"/>
        <family val="2"/>
      </rPr>
      <t xml:space="preserve">  1. Copy only the block of cells from </t>
    </r>
    <r>
      <rPr>
        <b/>
        <sz val="10"/>
        <color indexed="12"/>
        <rFont val="Arial"/>
        <family val="2"/>
      </rPr>
      <t>BK115</t>
    </r>
    <r>
      <rPr>
        <sz val="10"/>
        <color indexed="12"/>
        <rFont val="Arial"/>
        <family val="2"/>
      </rPr>
      <t xml:space="preserve"> to </t>
    </r>
    <r>
      <rPr>
        <b/>
        <sz val="10"/>
        <color indexed="12"/>
        <rFont val="Arial"/>
        <family val="2"/>
      </rPr>
      <t>BN122</t>
    </r>
    <r>
      <rPr>
        <sz val="10"/>
        <color indexed="12"/>
        <rFont val="Arial"/>
        <family val="2"/>
      </rPr>
      <t xml:space="preserve"> above, and "Paste Special" only their "values"</t>
    </r>
  </si>
  <si>
    <r>
      <t>Notes:</t>
    </r>
    <r>
      <rPr>
        <sz val="10"/>
        <color indexed="12"/>
        <rFont val="Arial"/>
        <family val="2"/>
      </rPr>
      <t xml:space="preserve">  1. Copy only the block of cells from </t>
    </r>
    <r>
      <rPr>
        <b/>
        <sz val="10"/>
        <color indexed="12"/>
        <rFont val="Arial"/>
        <family val="2"/>
      </rPr>
      <t>BK141</t>
    </r>
    <r>
      <rPr>
        <sz val="10"/>
        <color indexed="12"/>
        <rFont val="Arial"/>
        <family val="2"/>
      </rPr>
      <t xml:space="preserve"> to </t>
    </r>
    <r>
      <rPr>
        <b/>
        <sz val="10"/>
        <color indexed="12"/>
        <rFont val="Arial"/>
        <family val="2"/>
      </rPr>
      <t>BN148</t>
    </r>
    <r>
      <rPr>
        <sz val="10"/>
        <color indexed="12"/>
        <rFont val="Arial"/>
        <family val="2"/>
      </rPr>
      <t xml:space="preserve"> above, and "Paste Special" only their "values"</t>
    </r>
  </si>
  <si>
    <r>
      <t>Notes:</t>
    </r>
    <r>
      <rPr>
        <sz val="10"/>
        <color indexed="12"/>
        <rFont val="Arial"/>
        <family val="2"/>
      </rPr>
      <t xml:space="preserve">  1. Copy only the block of cells from </t>
    </r>
    <r>
      <rPr>
        <b/>
        <sz val="10"/>
        <color indexed="12"/>
        <rFont val="Arial"/>
        <family val="2"/>
      </rPr>
      <t>BK166</t>
    </r>
    <r>
      <rPr>
        <sz val="10"/>
        <color indexed="12"/>
        <rFont val="Arial"/>
        <family val="2"/>
      </rPr>
      <t xml:space="preserve"> to </t>
    </r>
    <r>
      <rPr>
        <b/>
        <sz val="10"/>
        <color indexed="12"/>
        <rFont val="Arial"/>
        <family val="2"/>
      </rPr>
      <t>BN171</t>
    </r>
    <r>
      <rPr>
        <sz val="10"/>
        <color indexed="12"/>
        <rFont val="Arial"/>
        <family val="2"/>
      </rPr>
      <t xml:space="preserve"> above, and "Paste Special" only their "values"</t>
    </r>
  </si>
  <si>
    <r>
      <t>Notes:</t>
    </r>
    <r>
      <rPr>
        <sz val="10"/>
        <color indexed="12"/>
        <rFont val="Arial"/>
        <family val="2"/>
      </rPr>
      <t xml:space="preserve">  1. Copy only the block of cells from </t>
    </r>
    <r>
      <rPr>
        <b/>
        <sz val="10"/>
        <color indexed="12"/>
        <rFont val="Arial"/>
        <family val="2"/>
      </rPr>
      <t>BK189</t>
    </r>
    <r>
      <rPr>
        <sz val="10"/>
        <color indexed="12"/>
        <rFont val="Arial"/>
        <family val="2"/>
      </rPr>
      <t xml:space="preserve"> to </t>
    </r>
    <r>
      <rPr>
        <b/>
        <sz val="10"/>
        <color indexed="12"/>
        <rFont val="Arial"/>
        <family val="2"/>
      </rPr>
      <t>BN196</t>
    </r>
    <r>
      <rPr>
        <sz val="10"/>
        <color indexed="12"/>
        <rFont val="Arial"/>
        <family val="2"/>
      </rPr>
      <t xml:space="preserve"> above, and "Paste Special" only their "values"</t>
    </r>
  </si>
  <si>
    <r>
      <t xml:space="preserve">            2. Input the number of welds = </t>
    </r>
    <r>
      <rPr>
        <b/>
        <sz val="10"/>
        <color indexed="12"/>
        <rFont val="Arial"/>
        <family val="2"/>
      </rPr>
      <t>24</t>
    </r>
    <r>
      <rPr>
        <sz val="10"/>
        <color indexed="12"/>
        <rFont val="Arial"/>
        <family val="2"/>
      </rPr>
      <t xml:space="preserve"> in cell </t>
    </r>
    <r>
      <rPr>
        <b/>
        <sz val="10"/>
        <color indexed="12"/>
        <rFont val="Arial"/>
        <family val="2"/>
      </rPr>
      <t>C9</t>
    </r>
    <r>
      <rPr>
        <sz val="10"/>
        <color indexed="12"/>
        <rFont val="Arial"/>
        <family val="2"/>
      </rPr>
      <t xml:space="preserve"> on the input page.</t>
    </r>
  </si>
  <si>
    <t>in^3</t>
  </si>
  <si>
    <t>Full Wide-Flange Member Weld:</t>
  </si>
  <si>
    <r>
      <t>Note:</t>
    </r>
    <r>
      <rPr>
        <b/>
        <sz val="10"/>
        <color indexed="12"/>
        <rFont val="Arial"/>
        <family val="2"/>
      </rPr>
      <t xml:space="preserve">  The following may be used to facilitate input of weld line coordinates for welding fully around a Tee shape:</t>
    </r>
  </si>
  <si>
    <t>Full Tee Member Weld:</t>
  </si>
  <si>
    <r>
      <t>Note:</t>
    </r>
    <r>
      <rPr>
        <b/>
        <sz val="10"/>
        <color indexed="12"/>
        <rFont val="Arial"/>
        <family val="2"/>
      </rPr>
      <t xml:space="preserve">  The following may be used to facilitate input of weld line coordinates for welding fully around a wide-flange shape:</t>
    </r>
  </si>
  <si>
    <t>Full Channel Member Weld:</t>
  </si>
  <si>
    <r>
      <t>Note:</t>
    </r>
    <r>
      <rPr>
        <b/>
        <sz val="10"/>
        <color indexed="12"/>
        <rFont val="Arial"/>
        <family val="2"/>
      </rPr>
      <t xml:space="preserve">  The following may be used to facilitate input of weld line coordinates for welding fully around a channel shape:</t>
    </r>
  </si>
  <si>
    <r>
      <t xml:space="preserve">            2. Input the number of welds = </t>
    </r>
    <r>
      <rPr>
        <b/>
        <sz val="10"/>
        <color indexed="12"/>
        <rFont val="Arial"/>
        <family val="2"/>
      </rPr>
      <t>12</t>
    </r>
    <r>
      <rPr>
        <sz val="10"/>
        <color indexed="12"/>
        <rFont val="Arial"/>
        <family val="2"/>
      </rPr>
      <t xml:space="preserve"> in cell </t>
    </r>
    <r>
      <rPr>
        <b/>
        <sz val="10"/>
        <color indexed="12"/>
        <rFont val="Arial"/>
        <family val="2"/>
      </rPr>
      <t>C9</t>
    </r>
    <r>
      <rPr>
        <sz val="10"/>
        <color indexed="12"/>
        <rFont val="Arial"/>
        <family val="2"/>
      </rPr>
      <t xml:space="preserve"> on the input page.</t>
    </r>
  </si>
  <si>
    <r>
      <t xml:space="preserve">            2. Input the number of welds = </t>
    </r>
    <r>
      <rPr>
        <b/>
        <sz val="10"/>
        <color indexed="12"/>
        <rFont val="Arial"/>
        <family val="2"/>
      </rPr>
      <t>8</t>
    </r>
    <r>
      <rPr>
        <sz val="10"/>
        <color indexed="12"/>
        <rFont val="Arial"/>
        <family val="2"/>
      </rPr>
      <t xml:space="preserve"> in cell </t>
    </r>
    <r>
      <rPr>
        <b/>
        <sz val="10"/>
        <color indexed="12"/>
        <rFont val="Arial"/>
        <family val="2"/>
      </rPr>
      <t>C9</t>
    </r>
    <r>
      <rPr>
        <sz val="10"/>
        <color indexed="12"/>
        <rFont val="Arial"/>
        <family val="2"/>
      </rPr>
      <t xml:space="preserve"> on the input page.</t>
    </r>
  </si>
  <si>
    <t>Circular (full pipe or round HSS) Weld:</t>
  </si>
  <si>
    <t>Full Tube (square or rectangular HSS) Member Weld:</t>
  </si>
  <si>
    <r>
      <t>Note:</t>
    </r>
    <r>
      <rPr>
        <b/>
        <sz val="10"/>
        <color indexed="12"/>
        <rFont val="Arial"/>
        <family val="2"/>
      </rPr>
      <t xml:space="preserve">  The following may be used to facilitate input of weld line coordinates for welding fully around a tube shape:</t>
    </r>
  </si>
  <si>
    <t>Full Angle Member Weld:</t>
  </si>
  <si>
    <r>
      <t>Note:</t>
    </r>
    <r>
      <rPr>
        <b/>
        <sz val="10"/>
        <color indexed="12"/>
        <rFont val="Arial"/>
        <family val="2"/>
      </rPr>
      <t xml:space="preserve">  The following may be used to facilitate input of weld line coordinates for welding fully around an angle shape:</t>
    </r>
  </si>
  <si>
    <r>
      <t xml:space="preserve">            2. Input the number of welds = </t>
    </r>
    <r>
      <rPr>
        <b/>
        <sz val="10"/>
        <color indexed="12"/>
        <rFont val="Arial"/>
        <family val="2"/>
      </rPr>
      <t>6</t>
    </r>
    <r>
      <rPr>
        <sz val="10"/>
        <color indexed="12"/>
        <rFont val="Arial"/>
        <family val="2"/>
      </rPr>
      <t xml:space="preserve"> in cell </t>
    </r>
    <r>
      <rPr>
        <b/>
        <sz val="10"/>
        <color indexed="12"/>
        <rFont val="Arial"/>
        <family val="2"/>
      </rPr>
      <t>C9</t>
    </r>
    <r>
      <rPr>
        <sz val="10"/>
        <color indexed="12"/>
        <rFont val="Arial"/>
        <family val="2"/>
      </rPr>
      <t xml:space="preserve"> on the input page.</t>
    </r>
  </si>
  <si>
    <t>Shape</t>
  </si>
  <si>
    <t>d</t>
  </si>
  <si>
    <t>tw</t>
  </si>
  <si>
    <t>bf</t>
  </si>
  <si>
    <t>tf</t>
  </si>
  <si>
    <t>W44X335</t>
  </si>
  <si>
    <t>W44X290</t>
  </si>
  <si>
    <t>W44X262</t>
  </si>
  <si>
    <t>W44X230</t>
  </si>
  <si>
    <t>W40X593</t>
  </si>
  <si>
    <t>W40X503</t>
  </si>
  <si>
    <t>W40X431</t>
  </si>
  <si>
    <t>W40X397</t>
  </si>
  <si>
    <t>W40X372</t>
  </si>
  <si>
    <t>W40X362</t>
  </si>
  <si>
    <t>W40X324</t>
  </si>
  <si>
    <t>W40X297</t>
  </si>
  <si>
    <t>W40X277</t>
  </si>
  <si>
    <t>W40X249</t>
  </si>
  <si>
    <t>W40X215</t>
  </si>
  <si>
    <t>W40X199</t>
  </si>
  <si>
    <t>W40X392</t>
  </si>
  <si>
    <t>W40X331</t>
  </si>
  <si>
    <t>W40X327</t>
  </si>
  <si>
    <t>W40X294</t>
  </si>
  <si>
    <t>W40X278</t>
  </si>
  <si>
    <t>W40X264</t>
  </si>
  <si>
    <t>W40X235</t>
  </si>
  <si>
    <t>W40X211</t>
  </si>
  <si>
    <t>W40X183</t>
  </si>
  <si>
    <t>W40X167</t>
  </si>
  <si>
    <t>W40X149</t>
  </si>
  <si>
    <t>W36X800</t>
  </si>
  <si>
    <t>W36X652</t>
  </si>
  <si>
    <t>W36X529</t>
  </si>
  <si>
    <t>W36X487</t>
  </si>
  <si>
    <t>W36X441</t>
  </si>
  <si>
    <t>W36X395</t>
  </si>
  <si>
    <t>W36X361</t>
  </si>
  <si>
    <t>W36X330</t>
  </si>
  <si>
    <t>W36X302</t>
  </si>
  <si>
    <t>W36X282</t>
  </si>
  <si>
    <t>W36X262</t>
  </si>
  <si>
    <t>W36X247</t>
  </si>
  <si>
    <t>W36X231</t>
  </si>
  <si>
    <t>W36X256</t>
  </si>
  <si>
    <t>W36X232</t>
  </si>
  <si>
    <t>W36X210</t>
  </si>
  <si>
    <t>W36X194</t>
  </si>
  <si>
    <t>W36X182</t>
  </si>
  <si>
    <t>W36X170</t>
  </si>
  <si>
    <t>W36X160</t>
  </si>
  <si>
    <t>W36X150</t>
  </si>
  <si>
    <t>W36X135</t>
  </si>
  <si>
    <t>W33X387</t>
  </si>
  <si>
    <t>W33X354</t>
  </si>
  <si>
    <t>W33X318</t>
  </si>
  <si>
    <t>W33X291</t>
  </si>
  <si>
    <t>W33X263</t>
  </si>
  <si>
    <t>W33X241</t>
  </si>
  <si>
    <t>W33X221</t>
  </si>
  <si>
    <t>W33X201</t>
  </si>
  <si>
    <t>W33X169</t>
  </si>
  <si>
    <t>W33X152</t>
  </si>
  <si>
    <t>W33X141</t>
  </si>
  <si>
    <t>W33X130</t>
  </si>
  <si>
    <t>W33X118</t>
  </si>
  <si>
    <t>W30X391</t>
  </si>
  <si>
    <t>W30X357</t>
  </si>
  <si>
    <t>W30X326</t>
  </si>
  <si>
    <t>W30X292</t>
  </si>
  <si>
    <t>W30X261</t>
  </si>
  <si>
    <t>W30X235</t>
  </si>
  <si>
    <t>W30X211</t>
  </si>
  <si>
    <t>W30X191</t>
  </si>
  <si>
    <t>W30X173</t>
  </si>
  <si>
    <t>W30X148</t>
  </si>
  <si>
    <t>W30X132</t>
  </si>
  <si>
    <t>W30X124</t>
  </si>
  <si>
    <t>W30X116</t>
  </si>
  <si>
    <t>W30X108</t>
  </si>
  <si>
    <t>W30X99</t>
  </si>
  <si>
    <t>W30X90</t>
  </si>
  <si>
    <t>W27X539</t>
  </si>
  <si>
    <t>W27X368</t>
  </si>
  <si>
    <t>W27X336</t>
  </si>
  <si>
    <t>W27X307</t>
  </si>
  <si>
    <t>W27X281</t>
  </si>
  <si>
    <t>W27X258</t>
  </si>
  <si>
    <t>W27X235</t>
  </si>
  <si>
    <t>W27X217</t>
  </si>
  <si>
    <t>W27X194</t>
  </si>
  <si>
    <t>W27X178</t>
  </si>
  <si>
    <t>W27X161</t>
  </si>
  <si>
    <t>W27X146</t>
  </si>
  <si>
    <t>W27X129</t>
  </si>
  <si>
    <t>W27X114</t>
  </si>
  <si>
    <t>W27X102</t>
  </si>
  <si>
    <t>W27X94</t>
  </si>
  <si>
    <t>W27X84</t>
  </si>
  <si>
    <t>W24X370</t>
  </si>
  <si>
    <t>W24X335</t>
  </si>
  <si>
    <t>W24X306</t>
  </si>
  <si>
    <t>W24X279</t>
  </si>
  <si>
    <t>W24X250</t>
  </si>
  <si>
    <t>W24X229</t>
  </si>
  <si>
    <t>W24X207</t>
  </si>
  <si>
    <t>W24X192</t>
  </si>
  <si>
    <t>W24X176</t>
  </si>
  <si>
    <t>W24X162</t>
  </si>
  <si>
    <t>W24X146</t>
  </si>
  <si>
    <t>W24X131</t>
  </si>
  <si>
    <t>W24X117</t>
  </si>
  <si>
    <t>W24X104</t>
  </si>
  <si>
    <t>W24X103</t>
  </si>
  <si>
    <t>W24X94</t>
  </si>
  <si>
    <t>W24X84</t>
  </si>
  <si>
    <t>W24X76</t>
  </si>
  <si>
    <t>W24X68</t>
  </si>
  <si>
    <t>W24X62</t>
  </si>
  <si>
    <t>W24X55</t>
  </si>
  <si>
    <t>W21X201</t>
  </si>
  <si>
    <t>W21X182</t>
  </si>
  <si>
    <t>W21X166</t>
  </si>
  <si>
    <t>W21X147</t>
  </si>
  <si>
    <t>W21X132</t>
  </si>
  <si>
    <t>W21X122</t>
  </si>
  <si>
    <t>W21X111</t>
  </si>
  <si>
    <t>W21X101</t>
  </si>
  <si>
    <t>W21X93</t>
  </si>
  <si>
    <t>W21X83</t>
  </si>
  <si>
    <t>W21X73</t>
  </si>
  <si>
    <t>W21X68</t>
  </si>
  <si>
    <t>W21X62</t>
  </si>
  <si>
    <t>W21X55</t>
  </si>
  <si>
    <t>W21X48</t>
  </si>
  <si>
    <t>W21X57</t>
  </si>
  <si>
    <t>W21X50</t>
  </si>
  <si>
    <t>W21X44</t>
  </si>
  <si>
    <t>W18x311</t>
  </si>
  <si>
    <t>W18x283</t>
  </si>
  <si>
    <t>W18x258</t>
  </si>
  <si>
    <t>W18x234</t>
  </si>
  <si>
    <t>W18x211</t>
  </si>
  <si>
    <t>W18x192</t>
  </si>
  <si>
    <t>W18X175</t>
  </si>
  <si>
    <t>W18X158</t>
  </si>
  <si>
    <t>W18X143</t>
  </si>
  <si>
    <t>W18X130</t>
  </si>
  <si>
    <t>W18X119</t>
  </si>
  <si>
    <t>W18X106</t>
  </si>
  <si>
    <t>W18X97</t>
  </si>
  <si>
    <t>W18X86</t>
  </si>
  <si>
    <t>W18X76</t>
  </si>
  <si>
    <t>W18X71</t>
  </si>
  <si>
    <t>W18X65</t>
  </si>
  <si>
    <t>W18X60</t>
  </si>
  <si>
    <t>W18X55</t>
  </si>
  <si>
    <t>W18X50</t>
  </si>
  <si>
    <t>W18X46</t>
  </si>
  <si>
    <t>W18X40</t>
  </si>
  <si>
    <t>W18X35</t>
  </si>
  <si>
    <t>W16X100</t>
  </si>
  <si>
    <t>W16X89</t>
  </si>
  <si>
    <t>W16X77</t>
  </si>
  <si>
    <t>W16X67</t>
  </si>
  <si>
    <t>W16X57</t>
  </si>
  <si>
    <t>W16X50</t>
  </si>
  <si>
    <t>W16X45</t>
  </si>
  <si>
    <t>W16X40</t>
  </si>
  <si>
    <t>W16X36</t>
  </si>
  <si>
    <t>W16X31</t>
  </si>
  <si>
    <t>W16X26</t>
  </si>
  <si>
    <t>W14X730</t>
  </si>
  <si>
    <t>W14X665</t>
  </si>
  <si>
    <t>W14X605</t>
  </si>
  <si>
    <t>W14X550</t>
  </si>
  <si>
    <t>W14X500</t>
  </si>
  <si>
    <t>W14X455</t>
  </si>
  <si>
    <t>W14X426</t>
  </si>
  <si>
    <t>W14X398</t>
  </si>
  <si>
    <t>W14X370</t>
  </si>
  <si>
    <t>W14X342</t>
  </si>
  <si>
    <t>W14X311</t>
  </si>
  <si>
    <t>W14X283</t>
  </si>
  <si>
    <t>W14X257</t>
  </si>
  <si>
    <t>W14X233</t>
  </si>
  <si>
    <t>W14X211</t>
  </si>
  <si>
    <t>W14X193</t>
  </si>
  <si>
    <t>W14X176</t>
  </si>
  <si>
    <t>W14X159</t>
  </si>
  <si>
    <t>W14X145</t>
  </si>
  <si>
    <t>W14X132</t>
  </si>
  <si>
    <t>W14X120</t>
  </si>
  <si>
    <t>W14X109</t>
  </si>
  <si>
    <t>W14X99</t>
  </si>
  <si>
    <t>W14X90</t>
  </si>
  <si>
    <t>W14X82</t>
  </si>
  <si>
    <t>W14X74</t>
  </si>
  <si>
    <t>W14X68</t>
  </si>
  <si>
    <t>W14X61</t>
  </si>
  <si>
    <t>W14X53</t>
  </si>
  <si>
    <t>W14X48</t>
  </si>
  <si>
    <t>W14X43</t>
  </si>
  <si>
    <t>W14X38</t>
  </si>
  <si>
    <t>W14X34</t>
  </si>
  <si>
    <t>W14X30</t>
  </si>
  <si>
    <t>W14X26</t>
  </si>
  <si>
    <t>W14X22</t>
  </si>
  <si>
    <t>W12X336</t>
  </si>
  <si>
    <t>W12X305</t>
  </si>
  <si>
    <t>W12X279</t>
  </si>
  <si>
    <t>W12X252</t>
  </si>
  <si>
    <t>W12X230</t>
  </si>
  <si>
    <t>W12X210</t>
  </si>
  <si>
    <t>W12X190</t>
  </si>
  <si>
    <t>W12X170</t>
  </si>
  <si>
    <t>W12X152</t>
  </si>
  <si>
    <t>W12X136</t>
  </si>
  <si>
    <t>W12X120</t>
  </si>
  <si>
    <t>W12X106</t>
  </si>
  <si>
    <t>W12X96</t>
  </si>
  <si>
    <t>W12X87</t>
  </si>
  <si>
    <t>W12X79</t>
  </si>
  <si>
    <t>W12X72</t>
  </si>
  <si>
    <t>W12X65</t>
  </si>
  <si>
    <t>W12X58</t>
  </si>
  <si>
    <t>W12X53</t>
  </si>
  <si>
    <t>W12X50</t>
  </si>
  <si>
    <t>W12X45</t>
  </si>
  <si>
    <t>W12X40</t>
  </si>
  <si>
    <t>W12X35</t>
  </si>
  <si>
    <t>W12X30</t>
  </si>
  <si>
    <t>W12X26</t>
  </si>
  <si>
    <t>W12X22</t>
  </si>
  <si>
    <t>W12X19</t>
  </si>
  <si>
    <t>W12X16</t>
  </si>
  <si>
    <t>W12X14</t>
  </si>
  <si>
    <t>W10X112</t>
  </si>
  <si>
    <t>W10X100</t>
  </si>
  <si>
    <t>W10X88</t>
  </si>
  <si>
    <t>W10X77</t>
  </si>
  <si>
    <t>W10X68</t>
  </si>
  <si>
    <t>W10X60</t>
  </si>
  <si>
    <t>W10X54</t>
  </si>
  <si>
    <t>W10X49</t>
  </si>
  <si>
    <t>W10X45</t>
  </si>
  <si>
    <t>W10X39</t>
  </si>
  <si>
    <t>W10X33</t>
  </si>
  <si>
    <t>W10X30</t>
  </si>
  <si>
    <t>W10X26</t>
  </si>
  <si>
    <t>W10X22</t>
  </si>
  <si>
    <t>W10X19</t>
  </si>
  <si>
    <t>W10X17</t>
  </si>
  <si>
    <t>W10X15</t>
  </si>
  <si>
    <t>W10X12</t>
  </si>
  <si>
    <t>W8X67</t>
  </si>
  <si>
    <t>W8X58</t>
  </si>
  <si>
    <t>W8X48</t>
  </si>
  <si>
    <t>W8X40</t>
  </si>
  <si>
    <t>W8X35</t>
  </si>
  <si>
    <t>W8X31</t>
  </si>
  <si>
    <t>W8X28</t>
  </si>
  <si>
    <t>W8X24</t>
  </si>
  <si>
    <t>W8X21</t>
  </si>
  <si>
    <t>W8X18</t>
  </si>
  <si>
    <t>W8X15</t>
  </si>
  <si>
    <t>W8X13</t>
  </si>
  <si>
    <t>W8X10</t>
  </si>
  <si>
    <t>W6X25</t>
  </si>
  <si>
    <t>W6X20</t>
  </si>
  <si>
    <t>W6X15</t>
  </si>
  <si>
    <t>W6X16</t>
  </si>
  <si>
    <t>W6X12</t>
  </si>
  <si>
    <t>W6X9</t>
  </si>
  <si>
    <t>W6X8.5</t>
  </si>
  <si>
    <t>W5X19</t>
  </si>
  <si>
    <t>W5X16</t>
  </si>
  <si>
    <t>W4X13</t>
  </si>
  <si>
    <t>M12.5X12.4</t>
  </si>
  <si>
    <t>M12.5X11.6</t>
  </si>
  <si>
    <t>M12X11.8</t>
  </si>
  <si>
    <t>M12X10.8</t>
  </si>
  <si>
    <t>M12X10</t>
  </si>
  <si>
    <t>M10X9</t>
  </si>
  <si>
    <t>M10X8</t>
  </si>
  <si>
    <t>M10X7.5</t>
  </si>
  <si>
    <t>M8X6.5</t>
  </si>
  <si>
    <t>M8X6.2</t>
  </si>
  <si>
    <t>M6X4.4</t>
  </si>
  <si>
    <t>M6X3.7</t>
  </si>
  <si>
    <t>M5X18.9</t>
  </si>
  <si>
    <t>M4X6</t>
  </si>
  <si>
    <t>M4X4.08</t>
  </si>
  <si>
    <t>M4X3.45</t>
  </si>
  <si>
    <t>M4X3.2</t>
  </si>
  <si>
    <t>M3X2.9</t>
  </si>
  <si>
    <t>S24X121</t>
  </si>
  <si>
    <t>S24X106</t>
  </si>
  <si>
    <t>S24X100</t>
  </si>
  <si>
    <t>S24X90</t>
  </si>
  <si>
    <t>S24X80</t>
  </si>
  <si>
    <t>S20X96</t>
  </si>
  <si>
    <t>S20X86</t>
  </si>
  <si>
    <t>S20X75</t>
  </si>
  <si>
    <t>S20X66</t>
  </si>
  <si>
    <t>S18X70</t>
  </si>
  <si>
    <t>S18X54.7</t>
  </si>
  <si>
    <t>S15X50</t>
  </si>
  <si>
    <t>S15X42.9</t>
  </si>
  <si>
    <t>S12X50</t>
  </si>
  <si>
    <t>S12X40.8</t>
  </si>
  <si>
    <t>S12X35</t>
  </si>
  <si>
    <t>S12X31.8</t>
  </si>
  <si>
    <t>S10X35</t>
  </si>
  <si>
    <t>S10X25.4</t>
  </si>
  <si>
    <t>S8X23</t>
  </si>
  <si>
    <t>S8X18.4</t>
  </si>
  <si>
    <t>S6X17.2</t>
  </si>
  <si>
    <t>S6X12.5</t>
  </si>
  <si>
    <t>S5X10</t>
  </si>
  <si>
    <t>S4X9.5</t>
  </si>
  <si>
    <t>S4X7.7</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</si>
</sst>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0.0"/>
    <numFmt numFmtId="165" formatCode="0.0000"/>
    <numFmt numFmtId="166" formatCode="0.000"/>
    <numFmt numFmtId="167" formatCode="&quot;$&quot;#,##0\ ;\(&quot;$&quot;#,##0\)"/>
  </numFmts>
  <fonts count="57" x14ac:knownFonts="1">
    <font>
      <sz val="10"/>
      <name val="Arial"/>
    </font>
    <font>
      <sz val="10"/>
      <name val="Arial"/>
    </font>
    <font>
      <b/>
      <sz val="12"/>
      <name val="Arial"/>
      <family val="2"/>
    </font>
    <font>
      <b/>
      <sz val="10"/>
      <name val="Arial"/>
      <family val="2"/>
    </font>
    <font>
      <u/>
      <sz val="10"/>
      <color indexed="12"/>
      <name val="Arial"/>
      <family val="2"/>
    </font>
    <font>
      <b/>
      <sz val="10"/>
      <color indexed="10"/>
      <name val="Arial"/>
      <family val="2"/>
    </font>
    <font>
      <sz val="10"/>
      <color indexed="12"/>
      <name val="Arial"/>
      <family val="2"/>
    </font>
    <font>
      <b/>
      <sz val="10"/>
      <color indexed="12"/>
      <name val="Arial"/>
      <family val="2"/>
    </font>
    <font>
      <sz val="8"/>
      <color indexed="8"/>
      <name val="Arial"/>
      <family val="2"/>
    </font>
    <font>
      <sz val="10"/>
      <color indexed="8"/>
      <name val="Arial"/>
      <family val="2"/>
    </font>
    <font>
      <b/>
      <u/>
      <sz val="10"/>
      <name val="Arial"/>
      <family val="2"/>
    </font>
    <font>
      <sz val="10"/>
      <name val="Arial"/>
      <family val="2"/>
    </font>
    <font>
      <sz val="10"/>
      <color indexed="8"/>
      <name val="Arial"/>
      <family val="2"/>
    </font>
    <font>
      <b/>
      <sz val="10"/>
      <color indexed="8"/>
      <name val="Arial"/>
      <family val="2"/>
    </font>
    <font>
      <b/>
      <u/>
      <sz val="10"/>
      <color indexed="8"/>
      <name val="Arial"/>
      <family val="2"/>
    </font>
    <font>
      <sz val="10"/>
      <color indexed="8"/>
      <name val="Symbol"/>
      <family val="1"/>
      <charset val="2"/>
    </font>
    <font>
      <sz val="10"/>
      <name val="Symbol"/>
      <family val="1"/>
      <charset val="2"/>
    </font>
    <font>
      <sz val="8"/>
      <color indexed="81"/>
      <name val="Tahoma"/>
      <family val="2"/>
    </font>
    <font>
      <sz val="10"/>
      <color indexed="12"/>
      <name val="Arial"/>
      <family val="2"/>
    </font>
    <font>
      <sz val="10"/>
      <color indexed="24"/>
      <name val="Arial"/>
      <family val="2"/>
    </font>
    <font>
      <b/>
      <sz val="18"/>
      <color indexed="24"/>
      <name val="Arial"/>
      <family val="2"/>
    </font>
    <font>
      <b/>
      <sz val="12"/>
      <color indexed="24"/>
      <name val="Arial"/>
      <family val="2"/>
    </font>
    <font>
      <sz val="10"/>
      <color indexed="12"/>
      <name val="Symbol"/>
      <family val="1"/>
      <charset val="2"/>
    </font>
    <font>
      <sz val="10"/>
      <color indexed="10"/>
      <name val="Arial"/>
      <family val="2"/>
    </font>
    <font>
      <i/>
      <sz val="10"/>
      <color indexed="10"/>
      <name val="Arial"/>
      <family val="2"/>
    </font>
    <font>
      <b/>
      <sz val="8"/>
      <color indexed="12"/>
      <name val="Arial"/>
      <family val="2"/>
    </font>
    <font>
      <sz val="8"/>
      <color indexed="12"/>
      <name val="Arial"/>
      <family val="2"/>
    </font>
    <font>
      <sz val="9"/>
      <name val="Arial"/>
      <family val="2"/>
    </font>
    <font>
      <sz val="10"/>
      <color indexed="9"/>
      <name val="Arial"/>
      <family val="2"/>
    </font>
    <font>
      <b/>
      <sz val="8"/>
      <color indexed="81"/>
      <name val="Tahoma"/>
      <family val="2"/>
    </font>
    <font>
      <sz val="8"/>
      <color indexed="81"/>
      <name val="Symbol"/>
      <family val="1"/>
      <charset val="2"/>
    </font>
    <font>
      <b/>
      <u/>
      <sz val="8"/>
      <color indexed="81"/>
      <name val="Tahoma"/>
      <family val="2"/>
    </font>
    <font>
      <sz val="9"/>
      <color indexed="12"/>
      <name val="Arial"/>
      <family val="2"/>
    </font>
    <font>
      <sz val="9"/>
      <color indexed="8"/>
      <name val="Arial"/>
      <family val="2"/>
    </font>
    <font>
      <b/>
      <u/>
      <sz val="10"/>
      <color indexed="12"/>
      <name val="Arial"/>
      <family val="2"/>
    </font>
    <font>
      <sz val="8"/>
      <name val="Arial"/>
      <family val="2"/>
    </font>
    <font>
      <b/>
      <sz val="9"/>
      <color indexed="8"/>
      <name val="Arial"/>
      <family val="2"/>
    </font>
    <font>
      <b/>
      <u/>
      <sz val="10"/>
      <color indexed="10"/>
      <name val="Arial"/>
      <family val="2"/>
    </font>
    <font>
      <b/>
      <sz val="8"/>
      <color indexed="8"/>
      <name val="Arial"/>
      <family val="2"/>
    </font>
    <font>
      <sz val="8"/>
      <color indexed="10"/>
      <name val="Arial"/>
      <family val="2"/>
    </font>
    <font>
      <b/>
      <u/>
      <sz val="10"/>
      <color indexed="9"/>
      <name val="Arial"/>
      <family val="2"/>
    </font>
    <font>
      <b/>
      <sz val="8"/>
      <color indexed="81"/>
      <name val="Symbol"/>
      <family val="1"/>
      <charset val="2"/>
    </font>
    <font>
      <b/>
      <sz val="12"/>
      <color indexed="8"/>
      <name val="Arial"/>
      <family val="2"/>
    </font>
    <font>
      <b/>
      <sz val="9"/>
      <name val="Arial"/>
      <family val="2"/>
    </font>
    <font>
      <b/>
      <i/>
      <sz val="8"/>
      <color indexed="10"/>
      <name val="Arial"/>
      <family val="2"/>
    </font>
    <font>
      <b/>
      <sz val="8"/>
      <color indexed="10"/>
      <name val="Arial"/>
      <family val="2"/>
    </font>
    <font>
      <b/>
      <sz val="8"/>
      <name val="Arial"/>
      <family val="2"/>
    </font>
    <font>
      <b/>
      <i/>
      <sz val="9"/>
      <color indexed="12"/>
      <name val="Arial"/>
      <family val="2"/>
    </font>
    <font>
      <sz val="9"/>
      <color indexed="10"/>
      <name val="Arial"/>
      <family val="2"/>
    </font>
    <font>
      <u/>
      <sz val="10"/>
      <color indexed="12"/>
      <name val="Symbol"/>
      <family val="1"/>
      <charset val="2"/>
    </font>
    <font>
      <b/>
      <u/>
      <sz val="10"/>
      <color indexed="8"/>
      <name val="Symbol"/>
      <family val="1"/>
      <charset val="2"/>
    </font>
    <font>
      <b/>
      <u/>
      <sz val="9"/>
      <name val="Arial"/>
      <family val="2"/>
    </font>
    <font>
      <b/>
      <u/>
      <sz val="12"/>
      <name val="Arial"/>
      <family val="2"/>
    </font>
    <font>
      <u/>
      <sz val="9"/>
      <name val="Arial"/>
      <family val="2"/>
    </font>
    <font>
      <sz val="9"/>
      <color indexed="12"/>
      <name val="Arial"/>
      <family val="2"/>
    </font>
    <font>
      <u/>
      <sz val="10"/>
      <color indexed="81"/>
      <name val="Arial"/>
      <family val="2"/>
    </font>
    <font>
      <sz val="10"/>
      <color indexed="81"/>
      <name val="Arial"/>
      <family val="2"/>
    </font>
  </fonts>
  <fills count="5">
    <fill>
      <patternFill patternType="none"/>
    </fill>
    <fill>
      <patternFill patternType="gray125"/>
    </fill>
    <fill>
      <patternFill patternType="solid">
        <fgColor indexed="9"/>
        <bgColor indexed="64"/>
      </patternFill>
    </fill>
    <fill>
      <patternFill patternType="solid">
        <fgColor indexed="41"/>
        <bgColor indexed="64"/>
      </patternFill>
    </fill>
    <fill>
      <patternFill patternType="solid">
        <fgColor indexed="43"/>
        <bgColor indexed="64"/>
      </patternFill>
    </fill>
  </fills>
  <borders count="46">
    <border>
      <left/>
      <right/>
      <top/>
      <bottom/>
      <diagonal/>
    </border>
    <border>
      <left/>
      <right/>
      <top style="double">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top/>
      <bottom/>
      <diagonal/>
    </border>
    <border>
      <left/>
      <right style="thin">
        <color indexed="64"/>
      </right>
      <top/>
      <bottom/>
      <diagonal/>
    </border>
    <border>
      <left/>
      <right/>
      <top style="thin">
        <color indexed="64"/>
      </top>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22"/>
      </right>
      <top style="thin">
        <color indexed="64"/>
      </top>
      <bottom style="thin">
        <color indexed="22"/>
      </bottom>
      <diagonal/>
    </border>
    <border>
      <left style="thin">
        <color indexed="22"/>
      </left>
      <right style="thin">
        <color indexed="22"/>
      </right>
      <top style="thin">
        <color indexed="64"/>
      </top>
      <bottom style="thin">
        <color indexed="22"/>
      </bottom>
      <diagonal/>
    </border>
    <border>
      <left style="thin">
        <color indexed="22"/>
      </left>
      <right style="thin">
        <color indexed="64"/>
      </right>
      <top style="thin">
        <color indexed="64"/>
      </top>
      <bottom style="thin">
        <color indexed="22"/>
      </bottom>
      <diagonal/>
    </border>
    <border>
      <left style="thin">
        <color indexed="64"/>
      </left>
      <right style="thin">
        <color indexed="22"/>
      </right>
      <top style="thin">
        <color indexed="22"/>
      </top>
      <bottom style="thin">
        <color indexed="22"/>
      </bottom>
      <diagonal/>
    </border>
    <border>
      <left style="thin">
        <color indexed="22"/>
      </left>
      <right style="thin">
        <color indexed="22"/>
      </right>
      <top style="thin">
        <color indexed="22"/>
      </top>
      <bottom style="thin">
        <color indexed="22"/>
      </bottom>
      <diagonal/>
    </border>
    <border>
      <left style="thin">
        <color indexed="22"/>
      </left>
      <right style="thin">
        <color indexed="64"/>
      </right>
      <top style="thin">
        <color indexed="22"/>
      </top>
      <bottom style="thin">
        <color indexed="22"/>
      </bottom>
      <diagonal/>
    </border>
    <border>
      <left style="thin">
        <color indexed="22"/>
      </left>
      <right style="thin">
        <color indexed="64"/>
      </right>
      <top style="thin">
        <color indexed="22"/>
      </top>
      <bottom style="thin">
        <color indexed="64"/>
      </bottom>
      <diagonal/>
    </border>
    <border>
      <left style="thin">
        <color indexed="64"/>
      </left>
      <right style="thin">
        <color indexed="22"/>
      </right>
      <top style="thin">
        <color indexed="22"/>
      </top>
      <bottom style="thin">
        <color indexed="64"/>
      </bottom>
      <diagonal/>
    </border>
    <border>
      <left style="thin">
        <color indexed="22"/>
      </left>
      <right style="thin">
        <color indexed="22"/>
      </right>
      <top style="thin">
        <color indexed="22"/>
      </top>
      <bottom style="thin">
        <color indexed="64"/>
      </bottom>
      <diagonal/>
    </border>
    <border>
      <left style="thin">
        <color indexed="64"/>
      </left>
      <right style="thin">
        <color indexed="64"/>
      </right>
      <top style="thin">
        <color indexed="64"/>
      </top>
      <bottom style="thin">
        <color indexed="22"/>
      </bottom>
      <diagonal/>
    </border>
    <border>
      <left style="thin">
        <color indexed="64"/>
      </left>
      <right style="thin">
        <color indexed="64"/>
      </right>
      <top style="thin">
        <color indexed="22"/>
      </top>
      <bottom style="thin">
        <color indexed="22"/>
      </bottom>
      <diagonal/>
    </border>
    <border>
      <left style="thin">
        <color indexed="64"/>
      </left>
      <right style="thin">
        <color indexed="64"/>
      </right>
      <top style="thin">
        <color indexed="22"/>
      </top>
      <bottom style="thin">
        <color indexed="64"/>
      </bottom>
      <diagonal/>
    </border>
    <border>
      <left style="thin">
        <color indexed="64"/>
      </left>
      <right/>
      <top style="thin">
        <color indexed="64"/>
      </top>
      <bottom style="thin">
        <color indexed="22"/>
      </bottom>
      <diagonal/>
    </border>
    <border>
      <left style="thin">
        <color indexed="64"/>
      </left>
      <right/>
      <top style="thin">
        <color indexed="22"/>
      </top>
      <bottom style="thin">
        <color indexed="64"/>
      </bottom>
      <diagonal/>
    </border>
    <border>
      <left/>
      <right/>
      <top style="thin">
        <color indexed="64"/>
      </top>
      <bottom style="thin">
        <color indexed="22"/>
      </bottom>
      <diagonal/>
    </border>
    <border>
      <left/>
      <right/>
      <top style="thin">
        <color indexed="22"/>
      </top>
      <bottom style="thin">
        <color indexed="64"/>
      </bottom>
      <diagonal/>
    </border>
    <border>
      <left/>
      <right style="thin">
        <color indexed="64"/>
      </right>
      <top style="thin">
        <color indexed="64"/>
      </top>
      <bottom style="thin">
        <color indexed="22"/>
      </bottom>
      <diagonal/>
    </border>
    <border>
      <left/>
      <right/>
      <top style="thin">
        <color indexed="22"/>
      </top>
      <bottom style="thin">
        <color indexed="22"/>
      </bottom>
      <diagonal/>
    </border>
    <border>
      <left/>
      <right style="thin">
        <color indexed="64"/>
      </right>
      <top style="thin">
        <color indexed="22"/>
      </top>
      <bottom style="thin">
        <color indexed="22"/>
      </bottom>
      <diagonal/>
    </border>
    <border>
      <left/>
      <right style="thin">
        <color indexed="64"/>
      </right>
      <top style="thin">
        <color indexed="22"/>
      </top>
      <bottom style="thin">
        <color indexed="64"/>
      </bottom>
      <diagonal/>
    </border>
    <border>
      <left style="thin">
        <color indexed="64"/>
      </left>
      <right style="thin">
        <color indexed="22"/>
      </right>
      <top style="thin">
        <color indexed="22"/>
      </top>
      <bottom/>
      <diagonal/>
    </border>
    <border>
      <left style="thin">
        <color indexed="22"/>
      </left>
      <right style="thin">
        <color indexed="22"/>
      </right>
      <top style="thin">
        <color indexed="22"/>
      </top>
      <bottom/>
      <diagonal/>
    </border>
    <border>
      <left style="thin">
        <color indexed="22"/>
      </left>
      <right style="thin">
        <color indexed="64"/>
      </right>
      <top style="thin">
        <color indexed="22"/>
      </top>
      <bottom/>
      <diagonal/>
    </border>
    <border>
      <left/>
      <right style="thin">
        <color indexed="22"/>
      </right>
      <top style="thin">
        <color indexed="64"/>
      </top>
      <bottom style="thin">
        <color indexed="22"/>
      </bottom>
      <diagonal/>
    </border>
    <border>
      <left/>
      <right style="thin">
        <color indexed="22"/>
      </right>
      <top style="thin">
        <color indexed="22"/>
      </top>
      <bottom style="thin">
        <color indexed="22"/>
      </bottom>
      <diagonal/>
    </border>
    <border>
      <left/>
      <right style="thin">
        <color indexed="22"/>
      </right>
      <top style="thin">
        <color indexed="22"/>
      </top>
      <bottom style="thin">
        <color indexed="64"/>
      </bottom>
      <diagonal/>
    </border>
    <border>
      <left style="thin">
        <color indexed="64"/>
      </left>
      <right style="thin">
        <color indexed="64"/>
      </right>
      <top/>
      <bottom style="thin">
        <color indexed="22"/>
      </bottom>
      <diagonal/>
    </border>
    <border>
      <left style="thin">
        <color indexed="22"/>
      </left>
      <right style="thin">
        <color indexed="22"/>
      </right>
      <top/>
      <bottom style="thin">
        <color indexed="22"/>
      </bottom>
      <diagonal/>
    </border>
    <border>
      <left style="thin">
        <color indexed="22"/>
      </left>
      <right style="thin">
        <color indexed="64"/>
      </right>
      <top/>
      <bottom style="thin">
        <color indexed="22"/>
      </bottom>
      <diagonal/>
    </border>
  </borders>
  <cellStyleXfs count="8">
    <xf numFmtId="0" fontId="0" fillId="0" borderId="0"/>
    <xf numFmtId="3" fontId="19" fillId="0" borderId="0" applyFont="0" applyFill="0" applyBorder="0" applyAlignment="0" applyProtection="0"/>
    <xf numFmtId="167" fontId="19" fillId="0" borderId="0" applyFont="0" applyFill="0" applyBorder="0" applyAlignment="0" applyProtection="0"/>
    <xf numFmtId="0" fontId="19" fillId="0" borderId="0" applyFont="0" applyFill="0" applyBorder="0" applyAlignment="0" applyProtection="0"/>
    <xf numFmtId="2" fontId="19" fillId="0" borderId="0" applyFon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19" fillId="0" borderId="1" applyNumberFormat="0" applyFont="0" applyFill="0" applyAlignment="0" applyProtection="0"/>
  </cellStyleXfs>
  <cellXfs count="615">
    <xf numFmtId="0" fontId="0" fillId="0" borderId="0" xfId="0"/>
    <xf numFmtId="166" fontId="6" fillId="2" borderId="0" xfId="0" applyNumberFormat="1" applyFont="1" applyFill="1" applyBorder="1" applyAlignment="1" applyProtection="1">
      <alignment horizontal="centerContinuous"/>
      <protection hidden="1"/>
    </xf>
    <xf numFmtId="166" fontId="6" fillId="2" borderId="2" xfId="0" applyNumberFormat="1" applyFont="1" applyFill="1" applyBorder="1" applyAlignment="1" applyProtection="1">
      <alignment horizontal="center"/>
      <protection hidden="1"/>
    </xf>
    <xf numFmtId="166" fontId="6" fillId="2" borderId="3" xfId="0" applyNumberFormat="1" applyFont="1" applyFill="1" applyBorder="1" applyAlignment="1" applyProtection="1">
      <alignment horizontal="center"/>
      <protection hidden="1"/>
    </xf>
    <xf numFmtId="166" fontId="6" fillId="2" borderId="4" xfId="0" applyNumberFormat="1" applyFont="1" applyFill="1" applyBorder="1" applyAlignment="1" applyProtection="1">
      <alignment horizontal="center"/>
      <protection hidden="1"/>
    </xf>
    <xf numFmtId="2" fontId="6" fillId="2" borderId="3" xfId="0" applyNumberFormat="1" applyFont="1" applyFill="1" applyBorder="1" applyAlignment="1" applyProtection="1">
      <alignment horizontal="center"/>
      <protection hidden="1"/>
    </xf>
    <xf numFmtId="0" fontId="0" fillId="2" borderId="0" xfId="0" applyFill="1" applyBorder="1" applyProtection="1">
      <protection locked="0"/>
    </xf>
    <xf numFmtId="0" fontId="9" fillId="2" borderId="0" xfId="0" applyFont="1" applyFill="1" applyBorder="1" applyAlignment="1" applyProtection="1">
      <alignment horizontal="centerContinuous"/>
      <protection hidden="1"/>
    </xf>
    <xf numFmtId="2" fontId="6" fillId="2" borderId="0" xfId="0" applyNumberFormat="1" applyFont="1" applyFill="1" applyBorder="1" applyAlignment="1" applyProtection="1">
      <alignment horizontal="center"/>
      <protection hidden="1"/>
    </xf>
    <xf numFmtId="2" fontId="9" fillId="2" borderId="0" xfId="0" applyNumberFormat="1" applyFont="1" applyFill="1" applyBorder="1" applyAlignment="1" applyProtection="1">
      <alignment horizontal="center"/>
      <protection hidden="1"/>
    </xf>
    <xf numFmtId="2" fontId="9" fillId="2" borderId="0" xfId="0" applyNumberFormat="1" applyFont="1" applyFill="1" applyBorder="1" applyAlignment="1" applyProtection="1">
      <alignment horizontal="left"/>
      <protection hidden="1"/>
    </xf>
    <xf numFmtId="166" fontId="6" fillId="2" borderId="0" xfId="0" applyNumberFormat="1" applyFont="1" applyFill="1" applyBorder="1" applyAlignment="1" applyProtection="1">
      <alignment horizontal="center"/>
      <protection hidden="1"/>
    </xf>
    <xf numFmtId="0" fontId="9" fillId="2" borderId="0" xfId="0" applyFont="1" applyFill="1" applyBorder="1" applyAlignment="1" applyProtection="1">
      <alignment horizontal="center"/>
      <protection hidden="1"/>
    </xf>
    <xf numFmtId="2" fontId="18" fillId="2" borderId="0" xfId="0" applyNumberFormat="1" applyFont="1" applyFill="1" applyBorder="1" applyAlignment="1" applyProtection="1">
      <alignment horizontal="center"/>
      <protection hidden="1"/>
    </xf>
    <xf numFmtId="166" fontId="18" fillId="2" borderId="0" xfId="0" applyNumberFormat="1" applyFont="1" applyFill="1" applyBorder="1" applyAlignment="1" applyProtection="1">
      <alignment horizontal="center"/>
      <protection hidden="1"/>
    </xf>
    <xf numFmtId="165" fontId="6" fillId="2" borderId="0" xfId="0" applyNumberFormat="1" applyFont="1" applyFill="1" applyBorder="1" applyAlignment="1" applyProtection="1">
      <alignment horizontal="center"/>
      <protection hidden="1"/>
    </xf>
    <xf numFmtId="165" fontId="18" fillId="2" borderId="0" xfId="0" applyNumberFormat="1" applyFont="1" applyFill="1" applyBorder="1" applyAlignment="1" applyProtection="1">
      <alignment horizontal="center"/>
      <protection hidden="1"/>
    </xf>
    <xf numFmtId="0" fontId="2" fillId="3" borderId="5" xfId="0" applyFont="1" applyFill="1" applyBorder="1" applyAlignment="1" applyProtection="1">
      <alignment horizontal="centerContinuous"/>
      <protection hidden="1"/>
    </xf>
    <xf numFmtId="0" fontId="0" fillId="2" borderId="0" xfId="0" applyFill="1" applyProtection="1">
      <protection hidden="1"/>
    </xf>
    <xf numFmtId="0" fontId="28" fillId="2" borderId="0" xfId="0" applyFont="1" applyFill="1" applyBorder="1" applyProtection="1">
      <protection hidden="1"/>
    </xf>
    <xf numFmtId="0" fontId="5" fillId="3" borderId="6" xfId="0" applyFont="1" applyFill="1" applyBorder="1" applyAlignment="1" applyProtection="1">
      <alignment horizontal="centerContinuous"/>
      <protection hidden="1"/>
    </xf>
    <xf numFmtId="0" fontId="0" fillId="2" borderId="0" xfId="0" applyFill="1" applyBorder="1" applyProtection="1">
      <protection hidden="1"/>
    </xf>
    <xf numFmtId="0" fontId="10" fillId="2" borderId="7" xfId="0" applyFont="1" applyFill="1" applyBorder="1" applyProtection="1">
      <protection hidden="1"/>
    </xf>
    <xf numFmtId="0" fontId="27" fillId="2" borderId="0" xfId="0" applyFont="1" applyFill="1" applyBorder="1" applyProtection="1">
      <protection hidden="1"/>
    </xf>
    <xf numFmtId="0" fontId="0" fillId="2" borderId="8" xfId="0" applyFill="1" applyBorder="1" applyProtection="1">
      <protection hidden="1"/>
    </xf>
    <xf numFmtId="0" fontId="32" fillId="2" borderId="0" xfId="0" applyFont="1" applyFill="1" applyBorder="1" applyAlignment="1" applyProtection="1">
      <alignment horizontal="left"/>
      <protection hidden="1"/>
    </xf>
    <xf numFmtId="0" fontId="0" fillId="3" borderId="9" xfId="0" applyFill="1" applyBorder="1" applyAlignment="1" applyProtection="1">
      <alignment horizontal="centerContinuous"/>
      <protection hidden="1"/>
    </xf>
    <xf numFmtId="0" fontId="5" fillId="3" borderId="7" xfId="0" applyFont="1" applyFill="1" applyBorder="1" applyAlignment="1" applyProtection="1">
      <alignment horizontal="centerContinuous"/>
      <protection hidden="1"/>
    </xf>
    <xf numFmtId="0" fontId="0" fillId="3" borderId="0" xfId="0" applyFill="1" applyBorder="1" applyAlignment="1" applyProtection="1">
      <alignment horizontal="centerContinuous"/>
      <protection hidden="1"/>
    </xf>
    <xf numFmtId="164" fontId="6" fillId="2" borderId="3" xfId="0" applyNumberFormat="1" applyFont="1" applyFill="1" applyBorder="1" applyAlignment="1" applyProtection="1">
      <alignment horizontal="center"/>
      <protection hidden="1"/>
    </xf>
    <xf numFmtId="0" fontId="0" fillId="2" borderId="7" xfId="0" applyFill="1" applyBorder="1" applyProtection="1">
      <protection hidden="1"/>
    </xf>
    <xf numFmtId="0" fontId="0" fillId="2" borderId="6" xfId="0" applyFill="1" applyBorder="1" applyProtection="1">
      <protection hidden="1"/>
    </xf>
    <xf numFmtId="0" fontId="0" fillId="2" borderId="10" xfId="0" applyFill="1" applyBorder="1" applyProtection="1">
      <protection hidden="1"/>
    </xf>
    <xf numFmtId="0" fontId="0" fillId="2" borderId="11" xfId="0" applyFill="1" applyBorder="1" applyProtection="1">
      <protection hidden="1"/>
    </xf>
    <xf numFmtId="0" fontId="0" fillId="3" borderId="10" xfId="0" applyFill="1" applyBorder="1" applyAlignment="1" applyProtection="1">
      <alignment horizontal="centerContinuous"/>
      <protection hidden="1"/>
    </xf>
    <xf numFmtId="0" fontId="6" fillId="2" borderId="9" xfId="0" applyFont="1" applyFill="1" applyBorder="1" applyAlignment="1" applyProtection="1">
      <alignment horizontal="centerContinuous"/>
      <protection hidden="1"/>
    </xf>
    <xf numFmtId="0" fontId="6" fillId="2" borderId="12" xfId="0" applyFont="1" applyFill="1" applyBorder="1" applyAlignment="1" applyProtection="1">
      <alignment horizontal="centerContinuous"/>
      <protection hidden="1"/>
    </xf>
    <xf numFmtId="0" fontId="6" fillId="2" borderId="0" xfId="0" applyFont="1" applyFill="1" applyBorder="1" applyAlignment="1" applyProtection="1">
      <alignment horizontal="centerContinuous"/>
      <protection hidden="1"/>
    </xf>
    <xf numFmtId="0" fontId="6" fillId="2" borderId="0" xfId="0" applyFont="1" applyFill="1" applyBorder="1" applyAlignment="1" applyProtection="1">
      <protection hidden="1"/>
    </xf>
    <xf numFmtId="0" fontId="11" fillId="2" borderId="0" xfId="0" applyFont="1" applyFill="1" applyBorder="1" applyProtection="1">
      <protection hidden="1"/>
    </xf>
    <xf numFmtId="0" fontId="6" fillId="2" borderId="0" xfId="0" applyFont="1" applyFill="1" applyBorder="1" applyProtection="1">
      <protection hidden="1"/>
    </xf>
    <xf numFmtId="0" fontId="6" fillId="2" borderId="0" xfId="0" applyFont="1" applyFill="1" applyBorder="1" applyAlignment="1" applyProtection="1">
      <alignment horizontal="center"/>
      <protection hidden="1"/>
    </xf>
    <xf numFmtId="0" fontId="32" fillId="2" borderId="0" xfId="0" applyFont="1" applyFill="1" applyBorder="1" applyProtection="1">
      <protection hidden="1"/>
    </xf>
    <xf numFmtId="0" fontId="18" fillId="2" borderId="0" xfId="0" applyFont="1" applyFill="1" applyProtection="1">
      <protection hidden="1"/>
    </xf>
    <xf numFmtId="0" fontId="18" fillId="2" borderId="0" xfId="0" applyFont="1" applyFill="1" applyAlignment="1" applyProtection="1">
      <alignment horizontal="left"/>
      <protection hidden="1"/>
    </xf>
    <xf numFmtId="0" fontId="34" fillId="2" borderId="0" xfId="0" applyFont="1" applyFill="1" applyProtection="1">
      <protection hidden="1"/>
    </xf>
    <xf numFmtId="0" fontId="18" fillId="2" borderId="0" xfId="0" applyFont="1" applyFill="1" applyAlignment="1" applyProtection="1">
      <alignment horizontal="right"/>
      <protection hidden="1"/>
    </xf>
    <xf numFmtId="0" fontId="18" fillId="2" borderId="0" xfId="0" applyFont="1" applyFill="1" applyAlignment="1" applyProtection="1">
      <alignment horizontal="center"/>
      <protection hidden="1"/>
    </xf>
    <xf numFmtId="0" fontId="9" fillId="2" borderId="0" xfId="0" applyFont="1" applyFill="1" applyAlignment="1" applyProtection="1">
      <alignment horizontal="center"/>
      <protection hidden="1"/>
    </xf>
    <xf numFmtId="0" fontId="23" fillId="2" borderId="0" xfId="0" applyFont="1" applyFill="1" applyAlignment="1" applyProtection="1">
      <alignment horizontal="center"/>
      <protection hidden="1"/>
    </xf>
    <xf numFmtId="0" fontId="7" fillId="2" borderId="0" xfId="0" applyFont="1" applyFill="1" applyAlignment="1" applyProtection="1">
      <alignment horizontal="center"/>
      <protection hidden="1"/>
    </xf>
    <xf numFmtId="0" fontId="18" fillId="2" borderId="0" xfId="0" applyFont="1" applyFill="1" applyBorder="1" applyProtection="1">
      <protection hidden="1"/>
    </xf>
    <xf numFmtId="166" fontId="18" fillId="2" borderId="0" xfId="0" applyNumberFormat="1" applyFont="1" applyFill="1" applyAlignment="1" applyProtection="1">
      <alignment horizontal="center"/>
      <protection hidden="1"/>
    </xf>
    <xf numFmtId="0" fontId="18" fillId="2" borderId="0" xfId="0" applyNumberFormat="1" applyFont="1" applyFill="1" applyAlignment="1" applyProtection="1">
      <alignment horizontal="center"/>
      <protection hidden="1"/>
    </xf>
    <xf numFmtId="2" fontId="18" fillId="2" borderId="0" xfId="0" applyNumberFormat="1" applyFont="1" applyFill="1" applyAlignment="1" applyProtection="1">
      <alignment horizontal="center"/>
      <protection hidden="1"/>
    </xf>
    <xf numFmtId="166" fontId="6" fillId="2" borderId="0" xfId="0" applyNumberFormat="1" applyFont="1" applyFill="1" applyAlignment="1" applyProtection="1">
      <alignment horizontal="center"/>
      <protection hidden="1"/>
    </xf>
    <xf numFmtId="0" fontId="0" fillId="2" borderId="0" xfId="0" applyFill="1" applyBorder="1" applyAlignment="1" applyProtection="1">
      <alignment horizontal="right"/>
      <protection hidden="1"/>
    </xf>
    <xf numFmtId="0" fontId="9" fillId="2" borderId="0" xfId="0" applyFont="1" applyFill="1" applyBorder="1" applyProtection="1">
      <protection hidden="1"/>
    </xf>
    <xf numFmtId="166" fontId="9" fillId="2" borderId="0" xfId="0" applyNumberFormat="1" applyFont="1" applyFill="1" applyBorder="1" applyAlignment="1" applyProtection="1">
      <alignment horizontal="center"/>
      <protection hidden="1"/>
    </xf>
    <xf numFmtId="0" fontId="6" fillId="2" borderId="0" xfId="0" applyFont="1" applyFill="1" applyBorder="1" applyAlignment="1" applyProtection="1">
      <alignment horizontal="left"/>
      <protection hidden="1"/>
    </xf>
    <xf numFmtId="0" fontId="0" fillId="2" borderId="0" xfId="0" applyFill="1" applyBorder="1" applyAlignment="1" applyProtection="1">
      <alignment horizontal="left"/>
      <protection hidden="1"/>
    </xf>
    <xf numFmtId="0" fontId="6" fillId="2" borderId="0" xfId="0" applyFont="1" applyFill="1" applyAlignment="1" applyProtection="1">
      <alignment horizontal="right"/>
      <protection hidden="1"/>
    </xf>
    <xf numFmtId="0" fontId="9" fillId="2" borderId="0" xfId="0" applyFont="1" applyFill="1" applyBorder="1" applyAlignment="1" applyProtection="1">
      <alignment horizontal="left"/>
      <protection hidden="1"/>
    </xf>
    <xf numFmtId="0" fontId="23" fillId="2" borderId="0" xfId="0" applyFont="1" applyFill="1" applyBorder="1" applyProtection="1">
      <protection hidden="1"/>
    </xf>
    <xf numFmtId="0" fontId="12" fillId="2" borderId="0" xfId="0" applyFont="1" applyFill="1" applyBorder="1" applyProtection="1">
      <protection hidden="1"/>
    </xf>
    <xf numFmtId="0" fontId="13" fillId="2" borderId="0" xfId="0" applyFont="1" applyFill="1" applyBorder="1" applyAlignment="1" applyProtection="1">
      <alignment horizontal="left"/>
      <protection hidden="1"/>
    </xf>
    <xf numFmtId="0" fontId="6" fillId="2" borderId="0" xfId="0" applyFont="1" applyFill="1" applyProtection="1">
      <protection hidden="1"/>
    </xf>
    <xf numFmtId="0" fontId="9" fillId="2" borderId="0" xfId="0" applyFont="1" applyFill="1" applyBorder="1" applyAlignment="1" applyProtection="1">
      <alignment horizontal="right"/>
      <protection hidden="1"/>
    </xf>
    <xf numFmtId="0" fontId="5" fillId="2" borderId="0" xfId="0" applyFont="1" applyFill="1" applyBorder="1" applyProtection="1">
      <protection hidden="1"/>
    </xf>
    <xf numFmtId="0" fontId="6" fillId="2" borderId="0" xfId="0" applyFont="1" applyFill="1" applyBorder="1" applyAlignment="1" applyProtection="1">
      <alignment horizontal="right"/>
      <protection hidden="1"/>
    </xf>
    <xf numFmtId="2" fontId="6" fillId="2" borderId="0" xfId="0" applyNumberFormat="1" applyFont="1" applyFill="1" applyAlignment="1" applyProtection="1">
      <alignment horizontal="center"/>
      <protection hidden="1"/>
    </xf>
    <xf numFmtId="0" fontId="14" fillId="2" borderId="0" xfId="0" applyFont="1" applyFill="1" applyBorder="1" applyProtection="1">
      <protection hidden="1"/>
    </xf>
    <xf numFmtId="0" fontId="23" fillId="2" borderId="0" xfId="0" applyFont="1" applyFill="1" applyBorder="1" applyAlignment="1" applyProtection="1">
      <protection hidden="1"/>
    </xf>
    <xf numFmtId="0" fontId="12" fillId="2" borderId="0" xfId="0" applyFont="1" applyFill="1" applyBorder="1" applyAlignment="1" applyProtection="1">
      <alignment horizontal="left"/>
      <protection hidden="1"/>
    </xf>
    <xf numFmtId="165" fontId="9" fillId="2" borderId="0" xfId="0" applyNumberFormat="1" applyFont="1" applyFill="1" applyBorder="1" applyAlignment="1" applyProtection="1">
      <alignment horizontal="right"/>
      <protection hidden="1"/>
    </xf>
    <xf numFmtId="0" fontId="14" fillId="2" borderId="7" xfId="0" applyFont="1" applyFill="1" applyBorder="1" applyProtection="1">
      <protection hidden="1"/>
    </xf>
    <xf numFmtId="0" fontId="14" fillId="2" borderId="7" xfId="0" applyFont="1" applyFill="1" applyBorder="1" applyAlignment="1" applyProtection="1">
      <alignment horizontal="left"/>
      <protection hidden="1"/>
    </xf>
    <xf numFmtId="0" fontId="9" fillId="2" borderId="7" xfId="0" applyFont="1" applyFill="1" applyBorder="1" applyAlignment="1" applyProtection="1">
      <alignment horizontal="right"/>
      <protection hidden="1"/>
    </xf>
    <xf numFmtId="0" fontId="18" fillId="2" borderId="8" xfId="0" applyFont="1" applyFill="1" applyBorder="1" applyProtection="1">
      <protection hidden="1"/>
    </xf>
    <xf numFmtId="165" fontId="18" fillId="2" borderId="0" xfId="0" applyNumberFormat="1" applyFont="1" applyFill="1" applyAlignment="1" applyProtection="1">
      <alignment horizontal="center"/>
      <protection hidden="1"/>
    </xf>
    <xf numFmtId="0" fontId="12" fillId="2" borderId="0" xfId="0" applyFont="1" applyFill="1" applyBorder="1" applyAlignment="1" applyProtection="1">
      <alignment horizontal="center"/>
      <protection hidden="1"/>
    </xf>
    <xf numFmtId="0" fontId="12" fillId="2" borderId="7" xfId="0" applyFont="1" applyFill="1" applyBorder="1" applyProtection="1">
      <protection hidden="1"/>
    </xf>
    <xf numFmtId="0" fontId="4" fillId="2" borderId="0" xfId="0" applyFont="1" applyFill="1" applyProtection="1">
      <protection hidden="1"/>
    </xf>
    <xf numFmtId="0" fontId="5" fillId="2" borderId="0" xfId="0" applyFont="1" applyFill="1" applyBorder="1" applyAlignment="1" applyProtection="1">
      <alignment horizontal="left"/>
      <protection hidden="1"/>
    </xf>
    <xf numFmtId="0" fontId="15" fillId="2" borderId="0" xfId="0" applyFont="1" applyFill="1" applyBorder="1" applyAlignment="1" applyProtection="1">
      <alignment horizontal="left"/>
      <protection hidden="1"/>
    </xf>
    <xf numFmtId="0" fontId="6" fillId="2" borderId="0" xfId="0" applyFont="1" applyFill="1" applyAlignment="1" applyProtection="1">
      <alignment horizontal="center"/>
      <protection hidden="1"/>
    </xf>
    <xf numFmtId="0" fontId="6" fillId="2" borderId="0" xfId="0" applyFont="1" applyFill="1" applyAlignment="1" applyProtection="1">
      <protection hidden="1"/>
    </xf>
    <xf numFmtId="0" fontId="12" fillId="2" borderId="0" xfId="0" applyFont="1" applyFill="1" applyProtection="1">
      <protection hidden="1"/>
    </xf>
    <xf numFmtId="0" fontId="12" fillId="2" borderId="0" xfId="0" applyFont="1" applyFill="1" applyAlignment="1" applyProtection="1">
      <alignment horizontal="left"/>
      <protection hidden="1"/>
    </xf>
    <xf numFmtId="2" fontId="12" fillId="2" borderId="0" xfId="0" applyNumberFormat="1" applyFont="1" applyFill="1" applyBorder="1" applyAlignment="1" applyProtection="1">
      <alignment horizontal="center"/>
      <protection hidden="1"/>
    </xf>
    <xf numFmtId="0" fontId="9" fillId="2" borderId="0" xfId="0" applyFont="1" applyFill="1" applyBorder="1" applyAlignment="1" applyProtection="1">
      <protection hidden="1"/>
    </xf>
    <xf numFmtId="0" fontId="12" fillId="2" borderId="0" xfId="0" applyFont="1" applyFill="1" applyBorder="1" applyAlignment="1" applyProtection="1">
      <alignment horizontal="centerContinuous"/>
      <protection hidden="1"/>
    </xf>
    <xf numFmtId="0" fontId="9" fillId="2" borderId="8" xfId="0" applyFont="1" applyFill="1" applyBorder="1" applyAlignment="1" applyProtection="1">
      <alignment horizontal="centerContinuous"/>
      <protection hidden="1"/>
    </xf>
    <xf numFmtId="0" fontId="12" fillId="2" borderId="0" xfId="0" applyFont="1" applyFill="1" applyBorder="1" applyAlignment="1" applyProtection="1">
      <alignment horizontal="right"/>
      <protection hidden="1"/>
    </xf>
    <xf numFmtId="0" fontId="0" fillId="2" borderId="0" xfId="0" applyFill="1" applyBorder="1" applyAlignment="1" applyProtection="1">
      <alignment horizontal="center"/>
      <protection hidden="1"/>
    </xf>
    <xf numFmtId="14" fontId="0" fillId="2" borderId="0" xfId="0" applyNumberFormat="1" applyFill="1" applyBorder="1" applyAlignment="1" applyProtection="1">
      <alignment horizontal="center"/>
      <protection hidden="1"/>
    </xf>
    <xf numFmtId="18" fontId="0" fillId="2" borderId="0" xfId="0" applyNumberFormat="1" applyFill="1" applyBorder="1" applyAlignment="1" applyProtection="1">
      <alignment horizontal="center"/>
      <protection hidden="1"/>
    </xf>
    <xf numFmtId="0" fontId="0" fillId="0" borderId="0" xfId="0" applyBorder="1" applyAlignment="1" applyProtection="1">
      <alignment horizontal="center"/>
      <protection hidden="1"/>
    </xf>
    <xf numFmtId="166" fontId="9" fillId="2" borderId="0" xfId="0" applyNumberFormat="1" applyFont="1" applyFill="1" applyBorder="1" applyAlignment="1" applyProtection="1">
      <alignment horizontal="left"/>
      <protection hidden="1"/>
    </xf>
    <xf numFmtId="166" fontId="14" fillId="2" borderId="0" xfId="0" applyNumberFormat="1" applyFont="1" applyFill="1" applyBorder="1" applyAlignment="1" applyProtection="1">
      <alignment horizontal="left"/>
      <protection hidden="1"/>
    </xf>
    <xf numFmtId="0" fontId="15" fillId="2" borderId="0" xfId="0" applyFont="1" applyFill="1" applyBorder="1" applyAlignment="1" applyProtection="1">
      <alignment horizontal="right"/>
      <protection hidden="1"/>
    </xf>
    <xf numFmtId="0" fontId="34" fillId="2" borderId="0" xfId="0" applyFont="1" applyFill="1" applyBorder="1" applyProtection="1">
      <protection hidden="1"/>
    </xf>
    <xf numFmtId="0" fontId="22" fillId="2" borderId="0" xfId="0" applyFont="1" applyFill="1" applyBorder="1" applyAlignment="1" applyProtection="1">
      <alignment horizontal="left"/>
      <protection hidden="1"/>
    </xf>
    <xf numFmtId="0" fontId="18" fillId="2" borderId="0" xfId="0" applyFont="1" applyFill="1" applyBorder="1" applyAlignment="1" applyProtection="1">
      <alignment horizontal="left"/>
      <protection hidden="1"/>
    </xf>
    <xf numFmtId="0" fontId="15" fillId="2" borderId="0" xfId="0" applyFont="1" applyFill="1" applyBorder="1" applyProtection="1">
      <protection hidden="1"/>
    </xf>
    <xf numFmtId="0" fontId="11" fillId="2" borderId="7" xfId="0" applyFont="1" applyFill="1" applyBorder="1" applyProtection="1">
      <protection hidden="1"/>
    </xf>
    <xf numFmtId="0" fontId="10" fillId="2" borderId="0" xfId="0" applyFont="1" applyFill="1" applyBorder="1" applyProtection="1">
      <protection hidden="1"/>
    </xf>
    <xf numFmtId="0" fontId="24" fillId="2" borderId="0" xfId="0" applyFont="1" applyFill="1" applyBorder="1" applyAlignment="1" applyProtection="1">
      <alignment horizontal="centerContinuous"/>
      <protection hidden="1"/>
    </xf>
    <xf numFmtId="0" fontId="13" fillId="2" borderId="0" xfId="0" applyFont="1" applyFill="1" applyBorder="1" applyProtection="1">
      <protection hidden="1"/>
    </xf>
    <xf numFmtId="0" fontId="16" fillId="2" borderId="0" xfId="0" applyFont="1" applyFill="1" applyBorder="1" applyAlignment="1" applyProtection="1">
      <alignment horizontal="right"/>
      <protection hidden="1"/>
    </xf>
    <xf numFmtId="166" fontId="6" fillId="2" borderId="0" xfId="0" applyNumberFormat="1" applyFont="1" applyFill="1" applyBorder="1" applyAlignment="1" applyProtection="1">
      <alignment horizontal="left"/>
      <protection hidden="1"/>
    </xf>
    <xf numFmtId="0" fontId="6" fillId="2" borderId="0" xfId="0" applyFont="1" applyFill="1" applyAlignment="1" applyProtection="1">
      <alignment horizontal="centerContinuous"/>
      <protection hidden="1"/>
    </xf>
    <xf numFmtId="0" fontId="18" fillId="2" borderId="0" xfId="0" applyFont="1" applyFill="1" applyBorder="1" applyAlignment="1" applyProtection="1">
      <alignment horizontal="center"/>
      <protection hidden="1"/>
    </xf>
    <xf numFmtId="166" fontId="9" fillId="2" borderId="0" xfId="0" applyNumberFormat="1" applyFont="1" applyFill="1" applyBorder="1" applyAlignment="1" applyProtection="1">
      <alignment horizontal="right"/>
      <protection hidden="1"/>
    </xf>
    <xf numFmtId="0" fontId="22" fillId="2" borderId="0" xfId="0" applyFont="1" applyFill="1" applyBorder="1" applyAlignment="1" applyProtection="1">
      <alignment horizontal="right"/>
      <protection hidden="1"/>
    </xf>
    <xf numFmtId="0" fontId="10" fillId="2" borderId="7" xfId="0" applyFont="1" applyFill="1" applyBorder="1" applyAlignment="1" applyProtection="1">
      <alignment horizontal="left"/>
      <protection hidden="1"/>
    </xf>
    <xf numFmtId="0" fontId="9" fillId="3" borderId="13" xfId="0" applyFont="1" applyFill="1" applyBorder="1" applyAlignment="1" applyProtection="1">
      <alignment horizontal="centerContinuous"/>
      <protection hidden="1"/>
    </xf>
    <xf numFmtId="0" fontId="9" fillId="3" borderId="14" xfId="0" applyFont="1" applyFill="1" applyBorder="1" applyAlignment="1" applyProtection="1">
      <alignment horizontal="centerContinuous"/>
      <protection hidden="1"/>
    </xf>
    <xf numFmtId="166" fontId="7" fillId="2" borderId="0" xfId="0" applyNumberFormat="1" applyFont="1" applyFill="1" applyBorder="1" applyAlignment="1" applyProtection="1">
      <alignment horizontal="left"/>
      <protection hidden="1"/>
    </xf>
    <xf numFmtId="0" fontId="12" fillId="2" borderId="0" xfId="0" applyFont="1" applyFill="1" applyAlignment="1" applyProtection="1">
      <alignment horizontal="right"/>
      <protection hidden="1"/>
    </xf>
    <xf numFmtId="0" fontId="13" fillId="3" borderId="15" xfId="0" applyFont="1" applyFill="1" applyBorder="1" applyAlignment="1" applyProtection="1">
      <alignment horizontal="centerContinuous"/>
      <protection hidden="1"/>
    </xf>
    <xf numFmtId="0" fontId="6" fillId="2" borderId="0" xfId="0" applyFont="1" applyFill="1" applyBorder="1" applyProtection="1">
      <protection locked="0"/>
    </xf>
    <xf numFmtId="0" fontId="6" fillId="2" borderId="0" xfId="0" applyFont="1" applyFill="1" applyBorder="1" applyAlignment="1" applyProtection="1">
      <alignment horizontal="center"/>
      <protection locked="0"/>
    </xf>
    <xf numFmtId="0" fontId="11" fillId="3" borderId="13" xfId="0" applyFont="1" applyFill="1" applyBorder="1" applyAlignment="1" applyProtection="1">
      <alignment horizontal="centerContinuous"/>
      <protection hidden="1"/>
    </xf>
    <xf numFmtId="0" fontId="11" fillId="3" borderId="14" xfId="0" applyFont="1" applyFill="1" applyBorder="1" applyAlignment="1" applyProtection="1">
      <alignment horizontal="centerContinuous"/>
      <protection hidden="1"/>
    </xf>
    <xf numFmtId="166" fontId="6" fillId="2" borderId="0" xfId="0" applyNumberFormat="1" applyFont="1" applyFill="1" applyBorder="1" applyAlignment="1" applyProtection="1">
      <alignment horizontal="right"/>
      <protection hidden="1"/>
    </xf>
    <xf numFmtId="2" fontId="9" fillId="2" borderId="0" xfId="0" applyNumberFormat="1" applyFont="1" applyFill="1" applyBorder="1" applyAlignment="1" applyProtection="1">
      <alignment horizontal="right"/>
      <protection hidden="1"/>
    </xf>
    <xf numFmtId="14" fontId="12" fillId="2" borderId="0" xfId="0" applyNumberFormat="1" applyFont="1" applyFill="1" applyBorder="1" applyAlignment="1" applyProtection="1">
      <alignment horizontal="center"/>
      <protection hidden="1"/>
    </xf>
    <xf numFmtId="0" fontId="23" fillId="2" borderId="0" xfId="0" applyFont="1" applyFill="1" applyAlignment="1" applyProtection="1">
      <alignment horizontal="right"/>
      <protection hidden="1"/>
    </xf>
    <xf numFmtId="0" fontId="18" fillId="2" borderId="0" xfId="0" applyFont="1" applyFill="1" applyBorder="1" applyAlignment="1" applyProtection="1">
      <alignment horizontal="centerContinuous"/>
      <protection hidden="1"/>
    </xf>
    <xf numFmtId="0" fontId="35" fillId="2" borderId="0" xfId="0" applyFont="1" applyFill="1" applyBorder="1" applyProtection="1">
      <protection locked="0"/>
    </xf>
    <xf numFmtId="0" fontId="9" fillId="2" borderId="16" xfId="0" applyFont="1" applyFill="1" applyBorder="1" applyAlignment="1" applyProtection="1">
      <alignment horizontal="center"/>
      <protection hidden="1"/>
    </xf>
    <xf numFmtId="0" fontId="7" fillId="2" borderId="0" xfId="0" applyFont="1" applyFill="1" applyBorder="1" applyAlignment="1" applyProtection="1">
      <alignment horizontal="left"/>
      <protection hidden="1"/>
    </xf>
    <xf numFmtId="0" fontId="33" fillId="2" borderId="0" xfId="0" applyFont="1" applyFill="1" applyBorder="1" applyAlignment="1" applyProtection="1">
      <alignment horizontal="left"/>
      <protection hidden="1"/>
    </xf>
    <xf numFmtId="0" fontId="7" fillId="2" borderId="0" xfId="0" applyFont="1" applyFill="1" applyBorder="1" applyProtection="1">
      <protection hidden="1"/>
    </xf>
    <xf numFmtId="166" fontId="27" fillId="2" borderId="0" xfId="0" applyNumberFormat="1" applyFont="1" applyFill="1" applyBorder="1" applyProtection="1">
      <protection hidden="1"/>
    </xf>
    <xf numFmtId="164" fontId="18" fillId="2" borderId="0" xfId="0" applyNumberFormat="1" applyFont="1" applyFill="1" applyAlignment="1" applyProtection="1">
      <alignment horizontal="center"/>
      <protection hidden="1"/>
    </xf>
    <xf numFmtId="0" fontId="7" fillId="2" borderId="0" xfId="0" applyFont="1" applyFill="1" applyBorder="1" applyAlignment="1" applyProtection="1">
      <alignment horizontal="centerContinuous"/>
      <protection hidden="1"/>
    </xf>
    <xf numFmtId="0" fontId="35" fillId="2" borderId="0" xfId="0" applyFont="1" applyFill="1" applyBorder="1" applyAlignment="1" applyProtection="1">
      <alignment horizontal="left"/>
      <protection hidden="1"/>
    </xf>
    <xf numFmtId="0" fontId="27" fillId="2" borderId="0" xfId="0" applyFont="1" applyFill="1" applyBorder="1" applyAlignment="1" applyProtection="1">
      <alignment horizontal="right"/>
      <protection hidden="1"/>
    </xf>
    <xf numFmtId="0" fontId="26" fillId="2" borderId="0" xfId="0" applyFont="1" applyFill="1" applyBorder="1" applyAlignment="1" applyProtection="1">
      <alignment horizontal="left"/>
      <protection hidden="1"/>
    </xf>
    <xf numFmtId="166" fontId="27" fillId="2" borderId="0" xfId="0" applyNumberFormat="1" applyFont="1" applyFill="1" applyBorder="1" applyAlignment="1" applyProtection="1">
      <alignment horizontal="right"/>
      <protection hidden="1"/>
    </xf>
    <xf numFmtId="0" fontId="35" fillId="2" borderId="0" xfId="0" applyFont="1" applyFill="1" applyBorder="1" applyProtection="1">
      <protection hidden="1"/>
    </xf>
    <xf numFmtId="0" fontId="27" fillId="2" borderId="0" xfId="0" applyFont="1" applyFill="1" applyBorder="1" applyAlignment="1" applyProtection="1">
      <alignment horizontal="left"/>
      <protection hidden="1"/>
    </xf>
    <xf numFmtId="0" fontId="6" fillId="4" borderId="4" xfId="0" applyFont="1" applyFill="1" applyBorder="1" applyAlignment="1" applyProtection="1">
      <alignment horizontal="center"/>
      <protection locked="0"/>
    </xf>
    <xf numFmtId="0" fontId="27" fillId="2" borderId="0" xfId="0" applyFont="1" applyFill="1" applyBorder="1" applyAlignment="1" applyProtection="1">
      <protection hidden="1"/>
    </xf>
    <xf numFmtId="0" fontId="36" fillId="2" borderId="0" xfId="0" applyFont="1" applyFill="1" applyBorder="1" applyProtection="1">
      <protection hidden="1"/>
    </xf>
    <xf numFmtId="0" fontId="18" fillId="2" borderId="0" xfId="0" applyFont="1" applyFill="1" applyAlignment="1" applyProtection="1">
      <alignment horizontal="centerContinuous"/>
      <protection hidden="1"/>
    </xf>
    <xf numFmtId="0" fontId="34" fillId="2" borderId="5" xfId="0" applyFont="1" applyFill="1" applyBorder="1" applyAlignment="1" applyProtection="1">
      <alignment horizontal="centerContinuous"/>
    </xf>
    <xf numFmtId="0" fontId="18" fillId="2" borderId="9" xfId="0" applyFont="1" applyFill="1" applyBorder="1" applyAlignment="1" applyProtection="1">
      <alignment horizontal="centerContinuous"/>
    </xf>
    <xf numFmtId="0" fontId="18" fillId="2" borderId="12" xfId="0" applyFont="1" applyFill="1" applyBorder="1" applyAlignment="1" applyProtection="1">
      <alignment horizontal="centerContinuous"/>
    </xf>
    <xf numFmtId="0" fontId="18" fillId="2" borderId="7" xfId="0" applyFont="1" applyFill="1" applyBorder="1" applyProtection="1"/>
    <xf numFmtId="0" fontId="38" fillId="2" borderId="0" xfId="0" applyFont="1" applyFill="1" applyBorder="1" applyAlignment="1" applyProtection="1">
      <alignment horizontal="center"/>
    </xf>
    <xf numFmtId="0" fontId="7" fillId="2" borderId="0" xfId="0" applyFont="1" applyFill="1" applyBorder="1" applyAlignment="1" applyProtection="1">
      <alignment horizontal="center"/>
    </xf>
    <xf numFmtId="0" fontId="38" fillId="2" borderId="8" xfId="0" applyFont="1" applyFill="1" applyBorder="1" applyAlignment="1" applyProtection="1">
      <alignment horizontal="center"/>
    </xf>
    <xf numFmtId="166" fontId="13" fillId="3" borderId="2" xfId="0" applyNumberFormat="1" applyFont="1" applyFill="1" applyBorder="1" applyAlignment="1" applyProtection="1">
      <alignment horizontal="centerContinuous"/>
      <protection hidden="1"/>
    </xf>
    <xf numFmtId="2" fontId="13" fillId="3" borderId="13" xfId="0" applyNumberFormat="1" applyFont="1" applyFill="1" applyBorder="1" applyAlignment="1" applyProtection="1">
      <alignment horizontal="centerContinuous"/>
      <protection hidden="1"/>
    </xf>
    <xf numFmtId="2" fontId="9" fillId="3" borderId="13" xfId="0" applyNumberFormat="1" applyFont="1" applyFill="1" applyBorder="1" applyAlignment="1" applyProtection="1">
      <alignment horizontal="centerContinuous"/>
      <protection hidden="1"/>
    </xf>
    <xf numFmtId="0" fontId="39" fillId="2" borderId="0" xfId="0" applyFont="1" applyFill="1" applyBorder="1" applyAlignment="1" applyProtection="1">
      <alignment horizontal="center"/>
    </xf>
    <xf numFmtId="1" fontId="39" fillId="2" borderId="8" xfId="0" applyNumberFormat="1" applyFont="1" applyFill="1" applyBorder="1" applyAlignment="1" applyProtection="1">
      <alignment horizontal="center"/>
    </xf>
    <xf numFmtId="0" fontId="13" fillId="3" borderId="4" xfId="0" applyFont="1" applyFill="1" applyBorder="1" applyAlignment="1" applyProtection="1">
      <alignment horizontal="center"/>
      <protection hidden="1"/>
    </xf>
    <xf numFmtId="0" fontId="9" fillId="3" borderId="10" xfId="0" applyNumberFormat="1" applyFont="1" applyFill="1" applyBorder="1" applyAlignment="1" applyProtection="1">
      <alignment horizontal="center"/>
      <protection hidden="1"/>
    </xf>
    <xf numFmtId="0" fontId="9" fillId="3" borderId="16" xfId="0" applyNumberFormat="1" applyFont="1" applyFill="1" applyBorder="1" applyAlignment="1" applyProtection="1">
      <alignment horizontal="center"/>
      <protection hidden="1"/>
    </xf>
    <xf numFmtId="164" fontId="9" fillId="3" borderId="10" xfId="0" applyNumberFormat="1" applyFont="1" applyFill="1" applyBorder="1" applyAlignment="1" applyProtection="1">
      <alignment horizontal="center"/>
      <protection hidden="1"/>
    </xf>
    <xf numFmtId="164" fontId="9" fillId="3" borderId="16" xfId="0" applyNumberFormat="1" applyFont="1" applyFill="1" applyBorder="1" applyAlignment="1" applyProtection="1">
      <alignment horizontal="center"/>
      <protection hidden="1"/>
    </xf>
    <xf numFmtId="0" fontId="39" fillId="2" borderId="6" xfId="0" applyFont="1" applyFill="1" applyBorder="1" applyAlignment="1" applyProtection="1">
      <alignment horizontal="center"/>
    </xf>
    <xf numFmtId="0" fontId="8" fillId="2" borderId="10" xfId="0" applyFont="1" applyFill="1" applyBorder="1" applyAlignment="1" applyProtection="1">
      <alignment horizontal="center"/>
    </xf>
    <xf numFmtId="166" fontId="26" fillId="2" borderId="10" xfId="0" applyNumberFormat="1" applyFont="1" applyFill="1" applyBorder="1" applyAlignment="1" applyProtection="1">
      <alignment horizontal="center"/>
    </xf>
    <xf numFmtId="0" fontId="8" fillId="2" borderId="11" xfId="0" applyFont="1" applyFill="1" applyBorder="1" applyAlignment="1" applyProtection="1">
      <alignment horizontal="center"/>
    </xf>
    <xf numFmtId="0" fontId="39" fillId="0" borderId="7" xfId="0" applyFont="1" applyFill="1" applyBorder="1" applyAlignment="1" applyProtection="1">
      <alignment horizontal="center"/>
    </xf>
    <xf numFmtId="166" fontId="8" fillId="0" borderId="0" xfId="0" applyNumberFormat="1" applyFont="1" applyFill="1" applyBorder="1" applyAlignment="1" applyProtection="1">
      <alignment horizontal="center"/>
    </xf>
    <xf numFmtId="166" fontId="26" fillId="0" borderId="0" xfId="0" applyNumberFormat="1" applyFont="1" applyFill="1" applyBorder="1" applyAlignment="1" applyProtection="1">
      <alignment horizontal="center"/>
    </xf>
    <xf numFmtId="166" fontId="8" fillId="0" borderId="8" xfId="0" applyNumberFormat="1" applyFont="1" applyFill="1" applyBorder="1" applyAlignment="1" applyProtection="1">
      <alignment horizontal="center"/>
    </xf>
    <xf numFmtId="0" fontId="39" fillId="0" borderId="6" xfId="0" applyFont="1" applyFill="1" applyBorder="1" applyAlignment="1" applyProtection="1">
      <alignment horizontal="center"/>
    </xf>
    <xf numFmtId="166" fontId="8" fillId="0" borderId="10" xfId="0" applyNumberFormat="1" applyFont="1" applyFill="1" applyBorder="1" applyAlignment="1" applyProtection="1">
      <alignment horizontal="center"/>
    </xf>
    <xf numFmtId="166" fontId="26" fillId="0" borderId="10" xfId="0" applyNumberFormat="1" applyFont="1" applyFill="1" applyBorder="1" applyAlignment="1" applyProtection="1">
      <alignment horizontal="center"/>
    </xf>
    <xf numFmtId="166" fontId="8" fillId="0" borderId="11" xfId="0" applyNumberFormat="1" applyFont="1" applyFill="1" applyBorder="1" applyAlignment="1" applyProtection="1">
      <alignment horizontal="center"/>
    </xf>
    <xf numFmtId="0" fontId="37" fillId="2" borderId="0" xfId="0" applyFont="1" applyFill="1" applyBorder="1" applyAlignment="1" applyProtection="1">
      <alignment horizontal="center"/>
      <protection hidden="1"/>
    </xf>
    <xf numFmtId="0" fontId="39" fillId="2" borderId="15" xfId="0" applyFont="1" applyFill="1" applyBorder="1" applyAlignment="1" applyProtection="1">
      <alignment horizontal="center"/>
    </xf>
    <xf numFmtId="0" fontId="18" fillId="2" borderId="13" xfId="0" applyFont="1" applyFill="1" applyBorder="1" applyProtection="1"/>
    <xf numFmtId="0" fontId="18" fillId="2" borderId="13" xfId="0" applyFont="1" applyFill="1" applyBorder="1" applyAlignment="1" applyProtection="1">
      <alignment horizontal="left"/>
    </xf>
    <xf numFmtId="0" fontId="26" fillId="2" borderId="14" xfId="0" applyFont="1" applyFill="1" applyBorder="1" applyAlignment="1" applyProtection="1">
      <alignment horizontal="center"/>
    </xf>
    <xf numFmtId="0" fontId="39" fillId="0" borderId="5" xfId="0" applyFont="1" applyFill="1" applyBorder="1" applyAlignment="1" applyProtection="1">
      <alignment horizontal="center"/>
    </xf>
    <xf numFmtId="0" fontId="38" fillId="0" borderId="9" xfId="0" applyFont="1" applyFill="1" applyBorder="1" applyAlignment="1" applyProtection="1">
      <alignment horizontal="center"/>
    </xf>
    <xf numFmtId="0" fontId="8" fillId="0" borderId="9" xfId="0" applyFont="1" applyFill="1" applyBorder="1" applyAlignment="1" applyProtection="1">
      <alignment horizontal="center"/>
    </xf>
    <xf numFmtId="166" fontId="8" fillId="0" borderId="12" xfId="0" applyNumberFormat="1" applyFont="1" applyFill="1" applyBorder="1" applyAlignment="1" applyProtection="1">
      <alignment horizontal="center"/>
    </xf>
    <xf numFmtId="0" fontId="18" fillId="0" borderId="7" xfId="0" applyFont="1" applyFill="1" applyBorder="1" applyProtection="1"/>
    <xf numFmtId="0" fontId="7" fillId="0" borderId="0" xfId="0" applyFont="1" applyFill="1" applyBorder="1" applyAlignment="1" applyProtection="1">
      <alignment horizontal="center"/>
    </xf>
    <xf numFmtId="165" fontId="25" fillId="0" borderId="8" xfId="0" applyNumberFormat="1" applyFont="1" applyFill="1" applyBorder="1" applyAlignment="1" applyProtection="1">
      <alignment horizontal="center"/>
    </xf>
    <xf numFmtId="1" fontId="39" fillId="0" borderId="6" xfId="0" applyNumberFormat="1" applyFont="1" applyFill="1" applyBorder="1" applyAlignment="1" applyProtection="1">
      <alignment horizontal="center"/>
    </xf>
    <xf numFmtId="0" fontId="38" fillId="0" borderId="10" xfId="0" applyFont="1" applyFill="1" applyBorder="1" applyAlignment="1" applyProtection="1">
      <alignment horizontal="center"/>
    </xf>
    <xf numFmtId="2" fontId="8" fillId="0" borderId="10" xfId="0" applyNumberFormat="1" applyFont="1" applyFill="1" applyBorder="1" applyAlignment="1" applyProtection="1">
      <alignment horizontal="center"/>
    </xf>
    <xf numFmtId="166" fontId="11" fillId="2" borderId="0" xfId="0" applyNumberFormat="1" applyFont="1" applyFill="1" applyAlignment="1" applyProtection="1">
      <alignment horizontal="center"/>
      <protection hidden="1"/>
    </xf>
    <xf numFmtId="0" fontId="8" fillId="2" borderId="0" xfId="0" applyFont="1" applyFill="1" applyBorder="1" applyAlignment="1" applyProtection="1">
      <alignment horizontal="left"/>
      <protection hidden="1"/>
    </xf>
    <xf numFmtId="0" fontId="14" fillId="2" borderId="0" xfId="0" applyFont="1" applyFill="1" applyBorder="1" applyAlignment="1" applyProtection="1">
      <alignment horizontal="left"/>
      <protection hidden="1"/>
    </xf>
    <xf numFmtId="2" fontId="6" fillId="2" borderId="0" xfId="0" quotePrefix="1" applyNumberFormat="1" applyFont="1" applyFill="1" applyBorder="1" applyAlignment="1" applyProtection="1">
      <alignment horizontal="center"/>
      <protection hidden="1"/>
    </xf>
    <xf numFmtId="165" fontId="6" fillId="2" borderId="0" xfId="0" applyNumberFormat="1" applyFont="1" applyFill="1" applyBorder="1" applyAlignment="1" applyProtection="1">
      <alignment horizontal="left"/>
      <protection hidden="1"/>
    </xf>
    <xf numFmtId="0" fontId="13" fillId="3" borderId="15" xfId="0" applyFont="1" applyFill="1" applyBorder="1" applyAlignment="1" applyProtection="1">
      <alignment horizontal="center"/>
      <protection hidden="1"/>
    </xf>
    <xf numFmtId="0" fontId="9" fillId="3" borderId="16" xfId="0" applyFont="1" applyFill="1" applyBorder="1" applyAlignment="1" applyProtection="1">
      <alignment horizontal="center"/>
      <protection hidden="1"/>
    </xf>
    <xf numFmtId="0" fontId="9" fillId="3" borderId="13" xfId="0" applyFont="1" applyFill="1" applyBorder="1" applyAlignment="1" applyProtection="1">
      <alignment horizontal="center"/>
      <protection hidden="1"/>
    </xf>
    <xf numFmtId="166" fontId="9" fillId="3" borderId="14" xfId="0" applyNumberFormat="1" applyFont="1" applyFill="1" applyBorder="1" applyAlignment="1" applyProtection="1">
      <alignment horizontal="center"/>
      <protection hidden="1"/>
    </xf>
    <xf numFmtId="0" fontId="40" fillId="2" borderId="0" xfId="0" applyFont="1" applyFill="1" applyBorder="1" applyAlignment="1" applyProtection="1">
      <alignment horizontal="center"/>
      <protection hidden="1"/>
    </xf>
    <xf numFmtId="0" fontId="1" fillId="2" borderId="7" xfId="0" applyFont="1" applyFill="1" applyBorder="1" applyProtection="1">
      <protection hidden="1"/>
    </xf>
    <xf numFmtId="0" fontId="1" fillId="2" borderId="0" xfId="0" applyFont="1" applyFill="1" applyBorder="1" applyProtection="1">
      <protection hidden="1"/>
    </xf>
    <xf numFmtId="0" fontId="11" fillId="2" borderId="0" xfId="0" applyFont="1" applyFill="1" applyBorder="1" applyAlignment="1" applyProtection="1">
      <alignment horizontal="center"/>
      <protection hidden="1"/>
    </xf>
    <xf numFmtId="166" fontId="11" fillId="2" borderId="0" xfId="0" applyNumberFormat="1" applyFont="1" applyFill="1" applyBorder="1" applyAlignment="1" applyProtection="1">
      <alignment horizontal="center"/>
      <protection hidden="1"/>
    </xf>
    <xf numFmtId="166" fontId="6" fillId="2" borderId="8" xfId="0" applyNumberFormat="1" applyFont="1" applyFill="1" applyBorder="1" applyAlignment="1" applyProtection="1">
      <alignment horizontal="center"/>
      <protection hidden="1"/>
    </xf>
    <xf numFmtId="166" fontId="23" fillId="2" borderId="0" xfId="0" applyNumberFormat="1" applyFont="1" applyFill="1" applyAlignment="1" applyProtection="1">
      <alignment horizontal="center"/>
      <protection hidden="1"/>
    </xf>
    <xf numFmtId="13" fontId="18" fillId="2" borderId="0" xfId="0" applyNumberFormat="1" applyFont="1" applyFill="1" applyAlignment="1" applyProtection="1">
      <alignment horizontal="center"/>
      <protection hidden="1"/>
    </xf>
    <xf numFmtId="2" fontId="6" fillId="3" borderId="13" xfId="0" applyNumberFormat="1" applyFont="1" applyFill="1" applyBorder="1" applyAlignment="1" applyProtection="1">
      <alignment horizontal="centerContinuous"/>
      <protection hidden="1"/>
    </xf>
    <xf numFmtId="0" fontId="6" fillId="3" borderId="13" xfId="0" applyFont="1" applyFill="1" applyBorder="1" applyAlignment="1" applyProtection="1">
      <alignment horizontal="centerContinuous"/>
      <protection hidden="1"/>
    </xf>
    <xf numFmtId="0" fontId="23" fillId="3" borderId="13" xfId="0" applyFont="1" applyFill="1" applyBorder="1" applyAlignment="1" applyProtection="1">
      <alignment horizontal="centerContinuous"/>
      <protection hidden="1"/>
    </xf>
    <xf numFmtId="0" fontId="37" fillId="2" borderId="0" xfId="0" applyFont="1" applyFill="1" applyBorder="1" applyProtection="1">
      <protection hidden="1"/>
    </xf>
    <xf numFmtId="0" fontId="18" fillId="2" borderId="0" xfId="0" applyFont="1" applyFill="1" applyBorder="1" applyAlignment="1" applyProtection="1">
      <protection hidden="1"/>
    </xf>
    <xf numFmtId="2" fontId="6" fillId="2" borderId="0" xfId="0" applyNumberFormat="1" applyFont="1" applyFill="1" applyBorder="1" applyAlignment="1" applyProtection="1">
      <protection hidden="1"/>
    </xf>
    <xf numFmtId="0" fontId="9" fillId="2" borderId="0" xfId="0" applyNumberFormat="1" applyFont="1" applyFill="1" applyBorder="1" applyAlignment="1" applyProtection="1">
      <alignment horizontal="center"/>
      <protection hidden="1"/>
    </xf>
    <xf numFmtId="0" fontId="39" fillId="2" borderId="0" xfId="0" applyFont="1" applyFill="1" applyBorder="1" applyAlignment="1" applyProtection="1">
      <alignment horizontal="left"/>
    </xf>
    <xf numFmtId="0" fontId="26" fillId="2" borderId="0" xfId="0" applyFont="1" applyFill="1" applyBorder="1" applyAlignment="1" applyProtection="1">
      <alignment horizontal="center"/>
    </xf>
    <xf numFmtId="0" fontId="8" fillId="2" borderId="0" xfId="0" applyFont="1" applyFill="1" applyBorder="1" applyAlignment="1" applyProtection="1">
      <alignment horizontal="center"/>
    </xf>
    <xf numFmtId="0" fontId="9" fillId="3" borderId="4" xfId="0" applyNumberFormat="1" applyFont="1" applyFill="1" applyBorder="1" applyAlignment="1" applyProtection="1">
      <alignment horizontal="center"/>
      <protection hidden="1"/>
    </xf>
    <xf numFmtId="2" fontId="8" fillId="0" borderId="9" xfId="0" applyNumberFormat="1" applyFont="1" applyFill="1" applyBorder="1" applyAlignment="1" applyProtection="1">
      <alignment horizontal="center"/>
    </xf>
    <xf numFmtId="0" fontId="23" fillId="3" borderId="14" xfId="0" applyFont="1" applyFill="1" applyBorder="1" applyAlignment="1" applyProtection="1">
      <alignment horizontal="centerContinuous"/>
      <protection hidden="1"/>
    </xf>
    <xf numFmtId="166" fontId="13" fillId="2" borderId="7" xfId="0" applyNumberFormat="1" applyFont="1" applyFill="1" applyBorder="1" applyAlignment="1" applyProtection="1">
      <alignment horizontal="left"/>
      <protection hidden="1"/>
    </xf>
    <xf numFmtId="0" fontId="9" fillId="3" borderId="2" xfId="0" applyFont="1" applyFill="1" applyBorder="1" applyAlignment="1" applyProtection="1">
      <protection hidden="1"/>
    </xf>
    <xf numFmtId="2" fontId="13" fillId="3" borderId="10" xfId="0" applyNumberFormat="1" applyFont="1" applyFill="1" applyBorder="1" applyAlignment="1" applyProtection="1">
      <alignment horizontal="centerContinuous"/>
      <protection hidden="1"/>
    </xf>
    <xf numFmtId="0" fontId="9" fillId="3" borderId="10" xfId="0" applyFont="1" applyFill="1" applyBorder="1" applyAlignment="1" applyProtection="1">
      <alignment horizontal="centerContinuous"/>
      <protection hidden="1"/>
    </xf>
    <xf numFmtId="2" fontId="9" fillId="3" borderId="10" xfId="0" applyNumberFormat="1" applyFont="1" applyFill="1" applyBorder="1" applyAlignment="1" applyProtection="1">
      <alignment horizontal="centerContinuous"/>
      <protection hidden="1"/>
    </xf>
    <xf numFmtId="0" fontId="9" fillId="3" borderId="11" xfId="0" applyFont="1" applyFill="1" applyBorder="1" applyAlignment="1" applyProtection="1">
      <alignment horizontal="centerContinuous"/>
      <protection hidden="1"/>
    </xf>
    <xf numFmtId="164" fontId="9" fillId="3" borderId="11" xfId="0" applyNumberFormat="1" applyFont="1" applyFill="1" applyBorder="1" applyAlignment="1" applyProtection="1">
      <alignment horizontal="center"/>
      <protection hidden="1"/>
    </xf>
    <xf numFmtId="0" fontId="8" fillId="2" borderId="0" xfId="0" applyFont="1" applyFill="1" applyBorder="1" applyAlignment="1" applyProtection="1">
      <alignment horizontal="centerContinuous"/>
      <protection hidden="1"/>
    </xf>
    <xf numFmtId="0" fontId="18" fillId="2" borderId="0" xfId="0" applyNumberFormat="1" applyFont="1" applyFill="1" applyProtection="1">
      <protection hidden="1"/>
    </xf>
    <xf numFmtId="166" fontId="32" fillId="2" borderId="0" xfId="0" applyNumberFormat="1" applyFont="1" applyFill="1" applyBorder="1" applyAlignment="1" applyProtection="1">
      <alignment horizontal="right"/>
      <protection hidden="1"/>
    </xf>
    <xf numFmtId="0" fontId="32" fillId="2" borderId="0" xfId="0" applyFont="1" applyFill="1" applyBorder="1" applyAlignment="1" applyProtection="1">
      <alignment horizontal="right"/>
      <protection hidden="1"/>
    </xf>
    <xf numFmtId="166" fontId="32" fillId="2" borderId="0" xfId="0" applyNumberFormat="1" applyFont="1" applyFill="1" applyBorder="1" applyAlignment="1" applyProtection="1">
      <alignment horizontal="left"/>
      <protection hidden="1"/>
    </xf>
    <xf numFmtId="166" fontId="32" fillId="2" borderId="0" xfId="0" applyNumberFormat="1" applyFont="1" applyFill="1" applyBorder="1" applyProtection="1">
      <protection hidden="1"/>
    </xf>
    <xf numFmtId="166" fontId="32" fillId="2" borderId="0" xfId="0" applyNumberFormat="1" applyFont="1" applyFill="1" applyBorder="1" applyAlignment="1" applyProtection="1">
      <protection hidden="1"/>
    </xf>
    <xf numFmtId="0" fontId="43" fillId="2" borderId="0" xfId="0" applyFont="1" applyFill="1" applyBorder="1" applyProtection="1">
      <protection hidden="1"/>
    </xf>
    <xf numFmtId="0" fontId="26" fillId="2" borderId="0" xfId="0" applyFont="1" applyFill="1" applyBorder="1" applyProtection="1">
      <protection hidden="1"/>
    </xf>
    <xf numFmtId="0" fontId="44" fillId="2" borderId="0" xfId="0" applyFont="1" applyFill="1" applyBorder="1" applyAlignment="1" applyProtection="1">
      <alignment horizontal="right"/>
      <protection hidden="1"/>
    </xf>
    <xf numFmtId="166" fontId="7" fillId="2" borderId="0" xfId="0" applyNumberFormat="1" applyFont="1" applyFill="1" applyBorder="1" applyAlignment="1" applyProtection="1">
      <alignment horizontal="center"/>
      <protection hidden="1"/>
    </xf>
    <xf numFmtId="0" fontId="7" fillId="2" borderId="0" xfId="0" applyFont="1" applyFill="1" applyAlignment="1" applyProtection="1">
      <alignment horizontal="right"/>
      <protection hidden="1"/>
    </xf>
    <xf numFmtId="0" fontId="38" fillId="2" borderId="0" xfId="0" applyFont="1" applyFill="1" applyBorder="1" applyAlignment="1" applyProtection="1">
      <alignment horizontal="centerContinuous"/>
      <protection hidden="1"/>
    </xf>
    <xf numFmtId="0" fontId="45" fillId="2" borderId="0" xfId="0" applyFont="1" applyFill="1" applyBorder="1" applyAlignment="1" applyProtection="1">
      <alignment horizontal="left"/>
      <protection hidden="1"/>
    </xf>
    <xf numFmtId="0" fontId="46" fillId="2" borderId="0" xfId="0" applyFont="1" applyFill="1" applyBorder="1" applyAlignment="1" applyProtection="1">
      <alignment horizontal="centerContinuous"/>
      <protection hidden="1"/>
    </xf>
    <xf numFmtId="0" fontId="7" fillId="2" borderId="0" xfId="0" applyFont="1" applyFill="1" applyBorder="1" applyAlignment="1" applyProtection="1">
      <protection hidden="1"/>
    </xf>
    <xf numFmtId="0" fontId="26" fillId="2" borderId="0" xfId="0" applyFont="1" applyFill="1" applyBorder="1" applyAlignment="1" applyProtection="1">
      <alignment horizontal="center"/>
      <protection hidden="1"/>
    </xf>
    <xf numFmtId="2" fontId="6" fillId="0" borderId="17" xfId="0" applyNumberFormat="1" applyFont="1" applyFill="1" applyBorder="1" applyAlignment="1" applyProtection="1">
      <alignment horizontal="center"/>
      <protection hidden="1"/>
    </xf>
    <xf numFmtId="2" fontId="6" fillId="0" borderId="18" xfId="0" applyNumberFormat="1" applyFont="1" applyFill="1" applyBorder="1" applyAlignment="1" applyProtection="1">
      <alignment horizontal="center"/>
      <protection hidden="1"/>
    </xf>
    <xf numFmtId="2" fontId="6" fillId="0" borderId="19" xfId="0" applyNumberFormat="1" applyFont="1" applyFill="1" applyBorder="1" applyAlignment="1" applyProtection="1">
      <alignment horizontal="center"/>
      <protection hidden="1"/>
    </xf>
    <xf numFmtId="2" fontId="6" fillId="0" borderId="20" xfId="0" applyNumberFormat="1" applyFont="1" applyFill="1" applyBorder="1" applyAlignment="1" applyProtection="1">
      <alignment horizontal="center"/>
      <protection hidden="1"/>
    </xf>
    <xf numFmtId="2" fontId="6" fillId="0" borderId="21" xfId="0" applyNumberFormat="1" applyFont="1" applyFill="1" applyBorder="1" applyAlignment="1" applyProtection="1">
      <alignment horizontal="center"/>
      <protection hidden="1"/>
    </xf>
    <xf numFmtId="2" fontId="6" fillId="0" borderId="22" xfId="0" applyNumberFormat="1" applyFont="1" applyFill="1" applyBorder="1" applyAlignment="1" applyProtection="1">
      <alignment horizontal="center"/>
      <protection hidden="1"/>
    </xf>
    <xf numFmtId="2" fontId="6" fillId="0" borderId="23" xfId="0" applyNumberFormat="1" applyFont="1" applyFill="1" applyBorder="1" applyAlignment="1" applyProtection="1">
      <alignment horizontal="center"/>
      <protection hidden="1"/>
    </xf>
    <xf numFmtId="166" fontId="6" fillId="0" borderId="20" xfId="0" applyNumberFormat="1" applyFont="1" applyFill="1" applyBorder="1" applyAlignment="1" applyProtection="1">
      <alignment horizontal="center"/>
      <protection hidden="1"/>
    </xf>
    <xf numFmtId="166" fontId="6" fillId="0" borderId="21" xfId="0" applyNumberFormat="1" applyFont="1" applyFill="1" applyBorder="1" applyAlignment="1" applyProtection="1">
      <alignment horizontal="center"/>
      <protection hidden="1"/>
    </xf>
    <xf numFmtId="166" fontId="6" fillId="0" borderId="22" xfId="0" applyNumberFormat="1" applyFont="1" applyFill="1" applyBorder="1" applyAlignment="1" applyProtection="1">
      <alignment horizontal="center"/>
      <protection hidden="1"/>
    </xf>
    <xf numFmtId="166" fontId="6" fillId="0" borderId="24" xfId="0" applyNumberFormat="1" applyFont="1" applyFill="1" applyBorder="1" applyAlignment="1" applyProtection="1">
      <alignment horizontal="center"/>
      <protection hidden="1"/>
    </xf>
    <xf numFmtId="166" fontId="6" fillId="0" borderId="25" xfId="0" applyNumberFormat="1" applyFont="1" applyFill="1" applyBorder="1" applyAlignment="1" applyProtection="1">
      <alignment horizontal="center"/>
      <protection hidden="1"/>
    </xf>
    <xf numFmtId="166" fontId="6" fillId="0" borderId="23" xfId="0" applyNumberFormat="1" applyFont="1" applyFill="1" applyBorder="1" applyAlignment="1" applyProtection="1">
      <alignment horizontal="center"/>
      <protection hidden="1"/>
    </xf>
    <xf numFmtId="2" fontId="9" fillId="3" borderId="26" xfId="0" applyNumberFormat="1" applyFont="1" applyFill="1" applyBorder="1" applyAlignment="1" applyProtection="1">
      <alignment horizontal="center"/>
      <protection hidden="1"/>
    </xf>
    <xf numFmtId="2" fontId="9" fillId="3" borderId="27" xfId="0" applyNumberFormat="1" applyFont="1" applyFill="1" applyBorder="1" applyAlignment="1" applyProtection="1">
      <alignment horizontal="center"/>
      <protection hidden="1"/>
    </xf>
    <xf numFmtId="2" fontId="9" fillId="3" borderId="28" xfId="0" applyNumberFormat="1" applyFont="1" applyFill="1" applyBorder="1" applyAlignment="1" applyProtection="1">
      <alignment horizontal="center"/>
      <protection hidden="1"/>
    </xf>
    <xf numFmtId="166" fontId="6" fillId="0" borderId="17" xfId="0" applyNumberFormat="1" applyFont="1" applyFill="1" applyBorder="1" applyAlignment="1" applyProtection="1">
      <alignment horizontal="center"/>
      <protection hidden="1"/>
    </xf>
    <xf numFmtId="166" fontId="6" fillId="0" borderId="18" xfId="0" applyNumberFormat="1" applyFont="1" applyFill="1" applyBorder="1" applyAlignment="1" applyProtection="1">
      <alignment horizontal="center"/>
      <protection hidden="1"/>
    </xf>
    <xf numFmtId="0" fontId="12" fillId="3" borderId="29" xfId="0" applyFont="1" applyFill="1" applyBorder="1" applyAlignment="1" applyProtection="1">
      <alignment horizontal="center"/>
      <protection hidden="1"/>
    </xf>
    <xf numFmtId="166" fontId="9" fillId="3" borderId="30" xfId="0" applyNumberFormat="1" applyFont="1" applyFill="1" applyBorder="1" applyAlignment="1" applyProtection="1">
      <alignment horizontal="center"/>
      <protection hidden="1"/>
    </xf>
    <xf numFmtId="166" fontId="9" fillId="3" borderId="26" xfId="0" applyNumberFormat="1" applyFont="1" applyFill="1" applyBorder="1" applyAlignment="1" applyProtection="1">
      <alignment horizontal="center"/>
      <protection hidden="1"/>
    </xf>
    <xf numFmtId="166" fontId="9" fillId="3" borderId="28" xfId="0" applyNumberFormat="1" applyFont="1" applyFill="1" applyBorder="1" applyAlignment="1" applyProtection="1">
      <alignment horizontal="center"/>
      <protection hidden="1"/>
    </xf>
    <xf numFmtId="166" fontId="9" fillId="3" borderId="31" xfId="0" applyNumberFormat="1" applyFont="1" applyFill="1" applyBorder="1" applyAlignment="1" applyProtection="1">
      <alignment horizontal="center"/>
      <protection hidden="1"/>
    </xf>
    <xf numFmtId="166" fontId="9" fillId="3" borderId="32" xfId="0" applyNumberFormat="1" applyFont="1" applyFill="1" applyBorder="1" applyAlignment="1" applyProtection="1">
      <alignment horizontal="center"/>
      <protection hidden="1"/>
    </xf>
    <xf numFmtId="0" fontId="13" fillId="3" borderId="26" xfId="0" applyFont="1" applyFill="1" applyBorder="1" applyAlignment="1" applyProtection="1">
      <alignment horizontal="center"/>
      <protection hidden="1"/>
    </xf>
    <xf numFmtId="0" fontId="13" fillId="3" borderId="28" xfId="0" applyFont="1" applyFill="1" applyBorder="1" applyAlignment="1" applyProtection="1">
      <alignment horizontal="center"/>
      <protection hidden="1"/>
    </xf>
    <xf numFmtId="0" fontId="3" fillId="3" borderId="26" xfId="0" applyFont="1" applyFill="1" applyBorder="1" applyAlignment="1" applyProtection="1">
      <alignment horizontal="center"/>
      <protection hidden="1"/>
    </xf>
    <xf numFmtId="0" fontId="3" fillId="3" borderId="28" xfId="0" applyFont="1" applyFill="1" applyBorder="1" applyAlignment="1" applyProtection="1">
      <alignment horizontal="center"/>
      <protection hidden="1"/>
    </xf>
    <xf numFmtId="0" fontId="0" fillId="3" borderId="31" xfId="0" applyFill="1" applyBorder="1" applyAlignment="1" applyProtection="1">
      <alignment horizontal="center"/>
      <protection hidden="1"/>
    </xf>
    <xf numFmtId="166" fontId="9" fillId="3" borderId="33" xfId="0" applyNumberFormat="1" applyFont="1" applyFill="1" applyBorder="1" applyAlignment="1" applyProtection="1">
      <alignment horizontal="center"/>
      <protection hidden="1"/>
    </xf>
    <xf numFmtId="166" fontId="6" fillId="2" borderId="26" xfId="0" applyNumberFormat="1" applyFont="1" applyFill="1" applyBorder="1" applyAlignment="1" applyProtection="1">
      <alignment horizontal="center"/>
      <protection hidden="1"/>
    </xf>
    <xf numFmtId="166" fontId="6" fillId="2" borderId="27" xfId="0" applyNumberFormat="1" applyFont="1" applyFill="1" applyBorder="1" applyAlignment="1" applyProtection="1">
      <alignment horizontal="center"/>
      <protection hidden="1"/>
    </xf>
    <xf numFmtId="164" fontId="6" fillId="2" borderId="27" xfId="0" applyNumberFormat="1" applyFont="1" applyFill="1" applyBorder="1" applyAlignment="1" applyProtection="1">
      <alignment horizontal="center"/>
      <protection hidden="1"/>
    </xf>
    <xf numFmtId="166" fontId="6" fillId="2" borderId="28" xfId="0" applyNumberFormat="1" applyFont="1" applyFill="1" applyBorder="1" applyAlignment="1" applyProtection="1">
      <alignment horizontal="center"/>
      <protection hidden="1"/>
    </xf>
    <xf numFmtId="166" fontId="6" fillId="4" borderId="26" xfId="0" applyNumberFormat="1" applyFont="1" applyFill="1" applyBorder="1" applyAlignment="1" applyProtection="1">
      <alignment horizontal="center"/>
      <protection locked="0"/>
    </xf>
    <xf numFmtId="166" fontId="6" fillId="4" borderId="27" xfId="0" applyNumberFormat="1" applyFont="1" applyFill="1" applyBorder="1" applyAlignment="1" applyProtection="1">
      <alignment horizontal="center"/>
      <protection locked="0"/>
    </xf>
    <xf numFmtId="13" fontId="6" fillId="4" borderId="27" xfId="0" applyNumberFormat="1" applyFont="1" applyFill="1" applyBorder="1" applyAlignment="1" applyProtection="1">
      <alignment horizontal="center"/>
      <protection locked="0"/>
    </xf>
    <xf numFmtId="2" fontId="6" fillId="4" borderId="27" xfId="0" applyNumberFormat="1" applyFont="1" applyFill="1" applyBorder="1" applyAlignment="1" applyProtection="1">
      <alignment horizontal="center"/>
      <protection locked="0"/>
    </xf>
    <xf numFmtId="166" fontId="6" fillId="4" borderId="28" xfId="0" applyNumberFormat="1" applyFont="1" applyFill="1" applyBorder="1" applyAlignment="1" applyProtection="1">
      <alignment horizontal="center"/>
      <protection locked="0"/>
    </xf>
    <xf numFmtId="0" fontId="0" fillId="3" borderId="12" xfId="0" applyFill="1" applyBorder="1" applyAlignment="1" applyProtection="1">
      <alignment horizontal="centerContinuous"/>
      <protection hidden="1"/>
    </xf>
    <xf numFmtId="0" fontId="0" fillId="2" borderId="4" xfId="0" applyFill="1" applyBorder="1" applyAlignment="1" applyProtection="1">
      <alignment horizontal="right"/>
      <protection hidden="1"/>
    </xf>
    <xf numFmtId="49" fontId="6" fillId="2" borderId="6" xfId="0" applyNumberFormat="1" applyFont="1" applyFill="1" applyBorder="1" applyProtection="1">
      <protection locked="0"/>
    </xf>
    <xf numFmtId="49" fontId="6" fillId="2" borderId="10" xfId="0" applyNumberFormat="1" applyFont="1" applyFill="1" applyBorder="1" applyProtection="1">
      <protection locked="0"/>
    </xf>
    <xf numFmtId="49" fontId="6" fillId="2" borderId="13" xfId="0" applyNumberFormat="1" applyFont="1" applyFill="1" applyBorder="1" applyProtection="1">
      <protection locked="0"/>
    </xf>
    <xf numFmtId="49" fontId="6" fillId="2" borderId="14" xfId="0" applyNumberFormat="1" applyFont="1" applyFill="1" applyBorder="1" applyProtection="1">
      <protection locked="0"/>
    </xf>
    <xf numFmtId="0" fontId="9" fillId="2" borderId="4" xfId="0" applyFont="1" applyFill="1" applyBorder="1" applyAlignment="1" applyProtection="1">
      <alignment horizontal="center"/>
      <protection hidden="1"/>
    </xf>
    <xf numFmtId="0" fontId="0" fillId="3" borderId="8" xfId="0" applyFill="1" applyBorder="1" applyAlignment="1" applyProtection="1">
      <alignment horizontal="centerContinuous"/>
      <protection hidden="1"/>
    </xf>
    <xf numFmtId="0" fontId="18" fillId="2" borderId="8" xfId="0" applyFont="1" applyFill="1" applyBorder="1" applyAlignment="1" applyProtection="1">
      <alignment horizontal="center"/>
      <protection hidden="1"/>
    </xf>
    <xf numFmtId="0" fontId="32" fillId="2" borderId="8" xfId="0" applyFont="1" applyFill="1" applyBorder="1" applyAlignment="1" applyProtection="1">
      <alignment horizontal="left"/>
      <protection hidden="1"/>
    </xf>
    <xf numFmtId="0" fontId="27" fillId="2" borderId="8" xfId="0" applyFont="1" applyFill="1" applyBorder="1" applyAlignment="1" applyProtection="1">
      <alignment horizontal="left"/>
      <protection hidden="1"/>
    </xf>
    <xf numFmtId="0" fontId="0" fillId="2" borderId="7" xfId="0" applyFill="1" applyBorder="1" applyAlignment="1" applyProtection="1">
      <alignment horizontal="left"/>
      <protection hidden="1"/>
    </xf>
    <xf numFmtId="0" fontId="5" fillId="2" borderId="8" xfId="0" applyFont="1" applyFill="1" applyBorder="1" applyAlignment="1" applyProtection="1">
      <alignment horizontal="left"/>
      <protection hidden="1"/>
    </xf>
    <xf numFmtId="0" fontId="11" fillId="2" borderId="7" xfId="0" applyFont="1" applyFill="1" applyBorder="1" applyAlignment="1" applyProtection="1">
      <alignment horizontal="right"/>
      <protection hidden="1"/>
    </xf>
    <xf numFmtId="0" fontId="1" fillId="2" borderId="7" xfId="0" applyFont="1" applyFill="1" applyBorder="1" applyAlignment="1" applyProtection="1">
      <alignment horizontal="right"/>
      <protection hidden="1"/>
    </xf>
    <xf numFmtId="0" fontId="22" fillId="2" borderId="0" xfId="0" applyFont="1" applyFill="1" applyBorder="1" applyAlignment="1" applyProtection="1">
      <alignment horizontal="center"/>
      <protection hidden="1"/>
    </xf>
    <xf numFmtId="0" fontId="34" fillId="2" borderId="5" xfId="0" applyFont="1" applyFill="1" applyBorder="1" applyAlignment="1" applyProtection="1">
      <alignment horizontal="centerContinuous"/>
      <protection hidden="1"/>
    </xf>
    <xf numFmtId="0" fontId="7" fillId="2" borderId="7" xfId="0" applyFont="1" applyFill="1" applyBorder="1" applyAlignment="1" applyProtection="1">
      <alignment horizontal="centerContinuous"/>
      <protection hidden="1"/>
    </xf>
    <xf numFmtId="0" fontId="6" fillId="2" borderId="8" xfId="0" applyFont="1" applyFill="1" applyBorder="1" applyAlignment="1" applyProtection="1">
      <alignment horizontal="centerContinuous"/>
      <protection hidden="1"/>
    </xf>
    <xf numFmtId="0" fontId="7" fillId="2" borderId="6" xfId="0" applyFont="1" applyFill="1" applyBorder="1" applyAlignment="1" applyProtection="1">
      <alignment horizontal="centerContinuous"/>
      <protection hidden="1"/>
    </xf>
    <xf numFmtId="0" fontId="6" fillId="2" borderId="10" xfId="0" applyFont="1" applyFill="1" applyBorder="1" applyAlignment="1" applyProtection="1">
      <alignment horizontal="centerContinuous"/>
      <protection hidden="1"/>
    </xf>
    <xf numFmtId="0" fontId="6" fillId="2" borderId="11" xfId="0" applyFont="1" applyFill="1" applyBorder="1" applyAlignment="1" applyProtection="1">
      <alignment horizontal="centerContinuous"/>
      <protection hidden="1"/>
    </xf>
    <xf numFmtId="0" fontId="26" fillId="2" borderId="0" xfId="0" applyFont="1" applyFill="1" applyBorder="1" applyAlignment="1" applyProtection="1">
      <alignment horizontal="left"/>
    </xf>
    <xf numFmtId="0" fontId="34" fillId="2" borderId="0" xfId="0" applyFont="1" applyFill="1" applyBorder="1" applyAlignment="1" applyProtection="1">
      <alignment horizontal="center"/>
      <protection hidden="1"/>
    </xf>
    <xf numFmtId="0" fontId="9" fillId="2" borderId="0" xfId="0" applyFont="1" applyFill="1" applyBorder="1" applyAlignment="1" applyProtection="1">
      <alignment horizontal="center"/>
      <protection locked="0"/>
    </xf>
    <xf numFmtId="0" fontId="6" fillId="2" borderId="8" xfId="0" applyFont="1" applyFill="1" applyBorder="1" applyAlignment="1" applyProtection="1">
      <alignment horizontal="center"/>
      <protection locked="0"/>
    </xf>
    <xf numFmtId="0" fontId="35" fillId="2" borderId="0" xfId="0" applyFont="1" applyFill="1" applyBorder="1" applyAlignment="1" applyProtection="1">
      <alignment vertical="top"/>
      <protection hidden="1"/>
    </xf>
    <xf numFmtId="49" fontId="6" fillId="2" borderId="16" xfId="0" applyNumberFormat="1" applyFont="1" applyFill="1" applyBorder="1" applyAlignment="1" applyProtection="1">
      <alignment horizontal="left"/>
      <protection locked="0"/>
    </xf>
    <xf numFmtId="49" fontId="6" fillId="2" borderId="15" xfId="0" applyNumberFormat="1" applyFont="1" applyFill="1" applyBorder="1" applyAlignment="1" applyProtection="1">
      <protection locked="0"/>
    </xf>
    <xf numFmtId="49" fontId="26" fillId="2" borderId="11" xfId="0" applyNumberFormat="1" applyFont="1" applyFill="1" applyBorder="1" applyAlignment="1" applyProtection="1">
      <protection locked="0"/>
    </xf>
    <xf numFmtId="49" fontId="6" fillId="2" borderId="6" xfId="0" applyNumberFormat="1" applyFont="1" applyFill="1" applyBorder="1" applyAlignment="1" applyProtection="1">
      <alignment horizontal="left"/>
      <protection locked="0"/>
    </xf>
    <xf numFmtId="49" fontId="26" fillId="2" borderId="10" xfId="0" applyNumberFormat="1" applyFont="1" applyFill="1" applyBorder="1" applyAlignment="1" applyProtection="1">
      <alignment horizontal="centerContinuous"/>
      <protection locked="0"/>
    </xf>
    <xf numFmtId="0" fontId="26" fillId="2" borderId="16" xfId="0" applyFont="1" applyFill="1" applyBorder="1" applyAlignment="1" applyProtection="1">
      <alignment horizontal="center"/>
      <protection hidden="1"/>
    </xf>
    <xf numFmtId="0" fontId="3" fillId="3" borderId="9" xfId="0" applyFont="1" applyFill="1" applyBorder="1" applyAlignment="1" applyProtection="1">
      <alignment horizontal="centerContinuous"/>
      <protection hidden="1"/>
    </xf>
    <xf numFmtId="0" fontId="4" fillId="2" borderId="0" xfId="0" applyFont="1" applyFill="1" applyBorder="1" applyProtection="1">
      <protection hidden="1"/>
    </xf>
    <xf numFmtId="0" fontId="26" fillId="0" borderId="16" xfId="0" applyFont="1" applyBorder="1" applyAlignment="1" applyProtection="1">
      <alignment horizontal="center"/>
      <protection hidden="1"/>
    </xf>
    <xf numFmtId="0" fontId="3" fillId="3" borderId="0" xfId="0" applyFont="1" applyFill="1" applyBorder="1" applyAlignment="1" applyProtection="1">
      <alignment horizontal="centerContinuous"/>
      <protection hidden="1"/>
    </xf>
    <xf numFmtId="0" fontId="5" fillId="3" borderId="0" xfId="0" applyFont="1" applyFill="1" applyBorder="1" applyAlignment="1" applyProtection="1">
      <alignment horizontal="centerContinuous"/>
      <protection hidden="1"/>
    </xf>
    <xf numFmtId="0" fontId="0" fillId="3" borderId="14" xfId="0" applyFill="1" applyBorder="1" applyAlignment="1" applyProtection="1">
      <alignment horizontal="centerContinuous"/>
      <protection hidden="1"/>
    </xf>
    <xf numFmtId="0" fontId="23" fillId="3" borderId="6" xfId="0" applyFont="1" applyFill="1" applyBorder="1" applyAlignment="1" applyProtection="1">
      <alignment horizontal="centerContinuous"/>
      <protection hidden="1"/>
    </xf>
    <xf numFmtId="0" fontId="3" fillId="3" borderId="10" xfId="0" applyFont="1" applyFill="1" applyBorder="1" applyAlignment="1" applyProtection="1">
      <alignment horizontal="centerContinuous"/>
      <protection hidden="1"/>
    </xf>
    <xf numFmtId="0" fontId="0" fillId="3" borderId="11" xfId="0" applyFill="1" applyBorder="1" applyAlignment="1" applyProtection="1">
      <alignment horizontal="centerContinuous"/>
      <protection hidden="1"/>
    </xf>
    <xf numFmtId="0" fontId="4" fillId="2" borderId="0" xfId="0" applyFont="1" applyFill="1" applyAlignment="1" applyProtection="1">
      <alignment horizontal="centerContinuous"/>
      <protection hidden="1"/>
    </xf>
    <xf numFmtId="0" fontId="0" fillId="2" borderId="0" xfId="0" applyFill="1" applyAlignment="1" applyProtection="1">
      <alignment horizontal="centerContinuous"/>
      <protection hidden="1"/>
    </xf>
    <xf numFmtId="0" fontId="9" fillId="3" borderId="11" xfId="0" applyFont="1" applyFill="1" applyBorder="1" applyAlignment="1" applyProtection="1">
      <alignment horizontal="center"/>
      <protection hidden="1"/>
    </xf>
    <xf numFmtId="0" fontId="0" fillId="2" borderId="4" xfId="0" applyFill="1" applyBorder="1" applyAlignment="1" applyProtection="1">
      <alignment horizontal="center"/>
      <protection hidden="1"/>
    </xf>
    <xf numFmtId="49" fontId="26" fillId="2" borderId="13" xfId="0" applyNumberFormat="1" applyFont="1" applyFill="1" applyBorder="1" applyAlignment="1" applyProtection="1">
      <alignment horizontal="centerContinuous"/>
      <protection locked="0"/>
    </xf>
    <xf numFmtId="49" fontId="26" fillId="2" borderId="14" xfId="0" applyNumberFormat="1" applyFont="1" applyFill="1" applyBorder="1" applyAlignment="1" applyProtection="1">
      <protection locked="0"/>
    </xf>
    <xf numFmtId="0" fontId="18" fillId="2" borderId="0" xfId="0" applyFont="1" applyFill="1" applyBorder="1" applyAlignment="1" applyProtection="1">
      <alignment horizontal="right"/>
      <protection hidden="1"/>
    </xf>
    <xf numFmtId="0" fontId="6" fillId="4" borderId="11" xfId="0" applyFont="1" applyFill="1" applyBorder="1" applyAlignment="1" applyProtection="1">
      <alignment horizontal="center"/>
      <protection locked="0"/>
    </xf>
    <xf numFmtId="0" fontId="6" fillId="2" borderId="16" xfId="0" applyFont="1" applyFill="1" applyBorder="1" applyAlignment="1" applyProtection="1">
      <alignment horizontal="left"/>
      <protection locked="0"/>
    </xf>
    <xf numFmtId="0" fontId="0" fillId="2" borderId="7" xfId="0" applyFill="1" applyBorder="1" applyAlignment="1" applyProtection="1">
      <alignment horizontal="right"/>
      <protection hidden="1"/>
    </xf>
    <xf numFmtId="0" fontId="32" fillId="2" borderId="0" xfId="0" applyFont="1" applyFill="1" applyProtection="1">
      <protection hidden="1"/>
    </xf>
    <xf numFmtId="0" fontId="6" fillId="2" borderId="8" xfId="0" applyFont="1" applyFill="1" applyBorder="1" applyAlignment="1" applyProtection="1">
      <alignment horizontal="center"/>
      <protection hidden="1"/>
    </xf>
    <xf numFmtId="0" fontId="3" fillId="2" borderId="7" xfId="0" applyFont="1" applyFill="1" applyBorder="1" applyAlignment="1" applyProtection="1">
      <alignment horizontal="right"/>
      <protection hidden="1"/>
    </xf>
    <xf numFmtId="0" fontId="6" fillId="4" borderId="16" xfId="0" applyFont="1" applyFill="1" applyBorder="1" applyAlignment="1" applyProtection="1">
      <alignment horizontal="center"/>
      <protection locked="0"/>
    </xf>
    <xf numFmtId="0" fontId="0" fillId="2" borderId="0" xfId="0" applyFill="1" applyBorder="1" applyAlignment="1" applyProtection="1">
      <alignment horizontal="centerContinuous"/>
      <protection hidden="1"/>
    </xf>
    <xf numFmtId="0" fontId="0" fillId="2" borderId="7" xfId="0" applyFill="1" applyBorder="1" applyAlignment="1" applyProtection="1">
      <protection hidden="1"/>
    </xf>
    <xf numFmtId="0" fontId="3" fillId="2" borderId="0" xfId="0" applyFont="1" applyFill="1" applyBorder="1" applyAlignment="1" applyProtection="1">
      <alignment horizontal="centerContinuous"/>
      <protection hidden="1"/>
    </xf>
    <xf numFmtId="0" fontId="0" fillId="2" borderId="0" xfId="0" applyFill="1" applyBorder="1" applyAlignment="1" applyProtection="1">
      <protection hidden="1"/>
    </xf>
    <xf numFmtId="0" fontId="0" fillId="2" borderId="8" xfId="0" applyFill="1" applyBorder="1" applyAlignment="1" applyProtection="1">
      <alignment horizontal="centerContinuous"/>
      <protection hidden="1"/>
    </xf>
    <xf numFmtId="166" fontId="6" fillId="4" borderId="31" xfId="0" applyNumberFormat="1" applyFont="1" applyFill="1" applyBorder="1" applyAlignment="1" applyProtection="1">
      <alignment horizontal="center"/>
      <protection locked="0"/>
    </xf>
    <xf numFmtId="166" fontId="6" fillId="4" borderId="33" xfId="0" applyNumberFormat="1" applyFont="1" applyFill="1" applyBorder="1" applyAlignment="1" applyProtection="1">
      <alignment horizontal="center"/>
      <protection locked="0"/>
    </xf>
    <xf numFmtId="166" fontId="6" fillId="4" borderId="34" xfId="0" applyNumberFormat="1" applyFont="1" applyFill="1" applyBorder="1" applyAlignment="1" applyProtection="1">
      <alignment horizontal="center"/>
      <protection locked="0"/>
    </xf>
    <xf numFmtId="166" fontId="6" fillId="4" borderId="35" xfId="0" applyNumberFormat="1" applyFont="1" applyFill="1" applyBorder="1" applyAlignment="1" applyProtection="1">
      <alignment horizontal="center"/>
      <protection locked="0"/>
    </xf>
    <xf numFmtId="0" fontId="47" fillId="2" borderId="0" xfId="0" applyFont="1" applyFill="1" applyProtection="1">
      <protection hidden="1"/>
    </xf>
    <xf numFmtId="166" fontId="6" fillId="2" borderId="8" xfId="0" applyNumberFormat="1" applyFont="1" applyFill="1" applyBorder="1" applyAlignment="1" applyProtection="1">
      <alignment horizontal="center"/>
      <protection locked="0" hidden="1"/>
    </xf>
    <xf numFmtId="0" fontId="48" fillId="2" borderId="0" xfId="0" applyFont="1" applyFill="1" applyProtection="1">
      <protection hidden="1"/>
    </xf>
    <xf numFmtId="0" fontId="3" fillId="2" borderId="0" xfId="0" quotePrefix="1" applyFont="1" applyFill="1" applyBorder="1" applyProtection="1">
      <protection hidden="1"/>
    </xf>
    <xf numFmtId="0" fontId="27" fillId="2" borderId="8" xfId="0" quotePrefix="1" applyFont="1" applyFill="1" applyBorder="1" applyAlignment="1" applyProtection="1">
      <alignment horizontal="left"/>
      <protection hidden="1"/>
    </xf>
    <xf numFmtId="166" fontId="33" fillId="2" borderId="8" xfId="0" quotePrefix="1" applyNumberFormat="1" applyFont="1" applyFill="1" applyBorder="1" applyAlignment="1" applyProtection="1">
      <alignment horizontal="left"/>
      <protection locked="0" hidden="1"/>
    </xf>
    <xf numFmtId="0" fontId="27" fillId="2" borderId="0" xfId="0" quotePrefix="1" applyFont="1" applyFill="1" applyBorder="1" applyAlignment="1" applyProtection="1">
      <alignment horizontal="left"/>
      <protection hidden="1"/>
    </xf>
    <xf numFmtId="166" fontId="33" fillId="2" borderId="8" xfId="0" applyNumberFormat="1" applyFont="1" applyFill="1" applyBorder="1" applyAlignment="1" applyProtection="1">
      <alignment horizontal="left"/>
      <protection locked="0" hidden="1"/>
    </xf>
    <xf numFmtId="2" fontId="0" fillId="2" borderId="0" xfId="0" applyNumberFormat="1" applyFill="1" applyProtection="1">
      <protection hidden="1"/>
    </xf>
    <xf numFmtId="166" fontId="6" fillId="4" borderId="32" xfId="0" applyNumberFormat="1" applyFont="1" applyFill="1" applyBorder="1" applyAlignment="1" applyProtection="1">
      <alignment horizontal="center"/>
      <protection locked="0"/>
    </xf>
    <xf numFmtId="166" fontId="6" fillId="4" borderId="36" xfId="0" applyNumberFormat="1" applyFont="1" applyFill="1" applyBorder="1" applyAlignment="1" applyProtection="1">
      <alignment horizontal="center"/>
      <protection locked="0"/>
    </xf>
    <xf numFmtId="0" fontId="3" fillId="2" borderId="0" xfId="0" applyFont="1" applyFill="1" applyBorder="1" applyAlignment="1" applyProtection="1">
      <alignment horizontal="right"/>
      <protection hidden="1"/>
    </xf>
    <xf numFmtId="0" fontId="35" fillId="2" borderId="0" xfId="0" quotePrefix="1" applyFont="1" applyFill="1" applyBorder="1" applyAlignment="1" applyProtection="1">
      <protection hidden="1"/>
    </xf>
    <xf numFmtId="166" fontId="13" fillId="2" borderId="8" xfId="0" quotePrefix="1" applyNumberFormat="1" applyFont="1" applyFill="1" applyBorder="1" applyAlignment="1" applyProtection="1">
      <alignment horizontal="center"/>
      <protection locked="0" hidden="1"/>
    </xf>
    <xf numFmtId="165" fontId="6" fillId="2" borderId="0" xfId="0" applyNumberFormat="1" applyFont="1" applyFill="1" applyBorder="1" applyAlignment="1" applyProtection="1">
      <alignment horizontal="right"/>
      <protection hidden="1"/>
    </xf>
    <xf numFmtId="0" fontId="10" fillId="2" borderId="0" xfId="0" applyFont="1" applyFill="1" applyBorder="1" applyAlignment="1" applyProtection="1">
      <alignment horizontal="left"/>
      <protection hidden="1"/>
    </xf>
    <xf numFmtId="0" fontId="49" fillId="2" borderId="0" xfId="0" applyFont="1" applyFill="1" applyBorder="1" applyAlignment="1" applyProtection="1">
      <alignment horizontal="left"/>
      <protection hidden="1"/>
    </xf>
    <xf numFmtId="0" fontId="0" fillId="2" borderId="0" xfId="0" applyFill="1" applyAlignment="1" applyProtection="1">
      <alignment horizontal="left"/>
      <protection hidden="1"/>
    </xf>
    <xf numFmtId="2" fontId="6" fillId="4" borderId="34" xfId="0" applyNumberFormat="1" applyFont="1" applyFill="1" applyBorder="1" applyAlignment="1" applyProtection="1">
      <alignment horizontal="center"/>
      <protection locked="0"/>
    </xf>
    <xf numFmtId="2" fontId="6" fillId="4" borderId="35" xfId="0" applyNumberFormat="1" applyFont="1" applyFill="1" applyBorder="1" applyAlignment="1" applyProtection="1">
      <alignment horizontal="center"/>
      <protection locked="0"/>
    </xf>
    <xf numFmtId="2" fontId="6" fillId="2" borderId="0" xfId="0" applyNumberFormat="1" applyFont="1" applyFill="1" applyBorder="1" applyAlignment="1" applyProtection="1">
      <alignment horizontal="center"/>
      <protection locked="0" hidden="1"/>
    </xf>
    <xf numFmtId="2" fontId="6" fillId="2" borderId="8" xfId="0" applyNumberFormat="1" applyFont="1" applyFill="1" applyBorder="1" applyAlignment="1" applyProtection="1">
      <alignment horizontal="center"/>
      <protection locked="0" hidden="1"/>
    </xf>
    <xf numFmtId="166" fontId="6" fillId="4" borderId="26" xfId="0" applyNumberFormat="1" applyFont="1" applyFill="1" applyBorder="1" applyAlignment="1" applyProtection="1">
      <alignment horizontal="center"/>
      <protection hidden="1"/>
    </xf>
    <xf numFmtId="166" fontId="6" fillId="4" borderId="33" xfId="0" applyNumberFormat="1" applyFont="1" applyFill="1" applyBorder="1" applyAlignment="1" applyProtection="1">
      <alignment horizontal="center"/>
      <protection hidden="1"/>
    </xf>
    <xf numFmtId="166" fontId="6" fillId="4" borderId="27" xfId="0" applyNumberFormat="1" applyFont="1" applyFill="1" applyBorder="1" applyAlignment="1" applyProtection="1">
      <alignment horizontal="center"/>
      <protection hidden="1"/>
    </xf>
    <xf numFmtId="166" fontId="6" fillId="4" borderId="35" xfId="0" applyNumberFormat="1" applyFont="1" applyFill="1" applyBorder="1" applyAlignment="1" applyProtection="1">
      <alignment horizontal="center"/>
      <protection hidden="1"/>
    </xf>
    <xf numFmtId="2" fontId="6" fillId="4" borderId="28" xfId="0" applyNumberFormat="1" applyFont="1" applyFill="1" applyBorder="1" applyAlignment="1" applyProtection="1">
      <alignment horizontal="center"/>
      <protection locked="0"/>
    </xf>
    <xf numFmtId="2" fontId="6" fillId="4" borderId="32" xfId="0" applyNumberFormat="1" applyFont="1" applyFill="1" applyBorder="1" applyAlignment="1" applyProtection="1">
      <alignment horizontal="center"/>
      <protection locked="0"/>
    </xf>
    <xf numFmtId="2" fontId="6" fillId="4" borderId="36" xfId="0" applyNumberFormat="1" applyFont="1" applyFill="1" applyBorder="1" applyAlignment="1" applyProtection="1">
      <alignment horizontal="center"/>
      <protection locked="0"/>
    </xf>
    <xf numFmtId="0" fontId="8" fillId="2" borderId="11" xfId="0" applyFont="1" applyFill="1" applyBorder="1" applyAlignment="1" applyProtection="1">
      <alignment horizontal="right"/>
      <protection hidden="1"/>
    </xf>
    <xf numFmtId="0" fontId="0" fillId="2" borderId="5" xfId="0" applyFill="1" applyBorder="1" applyProtection="1">
      <protection hidden="1"/>
    </xf>
    <xf numFmtId="0" fontId="0" fillId="2" borderId="9" xfId="0" applyFill="1" applyBorder="1" applyProtection="1">
      <protection hidden="1"/>
    </xf>
    <xf numFmtId="0" fontId="0" fillId="2" borderId="9" xfId="0" applyFill="1" applyBorder="1" applyAlignment="1" applyProtection="1">
      <alignment horizontal="center"/>
      <protection hidden="1"/>
    </xf>
    <xf numFmtId="14" fontId="0" fillId="2" borderId="12" xfId="0" applyNumberFormat="1" applyFill="1" applyBorder="1" applyAlignment="1" applyProtection="1">
      <alignment horizontal="center"/>
      <protection hidden="1"/>
    </xf>
    <xf numFmtId="18" fontId="0" fillId="2" borderId="8" xfId="0" applyNumberFormat="1" applyFill="1" applyBorder="1" applyAlignment="1" applyProtection="1">
      <alignment horizontal="center"/>
      <protection hidden="1"/>
    </xf>
    <xf numFmtId="0" fontId="11" fillId="2" borderId="7" xfId="0" applyFont="1" applyFill="1" applyBorder="1" applyAlignment="1" applyProtection="1">
      <protection hidden="1"/>
    </xf>
    <xf numFmtId="0" fontId="14" fillId="2" borderId="7" xfId="0" applyFont="1" applyFill="1" applyBorder="1" applyAlignment="1" applyProtection="1">
      <alignment horizontal="centerContinuous"/>
      <protection hidden="1"/>
    </xf>
    <xf numFmtId="0" fontId="50" fillId="2" borderId="0" xfId="0" applyFont="1" applyFill="1" applyBorder="1" applyAlignment="1" applyProtection="1">
      <alignment horizontal="centerContinuous"/>
      <protection hidden="1"/>
    </xf>
    <xf numFmtId="2" fontId="6" fillId="2" borderId="26" xfId="0" applyNumberFormat="1" applyFont="1" applyFill="1" applyBorder="1" applyAlignment="1" applyProtection="1">
      <alignment horizontal="center"/>
      <protection hidden="1"/>
    </xf>
    <xf numFmtId="0" fontId="0" fillId="2" borderId="8" xfId="0" applyFill="1" applyBorder="1" applyAlignment="1" applyProtection="1">
      <protection hidden="1"/>
    </xf>
    <xf numFmtId="0" fontId="12" fillId="2" borderId="7" xfId="0" applyFont="1" applyFill="1" applyBorder="1" applyAlignment="1" applyProtection="1">
      <alignment horizontal="right"/>
      <protection hidden="1"/>
    </xf>
    <xf numFmtId="166" fontId="18" fillId="2" borderId="27" xfId="0" applyNumberFormat="1" applyFont="1" applyFill="1" applyBorder="1" applyAlignment="1" applyProtection="1">
      <alignment horizontal="center"/>
      <protection hidden="1"/>
    </xf>
    <xf numFmtId="2" fontId="6" fillId="2" borderId="27" xfId="0" applyNumberFormat="1" applyFont="1" applyFill="1" applyBorder="1" applyAlignment="1" applyProtection="1">
      <alignment horizontal="center"/>
      <protection hidden="1"/>
    </xf>
    <xf numFmtId="165" fontId="9" fillId="2" borderId="7" xfId="0" applyNumberFormat="1" applyFont="1" applyFill="1" applyBorder="1" applyAlignment="1" applyProtection="1">
      <alignment horizontal="right"/>
      <protection hidden="1"/>
    </xf>
    <xf numFmtId="2" fontId="18" fillId="2" borderId="27" xfId="0" applyNumberFormat="1" applyFont="1" applyFill="1" applyBorder="1" applyAlignment="1" applyProtection="1">
      <alignment horizontal="center"/>
      <protection hidden="1"/>
    </xf>
    <xf numFmtId="2" fontId="18" fillId="2" borderId="28" xfId="0" applyNumberFormat="1" applyFont="1" applyFill="1" applyBorder="1" applyAlignment="1" applyProtection="1">
      <alignment horizontal="center"/>
      <protection hidden="1"/>
    </xf>
    <xf numFmtId="2" fontId="6" fillId="2" borderId="28" xfId="0" applyNumberFormat="1" applyFont="1" applyFill="1" applyBorder="1" applyAlignment="1" applyProtection="1">
      <alignment horizontal="center"/>
      <protection hidden="1"/>
    </xf>
    <xf numFmtId="0" fontId="15" fillId="2" borderId="7" xfId="0" applyFont="1" applyFill="1" applyBorder="1" applyAlignment="1" applyProtection="1">
      <alignment horizontal="right"/>
      <protection hidden="1"/>
    </xf>
    <xf numFmtId="166" fontId="6" fillId="2" borderId="0" xfId="0" applyNumberFormat="1" applyFont="1" applyFill="1" applyBorder="1" applyAlignment="1" applyProtection="1">
      <protection hidden="1"/>
    </xf>
    <xf numFmtId="0" fontId="3" fillId="3" borderId="15" xfId="0" applyFont="1" applyFill="1" applyBorder="1" applyAlignment="1" applyProtection="1">
      <alignment horizontal="centerContinuous"/>
      <protection hidden="1"/>
    </xf>
    <xf numFmtId="0" fontId="0" fillId="3" borderId="5" xfId="0" applyFill="1" applyBorder="1" applyAlignment="1" applyProtection="1">
      <alignment horizontal="center"/>
      <protection hidden="1"/>
    </xf>
    <xf numFmtId="0" fontId="0" fillId="3" borderId="16" xfId="0" applyFill="1" applyBorder="1" applyAlignment="1" applyProtection="1">
      <alignment horizontal="center"/>
      <protection hidden="1"/>
    </xf>
    <xf numFmtId="0" fontId="0" fillId="2" borderId="8" xfId="0" applyFill="1" applyBorder="1" applyAlignment="1" applyProtection="1">
      <alignment horizontal="center"/>
      <protection hidden="1"/>
    </xf>
    <xf numFmtId="166" fontId="6" fillId="2" borderId="33" xfId="0" applyNumberFormat="1" applyFont="1" applyFill="1" applyBorder="1" applyAlignment="1" applyProtection="1">
      <alignment horizontal="center"/>
      <protection hidden="1"/>
    </xf>
    <xf numFmtId="2" fontId="6" fillId="2" borderId="8" xfId="0" applyNumberFormat="1" applyFont="1" applyFill="1" applyBorder="1" applyAlignment="1" applyProtection="1">
      <alignment horizontal="center"/>
      <protection hidden="1"/>
    </xf>
    <xf numFmtId="166" fontId="6" fillId="2" borderId="35" xfId="0" applyNumberFormat="1" applyFont="1" applyFill="1" applyBorder="1" applyAlignment="1" applyProtection="1">
      <alignment horizontal="center"/>
      <protection hidden="1"/>
    </xf>
    <xf numFmtId="10" fontId="32" fillId="2" borderId="0" xfId="0" quotePrefix="1" applyNumberFormat="1" applyFont="1" applyFill="1" applyBorder="1" applyAlignment="1" applyProtection="1">
      <alignment horizontal="center"/>
      <protection hidden="1"/>
    </xf>
    <xf numFmtId="10" fontId="32" fillId="2" borderId="0" xfId="0" quotePrefix="1" applyNumberFormat="1" applyFont="1" applyFill="1" applyAlignment="1" applyProtection="1">
      <alignment horizontal="center"/>
      <protection hidden="1"/>
    </xf>
    <xf numFmtId="166" fontId="6" fillId="4" borderId="28" xfId="0" applyNumberFormat="1" applyFont="1" applyFill="1" applyBorder="1" applyAlignment="1" applyProtection="1">
      <alignment horizontal="center"/>
      <protection hidden="1"/>
    </xf>
    <xf numFmtId="166" fontId="6" fillId="4" borderId="36" xfId="0" applyNumberFormat="1" applyFont="1" applyFill="1" applyBorder="1" applyAlignment="1" applyProtection="1">
      <alignment horizontal="center"/>
      <protection hidden="1"/>
    </xf>
    <xf numFmtId="0" fontId="34" fillId="2" borderId="0" xfId="0" applyFont="1" applyFill="1" applyBorder="1" applyAlignment="1" applyProtection="1">
      <alignment horizontal="left"/>
      <protection hidden="1"/>
    </xf>
    <xf numFmtId="166" fontId="6" fillId="2" borderId="36" xfId="0" applyNumberFormat="1" applyFont="1" applyFill="1" applyBorder="1" applyAlignment="1" applyProtection="1">
      <alignment horizontal="center"/>
      <protection hidden="1"/>
    </xf>
    <xf numFmtId="166" fontId="8" fillId="2" borderId="0" xfId="0" applyNumberFormat="1" applyFont="1" applyFill="1" applyBorder="1" applyAlignment="1" applyProtection="1">
      <alignment horizontal="left"/>
      <protection hidden="1"/>
    </xf>
    <xf numFmtId="2" fontId="8" fillId="2" borderId="0" xfId="0" applyNumberFormat="1" applyFont="1" applyFill="1" applyBorder="1" applyAlignment="1" applyProtection="1">
      <alignment horizontal="left"/>
      <protection hidden="1"/>
    </xf>
    <xf numFmtId="166" fontId="0" fillId="2" borderId="0" xfId="0" applyNumberFormat="1" applyFill="1" applyBorder="1" applyAlignment="1" applyProtection="1">
      <alignment horizontal="center"/>
      <protection hidden="1"/>
    </xf>
    <xf numFmtId="0" fontId="9" fillId="2" borderId="8" xfId="0" applyFont="1" applyFill="1" applyBorder="1" applyAlignment="1" applyProtection="1">
      <alignment horizontal="left"/>
      <protection locked="0" hidden="1"/>
    </xf>
    <xf numFmtId="14" fontId="9" fillId="2" borderId="8" xfId="0" applyNumberFormat="1" applyFont="1" applyFill="1" applyBorder="1" applyAlignment="1" applyProtection="1">
      <alignment horizontal="center"/>
      <protection hidden="1"/>
    </xf>
    <xf numFmtId="18" fontId="9" fillId="2" borderId="8" xfId="0" applyNumberFormat="1" applyFont="1" applyFill="1" applyBorder="1" applyAlignment="1" applyProtection="1">
      <alignment horizontal="center"/>
      <protection hidden="1"/>
    </xf>
    <xf numFmtId="0" fontId="10" fillId="2" borderId="0" xfId="0" applyFont="1" applyFill="1" applyBorder="1" applyAlignment="1" applyProtection="1">
      <alignment horizontal="centerContinuous"/>
      <protection hidden="1"/>
    </xf>
    <xf numFmtId="166" fontId="34" fillId="2" borderId="8" xfId="0" applyNumberFormat="1" applyFont="1" applyFill="1" applyBorder="1" applyAlignment="1" applyProtection="1">
      <alignment horizontal="centerContinuous"/>
      <protection locked="0" hidden="1"/>
    </xf>
    <xf numFmtId="0" fontId="6" fillId="0" borderId="0" xfId="0" applyFont="1" applyBorder="1" applyAlignment="1" applyProtection="1">
      <alignment horizontal="center"/>
      <protection locked="0"/>
    </xf>
    <xf numFmtId="14" fontId="6" fillId="2" borderId="8" xfId="0" applyNumberFormat="1" applyFont="1" applyFill="1" applyBorder="1" applyAlignment="1" applyProtection="1">
      <alignment horizontal="center"/>
      <protection locked="0"/>
    </xf>
    <xf numFmtId="0" fontId="22" fillId="2" borderId="0" xfId="0" applyFont="1" applyFill="1" applyBorder="1" applyProtection="1">
      <protection hidden="1"/>
    </xf>
    <xf numFmtId="49" fontId="6" fillId="2" borderId="6" xfId="0" applyNumberFormat="1" applyFont="1" applyFill="1" applyBorder="1" applyAlignment="1" applyProtection="1">
      <protection locked="0"/>
    </xf>
    <xf numFmtId="49" fontId="26" fillId="2" borderId="10" xfId="0" applyNumberFormat="1" applyFont="1" applyFill="1" applyBorder="1" applyAlignment="1" applyProtection="1">
      <protection locked="0"/>
    </xf>
    <xf numFmtId="166" fontId="9" fillId="3" borderId="16" xfId="0" applyNumberFormat="1" applyFont="1" applyFill="1" applyBorder="1" applyAlignment="1" applyProtection="1">
      <alignment horizontal="center"/>
      <protection hidden="1"/>
    </xf>
    <xf numFmtId="0" fontId="35" fillId="3" borderId="11" xfId="0" applyFont="1" applyFill="1" applyBorder="1" applyAlignment="1" applyProtection="1">
      <alignment horizontal="centerContinuous"/>
      <protection hidden="1"/>
    </xf>
    <xf numFmtId="0" fontId="6" fillId="4" borderId="28" xfId="0" applyFont="1" applyFill="1" applyBorder="1" applyAlignment="1" applyProtection="1">
      <alignment horizontal="center"/>
      <protection locked="0"/>
    </xf>
    <xf numFmtId="0" fontId="0" fillId="2" borderId="12" xfId="0" applyFill="1" applyBorder="1" applyAlignment="1" applyProtection="1">
      <alignment horizontal="centerContinuous"/>
      <protection hidden="1"/>
    </xf>
    <xf numFmtId="0" fontId="0" fillId="2" borderId="11" xfId="0" applyFill="1" applyBorder="1" applyAlignment="1" applyProtection="1">
      <alignment horizontal="centerContinuous"/>
      <protection hidden="1"/>
    </xf>
    <xf numFmtId="0" fontId="9" fillId="2" borderId="8" xfId="0" applyFont="1" applyFill="1" applyBorder="1" applyAlignment="1" applyProtection="1">
      <alignment horizontal="center"/>
      <protection hidden="1"/>
    </xf>
    <xf numFmtId="0" fontId="0" fillId="2" borderId="8" xfId="0" applyFill="1" applyBorder="1" applyAlignment="1" applyProtection="1">
      <alignment horizontal="left"/>
      <protection hidden="1"/>
    </xf>
    <xf numFmtId="0" fontId="35" fillId="2" borderId="0" xfId="0" applyFont="1" applyFill="1" applyBorder="1" applyAlignment="1" applyProtection="1">
      <protection hidden="1"/>
    </xf>
    <xf numFmtId="166" fontId="6" fillId="0" borderId="37" xfId="0" applyNumberFormat="1" applyFont="1" applyFill="1" applyBorder="1" applyAlignment="1" applyProtection="1">
      <alignment horizontal="center"/>
      <protection hidden="1"/>
    </xf>
    <xf numFmtId="166" fontId="6" fillId="0" borderId="38" xfId="0" applyNumberFormat="1" applyFont="1" applyFill="1" applyBorder="1" applyAlignment="1" applyProtection="1">
      <alignment horizontal="center"/>
      <protection hidden="1"/>
    </xf>
    <xf numFmtId="166" fontId="6" fillId="0" borderId="39" xfId="0" applyNumberFormat="1" applyFont="1" applyFill="1" applyBorder="1" applyAlignment="1" applyProtection="1">
      <alignment horizontal="center"/>
      <protection hidden="1"/>
    </xf>
    <xf numFmtId="166" fontId="6" fillId="0" borderId="0" xfId="0" applyNumberFormat="1" applyFont="1" applyFill="1" applyBorder="1" applyAlignment="1" applyProtection="1">
      <alignment horizontal="center"/>
      <protection hidden="1"/>
    </xf>
    <xf numFmtId="0" fontId="38" fillId="0" borderId="0" xfId="0" applyFont="1" applyFill="1" applyBorder="1" applyAlignment="1" applyProtection="1">
      <alignment horizontal="center"/>
    </xf>
    <xf numFmtId="0" fontId="8" fillId="0" borderId="0" xfId="0" applyFont="1" applyFill="1" applyBorder="1" applyAlignment="1" applyProtection="1">
      <alignment horizontal="center"/>
    </xf>
    <xf numFmtId="0" fontId="32" fillId="2" borderId="0" xfId="0" applyFont="1" applyFill="1" applyBorder="1" applyAlignment="1" applyProtection="1">
      <alignment horizontal="left" vertical="top"/>
      <protection hidden="1"/>
    </xf>
    <xf numFmtId="166" fontId="27" fillId="2" borderId="8" xfId="0" applyNumberFormat="1" applyFont="1" applyFill="1" applyBorder="1" applyAlignment="1" applyProtection="1">
      <alignment horizontal="right"/>
      <protection hidden="1"/>
    </xf>
    <xf numFmtId="0" fontId="0" fillId="2" borderId="8" xfId="0" applyFill="1" applyBorder="1" applyAlignment="1" applyProtection="1">
      <alignment horizontal="right"/>
      <protection hidden="1"/>
    </xf>
    <xf numFmtId="0" fontId="27" fillId="2" borderId="8" xfId="0" applyFont="1" applyFill="1" applyBorder="1" applyAlignment="1" applyProtection="1">
      <alignment horizontal="right"/>
      <protection hidden="1"/>
    </xf>
    <xf numFmtId="166" fontId="6" fillId="0" borderId="7" xfId="0" applyNumberFormat="1" applyFont="1" applyFill="1" applyBorder="1" applyAlignment="1" applyProtection="1">
      <alignment horizontal="center"/>
      <protection hidden="1"/>
    </xf>
    <xf numFmtId="166" fontId="6" fillId="0" borderId="8" xfId="0" applyNumberFormat="1" applyFont="1" applyFill="1" applyBorder="1" applyAlignment="1" applyProtection="1">
      <alignment horizontal="center"/>
      <protection hidden="1"/>
    </xf>
    <xf numFmtId="166" fontId="6" fillId="0" borderId="6" xfId="0" applyNumberFormat="1" applyFont="1" applyFill="1" applyBorder="1" applyAlignment="1" applyProtection="1">
      <alignment horizontal="center"/>
      <protection hidden="1"/>
    </xf>
    <xf numFmtId="166" fontId="6" fillId="0" borderId="10" xfId="0" applyNumberFormat="1" applyFont="1" applyFill="1" applyBorder="1" applyAlignment="1" applyProtection="1">
      <alignment horizontal="center"/>
      <protection hidden="1"/>
    </xf>
    <xf numFmtId="166" fontId="6" fillId="0" borderId="11" xfId="0" applyNumberFormat="1" applyFont="1" applyFill="1" applyBorder="1" applyAlignment="1" applyProtection="1">
      <alignment horizontal="center"/>
      <protection hidden="1"/>
    </xf>
    <xf numFmtId="0" fontId="52" fillId="2" borderId="0" xfId="0" applyFont="1" applyFill="1" applyAlignment="1" applyProtection="1">
      <alignment horizontal="centerContinuous"/>
      <protection hidden="1"/>
    </xf>
    <xf numFmtId="0" fontId="27" fillId="2" borderId="0" xfId="0" applyFont="1" applyFill="1" applyAlignment="1" applyProtection="1">
      <alignment horizontal="centerContinuous"/>
      <protection hidden="1"/>
    </xf>
    <xf numFmtId="0" fontId="10" fillId="2" borderId="0" xfId="0" applyFont="1" applyFill="1" applyProtection="1">
      <protection hidden="1"/>
    </xf>
    <xf numFmtId="0" fontId="27" fillId="2" borderId="0" xfId="0" applyFont="1" applyFill="1" applyProtection="1">
      <protection hidden="1"/>
    </xf>
    <xf numFmtId="0" fontId="3" fillId="2" borderId="15" xfId="0" applyFont="1" applyFill="1" applyBorder="1" applyAlignment="1" applyProtection="1">
      <alignment horizontal="centerContinuous"/>
      <protection hidden="1"/>
    </xf>
    <xf numFmtId="0" fontId="0" fillId="2" borderId="13" xfId="0" applyFill="1" applyBorder="1" applyAlignment="1" applyProtection="1">
      <alignment horizontal="centerContinuous"/>
      <protection hidden="1"/>
    </xf>
    <xf numFmtId="0" fontId="0" fillId="2" borderId="14" xfId="0" applyFill="1" applyBorder="1" applyAlignment="1" applyProtection="1">
      <alignment horizontal="centerContinuous"/>
      <protection hidden="1"/>
    </xf>
    <xf numFmtId="0" fontId="3" fillId="2" borderId="13" xfId="0" applyFont="1" applyFill="1" applyBorder="1" applyAlignment="1" applyProtection="1">
      <alignment horizontal="centerContinuous"/>
      <protection hidden="1"/>
    </xf>
    <xf numFmtId="0" fontId="27" fillId="0" borderId="5" xfId="0" applyFont="1" applyFill="1" applyBorder="1" applyAlignment="1" applyProtection="1">
      <alignment horizontal="centerContinuous"/>
      <protection hidden="1"/>
    </xf>
    <xf numFmtId="0" fontId="27" fillId="0" borderId="9" xfId="0" applyFont="1" applyFill="1" applyBorder="1" applyAlignment="1" applyProtection="1">
      <alignment horizontal="centerContinuous"/>
      <protection hidden="1"/>
    </xf>
    <xf numFmtId="0" fontId="27" fillId="0" borderId="12" xfId="0" applyFont="1" applyFill="1" applyBorder="1" applyAlignment="1" applyProtection="1">
      <alignment horizontal="centerContinuous"/>
      <protection hidden="1"/>
    </xf>
    <xf numFmtId="0" fontId="27" fillId="0" borderId="7" xfId="0" applyFont="1" applyFill="1" applyBorder="1" applyAlignment="1" applyProtection="1">
      <alignment horizontal="centerContinuous"/>
      <protection hidden="1"/>
    </xf>
    <xf numFmtId="0" fontId="27" fillId="0" borderId="0" xfId="0" applyFont="1" applyFill="1" applyBorder="1" applyAlignment="1" applyProtection="1">
      <alignment horizontal="centerContinuous"/>
      <protection hidden="1"/>
    </xf>
    <xf numFmtId="0" fontId="27" fillId="0" borderId="8" xfId="0" applyFont="1" applyFill="1" applyBorder="1" applyAlignment="1" applyProtection="1">
      <alignment horizontal="centerContinuous"/>
      <protection hidden="1"/>
    </xf>
    <xf numFmtId="0" fontId="27" fillId="0" borderId="6" xfId="0" applyFont="1" applyFill="1" applyBorder="1" applyAlignment="1" applyProtection="1">
      <alignment horizontal="centerContinuous"/>
      <protection hidden="1"/>
    </xf>
    <xf numFmtId="0" fontId="27" fillId="0" borderId="10" xfId="0" applyFont="1" applyFill="1" applyBorder="1" applyAlignment="1" applyProtection="1">
      <alignment horizontal="centerContinuous"/>
      <protection hidden="1"/>
    </xf>
    <xf numFmtId="0" fontId="27" fillId="0" borderId="11" xfId="0" applyFont="1" applyFill="1" applyBorder="1" applyAlignment="1" applyProtection="1">
      <alignment horizontal="centerContinuous"/>
      <protection hidden="1"/>
    </xf>
    <xf numFmtId="0" fontId="51" fillId="2" borderId="0" xfId="0" applyFont="1" applyFill="1" applyProtection="1">
      <protection hidden="1"/>
    </xf>
    <xf numFmtId="0" fontId="53" fillId="2" borderId="0" xfId="0" applyFont="1" applyFill="1" applyAlignment="1" applyProtection="1">
      <alignment horizontal="centerContinuous"/>
      <protection hidden="1"/>
    </xf>
    <xf numFmtId="0" fontId="27" fillId="2" borderId="0" xfId="0" applyFont="1" applyFill="1" applyAlignment="1" applyProtection="1">
      <alignment horizontal="center"/>
      <protection hidden="1"/>
    </xf>
    <xf numFmtId="0" fontId="27" fillId="2" borderId="0" xfId="0" applyFont="1" applyFill="1" applyAlignment="1" applyProtection="1">
      <alignment horizontal="right"/>
      <protection hidden="1"/>
    </xf>
    <xf numFmtId="0" fontId="27" fillId="0" borderId="5" xfId="0" applyFont="1" applyFill="1" applyBorder="1" applyAlignment="1" applyProtection="1">
      <alignment horizontal="center"/>
      <protection hidden="1"/>
    </xf>
    <xf numFmtId="0" fontId="27" fillId="0" borderId="2" xfId="0" applyFont="1" applyFill="1" applyBorder="1" applyAlignment="1" applyProtection="1">
      <alignment horizontal="center"/>
      <protection hidden="1"/>
    </xf>
    <xf numFmtId="0" fontId="27" fillId="0" borderId="9" xfId="0" applyFont="1" applyFill="1" applyBorder="1" applyAlignment="1" applyProtection="1">
      <alignment horizontal="center"/>
      <protection hidden="1"/>
    </xf>
    <xf numFmtId="0" fontId="27" fillId="0" borderId="7" xfId="0" applyFont="1" applyFill="1" applyBorder="1" applyAlignment="1" applyProtection="1">
      <alignment horizontal="center"/>
      <protection hidden="1"/>
    </xf>
    <xf numFmtId="0" fontId="27" fillId="0" borderId="3" xfId="0" applyFont="1" applyFill="1" applyBorder="1" applyAlignment="1" applyProtection="1">
      <alignment horizontal="center"/>
      <protection hidden="1"/>
    </xf>
    <xf numFmtId="0" fontId="27" fillId="0" borderId="0" xfId="0" applyFont="1" applyFill="1" applyBorder="1" applyAlignment="1" applyProtection="1">
      <alignment horizontal="center"/>
      <protection hidden="1"/>
    </xf>
    <xf numFmtId="0" fontId="53" fillId="2" borderId="0" xfId="0" applyFont="1" applyFill="1" applyAlignment="1" applyProtection="1">
      <alignment horizontal="center"/>
      <protection hidden="1"/>
    </xf>
    <xf numFmtId="10" fontId="27" fillId="2" borderId="0" xfId="0" quotePrefix="1" applyNumberFormat="1" applyFont="1" applyFill="1" applyAlignment="1" applyProtection="1">
      <alignment horizontal="center"/>
      <protection hidden="1"/>
    </xf>
    <xf numFmtId="0" fontId="27" fillId="0" borderId="6" xfId="0" applyFont="1" applyFill="1" applyBorder="1" applyAlignment="1" applyProtection="1">
      <alignment horizontal="center"/>
      <protection hidden="1"/>
    </xf>
    <xf numFmtId="0" fontId="27" fillId="0" borderId="4" xfId="0" applyFont="1" applyFill="1" applyBorder="1" applyAlignment="1" applyProtection="1">
      <alignment horizontal="center"/>
      <protection hidden="1"/>
    </xf>
    <xf numFmtId="0" fontId="27" fillId="0" borderId="10" xfId="0" applyFont="1" applyFill="1" applyBorder="1" applyAlignment="1" applyProtection="1">
      <alignment horizontal="center"/>
      <protection hidden="1"/>
    </xf>
    <xf numFmtId="0" fontId="6" fillId="2" borderId="0" xfId="0" applyFont="1" applyFill="1" applyAlignment="1" applyProtection="1">
      <alignment horizontal="center"/>
    </xf>
    <xf numFmtId="0" fontId="52" fillId="2" borderId="0" xfId="0" applyFont="1" applyFill="1" applyBorder="1" applyAlignment="1" applyProtection="1">
      <alignment horizontal="centerContinuous"/>
      <protection hidden="1"/>
    </xf>
    <xf numFmtId="0" fontId="3" fillId="3" borderId="5" xfId="0" applyFont="1" applyFill="1" applyBorder="1" applyAlignment="1" applyProtection="1">
      <alignment horizontal="centerContinuous"/>
      <protection hidden="1"/>
    </xf>
    <xf numFmtId="0" fontId="3" fillId="3" borderId="6" xfId="0" applyFont="1" applyFill="1" applyBorder="1" applyAlignment="1" applyProtection="1">
      <alignment horizontal="centerContinuous"/>
      <protection hidden="1"/>
    </xf>
    <xf numFmtId="0" fontId="0" fillId="3" borderId="7" xfId="0" applyFill="1" applyBorder="1" applyAlignment="1" applyProtection="1">
      <alignment horizontal="centerContinuous"/>
      <protection hidden="1"/>
    </xf>
    <xf numFmtId="0" fontId="0" fillId="3" borderId="13" xfId="0" applyFill="1" applyBorder="1" applyAlignment="1" applyProtection="1">
      <alignment horizontal="centerContinuous"/>
      <protection hidden="1"/>
    </xf>
    <xf numFmtId="0" fontId="0" fillId="3" borderId="5" xfId="0" applyFill="1" applyBorder="1" applyAlignment="1" applyProtection="1">
      <alignment horizontal="centerContinuous"/>
      <protection hidden="1"/>
    </xf>
    <xf numFmtId="0" fontId="3" fillId="2" borderId="7" xfId="0" applyFont="1" applyFill="1" applyBorder="1" applyAlignment="1" applyProtection="1">
      <alignment horizontal="center"/>
      <protection hidden="1"/>
    </xf>
    <xf numFmtId="0" fontId="0" fillId="3" borderId="15" xfId="0" applyFill="1" applyBorder="1" applyAlignment="1" applyProtection="1">
      <alignment horizontal="centerContinuous"/>
      <protection hidden="1"/>
    </xf>
    <xf numFmtId="0" fontId="3" fillId="2" borderId="5" xfId="0" applyFont="1" applyFill="1" applyBorder="1" applyAlignment="1" applyProtection="1">
      <alignment horizontal="center"/>
      <protection hidden="1"/>
    </xf>
    <xf numFmtId="0" fontId="0" fillId="2" borderId="12" xfId="0" applyFill="1" applyBorder="1" applyProtection="1">
      <protection hidden="1"/>
    </xf>
    <xf numFmtId="0" fontId="0" fillId="2" borderId="0" xfId="0" applyFill="1" applyAlignment="1" applyProtection="1">
      <protection hidden="1"/>
    </xf>
    <xf numFmtId="0" fontId="12" fillId="2" borderId="0" xfId="0" applyFont="1" applyFill="1" applyBorder="1" applyAlignment="1" applyProtection="1">
      <protection hidden="1"/>
    </xf>
    <xf numFmtId="0" fontId="42" fillId="3" borderId="5" xfId="0" applyFont="1" applyFill="1" applyBorder="1" applyAlignment="1" applyProtection="1">
      <alignment horizontal="centerContinuous"/>
      <protection hidden="1"/>
    </xf>
    <xf numFmtId="0" fontId="12" fillId="3" borderId="9" xfId="0" applyFont="1" applyFill="1" applyBorder="1" applyAlignment="1" applyProtection="1">
      <alignment horizontal="centerContinuous"/>
      <protection hidden="1"/>
    </xf>
    <xf numFmtId="0" fontId="12" fillId="3" borderId="12" xfId="0" applyFont="1" applyFill="1" applyBorder="1" applyAlignment="1" applyProtection="1">
      <alignment horizontal="centerContinuous"/>
      <protection hidden="1"/>
    </xf>
    <xf numFmtId="0" fontId="23" fillId="3" borderId="0" xfId="0" applyFont="1" applyFill="1" applyBorder="1" applyAlignment="1" applyProtection="1">
      <alignment horizontal="centerContinuous"/>
      <protection hidden="1"/>
    </xf>
    <xf numFmtId="0" fontId="23" fillId="3" borderId="8" xfId="0" applyFont="1" applyFill="1" applyBorder="1" applyAlignment="1" applyProtection="1">
      <alignment horizontal="centerContinuous"/>
      <protection hidden="1"/>
    </xf>
    <xf numFmtId="0" fontId="23" fillId="3" borderId="10" xfId="0" applyFont="1" applyFill="1" applyBorder="1" applyAlignment="1" applyProtection="1">
      <alignment horizontal="centerContinuous"/>
      <protection hidden="1"/>
    </xf>
    <xf numFmtId="0" fontId="23" fillId="3" borderId="11" xfId="0" applyFont="1" applyFill="1" applyBorder="1" applyAlignment="1" applyProtection="1">
      <alignment horizontal="centerContinuous"/>
      <protection hidden="1"/>
    </xf>
    <xf numFmtId="0" fontId="6" fillId="2" borderId="0" xfId="0" applyFont="1" applyFill="1" applyBorder="1" applyAlignment="1" applyProtection="1">
      <protection locked="0"/>
    </xf>
    <xf numFmtId="0" fontId="32" fillId="2" borderId="0" xfId="0" applyFont="1" applyFill="1" applyBorder="1" applyAlignment="1" applyProtection="1">
      <protection hidden="1"/>
    </xf>
    <xf numFmtId="0" fontId="32" fillId="2" borderId="8" xfId="0" applyFont="1" applyFill="1" applyBorder="1" applyProtection="1">
      <protection hidden="1"/>
    </xf>
    <xf numFmtId="0" fontId="9" fillId="2" borderId="7" xfId="0" applyFont="1" applyFill="1" applyBorder="1" applyProtection="1">
      <protection hidden="1"/>
    </xf>
    <xf numFmtId="0" fontId="12" fillId="2" borderId="7" xfId="0" applyFont="1" applyFill="1" applyBorder="1" applyAlignment="1" applyProtection="1">
      <alignment horizontal="left"/>
      <protection hidden="1"/>
    </xf>
    <xf numFmtId="0" fontId="6" fillId="2" borderId="8" xfId="0" applyFont="1" applyFill="1" applyBorder="1" applyProtection="1">
      <protection hidden="1"/>
    </xf>
    <xf numFmtId="166" fontId="9" fillId="2" borderId="7" xfId="0" applyNumberFormat="1" applyFont="1" applyFill="1" applyBorder="1" applyAlignment="1" applyProtection="1">
      <alignment horizontal="right"/>
      <protection hidden="1"/>
    </xf>
    <xf numFmtId="166" fontId="32" fillId="2" borderId="8" xfId="0" applyNumberFormat="1" applyFont="1" applyFill="1" applyBorder="1" applyAlignment="1" applyProtection="1">
      <alignment horizontal="left"/>
      <protection hidden="1"/>
    </xf>
    <xf numFmtId="166" fontId="9" fillId="2" borderId="10" xfId="0" applyNumberFormat="1" applyFont="1" applyFill="1" applyBorder="1" applyAlignment="1" applyProtection="1">
      <alignment horizontal="center"/>
      <protection hidden="1"/>
    </xf>
    <xf numFmtId="0" fontId="18" fillId="2" borderId="8" xfId="0" applyFont="1" applyFill="1" applyBorder="1" applyAlignment="1" applyProtection="1">
      <protection hidden="1"/>
    </xf>
    <xf numFmtId="0" fontId="0" fillId="2" borderId="9" xfId="0" applyFill="1" applyBorder="1" applyAlignment="1" applyProtection="1">
      <alignment horizontal="centerContinuous"/>
      <protection hidden="1"/>
    </xf>
    <xf numFmtId="0" fontId="0" fillId="2" borderId="10" xfId="0" applyFill="1" applyBorder="1" applyAlignment="1" applyProtection="1">
      <alignment horizontal="centerContinuous"/>
      <protection hidden="1"/>
    </xf>
    <xf numFmtId="0" fontId="6" fillId="0" borderId="17" xfId="0" applyFont="1" applyFill="1" applyBorder="1" applyAlignment="1" applyProtection="1">
      <alignment horizontal="centerContinuous"/>
      <protection hidden="1"/>
    </xf>
    <xf numFmtId="0" fontId="6" fillId="0" borderId="18" xfId="0" applyFont="1" applyFill="1" applyBorder="1" applyAlignment="1" applyProtection="1">
      <alignment horizontal="centerContinuous"/>
      <protection hidden="1"/>
    </xf>
    <xf numFmtId="0" fontId="0" fillId="0" borderId="18" xfId="0" applyFill="1" applyBorder="1" applyAlignment="1" applyProtection="1">
      <alignment horizontal="centerContinuous"/>
      <protection hidden="1"/>
    </xf>
    <xf numFmtId="0" fontId="6" fillId="0" borderId="19" xfId="0" applyFont="1" applyFill="1" applyBorder="1" applyAlignment="1" applyProtection="1">
      <alignment horizontal="centerContinuous"/>
      <protection hidden="1"/>
    </xf>
    <xf numFmtId="0" fontId="6" fillId="0" borderId="20" xfId="0" applyFont="1" applyFill="1" applyBorder="1" applyAlignment="1" applyProtection="1">
      <alignment horizontal="centerContinuous"/>
      <protection hidden="1"/>
    </xf>
    <xf numFmtId="0" fontId="6" fillId="0" borderId="21" xfId="0" applyFont="1" applyFill="1" applyBorder="1" applyAlignment="1" applyProtection="1">
      <alignment horizontal="centerContinuous"/>
      <protection hidden="1"/>
    </xf>
    <xf numFmtId="0" fontId="0" fillId="0" borderId="21" xfId="0" applyFill="1" applyBorder="1" applyAlignment="1" applyProtection="1">
      <alignment horizontal="centerContinuous"/>
      <protection hidden="1"/>
    </xf>
    <xf numFmtId="0" fontId="6" fillId="0" borderId="22" xfId="0" applyFont="1" applyFill="1" applyBorder="1" applyAlignment="1" applyProtection="1">
      <alignment horizontal="centerContinuous"/>
      <protection hidden="1"/>
    </xf>
    <xf numFmtId="0" fontId="6" fillId="0" borderId="24" xfId="0" applyFont="1" applyFill="1" applyBorder="1" applyAlignment="1" applyProtection="1">
      <alignment horizontal="centerContinuous"/>
      <protection hidden="1"/>
    </xf>
    <xf numFmtId="0" fontId="6" fillId="0" borderId="25" xfId="0" applyFont="1" applyFill="1" applyBorder="1" applyAlignment="1" applyProtection="1">
      <alignment horizontal="centerContinuous"/>
      <protection hidden="1"/>
    </xf>
    <xf numFmtId="0" fontId="0" fillId="0" borderId="25" xfId="0" applyFill="1" applyBorder="1" applyAlignment="1" applyProtection="1">
      <alignment horizontal="centerContinuous"/>
      <protection hidden="1"/>
    </xf>
    <xf numFmtId="0" fontId="6" fillId="0" borderId="23" xfId="0" applyFont="1" applyFill="1" applyBorder="1" applyAlignment="1" applyProtection="1">
      <alignment horizontal="centerContinuous"/>
      <protection hidden="1"/>
    </xf>
    <xf numFmtId="0" fontId="6" fillId="0" borderId="40" xfId="0" quotePrefix="1" applyFont="1" applyFill="1" applyBorder="1" applyAlignment="1" applyProtection="1">
      <alignment horizontal="centerContinuous"/>
      <protection hidden="1"/>
    </xf>
    <xf numFmtId="0" fontId="6" fillId="0" borderId="41" xfId="0" quotePrefix="1" applyFont="1" applyFill="1" applyBorder="1" applyAlignment="1" applyProtection="1">
      <alignment horizontal="centerContinuous"/>
      <protection hidden="1"/>
    </xf>
    <xf numFmtId="0" fontId="6" fillId="0" borderId="42" xfId="0" quotePrefix="1" applyFont="1" applyFill="1" applyBorder="1" applyAlignment="1" applyProtection="1">
      <alignment horizontal="centerContinuous"/>
      <protection hidden="1"/>
    </xf>
    <xf numFmtId="0" fontId="6" fillId="0" borderId="17" xfId="0" quotePrefix="1" applyFont="1" applyFill="1" applyBorder="1" applyAlignment="1" applyProtection="1">
      <alignment horizontal="centerContinuous"/>
      <protection hidden="1"/>
    </xf>
    <xf numFmtId="0" fontId="6" fillId="0" borderId="20" xfId="0" quotePrefix="1" applyFont="1" applyFill="1" applyBorder="1" applyAlignment="1" applyProtection="1">
      <alignment horizontal="centerContinuous"/>
      <protection hidden="1"/>
    </xf>
    <xf numFmtId="0" fontId="6" fillId="0" borderId="24" xfId="0" quotePrefix="1" applyFont="1" applyFill="1" applyBorder="1" applyAlignment="1" applyProtection="1">
      <alignment horizontal="centerContinuous"/>
      <protection hidden="1"/>
    </xf>
    <xf numFmtId="0" fontId="6" fillId="0" borderId="40" xfId="0" applyFont="1" applyFill="1" applyBorder="1" applyAlignment="1" applyProtection="1">
      <alignment horizontal="centerContinuous"/>
      <protection hidden="1"/>
    </xf>
    <xf numFmtId="0" fontId="6" fillId="0" borderId="41" xfId="0" applyFont="1" applyFill="1" applyBorder="1" applyAlignment="1" applyProtection="1">
      <alignment horizontal="centerContinuous"/>
      <protection hidden="1"/>
    </xf>
    <xf numFmtId="0" fontId="6" fillId="0" borderId="42" xfId="0" applyFont="1" applyFill="1" applyBorder="1" applyAlignment="1" applyProtection="1">
      <alignment horizontal="centerContinuous"/>
      <protection hidden="1"/>
    </xf>
    <xf numFmtId="0" fontId="0" fillId="0" borderId="19" xfId="0" applyFill="1" applyBorder="1" applyAlignment="1" applyProtection="1">
      <alignment horizontal="centerContinuous"/>
      <protection hidden="1"/>
    </xf>
    <xf numFmtId="0" fontId="0" fillId="0" borderId="22" xfId="0" applyFill="1" applyBorder="1" applyAlignment="1" applyProtection="1">
      <alignment horizontal="centerContinuous"/>
      <protection hidden="1"/>
    </xf>
    <xf numFmtId="0" fontId="0" fillId="0" borderId="23" xfId="0" applyFill="1" applyBorder="1" applyAlignment="1" applyProtection="1">
      <alignment horizontal="centerContinuous"/>
      <protection hidden="1"/>
    </xf>
    <xf numFmtId="0" fontId="6" fillId="0" borderId="26" xfId="0" quotePrefix="1" applyFont="1" applyFill="1" applyBorder="1" applyAlignment="1" applyProtection="1">
      <alignment horizontal="center"/>
      <protection hidden="1"/>
    </xf>
    <xf numFmtId="0" fontId="6" fillId="0" borderId="27" xfId="0" quotePrefix="1" applyFont="1" applyFill="1" applyBorder="1" applyAlignment="1" applyProtection="1">
      <alignment horizontal="center"/>
      <protection hidden="1"/>
    </xf>
    <xf numFmtId="16" fontId="6" fillId="0" borderId="27" xfId="0" quotePrefix="1" applyNumberFormat="1" applyFont="1" applyFill="1" applyBorder="1" applyAlignment="1" applyProtection="1">
      <alignment horizontal="center"/>
      <protection hidden="1"/>
    </xf>
    <xf numFmtId="0" fontId="6" fillId="0" borderId="28" xfId="0" quotePrefix="1" applyFont="1" applyFill="1" applyBorder="1" applyAlignment="1" applyProtection="1">
      <alignment horizontal="center"/>
      <protection hidden="1"/>
    </xf>
    <xf numFmtId="0" fontId="6" fillId="0" borderId="33" xfId="0" quotePrefix="1" applyFont="1" applyFill="1" applyBorder="1" applyAlignment="1" applyProtection="1">
      <alignment horizontal="center"/>
      <protection hidden="1"/>
    </xf>
    <xf numFmtId="0" fontId="6" fillId="0" borderId="35" xfId="0" quotePrefix="1" applyFont="1" applyFill="1" applyBorder="1" applyAlignment="1" applyProtection="1">
      <alignment horizontal="center"/>
      <protection hidden="1"/>
    </xf>
    <xf numFmtId="0" fontId="6" fillId="0" borderId="36" xfId="0" quotePrefix="1" applyFont="1" applyFill="1" applyBorder="1" applyAlignment="1" applyProtection="1">
      <alignment horizontal="center"/>
      <protection hidden="1"/>
    </xf>
    <xf numFmtId="0" fontId="37" fillId="2" borderId="7" xfId="0" applyFont="1" applyFill="1" applyBorder="1" applyProtection="1">
      <protection hidden="1"/>
    </xf>
    <xf numFmtId="49" fontId="6" fillId="2" borderId="16" xfId="0" applyNumberFormat="1" applyFont="1" applyFill="1" applyBorder="1" applyAlignment="1" applyProtection="1">
      <protection locked="0"/>
    </xf>
    <xf numFmtId="0" fontId="9" fillId="2" borderId="8" xfId="0" applyFont="1" applyFill="1" applyBorder="1" applyAlignment="1" applyProtection="1">
      <protection hidden="1"/>
    </xf>
    <xf numFmtId="0" fontId="16" fillId="2" borderId="8" xfId="0" applyFont="1" applyFill="1" applyBorder="1" applyAlignment="1" applyProtection="1">
      <protection hidden="1"/>
    </xf>
    <xf numFmtId="0" fontId="6" fillId="2" borderId="8" xfId="0" applyFont="1" applyFill="1" applyBorder="1" applyAlignment="1" applyProtection="1">
      <protection locked="0"/>
    </xf>
    <xf numFmtId="166" fontId="27" fillId="2" borderId="8" xfId="0" applyNumberFormat="1" applyFont="1" applyFill="1" applyBorder="1" applyAlignment="1" applyProtection="1">
      <protection hidden="1"/>
    </xf>
    <xf numFmtId="0" fontId="6" fillId="2" borderId="8" xfId="0" applyFont="1" applyFill="1" applyBorder="1" applyAlignment="1" applyProtection="1">
      <protection hidden="1"/>
    </xf>
    <xf numFmtId="14" fontId="6" fillId="2" borderId="12" xfId="0" applyNumberFormat="1" applyFont="1" applyFill="1" applyBorder="1" applyAlignment="1" applyProtection="1">
      <protection locked="0"/>
    </xf>
    <xf numFmtId="0" fontId="7" fillId="2" borderId="8" xfId="0" applyFont="1" applyFill="1" applyBorder="1" applyAlignment="1" applyProtection="1">
      <protection hidden="1"/>
    </xf>
    <xf numFmtId="0" fontId="44" fillId="2" borderId="8" xfId="0" applyFont="1" applyFill="1" applyBorder="1" applyAlignment="1" applyProtection="1">
      <protection hidden="1"/>
    </xf>
    <xf numFmtId="0" fontId="6" fillId="2" borderId="0" xfId="0" applyFont="1" applyFill="1" applyBorder="1" applyAlignment="1" applyProtection="1">
      <alignment horizontal="left"/>
      <protection locked="0"/>
    </xf>
    <xf numFmtId="0" fontId="6" fillId="2" borderId="0" xfId="0" applyFont="1" applyFill="1" applyBorder="1" applyAlignment="1" applyProtection="1">
      <alignment horizontal="right"/>
      <protection locked="0"/>
    </xf>
    <xf numFmtId="0" fontId="6" fillId="2" borderId="0" xfId="0" applyFont="1" applyFill="1" applyAlignment="1" applyProtection="1">
      <alignment horizontal="left"/>
      <protection hidden="1"/>
    </xf>
    <xf numFmtId="0" fontId="34" fillId="2" borderId="0" xfId="0" applyFont="1" applyFill="1" applyAlignment="1" applyProtection="1">
      <alignment horizontal="left"/>
      <protection hidden="1"/>
    </xf>
    <xf numFmtId="166" fontId="32" fillId="4" borderId="26" xfId="0" applyNumberFormat="1" applyFont="1" applyFill="1" applyBorder="1" applyAlignment="1" applyProtection="1">
      <alignment horizontal="center"/>
      <protection hidden="1"/>
    </xf>
    <xf numFmtId="166" fontId="32" fillId="4" borderId="31" xfId="0" applyNumberFormat="1" applyFont="1" applyFill="1" applyBorder="1" applyAlignment="1" applyProtection="1">
      <alignment horizontal="center"/>
      <protection hidden="1"/>
    </xf>
    <xf numFmtId="166" fontId="32" fillId="4" borderId="33" xfId="0" applyNumberFormat="1" applyFont="1" applyFill="1" applyBorder="1" applyAlignment="1" applyProtection="1">
      <alignment horizontal="center"/>
      <protection hidden="1"/>
    </xf>
    <xf numFmtId="166" fontId="32" fillId="4" borderId="27" xfId="0" applyNumberFormat="1" applyFont="1" applyFill="1" applyBorder="1" applyAlignment="1" applyProtection="1">
      <alignment horizontal="center"/>
      <protection hidden="1"/>
    </xf>
    <xf numFmtId="166" fontId="32" fillId="4" borderId="34" xfId="0" applyNumberFormat="1" applyFont="1" applyFill="1" applyBorder="1" applyAlignment="1" applyProtection="1">
      <alignment horizontal="center"/>
      <protection hidden="1"/>
    </xf>
    <xf numFmtId="166" fontId="32" fillId="4" borderId="35" xfId="0" applyNumberFormat="1" applyFont="1" applyFill="1" applyBorder="1" applyAlignment="1" applyProtection="1">
      <alignment horizontal="center"/>
      <protection hidden="1"/>
    </xf>
    <xf numFmtId="166" fontId="32" fillId="4" borderId="28" xfId="0" applyNumberFormat="1" applyFont="1" applyFill="1" applyBorder="1" applyAlignment="1" applyProtection="1">
      <alignment horizontal="center"/>
      <protection hidden="1"/>
    </xf>
    <xf numFmtId="166" fontId="32" fillId="4" borderId="32" xfId="0" applyNumberFormat="1" applyFont="1" applyFill="1" applyBorder="1" applyAlignment="1" applyProtection="1">
      <alignment horizontal="center"/>
      <protection hidden="1"/>
    </xf>
    <xf numFmtId="166" fontId="32" fillId="4" borderId="36" xfId="0" applyNumberFormat="1" applyFont="1" applyFill="1" applyBorder="1" applyAlignment="1" applyProtection="1">
      <alignment horizontal="center"/>
      <protection hidden="1"/>
    </xf>
    <xf numFmtId="0" fontId="54" fillId="2" borderId="0" xfId="0" applyFont="1" applyFill="1" applyProtection="1">
      <protection hidden="1"/>
    </xf>
    <xf numFmtId="0" fontId="34" fillId="2" borderId="0" xfId="0" applyFont="1" applyFill="1" applyBorder="1" applyAlignment="1" applyProtection="1">
      <protection hidden="1"/>
    </xf>
    <xf numFmtId="0" fontId="54" fillId="2" borderId="0" xfId="0" applyFont="1" applyFill="1" applyAlignment="1" applyProtection="1">
      <protection hidden="1"/>
    </xf>
    <xf numFmtId="0" fontId="54" fillId="2" borderId="0" xfId="0" applyFont="1" applyFill="1" applyBorder="1" applyProtection="1">
      <protection hidden="1"/>
    </xf>
    <xf numFmtId="0" fontId="26" fillId="2" borderId="0" xfId="0" applyFont="1" applyFill="1" applyProtection="1">
      <protection hidden="1"/>
    </xf>
    <xf numFmtId="0" fontId="26" fillId="2" borderId="15" xfId="0" applyFont="1" applyFill="1" applyBorder="1" applyAlignment="1" applyProtection="1">
      <alignment horizontal="centerContinuous"/>
      <protection hidden="1"/>
    </xf>
    <xf numFmtId="0" fontId="26" fillId="2" borderId="13" xfId="0" applyFont="1" applyFill="1" applyBorder="1" applyAlignment="1" applyProtection="1">
      <alignment horizontal="centerContinuous"/>
      <protection hidden="1"/>
    </xf>
    <xf numFmtId="0" fontId="26" fillId="2" borderId="14" xfId="0" applyFont="1" applyFill="1" applyBorder="1" applyAlignment="1" applyProtection="1">
      <alignment horizontal="centerContinuous"/>
      <protection hidden="1"/>
    </xf>
    <xf numFmtId="0" fontId="26" fillId="2" borderId="16" xfId="0" applyNumberFormat="1" applyFont="1" applyFill="1" applyBorder="1" applyAlignment="1">
      <alignment horizontal="center"/>
    </xf>
    <xf numFmtId="0" fontId="26" fillId="2" borderId="26" xfId="0" applyNumberFormat="1" applyFont="1" applyFill="1" applyBorder="1" applyAlignment="1">
      <alignment horizontal="center"/>
    </xf>
    <xf numFmtId="164" fontId="26" fillId="2" borderId="18" xfId="0" applyNumberFormat="1" applyFont="1" applyFill="1" applyBorder="1" applyAlignment="1">
      <alignment horizontal="center"/>
    </xf>
    <xf numFmtId="2" fontId="26" fillId="2" borderId="18" xfId="0" applyNumberFormat="1" applyFont="1" applyFill="1" applyBorder="1" applyAlignment="1">
      <alignment horizontal="center"/>
    </xf>
    <xf numFmtId="2" fontId="26" fillId="2" borderId="19" xfId="0" applyNumberFormat="1" applyFont="1" applyFill="1" applyBorder="1" applyAlignment="1">
      <alignment horizontal="center"/>
    </xf>
    <xf numFmtId="0" fontId="26" fillId="2" borderId="27" xfId="0" applyNumberFormat="1" applyFont="1" applyFill="1" applyBorder="1" applyAlignment="1">
      <alignment horizontal="center"/>
    </xf>
    <xf numFmtId="164" fontId="26" fillId="2" borderId="21" xfId="0" applyNumberFormat="1" applyFont="1" applyFill="1" applyBorder="1" applyAlignment="1">
      <alignment horizontal="center"/>
    </xf>
    <xf numFmtId="166" fontId="26" fillId="2" borderId="21" xfId="0" applyNumberFormat="1" applyFont="1" applyFill="1" applyBorder="1" applyAlignment="1">
      <alignment horizontal="center"/>
    </xf>
    <xf numFmtId="2" fontId="26" fillId="2" borderId="22" xfId="0" applyNumberFormat="1" applyFont="1" applyFill="1" applyBorder="1" applyAlignment="1">
      <alignment horizontal="center"/>
    </xf>
    <xf numFmtId="2" fontId="26" fillId="2" borderId="21" xfId="0" applyNumberFormat="1" applyFont="1" applyFill="1" applyBorder="1" applyAlignment="1">
      <alignment horizontal="center"/>
    </xf>
    <xf numFmtId="166" fontId="26" fillId="2" borderId="22" xfId="0" applyNumberFormat="1" applyFont="1" applyFill="1" applyBorder="1" applyAlignment="1">
      <alignment horizontal="center"/>
    </xf>
    <xf numFmtId="0" fontId="26" fillId="2" borderId="28" xfId="0" applyNumberFormat="1" applyFont="1" applyFill="1" applyBorder="1" applyAlignment="1">
      <alignment horizontal="center"/>
    </xf>
    <xf numFmtId="2" fontId="26" fillId="2" borderId="25" xfId="0" applyNumberFormat="1" applyFont="1" applyFill="1" applyBorder="1" applyAlignment="1">
      <alignment horizontal="center"/>
    </xf>
    <xf numFmtId="166" fontId="26" fillId="2" borderId="25" xfId="0" applyNumberFormat="1" applyFont="1" applyFill="1" applyBorder="1" applyAlignment="1">
      <alignment horizontal="center"/>
    </xf>
    <xf numFmtId="166" fontId="26" fillId="2" borderId="23" xfId="0" applyNumberFormat="1" applyFont="1" applyFill="1" applyBorder="1" applyAlignment="1">
      <alignment horizontal="center"/>
    </xf>
    <xf numFmtId="0" fontId="26" fillId="2" borderId="43" xfId="0" applyNumberFormat="1" applyFont="1" applyFill="1" applyBorder="1" applyAlignment="1">
      <alignment horizontal="center"/>
    </xf>
    <xf numFmtId="164" fontId="26" fillId="2" borderId="44" xfId="0" applyNumberFormat="1" applyFont="1" applyFill="1" applyBorder="1" applyAlignment="1">
      <alignment horizontal="center"/>
    </xf>
    <xf numFmtId="166" fontId="26" fillId="2" borderId="44" xfId="0" applyNumberFormat="1" applyFont="1" applyFill="1" applyBorder="1" applyAlignment="1">
      <alignment horizontal="center"/>
    </xf>
    <xf numFmtId="2" fontId="26" fillId="2" borderId="44" xfId="0" applyNumberFormat="1" applyFont="1" applyFill="1" applyBorder="1" applyAlignment="1">
      <alignment horizontal="center"/>
    </xf>
    <xf numFmtId="166" fontId="26" fillId="2" borderId="45" xfId="0" applyNumberFormat="1" applyFont="1" applyFill="1" applyBorder="1" applyAlignment="1">
      <alignment horizontal="center"/>
    </xf>
    <xf numFmtId="165" fontId="26" fillId="2" borderId="21" xfId="0" applyNumberFormat="1" applyFont="1" applyFill="1" applyBorder="1" applyAlignment="1">
      <alignment horizontal="center"/>
    </xf>
    <xf numFmtId="165" fontId="26" fillId="2" borderId="25" xfId="0" applyNumberFormat="1" applyFont="1" applyFill="1" applyBorder="1" applyAlignment="1">
      <alignment horizontal="center"/>
    </xf>
    <xf numFmtId="2" fontId="26" fillId="2" borderId="45" xfId="0" applyNumberFormat="1" applyFont="1" applyFill="1" applyBorder="1" applyAlignment="1">
      <alignment horizontal="center"/>
    </xf>
    <xf numFmtId="166" fontId="26" fillId="2" borderId="18" xfId="0" applyNumberFormat="1" applyFont="1" applyFill="1" applyBorder="1" applyAlignment="1">
      <alignment horizontal="center"/>
    </xf>
    <xf numFmtId="166" fontId="26" fillId="2" borderId="19" xfId="0" applyNumberFormat="1" applyFont="1" applyFill="1" applyBorder="1" applyAlignment="1">
      <alignment horizontal="center"/>
    </xf>
    <xf numFmtId="2" fontId="26" fillId="2" borderId="0" xfId="0" applyNumberFormat="1" applyFont="1" applyFill="1" applyBorder="1" applyAlignment="1" applyProtection="1">
      <alignment horizontal="center"/>
      <protection hidden="1"/>
    </xf>
    <xf numFmtId="2" fontId="26" fillId="2" borderId="0" xfId="0" applyNumberFormat="1" applyFont="1" applyFill="1" applyAlignment="1" applyProtection="1">
      <alignment horizontal="center"/>
      <protection hidden="1"/>
    </xf>
    <xf numFmtId="0" fontId="26" fillId="2" borderId="19" xfId="0" applyNumberFormat="1" applyFont="1" applyFill="1" applyBorder="1" applyAlignment="1">
      <alignment horizontal="center"/>
    </xf>
    <xf numFmtId="0" fontId="26" fillId="2" borderId="22" xfId="0" applyNumberFormat="1" applyFont="1" applyFill="1" applyBorder="1" applyAlignment="1">
      <alignment horizontal="center"/>
    </xf>
    <xf numFmtId="0" fontId="26" fillId="2" borderId="23" xfId="0" applyNumberFormat="1" applyFont="1" applyFill="1" applyBorder="1" applyAlignment="1">
      <alignment horizontal="center"/>
    </xf>
    <xf numFmtId="0" fontId="26" fillId="2" borderId="2" xfId="0" applyNumberFormat="1" applyFont="1" applyFill="1" applyBorder="1" applyAlignment="1">
      <alignment horizontal="center"/>
    </xf>
    <xf numFmtId="0" fontId="26" fillId="2" borderId="18" xfId="0" applyNumberFormat="1" applyFont="1" applyFill="1" applyBorder="1" applyAlignment="1">
      <alignment horizontal="center"/>
    </xf>
    <xf numFmtId="0" fontId="26" fillId="2" borderId="21" xfId="0" applyNumberFormat="1" applyFont="1" applyFill="1" applyBorder="1" applyAlignment="1">
      <alignment horizontal="center"/>
    </xf>
    <xf numFmtId="0" fontId="26" fillId="2" borderId="27" xfId="0" applyNumberFormat="1" applyFont="1" applyFill="1" applyBorder="1" applyAlignment="1" applyProtection="1">
      <alignment horizontal="center"/>
      <protection locked="0"/>
    </xf>
    <xf numFmtId="0" fontId="26" fillId="2" borderId="25" xfId="0" applyNumberFormat="1" applyFont="1" applyFill="1" applyBorder="1" applyAlignment="1">
      <alignment horizontal="center"/>
    </xf>
    <xf numFmtId="165" fontId="32" fillId="2" borderId="4" xfId="0" applyNumberFormat="1" applyFont="1" applyFill="1" applyBorder="1" applyAlignment="1" applyProtection="1">
      <alignment horizontal="center"/>
      <protection hidden="1"/>
    </xf>
    <xf numFmtId="0" fontId="26" fillId="4" borderId="16" xfId="0" applyFont="1" applyFill="1" applyBorder="1" applyAlignment="1" applyProtection="1">
      <alignment horizontal="center"/>
      <protection locked="0"/>
    </xf>
    <xf numFmtId="165" fontId="32" fillId="2" borderId="26" xfId="0" applyNumberFormat="1" applyFont="1" applyFill="1" applyBorder="1" applyAlignment="1" applyProtection="1">
      <alignment horizontal="center"/>
      <protection hidden="1"/>
    </xf>
    <xf numFmtId="165" fontId="32" fillId="2" borderId="27" xfId="0" applyNumberFormat="1" applyFont="1" applyFill="1" applyBorder="1" applyAlignment="1" applyProtection="1">
      <alignment horizontal="center"/>
      <protection hidden="1"/>
    </xf>
    <xf numFmtId="165" fontId="32" fillId="2" borderId="28" xfId="0" applyNumberFormat="1" applyFont="1" applyFill="1" applyBorder="1" applyAlignment="1" applyProtection="1">
      <alignment horizontal="center"/>
      <protection hidden="1"/>
    </xf>
    <xf numFmtId="0" fontId="26" fillId="2" borderId="0" xfId="0" applyFont="1" applyFill="1" applyBorder="1" applyAlignment="1" applyProtection="1">
      <alignment horizontal="right"/>
      <protection hidden="1"/>
    </xf>
  </cellXfs>
  <cellStyles count="8">
    <cellStyle name="Comma0" xfId="1"/>
    <cellStyle name="Currency0" xfId="2"/>
    <cellStyle name="Date" xfId="3"/>
    <cellStyle name="Fixed" xfId="4"/>
    <cellStyle name="Heading 1" xfId="5" builtinId="16" customBuiltin="1"/>
    <cellStyle name="Heading 2" xfId="6" builtinId="17" customBuiltin="1"/>
    <cellStyle name="Normal" xfId="0" builtinId="0"/>
    <cellStyle name="Total" xfId="7" builtinId="25" customBuiltin="1"/>
  </cellStyles>
  <dxfs count="1">
    <dxf>
      <font>
        <b/>
        <i val="0"/>
        <condense val="0"/>
        <extend val="0"/>
        <color indexed="10"/>
      </font>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909090909090908"/>
          <c:y val="3.7854889589905363E-2"/>
          <c:w val="0.80363636363636359"/>
          <c:h val="0.8422712933753943"/>
        </c:manualLayout>
      </c:layout>
      <c:scatterChart>
        <c:scatterStyle val="lineMarker"/>
        <c:varyColors val="0"/>
        <c:ser>
          <c:idx val="0"/>
          <c:order val="0"/>
          <c:tx>
            <c:v>Weld #1</c:v>
          </c:tx>
          <c:spPr>
            <a:ln w="38100">
              <a:solidFill>
                <a:srgbClr val="FF0000"/>
              </a:solidFill>
              <a:prstDash val="solid"/>
            </a:ln>
          </c:spPr>
          <c:marker>
            <c:symbol val="none"/>
          </c:marker>
          <c:xVal>
            <c:numRef>
              <c:f>('Weld Group (elastic)'!$B$13,'Weld Group (elastic)'!$D$13)</c:f>
              <c:numCache>
                <c:formatCode>0.000</c:formatCode>
                <c:ptCount val="2"/>
                <c:pt idx="0">
                  <c:v>0</c:v>
                </c:pt>
                <c:pt idx="1">
                  <c:v>5</c:v>
                </c:pt>
              </c:numCache>
            </c:numRef>
          </c:xVal>
          <c:yVal>
            <c:numRef>
              <c:f>('Weld Group (elastic)'!$C$13,'Weld Group (elastic)'!$E$13)</c:f>
              <c:numCache>
                <c:formatCode>0.000</c:formatCode>
                <c:ptCount val="2"/>
                <c:pt idx="0">
                  <c:v>0</c:v>
                </c:pt>
                <c:pt idx="1">
                  <c:v>0</c:v>
                </c:pt>
              </c:numCache>
            </c:numRef>
          </c:yVal>
          <c:smooth val="0"/>
        </c:ser>
        <c:ser>
          <c:idx val="1"/>
          <c:order val="1"/>
          <c:tx>
            <c:v>Weld #2</c:v>
          </c:tx>
          <c:spPr>
            <a:ln w="38100">
              <a:solidFill>
                <a:srgbClr val="FF0000"/>
              </a:solidFill>
              <a:prstDash val="solid"/>
            </a:ln>
          </c:spPr>
          <c:marker>
            <c:symbol val="none"/>
          </c:marker>
          <c:xVal>
            <c:numRef>
              <c:f>('Weld Group (elastic)'!$B$14,'Weld Group (elastic)'!$D$14)</c:f>
              <c:numCache>
                <c:formatCode>0.000</c:formatCode>
                <c:ptCount val="2"/>
                <c:pt idx="0">
                  <c:v>0</c:v>
                </c:pt>
                <c:pt idx="1">
                  <c:v>5</c:v>
                </c:pt>
              </c:numCache>
            </c:numRef>
          </c:xVal>
          <c:yVal>
            <c:numRef>
              <c:f>('Weld Group (elastic)'!$C$14,'Weld Group (elastic)'!$E$14)</c:f>
              <c:numCache>
                <c:formatCode>0.000</c:formatCode>
                <c:ptCount val="2"/>
                <c:pt idx="0">
                  <c:v>5</c:v>
                </c:pt>
                <c:pt idx="1">
                  <c:v>5</c:v>
                </c:pt>
              </c:numCache>
            </c:numRef>
          </c:yVal>
          <c:smooth val="0"/>
        </c:ser>
        <c:ser>
          <c:idx val="2"/>
          <c:order val="2"/>
          <c:tx>
            <c:v>Weld #3</c:v>
          </c:tx>
          <c:spPr>
            <a:ln w="38100">
              <a:solidFill>
                <a:srgbClr val="FF0000"/>
              </a:solidFill>
              <a:prstDash val="solid"/>
            </a:ln>
          </c:spPr>
          <c:marker>
            <c:symbol val="none"/>
          </c:marker>
          <c:xVal>
            <c:numRef>
              <c:f>('Weld Group (elastic)'!$B$15,'Weld Group (elastic)'!$D$15)</c:f>
              <c:numCache>
                <c:formatCode>0.000</c:formatCode>
                <c:ptCount val="2"/>
              </c:numCache>
            </c:numRef>
          </c:xVal>
          <c:yVal>
            <c:numRef>
              <c:f>('Weld Group (elastic)'!$C$15,'Weld Group (elastic)'!$E$15)</c:f>
              <c:numCache>
                <c:formatCode>0.000</c:formatCode>
                <c:ptCount val="2"/>
              </c:numCache>
            </c:numRef>
          </c:yVal>
          <c:smooth val="0"/>
        </c:ser>
        <c:ser>
          <c:idx val="3"/>
          <c:order val="3"/>
          <c:tx>
            <c:v>Weld #4</c:v>
          </c:tx>
          <c:spPr>
            <a:ln w="38100">
              <a:solidFill>
                <a:srgbClr val="FF0000"/>
              </a:solidFill>
              <a:prstDash val="solid"/>
            </a:ln>
          </c:spPr>
          <c:marker>
            <c:symbol val="none"/>
          </c:marker>
          <c:xVal>
            <c:numRef>
              <c:f>('Weld Group (elastic)'!$B$16,'Weld Group (elastic)'!$D$16)</c:f>
              <c:numCache>
                <c:formatCode>0.000</c:formatCode>
                <c:ptCount val="2"/>
              </c:numCache>
            </c:numRef>
          </c:xVal>
          <c:yVal>
            <c:numRef>
              <c:f>('Weld Group (elastic)'!$C$16,'Weld Group (elastic)'!$E$16)</c:f>
              <c:numCache>
                <c:formatCode>0.000</c:formatCode>
                <c:ptCount val="2"/>
              </c:numCache>
            </c:numRef>
          </c:yVal>
          <c:smooth val="0"/>
        </c:ser>
        <c:ser>
          <c:idx val="4"/>
          <c:order val="4"/>
          <c:tx>
            <c:v>Weld #5</c:v>
          </c:tx>
          <c:spPr>
            <a:ln w="38100">
              <a:solidFill>
                <a:srgbClr val="FF0000"/>
              </a:solidFill>
              <a:prstDash val="solid"/>
            </a:ln>
          </c:spPr>
          <c:marker>
            <c:symbol val="none"/>
          </c:marker>
          <c:xVal>
            <c:numRef>
              <c:f>('Weld Group (elastic)'!$B$17,'Weld Group (elastic)'!$D$17)</c:f>
              <c:numCache>
                <c:formatCode>0.000</c:formatCode>
                <c:ptCount val="2"/>
              </c:numCache>
            </c:numRef>
          </c:xVal>
          <c:yVal>
            <c:numRef>
              <c:f>('Weld Group (elastic)'!$C$17,'Weld Group (elastic)'!$E$17)</c:f>
              <c:numCache>
                <c:formatCode>0.000</c:formatCode>
                <c:ptCount val="2"/>
              </c:numCache>
            </c:numRef>
          </c:yVal>
          <c:smooth val="0"/>
        </c:ser>
        <c:ser>
          <c:idx val="5"/>
          <c:order val="5"/>
          <c:tx>
            <c:v>Weld #6</c:v>
          </c:tx>
          <c:spPr>
            <a:ln w="38100">
              <a:solidFill>
                <a:srgbClr val="FF0000"/>
              </a:solidFill>
              <a:prstDash val="solid"/>
            </a:ln>
          </c:spPr>
          <c:marker>
            <c:symbol val="none"/>
          </c:marker>
          <c:xVal>
            <c:numRef>
              <c:f>('Weld Group (elastic)'!$B$18,'Weld Group (elastic)'!$D$18)</c:f>
              <c:numCache>
                <c:formatCode>0.000</c:formatCode>
                <c:ptCount val="2"/>
              </c:numCache>
            </c:numRef>
          </c:xVal>
          <c:yVal>
            <c:numRef>
              <c:f>('Weld Group (elastic)'!$C$18,'Weld Group (elastic)'!$E$18)</c:f>
              <c:numCache>
                <c:formatCode>0.000</c:formatCode>
                <c:ptCount val="2"/>
              </c:numCache>
            </c:numRef>
          </c:yVal>
          <c:smooth val="0"/>
        </c:ser>
        <c:ser>
          <c:idx val="6"/>
          <c:order val="6"/>
          <c:tx>
            <c:v>Weld #7</c:v>
          </c:tx>
          <c:spPr>
            <a:ln w="38100">
              <a:solidFill>
                <a:srgbClr val="FF0000"/>
              </a:solidFill>
              <a:prstDash val="solid"/>
            </a:ln>
          </c:spPr>
          <c:marker>
            <c:symbol val="none"/>
          </c:marker>
          <c:xVal>
            <c:numRef>
              <c:f>('Weld Group (elastic)'!$B$19,'Weld Group (elastic)'!$D$19)</c:f>
              <c:numCache>
                <c:formatCode>0.000</c:formatCode>
                <c:ptCount val="2"/>
              </c:numCache>
            </c:numRef>
          </c:xVal>
          <c:yVal>
            <c:numRef>
              <c:f>('Weld Group (elastic)'!$C$19,'Weld Group (elastic)'!$E$19)</c:f>
              <c:numCache>
                <c:formatCode>0.000</c:formatCode>
                <c:ptCount val="2"/>
              </c:numCache>
            </c:numRef>
          </c:yVal>
          <c:smooth val="0"/>
        </c:ser>
        <c:ser>
          <c:idx val="7"/>
          <c:order val="7"/>
          <c:tx>
            <c:v>Weld #8</c:v>
          </c:tx>
          <c:spPr>
            <a:ln w="38100">
              <a:solidFill>
                <a:srgbClr val="FF0000"/>
              </a:solidFill>
              <a:prstDash val="solid"/>
            </a:ln>
          </c:spPr>
          <c:marker>
            <c:symbol val="none"/>
          </c:marker>
          <c:xVal>
            <c:numRef>
              <c:f>('Weld Group (elastic)'!$B$20,'Weld Group (elastic)'!$D$20)</c:f>
              <c:numCache>
                <c:formatCode>0.000</c:formatCode>
                <c:ptCount val="2"/>
              </c:numCache>
            </c:numRef>
          </c:xVal>
          <c:yVal>
            <c:numRef>
              <c:f>('Weld Group (elastic)'!$C$20,'Weld Group (elastic)'!$E$20)</c:f>
              <c:numCache>
                <c:formatCode>0.000</c:formatCode>
                <c:ptCount val="2"/>
              </c:numCache>
            </c:numRef>
          </c:yVal>
          <c:smooth val="0"/>
        </c:ser>
        <c:ser>
          <c:idx val="8"/>
          <c:order val="8"/>
          <c:tx>
            <c:v>Weld #9</c:v>
          </c:tx>
          <c:spPr>
            <a:ln w="38100">
              <a:solidFill>
                <a:srgbClr val="FF0000"/>
              </a:solidFill>
              <a:prstDash val="solid"/>
            </a:ln>
          </c:spPr>
          <c:marker>
            <c:symbol val="none"/>
          </c:marker>
          <c:xVal>
            <c:numRef>
              <c:f>('Weld Group (elastic)'!$B$21,'Weld Group (elastic)'!$D$21)</c:f>
              <c:numCache>
                <c:formatCode>0.000</c:formatCode>
                <c:ptCount val="2"/>
              </c:numCache>
            </c:numRef>
          </c:xVal>
          <c:yVal>
            <c:numRef>
              <c:f>('Weld Group (elastic)'!$C$21,'Weld Group (elastic)'!$E$21)</c:f>
              <c:numCache>
                <c:formatCode>0.000</c:formatCode>
                <c:ptCount val="2"/>
              </c:numCache>
            </c:numRef>
          </c:yVal>
          <c:smooth val="0"/>
        </c:ser>
        <c:ser>
          <c:idx val="9"/>
          <c:order val="9"/>
          <c:tx>
            <c:v>Weld #10</c:v>
          </c:tx>
          <c:spPr>
            <a:ln w="38100">
              <a:solidFill>
                <a:srgbClr val="FF0000"/>
              </a:solidFill>
              <a:prstDash val="solid"/>
            </a:ln>
          </c:spPr>
          <c:marker>
            <c:symbol val="none"/>
          </c:marker>
          <c:xVal>
            <c:numRef>
              <c:f>('Weld Group (elastic)'!$B$22,'Weld Group (elastic)'!$D$22)</c:f>
              <c:numCache>
                <c:formatCode>0.000</c:formatCode>
                <c:ptCount val="2"/>
              </c:numCache>
            </c:numRef>
          </c:xVal>
          <c:yVal>
            <c:numRef>
              <c:f>('Weld Group (elastic)'!$C$22,'Weld Group (elastic)'!$E$22)</c:f>
              <c:numCache>
                <c:formatCode>0.000</c:formatCode>
                <c:ptCount val="2"/>
              </c:numCache>
            </c:numRef>
          </c:yVal>
          <c:smooth val="0"/>
        </c:ser>
        <c:ser>
          <c:idx val="10"/>
          <c:order val="10"/>
          <c:tx>
            <c:v>Weld #11</c:v>
          </c:tx>
          <c:spPr>
            <a:ln w="38100">
              <a:solidFill>
                <a:srgbClr val="FF0000"/>
              </a:solidFill>
              <a:prstDash val="solid"/>
            </a:ln>
          </c:spPr>
          <c:marker>
            <c:symbol val="none"/>
          </c:marker>
          <c:xVal>
            <c:numRef>
              <c:f>('Weld Group (elastic)'!$B$23,'Weld Group (elastic)'!$D$23)</c:f>
              <c:numCache>
                <c:formatCode>0.000</c:formatCode>
                <c:ptCount val="2"/>
              </c:numCache>
            </c:numRef>
          </c:xVal>
          <c:yVal>
            <c:numRef>
              <c:f>('Weld Group (elastic)'!$C$23,'Weld Group (elastic)'!$E$23)</c:f>
              <c:numCache>
                <c:formatCode>0.000</c:formatCode>
                <c:ptCount val="2"/>
              </c:numCache>
            </c:numRef>
          </c:yVal>
          <c:smooth val="0"/>
        </c:ser>
        <c:ser>
          <c:idx val="11"/>
          <c:order val="11"/>
          <c:tx>
            <c:v>Weld #12</c:v>
          </c:tx>
          <c:spPr>
            <a:ln w="38100">
              <a:solidFill>
                <a:srgbClr val="FF0000"/>
              </a:solidFill>
              <a:prstDash val="solid"/>
            </a:ln>
          </c:spPr>
          <c:marker>
            <c:symbol val="none"/>
          </c:marker>
          <c:xVal>
            <c:numRef>
              <c:f>('Weld Group (elastic)'!$B$24,'Weld Group (elastic)'!$D$24)</c:f>
              <c:numCache>
                <c:formatCode>0.000</c:formatCode>
                <c:ptCount val="2"/>
              </c:numCache>
            </c:numRef>
          </c:xVal>
          <c:yVal>
            <c:numRef>
              <c:f>('Weld Group (elastic)'!$C$24,'Weld Group (elastic)'!$E$24)</c:f>
              <c:numCache>
                <c:formatCode>0.000</c:formatCode>
                <c:ptCount val="2"/>
              </c:numCache>
            </c:numRef>
          </c:yVal>
          <c:smooth val="0"/>
        </c:ser>
        <c:ser>
          <c:idx val="12"/>
          <c:order val="12"/>
          <c:tx>
            <c:v>Weld #13</c:v>
          </c:tx>
          <c:spPr>
            <a:ln w="38100">
              <a:solidFill>
                <a:srgbClr val="FF0000"/>
              </a:solidFill>
              <a:prstDash val="solid"/>
            </a:ln>
          </c:spPr>
          <c:marker>
            <c:symbol val="none"/>
          </c:marker>
          <c:xVal>
            <c:numRef>
              <c:f>('Weld Group (elastic)'!$B$25,'Weld Group (elastic)'!$D$25)</c:f>
              <c:numCache>
                <c:formatCode>0.000</c:formatCode>
                <c:ptCount val="2"/>
              </c:numCache>
            </c:numRef>
          </c:xVal>
          <c:yVal>
            <c:numRef>
              <c:f>('Weld Group (elastic)'!$C$25,'Weld Group (elastic)'!$E$25)</c:f>
              <c:numCache>
                <c:formatCode>0.000</c:formatCode>
                <c:ptCount val="2"/>
              </c:numCache>
            </c:numRef>
          </c:yVal>
          <c:smooth val="0"/>
        </c:ser>
        <c:ser>
          <c:idx val="13"/>
          <c:order val="13"/>
          <c:tx>
            <c:v>Weld #14</c:v>
          </c:tx>
          <c:spPr>
            <a:ln w="38100">
              <a:solidFill>
                <a:srgbClr val="FF0000"/>
              </a:solidFill>
              <a:prstDash val="solid"/>
            </a:ln>
          </c:spPr>
          <c:marker>
            <c:symbol val="none"/>
          </c:marker>
          <c:xVal>
            <c:numRef>
              <c:f>('Weld Group (elastic)'!$B$26,'Weld Group (elastic)'!$D$26)</c:f>
              <c:numCache>
                <c:formatCode>0.000</c:formatCode>
                <c:ptCount val="2"/>
              </c:numCache>
            </c:numRef>
          </c:xVal>
          <c:yVal>
            <c:numRef>
              <c:f>('Weld Group (elastic)'!$C$26,'Weld Group (elastic)'!$E$26)</c:f>
              <c:numCache>
                <c:formatCode>0.000</c:formatCode>
                <c:ptCount val="2"/>
              </c:numCache>
            </c:numRef>
          </c:yVal>
          <c:smooth val="0"/>
        </c:ser>
        <c:ser>
          <c:idx val="14"/>
          <c:order val="14"/>
          <c:tx>
            <c:v>Weld #15</c:v>
          </c:tx>
          <c:spPr>
            <a:ln w="38100">
              <a:solidFill>
                <a:srgbClr val="FF0000"/>
              </a:solidFill>
              <a:prstDash val="solid"/>
            </a:ln>
          </c:spPr>
          <c:marker>
            <c:symbol val="none"/>
          </c:marker>
          <c:xVal>
            <c:numRef>
              <c:f>('Weld Group (elastic)'!$B$27,'Weld Group (elastic)'!$D$27)</c:f>
              <c:numCache>
                <c:formatCode>0.000</c:formatCode>
                <c:ptCount val="2"/>
              </c:numCache>
            </c:numRef>
          </c:xVal>
          <c:yVal>
            <c:numRef>
              <c:f>('Weld Group (elastic)'!$C$27,'Weld Group (elastic)'!$E$27)</c:f>
              <c:numCache>
                <c:formatCode>0.000</c:formatCode>
                <c:ptCount val="2"/>
              </c:numCache>
            </c:numRef>
          </c:yVal>
          <c:smooth val="0"/>
        </c:ser>
        <c:ser>
          <c:idx val="15"/>
          <c:order val="15"/>
          <c:tx>
            <c:v>Weld #16</c:v>
          </c:tx>
          <c:spPr>
            <a:ln w="38100">
              <a:solidFill>
                <a:srgbClr val="FF0000"/>
              </a:solidFill>
              <a:prstDash val="solid"/>
            </a:ln>
          </c:spPr>
          <c:marker>
            <c:symbol val="none"/>
          </c:marker>
          <c:xVal>
            <c:numRef>
              <c:f>('Weld Group (elastic)'!$B$28,'Weld Group (elastic)'!$D$28)</c:f>
              <c:numCache>
                <c:formatCode>0.000</c:formatCode>
                <c:ptCount val="2"/>
              </c:numCache>
            </c:numRef>
          </c:xVal>
          <c:yVal>
            <c:numRef>
              <c:f>('Weld Group (elastic)'!$C$28,'Weld Group (elastic)'!$E$28)</c:f>
              <c:numCache>
                <c:formatCode>0.000</c:formatCode>
                <c:ptCount val="2"/>
              </c:numCache>
            </c:numRef>
          </c:yVal>
          <c:smooth val="0"/>
        </c:ser>
        <c:ser>
          <c:idx val="16"/>
          <c:order val="16"/>
          <c:tx>
            <c:v>Weld #17</c:v>
          </c:tx>
          <c:spPr>
            <a:ln w="38100">
              <a:solidFill>
                <a:srgbClr val="FF0000"/>
              </a:solidFill>
              <a:prstDash val="solid"/>
            </a:ln>
          </c:spPr>
          <c:marker>
            <c:symbol val="none"/>
          </c:marker>
          <c:xVal>
            <c:numRef>
              <c:f>('Weld Group (elastic)'!$B$29,'Weld Group (elastic)'!$D$29)</c:f>
              <c:numCache>
                <c:formatCode>0.000</c:formatCode>
                <c:ptCount val="2"/>
              </c:numCache>
            </c:numRef>
          </c:xVal>
          <c:yVal>
            <c:numRef>
              <c:f>('Weld Group (elastic)'!$C$29,'Weld Group (elastic)'!$E$29)</c:f>
              <c:numCache>
                <c:formatCode>0.000</c:formatCode>
                <c:ptCount val="2"/>
              </c:numCache>
            </c:numRef>
          </c:yVal>
          <c:smooth val="0"/>
        </c:ser>
        <c:ser>
          <c:idx val="17"/>
          <c:order val="17"/>
          <c:tx>
            <c:v>Weld #18</c:v>
          </c:tx>
          <c:spPr>
            <a:ln w="38100">
              <a:solidFill>
                <a:srgbClr val="FF0000"/>
              </a:solidFill>
              <a:prstDash val="solid"/>
            </a:ln>
          </c:spPr>
          <c:marker>
            <c:symbol val="none"/>
          </c:marker>
          <c:xVal>
            <c:numRef>
              <c:f>('Weld Group (elastic)'!$B$30,'Weld Group (elastic)'!$D$30)</c:f>
              <c:numCache>
                <c:formatCode>0.000</c:formatCode>
                <c:ptCount val="2"/>
              </c:numCache>
            </c:numRef>
          </c:xVal>
          <c:yVal>
            <c:numRef>
              <c:f>('Weld Group (elastic)'!$C$30,'Weld Group (elastic)'!$E$30)</c:f>
              <c:numCache>
                <c:formatCode>0.000</c:formatCode>
                <c:ptCount val="2"/>
              </c:numCache>
            </c:numRef>
          </c:yVal>
          <c:smooth val="0"/>
        </c:ser>
        <c:ser>
          <c:idx val="18"/>
          <c:order val="18"/>
          <c:tx>
            <c:v>Weld #19</c:v>
          </c:tx>
          <c:spPr>
            <a:ln w="38100">
              <a:solidFill>
                <a:srgbClr val="FF0000"/>
              </a:solidFill>
              <a:prstDash val="solid"/>
            </a:ln>
          </c:spPr>
          <c:marker>
            <c:symbol val="none"/>
          </c:marker>
          <c:xVal>
            <c:numRef>
              <c:f>('Weld Group (elastic)'!$B$31,'Weld Group (elastic)'!$D$31)</c:f>
              <c:numCache>
                <c:formatCode>0.000</c:formatCode>
                <c:ptCount val="2"/>
              </c:numCache>
            </c:numRef>
          </c:xVal>
          <c:yVal>
            <c:numRef>
              <c:f>('Weld Group (elastic)'!$C$31,'Weld Group (elastic)'!$E$31)</c:f>
              <c:numCache>
                <c:formatCode>0.000</c:formatCode>
                <c:ptCount val="2"/>
              </c:numCache>
            </c:numRef>
          </c:yVal>
          <c:smooth val="0"/>
        </c:ser>
        <c:ser>
          <c:idx val="19"/>
          <c:order val="19"/>
          <c:tx>
            <c:v>Weld #20</c:v>
          </c:tx>
          <c:spPr>
            <a:ln w="38100">
              <a:solidFill>
                <a:srgbClr val="FF0000"/>
              </a:solidFill>
              <a:prstDash val="solid"/>
            </a:ln>
          </c:spPr>
          <c:marker>
            <c:symbol val="none"/>
          </c:marker>
          <c:xVal>
            <c:numRef>
              <c:f>('Weld Group (elastic)'!$B$32,'Weld Group (elastic)'!$D$32)</c:f>
              <c:numCache>
                <c:formatCode>0.000</c:formatCode>
                <c:ptCount val="2"/>
              </c:numCache>
            </c:numRef>
          </c:xVal>
          <c:yVal>
            <c:numRef>
              <c:f>('Weld Group (elastic)'!$C$32,'Weld Group (elastic)'!$E$32)</c:f>
              <c:numCache>
                <c:formatCode>0.000</c:formatCode>
                <c:ptCount val="2"/>
              </c:numCache>
            </c:numRef>
          </c:yVal>
          <c:smooth val="0"/>
        </c:ser>
        <c:ser>
          <c:idx val="20"/>
          <c:order val="20"/>
          <c:tx>
            <c:v>Weld #21</c:v>
          </c:tx>
          <c:spPr>
            <a:ln w="38100">
              <a:solidFill>
                <a:srgbClr val="FF0000"/>
              </a:solidFill>
              <a:prstDash val="solid"/>
            </a:ln>
          </c:spPr>
          <c:marker>
            <c:symbol val="none"/>
          </c:marker>
          <c:xVal>
            <c:numRef>
              <c:f>('Weld Group (elastic)'!$B$33,'Weld Group (elastic)'!$D$33)</c:f>
              <c:numCache>
                <c:formatCode>0.000</c:formatCode>
                <c:ptCount val="2"/>
              </c:numCache>
            </c:numRef>
          </c:xVal>
          <c:yVal>
            <c:numRef>
              <c:f>('Weld Group (elastic)'!$C$33,'Weld Group (elastic)'!$E$33)</c:f>
              <c:numCache>
                <c:formatCode>0.000</c:formatCode>
                <c:ptCount val="2"/>
              </c:numCache>
            </c:numRef>
          </c:yVal>
          <c:smooth val="0"/>
        </c:ser>
        <c:ser>
          <c:idx val="21"/>
          <c:order val="21"/>
          <c:tx>
            <c:v>Weld #22</c:v>
          </c:tx>
          <c:spPr>
            <a:ln w="38100">
              <a:solidFill>
                <a:srgbClr val="FF0000"/>
              </a:solidFill>
              <a:prstDash val="solid"/>
            </a:ln>
          </c:spPr>
          <c:marker>
            <c:symbol val="none"/>
          </c:marker>
          <c:xVal>
            <c:numRef>
              <c:f>('Weld Group (elastic)'!$B$34,'Weld Group (elastic)'!$D$34)</c:f>
              <c:numCache>
                <c:formatCode>0.000</c:formatCode>
                <c:ptCount val="2"/>
              </c:numCache>
            </c:numRef>
          </c:xVal>
          <c:yVal>
            <c:numRef>
              <c:f>('Weld Group (elastic)'!$C$34,'Weld Group (elastic)'!$E$34)</c:f>
              <c:numCache>
                <c:formatCode>0.000</c:formatCode>
                <c:ptCount val="2"/>
              </c:numCache>
            </c:numRef>
          </c:yVal>
          <c:smooth val="0"/>
        </c:ser>
        <c:ser>
          <c:idx val="22"/>
          <c:order val="22"/>
          <c:tx>
            <c:v>Weld #23</c:v>
          </c:tx>
          <c:spPr>
            <a:ln w="38100">
              <a:solidFill>
                <a:srgbClr val="FF0000"/>
              </a:solidFill>
              <a:prstDash val="solid"/>
            </a:ln>
          </c:spPr>
          <c:marker>
            <c:symbol val="none"/>
          </c:marker>
          <c:xVal>
            <c:numRef>
              <c:f>('Weld Group (elastic)'!$B$35,'Weld Group (elastic)'!$D$35)</c:f>
              <c:numCache>
                <c:formatCode>0.000</c:formatCode>
                <c:ptCount val="2"/>
              </c:numCache>
            </c:numRef>
          </c:xVal>
          <c:yVal>
            <c:numRef>
              <c:f>('Weld Group (elastic)'!$C$35,'Weld Group (elastic)'!$E$35)</c:f>
              <c:numCache>
                <c:formatCode>0.000</c:formatCode>
                <c:ptCount val="2"/>
              </c:numCache>
            </c:numRef>
          </c:yVal>
          <c:smooth val="0"/>
        </c:ser>
        <c:ser>
          <c:idx val="23"/>
          <c:order val="23"/>
          <c:tx>
            <c:v>Weld #24</c:v>
          </c:tx>
          <c:spPr>
            <a:ln w="38100">
              <a:solidFill>
                <a:srgbClr val="FF0000"/>
              </a:solidFill>
              <a:prstDash val="solid"/>
            </a:ln>
          </c:spPr>
          <c:marker>
            <c:symbol val="none"/>
          </c:marker>
          <c:xVal>
            <c:numRef>
              <c:f>('Weld Group (elastic)'!$B$36,'Weld Group (elastic)'!$D$36)</c:f>
              <c:numCache>
                <c:formatCode>0.000</c:formatCode>
                <c:ptCount val="2"/>
              </c:numCache>
            </c:numRef>
          </c:xVal>
          <c:yVal>
            <c:numRef>
              <c:f>('Weld Group (elastic)'!$C$36,'Weld Group (elastic)'!$E$36)</c:f>
              <c:numCache>
                <c:formatCode>0.000</c:formatCode>
                <c:ptCount val="2"/>
              </c:numCache>
            </c:numRef>
          </c:yVal>
          <c:smooth val="0"/>
        </c:ser>
        <c:ser>
          <c:idx val="24"/>
          <c:order val="24"/>
          <c:tx>
            <c:v>Centroid of Weld Group</c:v>
          </c:tx>
          <c:spPr>
            <a:ln w="28575">
              <a:noFill/>
            </a:ln>
          </c:spPr>
          <c:marker>
            <c:symbol val="plus"/>
            <c:size val="12"/>
            <c:spPr>
              <a:noFill/>
              <a:ln>
                <a:solidFill>
                  <a:srgbClr val="0000FF"/>
                </a:solidFill>
                <a:prstDash val="solid"/>
              </a:ln>
            </c:spPr>
          </c:marker>
          <c:xVal>
            <c:numRef>
              <c:f>'Weld Group (elastic)'!$B$56</c:f>
              <c:numCache>
                <c:formatCode>0.000</c:formatCode>
                <c:ptCount val="1"/>
                <c:pt idx="0">
                  <c:v>2.5000007500000749</c:v>
                </c:pt>
              </c:numCache>
            </c:numRef>
          </c:xVal>
          <c:yVal>
            <c:numRef>
              <c:f>'Weld Group (elastic)'!$B$57</c:f>
              <c:numCache>
                <c:formatCode>0.000</c:formatCode>
                <c:ptCount val="1"/>
                <c:pt idx="0">
                  <c:v>2.5000000000000249</c:v>
                </c:pt>
              </c:numCache>
            </c:numRef>
          </c:yVal>
          <c:smooth val="0"/>
        </c:ser>
        <c:ser>
          <c:idx val="25"/>
          <c:order val="25"/>
          <c:tx>
            <c:v>Plot Scale Factors</c:v>
          </c:tx>
          <c:spPr>
            <a:ln w="28575">
              <a:noFill/>
            </a:ln>
          </c:spPr>
          <c:marker>
            <c:symbol val="none"/>
          </c:marker>
          <c:xVal>
            <c:numRef>
              <c:f>'Weld Group (elastic)'!$BJ$4</c:f>
              <c:numCache>
                <c:formatCode>General</c:formatCode>
                <c:ptCount val="1"/>
                <c:pt idx="0">
                  <c:v>10</c:v>
                </c:pt>
              </c:numCache>
            </c:numRef>
          </c:xVal>
          <c:yVal>
            <c:numRef>
              <c:f>'Weld Group (elastic)'!$BK$4</c:f>
              <c:numCache>
                <c:formatCode>General</c:formatCode>
                <c:ptCount val="1"/>
                <c:pt idx="0">
                  <c:v>12</c:v>
                </c:pt>
              </c:numCache>
            </c:numRef>
          </c:yVal>
          <c:smooth val="0"/>
        </c:ser>
        <c:ser>
          <c:idx val="26"/>
          <c:order val="26"/>
          <c:tx>
            <c:v>Load Point #1</c:v>
          </c:tx>
          <c:spPr>
            <a:ln w="3175">
              <a:solidFill>
                <a:srgbClr val="FFFFFF"/>
              </a:solidFill>
              <a:prstDash val="solid"/>
            </a:ln>
          </c:spPr>
          <c:marker>
            <c:symbol val="star"/>
            <c:size val="8"/>
            <c:spPr>
              <a:noFill/>
              <a:ln>
                <a:solidFill>
                  <a:srgbClr val="FF0000"/>
                </a:solidFill>
                <a:prstDash val="solid"/>
              </a:ln>
            </c:spPr>
          </c:marker>
          <c:xVal>
            <c:numRef>
              <c:f>'Weld Group (elastic)'!$C$41</c:f>
              <c:numCache>
                <c:formatCode>0.000</c:formatCode>
                <c:ptCount val="1"/>
                <c:pt idx="0">
                  <c:v>2.5</c:v>
                </c:pt>
              </c:numCache>
            </c:numRef>
          </c:xVal>
          <c:yVal>
            <c:numRef>
              <c:f>'Weld Group (elastic)'!$C$42</c:f>
              <c:numCache>
                <c:formatCode>0.000</c:formatCode>
                <c:ptCount val="1"/>
                <c:pt idx="0">
                  <c:v>2.5</c:v>
                </c:pt>
              </c:numCache>
            </c:numRef>
          </c:yVal>
          <c:smooth val="0"/>
        </c:ser>
        <c:ser>
          <c:idx val="27"/>
          <c:order val="27"/>
          <c:tx>
            <c:v>Load Point #2</c:v>
          </c:tx>
          <c:spPr>
            <a:ln w="28575">
              <a:noFill/>
            </a:ln>
          </c:spPr>
          <c:marker>
            <c:symbol val="star"/>
            <c:size val="8"/>
            <c:spPr>
              <a:noFill/>
              <a:ln>
                <a:solidFill>
                  <a:srgbClr val="FF0000"/>
                </a:solidFill>
                <a:prstDash val="solid"/>
              </a:ln>
            </c:spPr>
          </c:marker>
          <c:xVal>
            <c:numRef>
              <c:f>'Weld Group (elastic)'!$D$41</c:f>
              <c:numCache>
                <c:formatCode>0.000</c:formatCode>
                <c:ptCount val="1"/>
              </c:numCache>
            </c:numRef>
          </c:xVal>
          <c:yVal>
            <c:numRef>
              <c:f>'Weld Group (elastic)'!$D$42</c:f>
              <c:numCache>
                <c:formatCode>0.000</c:formatCode>
                <c:ptCount val="1"/>
              </c:numCache>
            </c:numRef>
          </c:yVal>
          <c:smooth val="0"/>
        </c:ser>
        <c:ser>
          <c:idx val="28"/>
          <c:order val="28"/>
          <c:tx>
            <c:v>Load Point #3</c:v>
          </c:tx>
          <c:spPr>
            <a:ln w="28575">
              <a:noFill/>
            </a:ln>
          </c:spPr>
          <c:marker>
            <c:symbol val="star"/>
            <c:size val="8"/>
            <c:spPr>
              <a:noFill/>
              <a:ln>
                <a:solidFill>
                  <a:srgbClr val="FF0000"/>
                </a:solidFill>
                <a:prstDash val="solid"/>
              </a:ln>
            </c:spPr>
          </c:marker>
          <c:xVal>
            <c:numRef>
              <c:f>'Weld Group (elastic)'!$E$41</c:f>
              <c:numCache>
                <c:formatCode>0.000</c:formatCode>
                <c:ptCount val="1"/>
              </c:numCache>
            </c:numRef>
          </c:xVal>
          <c:yVal>
            <c:numRef>
              <c:f>'Weld Group (elastic)'!$E$42</c:f>
              <c:numCache>
                <c:formatCode>0.000</c:formatCode>
                <c:ptCount val="1"/>
              </c:numCache>
            </c:numRef>
          </c:yVal>
          <c:smooth val="0"/>
        </c:ser>
        <c:ser>
          <c:idx val="29"/>
          <c:order val="29"/>
          <c:tx>
            <c:v>Load Point #4</c:v>
          </c:tx>
          <c:spPr>
            <a:ln w="28575">
              <a:noFill/>
            </a:ln>
          </c:spPr>
          <c:marker>
            <c:symbol val="star"/>
            <c:size val="8"/>
            <c:spPr>
              <a:noFill/>
              <a:ln>
                <a:solidFill>
                  <a:srgbClr val="FF0000"/>
                </a:solidFill>
                <a:prstDash val="solid"/>
              </a:ln>
            </c:spPr>
          </c:marker>
          <c:xVal>
            <c:numRef>
              <c:f>'Weld Group (elastic)'!$F$41</c:f>
              <c:numCache>
                <c:formatCode>0.000</c:formatCode>
                <c:ptCount val="1"/>
              </c:numCache>
            </c:numRef>
          </c:xVal>
          <c:yVal>
            <c:numRef>
              <c:f>'Weld Group (elastic)'!$F$42</c:f>
              <c:numCache>
                <c:formatCode>0.000</c:formatCode>
                <c:ptCount val="1"/>
              </c:numCache>
            </c:numRef>
          </c:yVal>
          <c:smooth val="0"/>
        </c:ser>
        <c:dLbls>
          <c:showLegendKey val="0"/>
          <c:showVal val="0"/>
          <c:showCatName val="0"/>
          <c:showSerName val="0"/>
          <c:showPercent val="0"/>
          <c:showBubbleSize val="0"/>
        </c:dLbls>
        <c:axId val="49557888"/>
        <c:axId val="49560192"/>
      </c:scatterChart>
      <c:valAx>
        <c:axId val="49557888"/>
        <c:scaling>
          <c:orientation val="minMax"/>
        </c:scaling>
        <c:delete val="0"/>
        <c:axPos val="b"/>
        <c:title>
          <c:tx>
            <c:rich>
              <a:bodyPr/>
              <a:lstStyle/>
              <a:p>
                <a:pPr>
                  <a:defRPr sz="800" b="1" i="0" u="none" strike="noStrike" baseline="0">
                    <a:solidFill>
                      <a:srgbClr val="000000"/>
                    </a:solidFill>
                    <a:latin typeface="Arial"/>
                    <a:ea typeface="Arial"/>
                    <a:cs typeface="Arial"/>
                  </a:defRPr>
                </a:pPr>
                <a:r>
                  <a:rPr lang="en-US"/>
                  <a:t>X - AXIS (in.)</a:t>
                </a:r>
              </a:p>
            </c:rich>
          </c:tx>
          <c:layout>
            <c:manualLayout>
              <c:xMode val="edge"/>
              <c:yMode val="edge"/>
              <c:x val="0.42181818181818181"/>
              <c:y val="0.92113564668769721"/>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49560192"/>
        <c:crosses val="autoZero"/>
        <c:crossBetween val="midCat"/>
      </c:valAx>
      <c:valAx>
        <c:axId val="49560192"/>
        <c:scaling>
          <c:orientation val="minMax"/>
        </c:scaling>
        <c:delete val="0"/>
        <c:axPos val="l"/>
        <c:title>
          <c:tx>
            <c:rich>
              <a:bodyPr/>
              <a:lstStyle/>
              <a:p>
                <a:pPr>
                  <a:defRPr sz="800" b="1" i="0" u="none" strike="noStrike" baseline="0">
                    <a:solidFill>
                      <a:srgbClr val="000000"/>
                    </a:solidFill>
                    <a:latin typeface="Arial"/>
                    <a:ea typeface="Arial"/>
                    <a:cs typeface="Arial"/>
                  </a:defRPr>
                </a:pPr>
                <a:r>
                  <a:rPr lang="en-US"/>
                  <a:t>Y - AXIS (in.)</a:t>
                </a:r>
              </a:p>
            </c:rich>
          </c:tx>
          <c:layout>
            <c:manualLayout>
              <c:xMode val="edge"/>
              <c:yMode val="edge"/>
              <c:x val="1.8181818181818181E-2"/>
              <c:y val="0.35646687697160884"/>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49557888"/>
        <c:crosses val="autoZero"/>
        <c:crossBetween val="midCat"/>
      </c:valAx>
      <c:spPr>
        <a:solidFill>
          <a:srgbClr val="FFFFFF"/>
        </a:solidFill>
        <a:ln w="12700">
          <a:solidFill>
            <a:srgbClr val="FFFFFF"/>
          </a:solidFill>
          <a:prstDash val="solid"/>
        </a:ln>
      </c:spPr>
    </c:plotArea>
    <c:plotVisOnly val="1"/>
    <c:dispBlanksAs val="gap"/>
    <c:showDLblsOverMax val="0"/>
  </c:chart>
  <c:spPr>
    <a:solidFill>
      <a:srgbClr val="FFFFFF"/>
    </a:solidFill>
    <a:ln w="9525">
      <a:noFill/>
    </a:ln>
  </c:spPr>
  <c:txPr>
    <a:bodyPr/>
    <a:lstStyle/>
    <a:p>
      <a:pPr>
        <a:defRPr sz="5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horizontalDpi="0" verticalDpi="0"/>
  </c:printSettings>
</c:chartSpace>
</file>

<file path=xl/drawings/_rels/drawing10.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10</xdr:col>
      <xdr:colOff>361950</xdr:colOff>
      <xdr:row>77</xdr:row>
      <xdr:rowOff>133350</xdr:rowOff>
    </xdr:from>
    <xdr:to>
      <xdr:col>11</xdr:col>
      <xdr:colOff>9525</xdr:colOff>
      <xdr:row>79</xdr:row>
      <xdr:rowOff>19050</xdr:rowOff>
    </xdr:to>
    <xdr:sp macro="" textlink="">
      <xdr:nvSpPr>
        <xdr:cNvPr id="901129" name="Text Box 9"/>
        <xdr:cNvSpPr txBox="1">
          <a:spLocks noChangeArrowheads="1"/>
        </xdr:cNvSpPr>
      </xdr:nvSpPr>
      <xdr:spPr bwMode="auto">
        <a:xfrm>
          <a:off x="6296025" y="12639675"/>
          <a:ext cx="257175" cy="2095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X</a:t>
          </a:r>
        </a:p>
      </xdr:txBody>
    </xdr:sp>
    <xdr:clientData/>
  </xdr:twoCellAnchor>
  <xdr:twoCellAnchor>
    <xdr:from>
      <xdr:col>7</xdr:col>
      <xdr:colOff>523875</xdr:colOff>
      <xdr:row>70</xdr:row>
      <xdr:rowOff>9525</xdr:rowOff>
    </xdr:from>
    <xdr:to>
      <xdr:col>10</xdr:col>
      <xdr:colOff>457200</xdr:colOff>
      <xdr:row>78</xdr:row>
      <xdr:rowOff>114300</xdr:rowOff>
    </xdr:to>
    <xdr:grpSp>
      <xdr:nvGrpSpPr>
        <xdr:cNvPr id="901131" name="Group 11"/>
        <xdr:cNvGrpSpPr>
          <a:grpSpLocks/>
        </xdr:cNvGrpSpPr>
      </xdr:nvGrpSpPr>
      <xdr:grpSpPr bwMode="auto">
        <a:xfrm>
          <a:off x="4791075" y="11382375"/>
          <a:ext cx="1600200" cy="1400175"/>
          <a:chOff x="503" y="1189"/>
          <a:chExt cx="168" cy="147"/>
        </a:xfrm>
      </xdr:grpSpPr>
      <xdr:sp macro="" textlink="">
        <xdr:nvSpPr>
          <xdr:cNvPr id="901122" name="Oval 2"/>
          <xdr:cNvSpPr>
            <a:spLocks noChangeArrowheads="1"/>
          </xdr:cNvSpPr>
        </xdr:nvSpPr>
        <xdr:spPr bwMode="auto">
          <a:xfrm>
            <a:off x="511" y="1240"/>
            <a:ext cx="96" cy="96"/>
          </a:xfrm>
          <a:prstGeom prst="ellipse">
            <a:avLst/>
          </a:prstGeom>
          <a:solidFill>
            <a:srgbClr xmlns:mc="http://schemas.openxmlformats.org/markup-compatibility/2006" xmlns:a14="http://schemas.microsoft.com/office/drawing/2010/main" val="FFFFFF" mc:Ignorable="a14" a14:legacySpreadsheetColorIndex="9"/>
          </a:solidFill>
          <a:ln w="19050">
            <a:solidFill>
              <a:srgbClr xmlns:mc="http://schemas.openxmlformats.org/markup-compatibility/2006" xmlns:a14="http://schemas.microsoft.com/office/drawing/2010/main" val="000000" mc:Ignorable="a14" a14:legacySpreadsheetColorIndex="64"/>
            </a:solidFill>
            <a:round/>
            <a:headEnd/>
            <a:tailEnd/>
          </a:ln>
        </xdr:spPr>
      </xdr:sp>
      <xdr:sp macro="" textlink="">
        <xdr:nvSpPr>
          <xdr:cNvPr id="901123" name="Line 3"/>
          <xdr:cNvSpPr>
            <a:spLocks noChangeShapeType="1"/>
          </xdr:cNvSpPr>
        </xdr:nvSpPr>
        <xdr:spPr bwMode="auto">
          <a:xfrm>
            <a:off x="510" y="1336"/>
            <a:ext cx="15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lg" len="med"/>
          </a:ln>
          <a:extLst>
            <a:ext uri="{909E8E84-426E-40DD-AFC4-6F175D3DCCD1}">
              <a14:hiddenFill xmlns:a14="http://schemas.microsoft.com/office/drawing/2010/main">
                <a:noFill/>
              </a14:hiddenFill>
            </a:ext>
          </a:extLst>
        </xdr:spPr>
      </xdr:sp>
      <xdr:sp macro="" textlink="">
        <xdr:nvSpPr>
          <xdr:cNvPr id="901124" name="Line 4"/>
          <xdr:cNvSpPr>
            <a:spLocks noChangeShapeType="1"/>
          </xdr:cNvSpPr>
        </xdr:nvSpPr>
        <xdr:spPr bwMode="auto">
          <a:xfrm>
            <a:off x="581" y="1240"/>
            <a:ext cx="53"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901125" name="Line 5"/>
          <xdr:cNvSpPr>
            <a:spLocks noChangeShapeType="1"/>
          </xdr:cNvSpPr>
        </xdr:nvSpPr>
        <xdr:spPr bwMode="auto">
          <a:xfrm>
            <a:off x="620" y="1240"/>
            <a:ext cx="0" cy="96"/>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stealth" w="med" len="med"/>
            <a:tailEnd type="stealth" w="med" len="med"/>
          </a:ln>
          <a:extLst>
            <a:ext uri="{909E8E84-426E-40DD-AFC4-6F175D3DCCD1}">
              <a14:hiddenFill xmlns:a14="http://schemas.microsoft.com/office/drawing/2010/main">
                <a:noFill/>
              </a14:hiddenFill>
            </a:ext>
          </a:extLst>
        </xdr:spPr>
      </xdr:sp>
      <xdr:sp macro="" textlink="">
        <xdr:nvSpPr>
          <xdr:cNvPr id="901126" name="Line 6"/>
          <xdr:cNvSpPr>
            <a:spLocks noChangeShapeType="1"/>
          </xdr:cNvSpPr>
        </xdr:nvSpPr>
        <xdr:spPr bwMode="auto">
          <a:xfrm flipV="1">
            <a:off x="510" y="1206"/>
            <a:ext cx="0" cy="13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lg" len="med"/>
          </a:ln>
          <a:extLst>
            <a:ext uri="{909E8E84-426E-40DD-AFC4-6F175D3DCCD1}">
              <a14:hiddenFill xmlns:a14="http://schemas.microsoft.com/office/drawing/2010/main">
                <a:noFill/>
              </a14:hiddenFill>
            </a:ext>
          </a:extLst>
        </xdr:spPr>
      </xdr:sp>
      <xdr:sp macro="" textlink="">
        <xdr:nvSpPr>
          <xdr:cNvPr id="901128" name="Text Box 8"/>
          <xdr:cNvSpPr txBox="1">
            <a:spLocks noChangeArrowheads="1"/>
          </xdr:cNvSpPr>
        </xdr:nvSpPr>
        <xdr:spPr bwMode="auto">
          <a:xfrm>
            <a:off x="624" y="1279"/>
            <a:ext cx="47" cy="3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D</a:t>
            </a:r>
          </a:p>
        </xdr:txBody>
      </xdr:sp>
      <xdr:sp macro="" textlink="">
        <xdr:nvSpPr>
          <xdr:cNvPr id="901130" name="Text Box 10"/>
          <xdr:cNvSpPr txBox="1">
            <a:spLocks noChangeArrowheads="1"/>
          </xdr:cNvSpPr>
        </xdr:nvSpPr>
        <xdr:spPr bwMode="auto">
          <a:xfrm>
            <a:off x="503" y="1189"/>
            <a:ext cx="27" cy="22"/>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Y</a:t>
            </a:r>
          </a:p>
        </xdr:txBody>
      </xdr:sp>
    </xdr:grpSp>
    <xdr:clientData/>
  </xdr:twoCellAnchor>
</xdr:wsDr>
</file>

<file path=xl/drawings/drawing10.xml><?xml version="1.0" encoding="utf-8"?>
<xdr:wsDr xmlns:xdr="http://schemas.openxmlformats.org/drawingml/2006/spreadsheetDrawing" xmlns:a="http://schemas.openxmlformats.org/drawingml/2006/main">
  <xdr:twoCellAnchor>
    <xdr:from>
      <xdr:col>66</xdr:col>
      <xdr:colOff>38100</xdr:colOff>
      <xdr:row>42</xdr:row>
      <xdr:rowOff>76200</xdr:rowOff>
    </xdr:from>
    <xdr:to>
      <xdr:col>66</xdr:col>
      <xdr:colOff>342900</xdr:colOff>
      <xdr:row>42</xdr:row>
      <xdr:rowOff>76200</xdr:rowOff>
    </xdr:to>
    <xdr:sp macro="" textlink="">
      <xdr:nvSpPr>
        <xdr:cNvPr id="900127" name="Line 31"/>
        <xdr:cNvSpPr>
          <a:spLocks noChangeShapeType="1"/>
        </xdr:cNvSpPr>
      </xdr:nvSpPr>
      <xdr:spPr bwMode="auto">
        <a:xfrm flipH="1">
          <a:off x="10858500" y="6915150"/>
          <a:ext cx="3048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66</xdr:col>
      <xdr:colOff>38100</xdr:colOff>
      <xdr:row>65</xdr:row>
      <xdr:rowOff>66675</xdr:rowOff>
    </xdr:from>
    <xdr:to>
      <xdr:col>66</xdr:col>
      <xdr:colOff>342900</xdr:colOff>
      <xdr:row>65</xdr:row>
      <xdr:rowOff>66675</xdr:rowOff>
    </xdr:to>
    <xdr:sp macro="" textlink="">
      <xdr:nvSpPr>
        <xdr:cNvPr id="900128" name="Line 32"/>
        <xdr:cNvSpPr>
          <a:spLocks noChangeShapeType="1"/>
        </xdr:cNvSpPr>
      </xdr:nvSpPr>
      <xdr:spPr bwMode="auto">
        <a:xfrm flipH="1">
          <a:off x="10858500" y="10629900"/>
          <a:ext cx="3048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66</xdr:col>
      <xdr:colOff>342900</xdr:colOff>
      <xdr:row>42</xdr:row>
      <xdr:rowOff>76200</xdr:rowOff>
    </xdr:from>
    <xdr:to>
      <xdr:col>66</xdr:col>
      <xdr:colOff>342900</xdr:colOff>
      <xdr:row>65</xdr:row>
      <xdr:rowOff>66675</xdr:rowOff>
    </xdr:to>
    <xdr:sp macro="" textlink="">
      <xdr:nvSpPr>
        <xdr:cNvPr id="900129" name="Line 33"/>
        <xdr:cNvSpPr>
          <a:spLocks noChangeShapeType="1"/>
        </xdr:cNvSpPr>
      </xdr:nvSpPr>
      <xdr:spPr bwMode="auto">
        <a:xfrm>
          <a:off x="11163300" y="6915150"/>
          <a:ext cx="0" cy="37147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66</xdr:col>
      <xdr:colOff>342900</xdr:colOff>
      <xdr:row>53</xdr:row>
      <xdr:rowOff>95250</xdr:rowOff>
    </xdr:from>
    <xdr:to>
      <xdr:col>66</xdr:col>
      <xdr:colOff>581025</xdr:colOff>
      <xdr:row>53</xdr:row>
      <xdr:rowOff>95250</xdr:rowOff>
    </xdr:to>
    <xdr:sp macro="" textlink="">
      <xdr:nvSpPr>
        <xdr:cNvPr id="900130" name="Line 34"/>
        <xdr:cNvSpPr>
          <a:spLocks noChangeShapeType="1"/>
        </xdr:cNvSpPr>
      </xdr:nvSpPr>
      <xdr:spPr bwMode="auto">
        <a:xfrm>
          <a:off x="11163300" y="8715375"/>
          <a:ext cx="23812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9525</xdr:colOff>
      <xdr:row>8</xdr:row>
      <xdr:rowOff>9525</xdr:rowOff>
    </xdr:from>
    <xdr:to>
      <xdr:col>8</xdr:col>
      <xdr:colOff>800100</xdr:colOff>
      <xdr:row>26</xdr:row>
      <xdr:rowOff>114300</xdr:rowOff>
    </xdr:to>
    <xdr:graphicFrame macro="">
      <xdr:nvGraphicFramePr>
        <xdr:cNvPr id="900131" name="Chart 3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571500</xdr:colOff>
      <xdr:row>25</xdr:row>
      <xdr:rowOff>133350</xdr:rowOff>
    </xdr:from>
    <xdr:to>
      <xdr:col>8</xdr:col>
      <xdr:colOff>323850</xdr:colOff>
      <xdr:row>25</xdr:row>
      <xdr:rowOff>133350</xdr:rowOff>
    </xdr:to>
    <xdr:sp macro="" textlink="">
      <xdr:nvSpPr>
        <xdr:cNvPr id="900132" name="Line 36"/>
        <xdr:cNvSpPr>
          <a:spLocks noChangeShapeType="1"/>
        </xdr:cNvSpPr>
      </xdr:nvSpPr>
      <xdr:spPr bwMode="auto">
        <a:xfrm>
          <a:off x="5200650" y="4219575"/>
          <a:ext cx="36195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142875</xdr:colOff>
      <xdr:row>12</xdr:row>
      <xdr:rowOff>66675</xdr:rowOff>
    </xdr:from>
    <xdr:to>
      <xdr:col>5</xdr:col>
      <xdr:colOff>142875</xdr:colOff>
      <xdr:row>14</xdr:row>
      <xdr:rowOff>104775</xdr:rowOff>
    </xdr:to>
    <xdr:sp macro="" textlink="">
      <xdr:nvSpPr>
        <xdr:cNvPr id="900133" name="Line 37"/>
        <xdr:cNvSpPr>
          <a:spLocks noChangeShapeType="1"/>
        </xdr:cNvSpPr>
      </xdr:nvSpPr>
      <xdr:spPr bwMode="auto">
        <a:xfrm flipV="1">
          <a:off x="3552825" y="2047875"/>
          <a:ext cx="0" cy="3619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61</xdr:col>
      <xdr:colOff>0</xdr:colOff>
      <xdr:row>1</xdr:row>
      <xdr:rowOff>0</xdr:rowOff>
    </xdr:from>
    <xdr:to>
      <xdr:col>63</xdr:col>
      <xdr:colOff>0</xdr:colOff>
      <xdr:row>4</xdr:row>
      <xdr:rowOff>0</xdr:rowOff>
    </xdr:to>
    <xdr:sp macro="" textlink="">
      <xdr:nvSpPr>
        <xdr:cNvPr id="900134" name="Rectangle 38"/>
        <xdr:cNvSpPr>
          <a:spLocks noChangeArrowheads="1"/>
        </xdr:cNvSpPr>
      </xdr:nvSpPr>
      <xdr:spPr bwMode="auto">
        <a:xfrm>
          <a:off x="7267575" y="200025"/>
          <a:ext cx="1724025" cy="485775"/>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ffectLst>
          <a:outerShdw dist="107763" dir="2700000" algn="ctr" rotWithShape="0">
            <a:srgbClr val="808080"/>
          </a:outerShdw>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53640926-AAD7-44D8-BBD7-CCE9431645EC}">
            <a14:shadowObscured xmlns:a14="http://schemas.microsoft.com/office/drawing/2010/main" val="1"/>
          </a:ext>
        </a:extLst>
      </xdr:spPr>
    </xdr:sp>
    <xdr:clientData/>
  </xdr:twoCellAnchor>
  <xdr:twoCellAnchor>
    <xdr:from>
      <xdr:col>6</xdr:col>
      <xdr:colOff>276225</xdr:colOff>
      <xdr:row>32</xdr:row>
      <xdr:rowOff>19050</xdr:rowOff>
    </xdr:from>
    <xdr:to>
      <xdr:col>8</xdr:col>
      <xdr:colOff>342900</xdr:colOff>
      <xdr:row>41</xdr:row>
      <xdr:rowOff>114300</xdr:rowOff>
    </xdr:to>
    <xdr:grpSp>
      <xdr:nvGrpSpPr>
        <xdr:cNvPr id="900285" name="Group 189"/>
        <xdr:cNvGrpSpPr>
          <a:grpSpLocks/>
        </xdr:cNvGrpSpPr>
      </xdr:nvGrpSpPr>
      <xdr:grpSpPr bwMode="auto">
        <a:xfrm>
          <a:off x="4295775" y="5238750"/>
          <a:ext cx="1285875" cy="1552575"/>
          <a:chOff x="451" y="550"/>
          <a:chExt cx="135" cy="163"/>
        </a:xfrm>
      </xdr:grpSpPr>
      <xdr:sp macro="" textlink="">
        <xdr:nvSpPr>
          <xdr:cNvPr id="900136" name="Line 40"/>
          <xdr:cNvSpPr>
            <a:spLocks noChangeShapeType="1"/>
          </xdr:cNvSpPr>
        </xdr:nvSpPr>
        <xdr:spPr bwMode="auto">
          <a:xfrm>
            <a:off x="476" y="550"/>
            <a:ext cx="0" cy="138"/>
          </a:xfrm>
          <a:prstGeom prst="line">
            <a:avLst/>
          </a:prstGeom>
          <a:noFill/>
          <a:ln w="19050">
            <a:solidFill>
              <a:srgbClr xmlns:mc="http://schemas.openxmlformats.org/markup-compatibility/2006" xmlns:a14="http://schemas.microsoft.com/office/drawing/2010/main" val="000000" mc:Ignorable="a14" a14:legacySpreadsheetColorIndex="64"/>
            </a:solidFill>
            <a:round/>
            <a:headEnd type="triangle" w="sm" len="lg"/>
            <a:tailEnd/>
          </a:ln>
          <a:extLst>
            <a:ext uri="{909E8E84-426E-40DD-AFC4-6F175D3DCCD1}">
              <a14:hiddenFill xmlns:a14="http://schemas.microsoft.com/office/drawing/2010/main">
                <a:noFill/>
              </a14:hiddenFill>
            </a:ext>
          </a:extLst>
        </xdr:spPr>
      </xdr:sp>
      <xdr:sp macro="" textlink="">
        <xdr:nvSpPr>
          <xdr:cNvPr id="900137" name="Line 41"/>
          <xdr:cNvSpPr>
            <a:spLocks noChangeShapeType="1"/>
          </xdr:cNvSpPr>
        </xdr:nvSpPr>
        <xdr:spPr bwMode="auto">
          <a:xfrm>
            <a:off x="476" y="688"/>
            <a:ext cx="110"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sm" len="lg"/>
          </a:ln>
          <a:extLst>
            <a:ext uri="{909E8E84-426E-40DD-AFC4-6F175D3DCCD1}">
              <a14:hiddenFill xmlns:a14="http://schemas.microsoft.com/office/drawing/2010/main">
                <a:noFill/>
              </a14:hiddenFill>
            </a:ext>
          </a:extLst>
        </xdr:spPr>
      </xdr:sp>
      <xdr:sp macro="" textlink="">
        <xdr:nvSpPr>
          <xdr:cNvPr id="900138" name="Line 42"/>
          <xdr:cNvSpPr>
            <a:spLocks noChangeShapeType="1"/>
          </xdr:cNvSpPr>
        </xdr:nvSpPr>
        <xdr:spPr bwMode="auto">
          <a:xfrm>
            <a:off x="506" y="583"/>
            <a:ext cx="0" cy="84"/>
          </a:xfrm>
          <a:prstGeom prst="line">
            <a:avLst/>
          </a:prstGeom>
          <a:noFill/>
          <a:ln w="38100">
            <a:solidFill>
              <a:srgbClr xmlns:mc="http://schemas.openxmlformats.org/markup-compatibility/2006" xmlns:a14="http://schemas.microsoft.com/office/drawing/2010/main" val="FF0000" mc:Ignorable="a14" a14:legacySpreadsheetColorIndex="10"/>
            </a:solidFill>
            <a:round/>
            <a:headEnd/>
            <a:tailEnd/>
          </a:ln>
          <a:extLst>
            <a:ext uri="{909E8E84-426E-40DD-AFC4-6F175D3DCCD1}">
              <a14:hiddenFill xmlns:a14="http://schemas.microsoft.com/office/drawing/2010/main">
                <a:noFill/>
              </a14:hiddenFill>
            </a:ext>
          </a:extLst>
        </xdr:spPr>
      </xdr:sp>
      <xdr:sp macro="" textlink="">
        <xdr:nvSpPr>
          <xdr:cNvPr id="900139" name="Line 43"/>
          <xdr:cNvSpPr>
            <a:spLocks noChangeShapeType="1"/>
          </xdr:cNvSpPr>
        </xdr:nvSpPr>
        <xdr:spPr bwMode="auto">
          <a:xfrm>
            <a:off x="507" y="585"/>
            <a:ext cx="29" cy="0"/>
          </a:xfrm>
          <a:prstGeom prst="line">
            <a:avLst/>
          </a:prstGeom>
          <a:noFill/>
          <a:ln w="38100">
            <a:solidFill>
              <a:srgbClr xmlns:mc="http://schemas.openxmlformats.org/markup-compatibility/2006" xmlns:a14="http://schemas.microsoft.com/office/drawing/2010/main" val="FF0000" mc:Ignorable="a14" a14:legacySpreadsheetColorIndex="10"/>
            </a:solidFill>
            <a:round/>
            <a:headEnd/>
            <a:tailEnd/>
          </a:ln>
          <a:extLst>
            <a:ext uri="{909E8E84-426E-40DD-AFC4-6F175D3DCCD1}">
              <a14:hiddenFill xmlns:a14="http://schemas.microsoft.com/office/drawing/2010/main">
                <a:noFill/>
              </a14:hiddenFill>
            </a:ext>
          </a:extLst>
        </xdr:spPr>
      </xdr:sp>
      <xdr:sp macro="" textlink="">
        <xdr:nvSpPr>
          <xdr:cNvPr id="900140" name="Line 44"/>
          <xdr:cNvSpPr>
            <a:spLocks noChangeShapeType="1"/>
          </xdr:cNvSpPr>
        </xdr:nvSpPr>
        <xdr:spPr bwMode="auto">
          <a:xfrm>
            <a:off x="506" y="665"/>
            <a:ext cx="48" cy="0"/>
          </a:xfrm>
          <a:prstGeom prst="line">
            <a:avLst/>
          </a:prstGeom>
          <a:noFill/>
          <a:ln w="38100">
            <a:solidFill>
              <a:srgbClr xmlns:mc="http://schemas.openxmlformats.org/markup-compatibility/2006" xmlns:a14="http://schemas.microsoft.com/office/drawing/2010/main" val="FF0000" mc:Ignorable="a14" a14:legacySpreadsheetColorIndex="10"/>
            </a:solidFill>
            <a:round/>
            <a:headEnd/>
            <a:tailEnd/>
          </a:ln>
          <a:extLst>
            <a:ext uri="{909E8E84-426E-40DD-AFC4-6F175D3DCCD1}">
              <a14:hiddenFill xmlns:a14="http://schemas.microsoft.com/office/drawing/2010/main">
                <a:noFill/>
              </a14:hiddenFill>
            </a:ext>
          </a:extLst>
        </xdr:spPr>
      </xdr:sp>
      <xdr:sp macro="" textlink="">
        <xdr:nvSpPr>
          <xdr:cNvPr id="900141" name="Line 45"/>
          <xdr:cNvSpPr>
            <a:spLocks noChangeShapeType="1"/>
          </xdr:cNvSpPr>
        </xdr:nvSpPr>
        <xdr:spPr bwMode="auto">
          <a:xfrm flipH="1">
            <a:off x="451" y="688"/>
            <a:ext cx="25" cy="2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sm" len="lg"/>
          </a:ln>
          <a:extLst>
            <a:ext uri="{909E8E84-426E-40DD-AFC4-6F175D3DCCD1}">
              <a14:hiddenFill xmlns:a14="http://schemas.microsoft.com/office/drawing/2010/main">
                <a:noFill/>
              </a14:hiddenFill>
            </a:ext>
          </a:extLst>
        </xdr:spPr>
      </xdr:sp>
      <xdr:sp macro="" textlink="">
        <xdr:nvSpPr>
          <xdr:cNvPr id="900142" name="Line 46"/>
          <xdr:cNvSpPr>
            <a:spLocks noChangeShapeType="1"/>
          </xdr:cNvSpPr>
        </xdr:nvSpPr>
        <xdr:spPr bwMode="auto">
          <a:xfrm flipH="1">
            <a:off x="507" y="624"/>
            <a:ext cx="39"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stealth" w="sm" len="sm"/>
          </a:ln>
          <a:extLst>
            <a:ext uri="{909E8E84-426E-40DD-AFC4-6F175D3DCCD1}">
              <a14:hiddenFill xmlns:a14="http://schemas.microsoft.com/office/drawing/2010/main">
                <a:noFill/>
              </a14:hiddenFill>
            </a:ext>
          </a:extLst>
        </xdr:spPr>
      </xdr:sp>
      <xdr:sp macro="" textlink="">
        <xdr:nvSpPr>
          <xdr:cNvPr id="900143" name="Line 47"/>
          <xdr:cNvSpPr>
            <a:spLocks noChangeShapeType="1"/>
          </xdr:cNvSpPr>
        </xdr:nvSpPr>
        <xdr:spPr bwMode="auto">
          <a:xfrm flipH="1">
            <a:off x="526" y="608"/>
            <a:ext cx="21"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900144" name="Line 48"/>
          <xdr:cNvSpPr>
            <a:spLocks noChangeShapeType="1"/>
          </xdr:cNvSpPr>
        </xdr:nvSpPr>
        <xdr:spPr bwMode="auto">
          <a:xfrm flipV="1">
            <a:off x="526" y="586"/>
            <a:ext cx="0" cy="2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stealth" w="sm" len="sm"/>
          </a:ln>
          <a:extLst>
            <a:ext uri="{909E8E84-426E-40DD-AFC4-6F175D3DCCD1}">
              <a14:hiddenFill xmlns:a14="http://schemas.microsoft.com/office/drawing/2010/main">
                <a:noFill/>
              </a14:hiddenFill>
            </a:ext>
          </a:extLst>
        </xdr:spPr>
      </xdr:sp>
      <xdr:sp macro="" textlink="">
        <xdr:nvSpPr>
          <xdr:cNvPr id="900145" name="Line 49"/>
          <xdr:cNvSpPr>
            <a:spLocks noChangeShapeType="1"/>
          </xdr:cNvSpPr>
        </xdr:nvSpPr>
        <xdr:spPr bwMode="auto">
          <a:xfrm flipH="1">
            <a:off x="526" y="641"/>
            <a:ext cx="21"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900146" name="Line 50"/>
          <xdr:cNvSpPr>
            <a:spLocks noChangeShapeType="1"/>
          </xdr:cNvSpPr>
        </xdr:nvSpPr>
        <xdr:spPr bwMode="auto">
          <a:xfrm>
            <a:off x="526" y="641"/>
            <a:ext cx="0" cy="2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stealth" w="sm" len="sm"/>
          </a:ln>
          <a:extLst>
            <a:ext uri="{909E8E84-426E-40DD-AFC4-6F175D3DCCD1}">
              <a14:hiddenFill xmlns:a14="http://schemas.microsoft.com/office/drawing/2010/main">
                <a:noFill/>
              </a14:hiddenFill>
            </a:ext>
          </a:extLst>
        </xdr:spPr>
      </xdr:sp>
      <xdr:sp macro="" textlink="">
        <xdr:nvSpPr>
          <xdr:cNvPr id="900147" name="Line 51"/>
          <xdr:cNvSpPr>
            <a:spLocks noChangeShapeType="1"/>
          </xdr:cNvSpPr>
        </xdr:nvSpPr>
        <xdr:spPr bwMode="auto">
          <a:xfrm flipH="1" flipV="1">
            <a:off x="484" y="696"/>
            <a:ext cx="13" cy="13"/>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stealth" w="sm" len="sm"/>
          </a:ln>
          <a:extLst>
            <a:ext uri="{909E8E84-426E-40DD-AFC4-6F175D3DCCD1}">
              <a14:hiddenFill xmlns:a14="http://schemas.microsoft.com/office/drawing/2010/main">
                <a:noFill/>
              </a14:hiddenFill>
            </a:ext>
          </a:extLst>
        </xdr:spPr>
      </xdr:sp>
    </xdr:grpSp>
    <xdr:clientData/>
  </xdr:twoCellAnchor>
  <xdr:twoCellAnchor>
    <xdr:from>
      <xdr:col>66</xdr:col>
      <xdr:colOff>38100</xdr:colOff>
      <xdr:row>84</xdr:row>
      <xdr:rowOff>76200</xdr:rowOff>
    </xdr:from>
    <xdr:to>
      <xdr:col>66</xdr:col>
      <xdr:colOff>342900</xdr:colOff>
      <xdr:row>84</xdr:row>
      <xdr:rowOff>76200</xdr:rowOff>
    </xdr:to>
    <xdr:sp macro="" textlink="">
      <xdr:nvSpPr>
        <xdr:cNvPr id="900149" name="Line 53"/>
        <xdr:cNvSpPr>
          <a:spLocks noChangeShapeType="1"/>
        </xdr:cNvSpPr>
      </xdr:nvSpPr>
      <xdr:spPr bwMode="auto">
        <a:xfrm flipH="1">
          <a:off x="10858500" y="13716000"/>
          <a:ext cx="3048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66</xdr:col>
      <xdr:colOff>38100</xdr:colOff>
      <xdr:row>95</xdr:row>
      <xdr:rowOff>76200</xdr:rowOff>
    </xdr:from>
    <xdr:to>
      <xdr:col>66</xdr:col>
      <xdr:colOff>342900</xdr:colOff>
      <xdr:row>95</xdr:row>
      <xdr:rowOff>76200</xdr:rowOff>
    </xdr:to>
    <xdr:sp macro="" textlink="">
      <xdr:nvSpPr>
        <xdr:cNvPr id="900150" name="Line 54"/>
        <xdr:cNvSpPr>
          <a:spLocks noChangeShapeType="1"/>
        </xdr:cNvSpPr>
      </xdr:nvSpPr>
      <xdr:spPr bwMode="auto">
        <a:xfrm flipH="1">
          <a:off x="10858500" y="15497175"/>
          <a:ext cx="3048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66</xdr:col>
      <xdr:colOff>342900</xdr:colOff>
      <xdr:row>84</xdr:row>
      <xdr:rowOff>76200</xdr:rowOff>
    </xdr:from>
    <xdr:to>
      <xdr:col>66</xdr:col>
      <xdr:colOff>342900</xdr:colOff>
      <xdr:row>95</xdr:row>
      <xdr:rowOff>76200</xdr:rowOff>
    </xdr:to>
    <xdr:sp macro="" textlink="">
      <xdr:nvSpPr>
        <xdr:cNvPr id="900151" name="Line 55"/>
        <xdr:cNvSpPr>
          <a:spLocks noChangeShapeType="1"/>
        </xdr:cNvSpPr>
      </xdr:nvSpPr>
      <xdr:spPr bwMode="auto">
        <a:xfrm>
          <a:off x="11163300" y="13716000"/>
          <a:ext cx="0" cy="17811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66</xdr:col>
      <xdr:colOff>342900</xdr:colOff>
      <xdr:row>90</xdr:row>
      <xdr:rowOff>0</xdr:rowOff>
    </xdr:from>
    <xdr:to>
      <xdr:col>66</xdr:col>
      <xdr:colOff>581025</xdr:colOff>
      <xdr:row>90</xdr:row>
      <xdr:rowOff>0</xdr:rowOff>
    </xdr:to>
    <xdr:sp macro="" textlink="">
      <xdr:nvSpPr>
        <xdr:cNvPr id="900152" name="Line 56"/>
        <xdr:cNvSpPr>
          <a:spLocks noChangeShapeType="1"/>
        </xdr:cNvSpPr>
      </xdr:nvSpPr>
      <xdr:spPr bwMode="auto">
        <a:xfrm>
          <a:off x="11163300" y="14611350"/>
          <a:ext cx="23812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66</xdr:col>
      <xdr:colOff>38100</xdr:colOff>
      <xdr:row>114</xdr:row>
      <xdr:rowOff>76200</xdr:rowOff>
    </xdr:from>
    <xdr:to>
      <xdr:col>66</xdr:col>
      <xdr:colOff>342900</xdr:colOff>
      <xdr:row>114</xdr:row>
      <xdr:rowOff>76200</xdr:rowOff>
    </xdr:to>
    <xdr:sp macro="" textlink="">
      <xdr:nvSpPr>
        <xdr:cNvPr id="900153" name="Line 57"/>
        <xdr:cNvSpPr>
          <a:spLocks noChangeShapeType="1"/>
        </xdr:cNvSpPr>
      </xdr:nvSpPr>
      <xdr:spPr bwMode="auto">
        <a:xfrm flipH="1">
          <a:off x="10858500" y="18573750"/>
          <a:ext cx="3048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66</xdr:col>
      <xdr:colOff>38100</xdr:colOff>
      <xdr:row>121</xdr:row>
      <xdr:rowOff>76200</xdr:rowOff>
    </xdr:from>
    <xdr:to>
      <xdr:col>66</xdr:col>
      <xdr:colOff>342900</xdr:colOff>
      <xdr:row>121</xdr:row>
      <xdr:rowOff>76200</xdr:rowOff>
    </xdr:to>
    <xdr:sp macro="" textlink="">
      <xdr:nvSpPr>
        <xdr:cNvPr id="900154" name="Line 58"/>
        <xdr:cNvSpPr>
          <a:spLocks noChangeShapeType="1"/>
        </xdr:cNvSpPr>
      </xdr:nvSpPr>
      <xdr:spPr bwMode="auto">
        <a:xfrm flipH="1">
          <a:off x="10858500" y="19707225"/>
          <a:ext cx="3048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66</xdr:col>
      <xdr:colOff>342900</xdr:colOff>
      <xdr:row>114</xdr:row>
      <xdr:rowOff>76200</xdr:rowOff>
    </xdr:from>
    <xdr:to>
      <xdr:col>66</xdr:col>
      <xdr:colOff>342900</xdr:colOff>
      <xdr:row>121</xdr:row>
      <xdr:rowOff>76200</xdr:rowOff>
    </xdr:to>
    <xdr:sp macro="" textlink="">
      <xdr:nvSpPr>
        <xdr:cNvPr id="900155" name="Line 59"/>
        <xdr:cNvSpPr>
          <a:spLocks noChangeShapeType="1"/>
        </xdr:cNvSpPr>
      </xdr:nvSpPr>
      <xdr:spPr bwMode="auto">
        <a:xfrm>
          <a:off x="11163300" y="18573750"/>
          <a:ext cx="0" cy="11334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66</xdr:col>
      <xdr:colOff>342900</xdr:colOff>
      <xdr:row>118</xdr:row>
      <xdr:rowOff>0</xdr:rowOff>
    </xdr:from>
    <xdr:to>
      <xdr:col>66</xdr:col>
      <xdr:colOff>581025</xdr:colOff>
      <xdr:row>118</xdr:row>
      <xdr:rowOff>0</xdr:rowOff>
    </xdr:to>
    <xdr:sp macro="" textlink="">
      <xdr:nvSpPr>
        <xdr:cNvPr id="900156" name="Line 60"/>
        <xdr:cNvSpPr>
          <a:spLocks noChangeShapeType="1"/>
        </xdr:cNvSpPr>
      </xdr:nvSpPr>
      <xdr:spPr bwMode="auto">
        <a:xfrm>
          <a:off x="11163300" y="19145250"/>
          <a:ext cx="23812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66</xdr:col>
      <xdr:colOff>38100</xdr:colOff>
      <xdr:row>140</xdr:row>
      <xdr:rowOff>76200</xdr:rowOff>
    </xdr:from>
    <xdr:to>
      <xdr:col>66</xdr:col>
      <xdr:colOff>342900</xdr:colOff>
      <xdr:row>140</xdr:row>
      <xdr:rowOff>76200</xdr:rowOff>
    </xdr:to>
    <xdr:sp macro="" textlink="">
      <xdr:nvSpPr>
        <xdr:cNvPr id="900157" name="Line 61"/>
        <xdr:cNvSpPr>
          <a:spLocks noChangeShapeType="1"/>
        </xdr:cNvSpPr>
      </xdr:nvSpPr>
      <xdr:spPr bwMode="auto">
        <a:xfrm flipH="1">
          <a:off x="10858500" y="22783800"/>
          <a:ext cx="3048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66</xdr:col>
      <xdr:colOff>38100</xdr:colOff>
      <xdr:row>147</xdr:row>
      <xdr:rowOff>76200</xdr:rowOff>
    </xdr:from>
    <xdr:to>
      <xdr:col>66</xdr:col>
      <xdr:colOff>342900</xdr:colOff>
      <xdr:row>147</xdr:row>
      <xdr:rowOff>76200</xdr:rowOff>
    </xdr:to>
    <xdr:sp macro="" textlink="">
      <xdr:nvSpPr>
        <xdr:cNvPr id="900158" name="Line 62"/>
        <xdr:cNvSpPr>
          <a:spLocks noChangeShapeType="1"/>
        </xdr:cNvSpPr>
      </xdr:nvSpPr>
      <xdr:spPr bwMode="auto">
        <a:xfrm flipH="1">
          <a:off x="10858500" y="23917275"/>
          <a:ext cx="3048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66</xdr:col>
      <xdr:colOff>342900</xdr:colOff>
      <xdr:row>140</xdr:row>
      <xdr:rowOff>76200</xdr:rowOff>
    </xdr:from>
    <xdr:to>
      <xdr:col>66</xdr:col>
      <xdr:colOff>342900</xdr:colOff>
      <xdr:row>147</xdr:row>
      <xdr:rowOff>76200</xdr:rowOff>
    </xdr:to>
    <xdr:sp macro="" textlink="">
      <xdr:nvSpPr>
        <xdr:cNvPr id="900159" name="Line 63"/>
        <xdr:cNvSpPr>
          <a:spLocks noChangeShapeType="1"/>
        </xdr:cNvSpPr>
      </xdr:nvSpPr>
      <xdr:spPr bwMode="auto">
        <a:xfrm>
          <a:off x="11163300" y="22783800"/>
          <a:ext cx="0" cy="11334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66</xdr:col>
      <xdr:colOff>342900</xdr:colOff>
      <xdr:row>144</xdr:row>
      <xdr:rowOff>0</xdr:rowOff>
    </xdr:from>
    <xdr:to>
      <xdr:col>66</xdr:col>
      <xdr:colOff>581025</xdr:colOff>
      <xdr:row>144</xdr:row>
      <xdr:rowOff>0</xdr:rowOff>
    </xdr:to>
    <xdr:sp macro="" textlink="">
      <xdr:nvSpPr>
        <xdr:cNvPr id="900160" name="Line 64"/>
        <xdr:cNvSpPr>
          <a:spLocks noChangeShapeType="1"/>
        </xdr:cNvSpPr>
      </xdr:nvSpPr>
      <xdr:spPr bwMode="auto">
        <a:xfrm>
          <a:off x="11163300" y="23355300"/>
          <a:ext cx="23812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66</xdr:col>
      <xdr:colOff>38100</xdr:colOff>
      <xdr:row>165</xdr:row>
      <xdr:rowOff>76200</xdr:rowOff>
    </xdr:from>
    <xdr:to>
      <xdr:col>66</xdr:col>
      <xdr:colOff>342900</xdr:colOff>
      <xdr:row>165</xdr:row>
      <xdr:rowOff>76200</xdr:rowOff>
    </xdr:to>
    <xdr:sp macro="" textlink="">
      <xdr:nvSpPr>
        <xdr:cNvPr id="900161" name="Line 65"/>
        <xdr:cNvSpPr>
          <a:spLocks noChangeShapeType="1"/>
        </xdr:cNvSpPr>
      </xdr:nvSpPr>
      <xdr:spPr bwMode="auto">
        <a:xfrm flipH="1">
          <a:off x="10858500" y="26831925"/>
          <a:ext cx="3048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66</xdr:col>
      <xdr:colOff>38100</xdr:colOff>
      <xdr:row>170</xdr:row>
      <xdr:rowOff>76200</xdr:rowOff>
    </xdr:from>
    <xdr:to>
      <xdr:col>66</xdr:col>
      <xdr:colOff>342900</xdr:colOff>
      <xdr:row>170</xdr:row>
      <xdr:rowOff>76200</xdr:rowOff>
    </xdr:to>
    <xdr:sp macro="" textlink="">
      <xdr:nvSpPr>
        <xdr:cNvPr id="900162" name="Line 66"/>
        <xdr:cNvSpPr>
          <a:spLocks noChangeShapeType="1"/>
        </xdr:cNvSpPr>
      </xdr:nvSpPr>
      <xdr:spPr bwMode="auto">
        <a:xfrm flipH="1">
          <a:off x="10858500" y="27641550"/>
          <a:ext cx="3048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66</xdr:col>
      <xdr:colOff>342900</xdr:colOff>
      <xdr:row>165</xdr:row>
      <xdr:rowOff>76200</xdr:rowOff>
    </xdr:from>
    <xdr:to>
      <xdr:col>66</xdr:col>
      <xdr:colOff>342900</xdr:colOff>
      <xdr:row>170</xdr:row>
      <xdr:rowOff>76200</xdr:rowOff>
    </xdr:to>
    <xdr:sp macro="" textlink="">
      <xdr:nvSpPr>
        <xdr:cNvPr id="900163" name="Line 67"/>
        <xdr:cNvSpPr>
          <a:spLocks noChangeShapeType="1"/>
        </xdr:cNvSpPr>
      </xdr:nvSpPr>
      <xdr:spPr bwMode="auto">
        <a:xfrm>
          <a:off x="11163300" y="26831925"/>
          <a:ext cx="0" cy="8096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66</xdr:col>
      <xdr:colOff>342900</xdr:colOff>
      <xdr:row>168</xdr:row>
      <xdr:rowOff>0</xdr:rowOff>
    </xdr:from>
    <xdr:to>
      <xdr:col>66</xdr:col>
      <xdr:colOff>581025</xdr:colOff>
      <xdr:row>168</xdr:row>
      <xdr:rowOff>0</xdr:rowOff>
    </xdr:to>
    <xdr:sp macro="" textlink="">
      <xdr:nvSpPr>
        <xdr:cNvPr id="900164" name="Line 68"/>
        <xdr:cNvSpPr>
          <a:spLocks noChangeShapeType="1"/>
        </xdr:cNvSpPr>
      </xdr:nvSpPr>
      <xdr:spPr bwMode="auto">
        <a:xfrm>
          <a:off x="11163300" y="27241500"/>
          <a:ext cx="23812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66</xdr:col>
      <xdr:colOff>38100</xdr:colOff>
      <xdr:row>188</xdr:row>
      <xdr:rowOff>76200</xdr:rowOff>
    </xdr:from>
    <xdr:to>
      <xdr:col>66</xdr:col>
      <xdr:colOff>342900</xdr:colOff>
      <xdr:row>188</xdr:row>
      <xdr:rowOff>76200</xdr:rowOff>
    </xdr:to>
    <xdr:sp macro="" textlink="">
      <xdr:nvSpPr>
        <xdr:cNvPr id="900165" name="Line 69"/>
        <xdr:cNvSpPr>
          <a:spLocks noChangeShapeType="1"/>
        </xdr:cNvSpPr>
      </xdr:nvSpPr>
      <xdr:spPr bwMode="auto">
        <a:xfrm flipH="1">
          <a:off x="10858500" y="30556200"/>
          <a:ext cx="3048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66</xdr:col>
      <xdr:colOff>38100</xdr:colOff>
      <xdr:row>195</xdr:row>
      <xdr:rowOff>76200</xdr:rowOff>
    </xdr:from>
    <xdr:to>
      <xdr:col>66</xdr:col>
      <xdr:colOff>342900</xdr:colOff>
      <xdr:row>195</xdr:row>
      <xdr:rowOff>76200</xdr:rowOff>
    </xdr:to>
    <xdr:sp macro="" textlink="">
      <xdr:nvSpPr>
        <xdr:cNvPr id="900166" name="Line 70"/>
        <xdr:cNvSpPr>
          <a:spLocks noChangeShapeType="1"/>
        </xdr:cNvSpPr>
      </xdr:nvSpPr>
      <xdr:spPr bwMode="auto">
        <a:xfrm flipH="1">
          <a:off x="10858500" y="31689675"/>
          <a:ext cx="3048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66</xdr:col>
      <xdr:colOff>342900</xdr:colOff>
      <xdr:row>188</xdr:row>
      <xdr:rowOff>76200</xdr:rowOff>
    </xdr:from>
    <xdr:to>
      <xdr:col>66</xdr:col>
      <xdr:colOff>342900</xdr:colOff>
      <xdr:row>195</xdr:row>
      <xdr:rowOff>76200</xdr:rowOff>
    </xdr:to>
    <xdr:sp macro="" textlink="">
      <xdr:nvSpPr>
        <xdr:cNvPr id="900167" name="Line 71"/>
        <xdr:cNvSpPr>
          <a:spLocks noChangeShapeType="1"/>
        </xdr:cNvSpPr>
      </xdr:nvSpPr>
      <xdr:spPr bwMode="auto">
        <a:xfrm>
          <a:off x="11163300" y="30556200"/>
          <a:ext cx="0" cy="11334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66</xdr:col>
      <xdr:colOff>342900</xdr:colOff>
      <xdr:row>192</xdr:row>
      <xdr:rowOff>0</xdr:rowOff>
    </xdr:from>
    <xdr:to>
      <xdr:col>66</xdr:col>
      <xdr:colOff>581025</xdr:colOff>
      <xdr:row>192</xdr:row>
      <xdr:rowOff>0</xdr:rowOff>
    </xdr:to>
    <xdr:sp macro="" textlink="">
      <xdr:nvSpPr>
        <xdr:cNvPr id="900168" name="Line 72"/>
        <xdr:cNvSpPr>
          <a:spLocks noChangeShapeType="1"/>
        </xdr:cNvSpPr>
      </xdr:nvSpPr>
      <xdr:spPr bwMode="auto">
        <a:xfrm>
          <a:off x="11163300" y="31127700"/>
          <a:ext cx="23812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67</xdr:col>
      <xdr:colOff>133350</xdr:colOff>
      <xdr:row>37</xdr:row>
      <xdr:rowOff>133350</xdr:rowOff>
    </xdr:from>
    <xdr:to>
      <xdr:col>69</xdr:col>
      <xdr:colOff>85725</xdr:colOff>
      <xdr:row>43</xdr:row>
      <xdr:rowOff>76200</xdr:rowOff>
    </xdr:to>
    <xdr:grpSp>
      <xdr:nvGrpSpPr>
        <xdr:cNvPr id="900279" name="Group 183"/>
        <xdr:cNvGrpSpPr>
          <a:grpSpLocks/>
        </xdr:cNvGrpSpPr>
      </xdr:nvGrpSpPr>
      <xdr:grpSpPr bwMode="auto">
        <a:xfrm>
          <a:off x="11563350" y="6162675"/>
          <a:ext cx="1171575" cy="914400"/>
          <a:chOff x="1214" y="647"/>
          <a:chExt cx="123" cy="96"/>
        </a:xfrm>
      </xdr:grpSpPr>
      <xdr:sp macro="" textlink="">
        <xdr:nvSpPr>
          <xdr:cNvPr id="900169" name="Oval 73"/>
          <xdr:cNvSpPr>
            <a:spLocks noChangeArrowheads="1"/>
          </xdr:cNvSpPr>
        </xdr:nvSpPr>
        <xdr:spPr bwMode="auto">
          <a:xfrm>
            <a:off x="1214" y="647"/>
            <a:ext cx="96" cy="96"/>
          </a:xfrm>
          <a:prstGeom prst="ellipse">
            <a:avLst/>
          </a:prstGeom>
          <a:solidFill>
            <a:srgbClr xmlns:mc="http://schemas.openxmlformats.org/markup-compatibility/2006" xmlns:a14="http://schemas.microsoft.com/office/drawing/2010/main" val="FFFFFF" mc:Ignorable="a14" a14:legacySpreadsheetColorIndex="9"/>
          </a:solidFill>
          <a:ln w="19050">
            <a:solidFill>
              <a:srgbClr xmlns:mc="http://schemas.openxmlformats.org/markup-compatibility/2006" xmlns:a14="http://schemas.microsoft.com/office/drawing/2010/main" val="000000" mc:Ignorable="a14" a14:legacySpreadsheetColorIndex="64"/>
            </a:solidFill>
            <a:round/>
            <a:headEnd/>
            <a:tailEnd/>
          </a:ln>
        </xdr:spPr>
      </xdr:sp>
      <xdr:sp macro="" textlink="">
        <xdr:nvSpPr>
          <xdr:cNvPr id="900170" name="Line 74"/>
          <xdr:cNvSpPr>
            <a:spLocks noChangeShapeType="1"/>
          </xdr:cNvSpPr>
        </xdr:nvSpPr>
        <xdr:spPr bwMode="auto">
          <a:xfrm>
            <a:off x="1284" y="743"/>
            <a:ext cx="53"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900171" name="Line 75"/>
          <xdr:cNvSpPr>
            <a:spLocks noChangeShapeType="1"/>
          </xdr:cNvSpPr>
        </xdr:nvSpPr>
        <xdr:spPr bwMode="auto">
          <a:xfrm>
            <a:off x="1284" y="647"/>
            <a:ext cx="53"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900172" name="Line 76"/>
          <xdr:cNvSpPr>
            <a:spLocks noChangeShapeType="1"/>
          </xdr:cNvSpPr>
        </xdr:nvSpPr>
        <xdr:spPr bwMode="auto">
          <a:xfrm>
            <a:off x="1323" y="647"/>
            <a:ext cx="0" cy="96"/>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stealth" w="med" len="med"/>
            <a:tailEnd type="stealth" w="med" len="med"/>
          </a:ln>
          <a:extLst>
            <a:ext uri="{909E8E84-426E-40DD-AFC4-6F175D3DCCD1}">
              <a14:hiddenFill xmlns:a14="http://schemas.microsoft.com/office/drawing/2010/main">
                <a:noFill/>
              </a14:hiddenFill>
            </a:ext>
          </a:extLst>
        </xdr:spPr>
      </xdr:sp>
    </xdr:grpSp>
    <xdr:clientData/>
  </xdr:twoCellAnchor>
  <xdr:twoCellAnchor>
    <xdr:from>
      <xdr:col>67</xdr:col>
      <xdr:colOff>38100</xdr:colOff>
      <xdr:row>106</xdr:row>
      <xdr:rowOff>38100</xdr:rowOff>
    </xdr:from>
    <xdr:to>
      <xdr:col>70</xdr:col>
      <xdr:colOff>85725</xdr:colOff>
      <xdr:row>114</xdr:row>
      <xdr:rowOff>66675</xdr:rowOff>
    </xdr:to>
    <xdr:grpSp>
      <xdr:nvGrpSpPr>
        <xdr:cNvPr id="900281" name="Group 185"/>
        <xdr:cNvGrpSpPr>
          <a:grpSpLocks/>
        </xdr:cNvGrpSpPr>
      </xdr:nvGrpSpPr>
      <xdr:grpSpPr bwMode="auto">
        <a:xfrm>
          <a:off x="11468100" y="17240250"/>
          <a:ext cx="1876425" cy="1323975"/>
          <a:chOff x="1204" y="1810"/>
          <a:chExt cx="197" cy="139"/>
        </a:xfrm>
      </xdr:grpSpPr>
      <xdr:sp macro="" textlink="">
        <xdr:nvSpPr>
          <xdr:cNvPr id="900191" name="Rectangle 95"/>
          <xdr:cNvSpPr>
            <a:spLocks noChangeArrowheads="1"/>
          </xdr:cNvSpPr>
        </xdr:nvSpPr>
        <xdr:spPr bwMode="auto">
          <a:xfrm>
            <a:off x="1226" y="1850"/>
            <a:ext cx="97" cy="14"/>
          </a:xfrm>
          <a:prstGeom prst="rect">
            <a:avLst/>
          </a:prstGeom>
          <a:solidFill>
            <a:srgbClr xmlns:mc="http://schemas.openxmlformats.org/markup-compatibility/2006" xmlns:a14="http://schemas.microsoft.com/office/drawing/2010/main" val="FFFFFF" mc:Ignorable="a14" a14:legacySpreadsheetColorIndex="9"/>
          </a:solidFill>
          <a:ln w="19050">
            <a:solidFill>
              <a:srgbClr xmlns:mc="http://schemas.openxmlformats.org/markup-compatibility/2006" xmlns:a14="http://schemas.microsoft.com/office/drawing/2010/main" val="000000" mc:Ignorable="a14" a14:legacySpreadsheetColorIndex="64"/>
            </a:solidFill>
            <a:miter lim="800000"/>
            <a:headEnd/>
            <a:tailEnd/>
          </a:ln>
        </xdr:spPr>
      </xdr:sp>
      <xdr:sp macro="" textlink="">
        <xdr:nvSpPr>
          <xdr:cNvPr id="900192" name="Rectangle 96"/>
          <xdr:cNvSpPr>
            <a:spLocks noChangeArrowheads="1"/>
          </xdr:cNvSpPr>
        </xdr:nvSpPr>
        <xdr:spPr bwMode="auto">
          <a:xfrm>
            <a:off x="1270" y="1864"/>
            <a:ext cx="9" cy="85"/>
          </a:xfrm>
          <a:prstGeom prst="rect">
            <a:avLst/>
          </a:prstGeom>
          <a:solidFill>
            <a:srgbClr xmlns:mc="http://schemas.openxmlformats.org/markup-compatibility/2006" xmlns:a14="http://schemas.microsoft.com/office/drawing/2010/main" val="FFFFFF" mc:Ignorable="a14" a14:legacySpreadsheetColorIndex="9"/>
          </a:solidFill>
          <a:ln w="19050">
            <a:solidFill>
              <a:srgbClr xmlns:mc="http://schemas.openxmlformats.org/markup-compatibility/2006" xmlns:a14="http://schemas.microsoft.com/office/drawing/2010/main" val="000000" mc:Ignorable="a14" a14:legacySpreadsheetColorIndex="64"/>
            </a:solidFill>
            <a:miter lim="800000"/>
            <a:headEnd/>
            <a:tailEnd/>
          </a:ln>
        </xdr:spPr>
      </xdr:sp>
      <xdr:sp macro="" textlink="">
        <xdr:nvSpPr>
          <xdr:cNvPr id="900193" name="Line 97"/>
          <xdr:cNvSpPr>
            <a:spLocks noChangeShapeType="1"/>
          </xdr:cNvSpPr>
        </xdr:nvSpPr>
        <xdr:spPr bwMode="auto">
          <a:xfrm>
            <a:off x="1272" y="1864"/>
            <a:ext cx="6"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900194" name="Rectangle 98"/>
          <xdr:cNvSpPr>
            <a:spLocks noChangeArrowheads="1"/>
          </xdr:cNvSpPr>
        </xdr:nvSpPr>
        <xdr:spPr bwMode="auto">
          <a:xfrm>
            <a:off x="1271" y="1860"/>
            <a:ext cx="7" cy="7"/>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sp macro="" textlink="">
        <xdr:nvSpPr>
          <xdr:cNvPr id="900195" name="Line 99"/>
          <xdr:cNvSpPr>
            <a:spLocks noChangeShapeType="1"/>
          </xdr:cNvSpPr>
        </xdr:nvSpPr>
        <xdr:spPr bwMode="auto">
          <a:xfrm>
            <a:off x="1329" y="1863"/>
            <a:ext cx="18"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900196" name="Line 100"/>
          <xdr:cNvSpPr>
            <a:spLocks noChangeShapeType="1"/>
          </xdr:cNvSpPr>
        </xdr:nvSpPr>
        <xdr:spPr bwMode="auto">
          <a:xfrm flipH="1" flipV="1">
            <a:off x="1353" y="1849"/>
            <a:ext cx="0" cy="99"/>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stealth" w="med" len="med"/>
            <a:tailEnd type="stealth" w="med" len="med"/>
          </a:ln>
          <a:extLst>
            <a:ext uri="{909E8E84-426E-40DD-AFC4-6F175D3DCCD1}">
              <a14:hiddenFill xmlns:a14="http://schemas.microsoft.com/office/drawing/2010/main">
                <a:noFill/>
              </a14:hiddenFill>
            </a:ext>
          </a:extLst>
        </xdr:spPr>
      </xdr:sp>
      <xdr:sp macro="" textlink="">
        <xdr:nvSpPr>
          <xdr:cNvPr id="900197" name="Line 101"/>
          <xdr:cNvSpPr>
            <a:spLocks noChangeShapeType="1"/>
          </xdr:cNvSpPr>
        </xdr:nvSpPr>
        <xdr:spPr bwMode="auto">
          <a:xfrm>
            <a:off x="1226" y="1810"/>
            <a:ext cx="0" cy="34"/>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900198" name="Line 102"/>
          <xdr:cNvSpPr>
            <a:spLocks noChangeShapeType="1"/>
          </xdr:cNvSpPr>
        </xdr:nvSpPr>
        <xdr:spPr bwMode="auto">
          <a:xfrm>
            <a:off x="1322" y="1810"/>
            <a:ext cx="0" cy="34"/>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900199" name="Line 103"/>
          <xdr:cNvSpPr>
            <a:spLocks noChangeShapeType="1"/>
          </xdr:cNvSpPr>
        </xdr:nvSpPr>
        <xdr:spPr bwMode="auto">
          <a:xfrm>
            <a:off x="1226" y="1824"/>
            <a:ext cx="96"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stealth" w="med" len="med"/>
            <a:tailEnd type="stealth" w="med" len="med"/>
          </a:ln>
          <a:extLst>
            <a:ext uri="{909E8E84-426E-40DD-AFC4-6F175D3DCCD1}">
              <a14:hiddenFill xmlns:a14="http://schemas.microsoft.com/office/drawing/2010/main">
                <a:noFill/>
              </a14:hiddenFill>
            </a:ext>
          </a:extLst>
        </xdr:spPr>
      </xdr:sp>
      <xdr:sp macro="" textlink="">
        <xdr:nvSpPr>
          <xdr:cNvPr id="900200" name="Line 104"/>
          <xdr:cNvSpPr>
            <a:spLocks noChangeShapeType="1"/>
          </xdr:cNvSpPr>
        </xdr:nvSpPr>
        <xdr:spPr bwMode="auto">
          <a:xfrm>
            <a:off x="1204" y="1913"/>
            <a:ext cx="66"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stealth" w="med" len="med"/>
          </a:ln>
          <a:extLst>
            <a:ext uri="{909E8E84-426E-40DD-AFC4-6F175D3DCCD1}">
              <a14:hiddenFill xmlns:a14="http://schemas.microsoft.com/office/drawing/2010/main">
                <a:noFill/>
              </a14:hiddenFill>
            </a:ext>
          </a:extLst>
        </xdr:spPr>
      </xdr:sp>
      <xdr:sp macro="" textlink="">
        <xdr:nvSpPr>
          <xdr:cNvPr id="900201" name="Line 105"/>
          <xdr:cNvSpPr>
            <a:spLocks noChangeShapeType="1"/>
          </xdr:cNvSpPr>
        </xdr:nvSpPr>
        <xdr:spPr bwMode="auto">
          <a:xfrm>
            <a:off x="1279" y="1913"/>
            <a:ext cx="31"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stealth" w="med" len="med"/>
            <a:tailEnd/>
          </a:ln>
          <a:extLst>
            <a:ext uri="{909E8E84-426E-40DD-AFC4-6F175D3DCCD1}">
              <a14:hiddenFill xmlns:a14="http://schemas.microsoft.com/office/drawing/2010/main">
                <a:noFill/>
              </a14:hiddenFill>
            </a:ext>
          </a:extLst>
        </xdr:spPr>
      </xdr:sp>
      <xdr:sp macro="" textlink="">
        <xdr:nvSpPr>
          <xdr:cNvPr id="900202" name="Line 106"/>
          <xdr:cNvSpPr>
            <a:spLocks noChangeShapeType="1"/>
          </xdr:cNvSpPr>
        </xdr:nvSpPr>
        <xdr:spPr bwMode="auto">
          <a:xfrm>
            <a:off x="1286" y="1948"/>
            <a:ext cx="79"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900203" name="Line 107"/>
          <xdr:cNvSpPr>
            <a:spLocks noChangeShapeType="1"/>
          </xdr:cNvSpPr>
        </xdr:nvSpPr>
        <xdr:spPr bwMode="auto">
          <a:xfrm>
            <a:off x="1329" y="1849"/>
            <a:ext cx="72"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900204" name="Line 108"/>
          <xdr:cNvSpPr>
            <a:spLocks noChangeShapeType="1"/>
          </xdr:cNvSpPr>
        </xdr:nvSpPr>
        <xdr:spPr bwMode="auto">
          <a:xfrm>
            <a:off x="1389" y="1863"/>
            <a:ext cx="0" cy="24"/>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stealth" w="med" len="med"/>
            <a:tailEnd/>
          </a:ln>
          <a:extLst>
            <a:ext uri="{909E8E84-426E-40DD-AFC4-6F175D3DCCD1}">
              <a14:hiddenFill xmlns:a14="http://schemas.microsoft.com/office/drawing/2010/main">
                <a:noFill/>
              </a14:hiddenFill>
            </a:ext>
          </a:extLst>
        </xdr:spPr>
      </xdr:sp>
      <xdr:sp macro="" textlink="">
        <xdr:nvSpPr>
          <xdr:cNvPr id="900205" name="Line 109"/>
          <xdr:cNvSpPr>
            <a:spLocks noChangeShapeType="1"/>
          </xdr:cNvSpPr>
        </xdr:nvSpPr>
        <xdr:spPr bwMode="auto">
          <a:xfrm flipV="1">
            <a:off x="1389" y="1820"/>
            <a:ext cx="0" cy="29"/>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stealth" w="med" len="med"/>
            <a:tailEnd/>
          </a:ln>
          <a:extLst>
            <a:ext uri="{909E8E84-426E-40DD-AFC4-6F175D3DCCD1}">
              <a14:hiddenFill xmlns:a14="http://schemas.microsoft.com/office/drawing/2010/main">
                <a:noFill/>
              </a14:hiddenFill>
            </a:ext>
          </a:extLst>
        </xdr:spPr>
      </xdr:sp>
      <xdr:sp macro="" textlink="">
        <xdr:nvSpPr>
          <xdr:cNvPr id="900206" name="Line 110"/>
          <xdr:cNvSpPr>
            <a:spLocks noChangeShapeType="1"/>
          </xdr:cNvSpPr>
        </xdr:nvSpPr>
        <xdr:spPr bwMode="auto">
          <a:xfrm>
            <a:off x="1360" y="1863"/>
            <a:ext cx="4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clientData/>
  </xdr:twoCellAnchor>
  <xdr:twoCellAnchor>
    <xdr:from>
      <xdr:col>67</xdr:col>
      <xdr:colOff>38100</xdr:colOff>
      <xdr:row>75</xdr:row>
      <xdr:rowOff>133350</xdr:rowOff>
    </xdr:from>
    <xdr:to>
      <xdr:col>70</xdr:col>
      <xdr:colOff>104775</xdr:colOff>
      <xdr:row>86</xdr:row>
      <xdr:rowOff>133350</xdr:rowOff>
    </xdr:to>
    <xdr:grpSp>
      <xdr:nvGrpSpPr>
        <xdr:cNvPr id="900280" name="Group 184"/>
        <xdr:cNvGrpSpPr>
          <a:grpSpLocks/>
        </xdr:cNvGrpSpPr>
      </xdr:nvGrpSpPr>
      <xdr:grpSpPr bwMode="auto">
        <a:xfrm>
          <a:off x="11468100" y="12315825"/>
          <a:ext cx="1895475" cy="1781175"/>
          <a:chOff x="1204" y="1293"/>
          <a:chExt cx="199" cy="187"/>
        </a:xfrm>
      </xdr:grpSpPr>
      <xdr:sp macro="" textlink="">
        <xdr:nvSpPr>
          <xdr:cNvPr id="900173" name="Rectangle 77"/>
          <xdr:cNvSpPr>
            <a:spLocks noChangeArrowheads="1"/>
          </xdr:cNvSpPr>
        </xdr:nvSpPr>
        <xdr:spPr bwMode="auto">
          <a:xfrm>
            <a:off x="1226" y="1323"/>
            <a:ext cx="97" cy="14"/>
          </a:xfrm>
          <a:prstGeom prst="rect">
            <a:avLst/>
          </a:prstGeom>
          <a:solidFill>
            <a:srgbClr xmlns:mc="http://schemas.openxmlformats.org/markup-compatibility/2006" xmlns:a14="http://schemas.microsoft.com/office/drawing/2010/main" val="FFFFFF" mc:Ignorable="a14" a14:legacySpreadsheetColorIndex="9"/>
          </a:solidFill>
          <a:ln w="19050">
            <a:solidFill>
              <a:srgbClr xmlns:mc="http://schemas.openxmlformats.org/markup-compatibility/2006" xmlns:a14="http://schemas.microsoft.com/office/drawing/2010/main" val="000000" mc:Ignorable="a14" a14:legacySpreadsheetColorIndex="64"/>
            </a:solidFill>
            <a:miter lim="800000"/>
            <a:headEnd/>
            <a:tailEnd/>
          </a:ln>
        </xdr:spPr>
      </xdr:sp>
      <xdr:sp macro="" textlink="">
        <xdr:nvSpPr>
          <xdr:cNvPr id="900174" name="Rectangle 78"/>
          <xdr:cNvSpPr>
            <a:spLocks noChangeArrowheads="1"/>
          </xdr:cNvSpPr>
        </xdr:nvSpPr>
        <xdr:spPr bwMode="auto">
          <a:xfrm>
            <a:off x="1226" y="1422"/>
            <a:ext cx="97" cy="14"/>
          </a:xfrm>
          <a:prstGeom prst="rect">
            <a:avLst/>
          </a:prstGeom>
          <a:solidFill>
            <a:srgbClr xmlns:mc="http://schemas.openxmlformats.org/markup-compatibility/2006" xmlns:a14="http://schemas.microsoft.com/office/drawing/2010/main" val="FFFFFF" mc:Ignorable="a14" a14:legacySpreadsheetColorIndex="9"/>
          </a:solidFill>
          <a:ln w="19050">
            <a:solidFill>
              <a:srgbClr xmlns:mc="http://schemas.openxmlformats.org/markup-compatibility/2006" xmlns:a14="http://schemas.microsoft.com/office/drawing/2010/main" val="000000" mc:Ignorable="a14" a14:legacySpreadsheetColorIndex="64"/>
            </a:solidFill>
            <a:miter lim="800000"/>
            <a:headEnd/>
            <a:tailEnd/>
          </a:ln>
        </xdr:spPr>
      </xdr:sp>
      <xdr:sp macro="" textlink="">
        <xdr:nvSpPr>
          <xdr:cNvPr id="900175" name="Rectangle 79"/>
          <xdr:cNvSpPr>
            <a:spLocks noChangeArrowheads="1"/>
          </xdr:cNvSpPr>
        </xdr:nvSpPr>
        <xdr:spPr bwMode="auto">
          <a:xfrm>
            <a:off x="1270" y="1337"/>
            <a:ext cx="9" cy="85"/>
          </a:xfrm>
          <a:prstGeom prst="rect">
            <a:avLst/>
          </a:prstGeom>
          <a:solidFill>
            <a:srgbClr xmlns:mc="http://schemas.openxmlformats.org/markup-compatibility/2006" xmlns:a14="http://schemas.microsoft.com/office/drawing/2010/main" val="FFFFFF" mc:Ignorable="a14" a14:legacySpreadsheetColorIndex="9"/>
          </a:solidFill>
          <a:ln w="19050">
            <a:solidFill>
              <a:srgbClr xmlns:mc="http://schemas.openxmlformats.org/markup-compatibility/2006" xmlns:a14="http://schemas.microsoft.com/office/drawing/2010/main" val="000000" mc:Ignorable="a14" a14:legacySpreadsheetColorIndex="64"/>
            </a:solidFill>
            <a:miter lim="800000"/>
            <a:headEnd/>
            <a:tailEnd/>
          </a:ln>
        </xdr:spPr>
      </xdr:sp>
      <xdr:sp macro="" textlink="">
        <xdr:nvSpPr>
          <xdr:cNvPr id="900176" name="Line 80"/>
          <xdr:cNvSpPr>
            <a:spLocks noChangeShapeType="1"/>
          </xdr:cNvSpPr>
        </xdr:nvSpPr>
        <xdr:spPr bwMode="auto">
          <a:xfrm>
            <a:off x="1272" y="1337"/>
            <a:ext cx="6"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900177" name="Rectangle 81"/>
          <xdr:cNvSpPr>
            <a:spLocks noChangeArrowheads="1"/>
          </xdr:cNvSpPr>
        </xdr:nvSpPr>
        <xdr:spPr bwMode="auto">
          <a:xfrm>
            <a:off x="1271" y="1333"/>
            <a:ext cx="7" cy="7"/>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sp macro="" textlink="">
        <xdr:nvSpPr>
          <xdr:cNvPr id="900178" name="Rectangle 82"/>
          <xdr:cNvSpPr>
            <a:spLocks noChangeArrowheads="1"/>
          </xdr:cNvSpPr>
        </xdr:nvSpPr>
        <xdr:spPr bwMode="auto">
          <a:xfrm>
            <a:off x="1271" y="1418"/>
            <a:ext cx="7" cy="7"/>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sp macro="" textlink="">
        <xdr:nvSpPr>
          <xdr:cNvPr id="900179" name="Line 83"/>
          <xdr:cNvSpPr>
            <a:spLocks noChangeShapeType="1"/>
          </xdr:cNvSpPr>
        </xdr:nvSpPr>
        <xdr:spPr bwMode="auto">
          <a:xfrm>
            <a:off x="1329" y="1436"/>
            <a:ext cx="72"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900180" name="Line 84"/>
          <xdr:cNvSpPr>
            <a:spLocks noChangeShapeType="1"/>
          </xdr:cNvSpPr>
        </xdr:nvSpPr>
        <xdr:spPr bwMode="auto">
          <a:xfrm>
            <a:off x="1331" y="1322"/>
            <a:ext cx="72"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900181" name="Line 85"/>
          <xdr:cNvSpPr>
            <a:spLocks noChangeShapeType="1"/>
          </xdr:cNvSpPr>
        </xdr:nvSpPr>
        <xdr:spPr bwMode="auto">
          <a:xfrm flipV="1">
            <a:off x="1353" y="1322"/>
            <a:ext cx="0" cy="114"/>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stealth" w="med" len="med"/>
            <a:tailEnd type="stealth" w="med" len="med"/>
          </a:ln>
          <a:extLst>
            <a:ext uri="{909E8E84-426E-40DD-AFC4-6F175D3DCCD1}">
              <a14:hiddenFill xmlns:a14="http://schemas.microsoft.com/office/drawing/2010/main">
                <a:noFill/>
              </a14:hiddenFill>
            </a:ext>
          </a:extLst>
        </xdr:spPr>
      </xdr:sp>
      <xdr:sp macro="" textlink="">
        <xdr:nvSpPr>
          <xdr:cNvPr id="900182" name="Line 86"/>
          <xdr:cNvSpPr>
            <a:spLocks noChangeShapeType="1"/>
          </xdr:cNvSpPr>
        </xdr:nvSpPr>
        <xdr:spPr bwMode="auto">
          <a:xfrm>
            <a:off x="1226" y="1441"/>
            <a:ext cx="0" cy="39"/>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900183" name="Line 87"/>
          <xdr:cNvSpPr>
            <a:spLocks noChangeShapeType="1"/>
          </xdr:cNvSpPr>
        </xdr:nvSpPr>
        <xdr:spPr bwMode="auto">
          <a:xfrm>
            <a:off x="1322" y="1441"/>
            <a:ext cx="0" cy="37"/>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900184" name="Line 88"/>
          <xdr:cNvSpPr>
            <a:spLocks noChangeShapeType="1"/>
          </xdr:cNvSpPr>
        </xdr:nvSpPr>
        <xdr:spPr bwMode="auto">
          <a:xfrm>
            <a:off x="1226" y="1471"/>
            <a:ext cx="96"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stealth" w="med" len="med"/>
            <a:tailEnd type="stealth" w="med" len="med"/>
          </a:ln>
          <a:extLst>
            <a:ext uri="{909E8E84-426E-40DD-AFC4-6F175D3DCCD1}">
              <a14:hiddenFill xmlns:a14="http://schemas.microsoft.com/office/drawing/2010/main">
                <a:noFill/>
              </a14:hiddenFill>
            </a:ext>
          </a:extLst>
        </xdr:spPr>
      </xdr:sp>
      <xdr:sp macro="" textlink="">
        <xdr:nvSpPr>
          <xdr:cNvPr id="900185" name="Line 89"/>
          <xdr:cNvSpPr>
            <a:spLocks noChangeShapeType="1"/>
          </xdr:cNvSpPr>
        </xdr:nvSpPr>
        <xdr:spPr bwMode="auto">
          <a:xfrm>
            <a:off x="1204" y="1386"/>
            <a:ext cx="66"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stealth" w="med" len="med"/>
          </a:ln>
          <a:extLst>
            <a:ext uri="{909E8E84-426E-40DD-AFC4-6F175D3DCCD1}">
              <a14:hiddenFill xmlns:a14="http://schemas.microsoft.com/office/drawing/2010/main">
                <a:noFill/>
              </a14:hiddenFill>
            </a:ext>
          </a:extLst>
        </xdr:spPr>
      </xdr:sp>
      <xdr:sp macro="" textlink="">
        <xdr:nvSpPr>
          <xdr:cNvPr id="900186" name="Line 90"/>
          <xdr:cNvSpPr>
            <a:spLocks noChangeShapeType="1"/>
          </xdr:cNvSpPr>
        </xdr:nvSpPr>
        <xdr:spPr bwMode="auto">
          <a:xfrm>
            <a:off x="1279" y="1386"/>
            <a:ext cx="31"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stealth" w="med" len="med"/>
            <a:tailEnd/>
          </a:ln>
          <a:extLst>
            <a:ext uri="{909E8E84-426E-40DD-AFC4-6F175D3DCCD1}">
              <a14:hiddenFill xmlns:a14="http://schemas.microsoft.com/office/drawing/2010/main">
                <a:noFill/>
              </a14:hiddenFill>
            </a:ext>
          </a:extLst>
        </xdr:spPr>
      </xdr:sp>
      <xdr:sp macro="" textlink="">
        <xdr:nvSpPr>
          <xdr:cNvPr id="900187" name="Line 91"/>
          <xdr:cNvSpPr>
            <a:spLocks noChangeShapeType="1"/>
          </xdr:cNvSpPr>
        </xdr:nvSpPr>
        <xdr:spPr bwMode="auto">
          <a:xfrm>
            <a:off x="1331" y="1421"/>
            <a:ext cx="1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900188" name="Line 92"/>
          <xdr:cNvSpPr>
            <a:spLocks noChangeShapeType="1"/>
          </xdr:cNvSpPr>
        </xdr:nvSpPr>
        <xdr:spPr bwMode="auto">
          <a:xfrm>
            <a:off x="1362" y="1421"/>
            <a:ext cx="39"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900189" name="Line 93"/>
          <xdr:cNvSpPr>
            <a:spLocks noChangeShapeType="1"/>
          </xdr:cNvSpPr>
        </xdr:nvSpPr>
        <xdr:spPr bwMode="auto">
          <a:xfrm>
            <a:off x="1389" y="1436"/>
            <a:ext cx="0" cy="29"/>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stealth" w="med" len="med"/>
            <a:tailEnd/>
          </a:ln>
          <a:extLst>
            <a:ext uri="{909E8E84-426E-40DD-AFC4-6F175D3DCCD1}">
              <a14:hiddenFill xmlns:a14="http://schemas.microsoft.com/office/drawing/2010/main">
                <a:noFill/>
              </a14:hiddenFill>
            </a:ext>
          </a:extLst>
        </xdr:spPr>
      </xdr:sp>
      <xdr:sp macro="" textlink="">
        <xdr:nvSpPr>
          <xdr:cNvPr id="900190" name="Line 94"/>
          <xdr:cNvSpPr>
            <a:spLocks noChangeShapeType="1"/>
          </xdr:cNvSpPr>
        </xdr:nvSpPr>
        <xdr:spPr bwMode="auto">
          <a:xfrm flipV="1">
            <a:off x="1389" y="1397"/>
            <a:ext cx="0" cy="24"/>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stealth" w="med" len="med"/>
            <a:tailEnd/>
          </a:ln>
          <a:extLst>
            <a:ext uri="{909E8E84-426E-40DD-AFC4-6F175D3DCCD1}">
              <a14:hiddenFill xmlns:a14="http://schemas.microsoft.com/office/drawing/2010/main">
                <a:noFill/>
              </a14:hiddenFill>
            </a:ext>
          </a:extLst>
        </xdr:spPr>
      </xdr:sp>
      <xdr:sp macro="" textlink="">
        <xdr:nvSpPr>
          <xdr:cNvPr id="900207" name="Line 111"/>
          <xdr:cNvSpPr>
            <a:spLocks noChangeShapeType="1"/>
          </xdr:cNvSpPr>
        </xdr:nvSpPr>
        <xdr:spPr bwMode="auto">
          <a:xfrm>
            <a:off x="1331" y="1337"/>
            <a:ext cx="16"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900208" name="Line 112"/>
          <xdr:cNvSpPr>
            <a:spLocks noChangeShapeType="1"/>
          </xdr:cNvSpPr>
        </xdr:nvSpPr>
        <xdr:spPr bwMode="auto">
          <a:xfrm>
            <a:off x="1364" y="1337"/>
            <a:ext cx="39"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900209" name="Line 113"/>
          <xdr:cNvSpPr>
            <a:spLocks noChangeShapeType="1"/>
          </xdr:cNvSpPr>
        </xdr:nvSpPr>
        <xdr:spPr bwMode="auto">
          <a:xfrm flipV="1">
            <a:off x="1389" y="1293"/>
            <a:ext cx="0" cy="29"/>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stealth" w="med" len="med"/>
            <a:tailEnd/>
          </a:ln>
          <a:extLst>
            <a:ext uri="{909E8E84-426E-40DD-AFC4-6F175D3DCCD1}">
              <a14:hiddenFill xmlns:a14="http://schemas.microsoft.com/office/drawing/2010/main">
                <a:noFill/>
              </a14:hiddenFill>
            </a:ext>
          </a:extLst>
        </xdr:spPr>
      </xdr:sp>
      <xdr:sp macro="" textlink="">
        <xdr:nvSpPr>
          <xdr:cNvPr id="900210" name="Line 114"/>
          <xdr:cNvSpPr>
            <a:spLocks noChangeShapeType="1"/>
          </xdr:cNvSpPr>
        </xdr:nvSpPr>
        <xdr:spPr bwMode="auto">
          <a:xfrm>
            <a:off x="1389" y="1337"/>
            <a:ext cx="0" cy="24"/>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stealth" w="med" len="med"/>
            <a:tailEnd/>
          </a:ln>
          <a:extLst>
            <a:ext uri="{909E8E84-426E-40DD-AFC4-6F175D3DCCD1}">
              <a14:hiddenFill xmlns:a14="http://schemas.microsoft.com/office/drawing/2010/main">
                <a:noFill/>
              </a14:hiddenFill>
            </a:ext>
          </a:extLst>
        </xdr:spPr>
      </xdr:sp>
    </xdr:grpSp>
    <xdr:clientData/>
  </xdr:twoCellAnchor>
  <xdr:twoCellAnchor>
    <xdr:from>
      <xdr:col>66</xdr:col>
      <xdr:colOff>542925</xdr:colOff>
      <xdr:row>131</xdr:row>
      <xdr:rowOff>133350</xdr:rowOff>
    </xdr:from>
    <xdr:to>
      <xdr:col>70</xdr:col>
      <xdr:colOff>104775</xdr:colOff>
      <xdr:row>142</xdr:row>
      <xdr:rowOff>133350</xdr:rowOff>
    </xdr:to>
    <xdr:grpSp>
      <xdr:nvGrpSpPr>
        <xdr:cNvPr id="900282" name="Group 186"/>
        <xdr:cNvGrpSpPr>
          <a:grpSpLocks/>
        </xdr:cNvGrpSpPr>
      </xdr:nvGrpSpPr>
      <xdr:grpSpPr bwMode="auto">
        <a:xfrm>
          <a:off x="11363325" y="21383625"/>
          <a:ext cx="2000250" cy="1781175"/>
          <a:chOff x="1193" y="2245"/>
          <a:chExt cx="210" cy="187"/>
        </a:xfrm>
      </xdr:grpSpPr>
      <xdr:sp macro="" textlink="">
        <xdr:nvSpPr>
          <xdr:cNvPr id="900211" name="Rectangle 115"/>
          <xdr:cNvSpPr>
            <a:spLocks noChangeArrowheads="1"/>
          </xdr:cNvSpPr>
        </xdr:nvSpPr>
        <xdr:spPr bwMode="auto">
          <a:xfrm>
            <a:off x="1260" y="2275"/>
            <a:ext cx="64" cy="14"/>
          </a:xfrm>
          <a:prstGeom prst="rect">
            <a:avLst/>
          </a:prstGeom>
          <a:solidFill>
            <a:srgbClr xmlns:mc="http://schemas.openxmlformats.org/markup-compatibility/2006" xmlns:a14="http://schemas.microsoft.com/office/drawing/2010/main" val="FFFFFF" mc:Ignorable="a14" a14:legacySpreadsheetColorIndex="9"/>
          </a:solidFill>
          <a:ln w="19050">
            <a:solidFill>
              <a:srgbClr xmlns:mc="http://schemas.openxmlformats.org/markup-compatibility/2006" xmlns:a14="http://schemas.microsoft.com/office/drawing/2010/main" val="000000" mc:Ignorable="a14" a14:legacySpreadsheetColorIndex="64"/>
            </a:solidFill>
            <a:miter lim="800000"/>
            <a:headEnd/>
            <a:tailEnd/>
          </a:ln>
        </xdr:spPr>
      </xdr:sp>
      <xdr:sp macro="" textlink="">
        <xdr:nvSpPr>
          <xdr:cNvPr id="900212" name="Rectangle 116"/>
          <xdr:cNvSpPr>
            <a:spLocks noChangeArrowheads="1"/>
          </xdr:cNvSpPr>
        </xdr:nvSpPr>
        <xdr:spPr bwMode="auto">
          <a:xfrm>
            <a:off x="1260" y="2374"/>
            <a:ext cx="64" cy="14"/>
          </a:xfrm>
          <a:prstGeom prst="rect">
            <a:avLst/>
          </a:prstGeom>
          <a:solidFill>
            <a:srgbClr xmlns:mc="http://schemas.openxmlformats.org/markup-compatibility/2006" xmlns:a14="http://schemas.microsoft.com/office/drawing/2010/main" val="FFFFFF" mc:Ignorable="a14" a14:legacySpreadsheetColorIndex="9"/>
          </a:solidFill>
          <a:ln w="19050">
            <a:solidFill>
              <a:srgbClr xmlns:mc="http://schemas.openxmlformats.org/markup-compatibility/2006" xmlns:a14="http://schemas.microsoft.com/office/drawing/2010/main" val="000000" mc:Ignorable="a14" a14:legacySpreadsheetColorIndex="64"/>
            </a:solidFill>
            <a:miter lim="800000"/>
            <a:headEnd/>
            <a:tailEnd/>
          </a:ln>
        </xdr:spPr>
      </xdr:sp>
      <xdr:sp macro="" textlink="">
        <xdr:nvSpPr>
          <xdr:cNvPr id="900213" name="Rectangle 117"/>
          <xdr:cNvSpPr>
            <a:spLocks noChangeArrowheads="1"/>
          </xdr:cNvSpPr>
        </xdr:nvSpPr>
        <xdr:spPr bwMode="auto">
          <a:xfrm>
            <a:off x="1260" y="2289"/>
            <a:ext cx="9" cy="85"/>
          </a:xfrm>
          <a:prstGeom prst="rect">
            <a:avLst/>
          </a:prstGeom>
          <a:solidFill>
            <a:srgbClr xmlns:mc="http://schemas.openxmlformats.org/markup-compatibility/2006" xmlns:a14="http://schemas.microsoft.com/office/drawing/2010/main" val="FFFFFF" mc:Ignorable="a14" a14:legacySpreadsheetColorIndex="9"/>
          </a:solidFill>
          <a:ln w="19050">
            <a:solidFill>
              <a:srgbClr xmlns:mc="http://schemas.openxmlformats.org/markup-compatibility/2006" xmlns:a14="http://schemas.microsoft.com/office/drawing/2010/main" val="000000" mc:Ignorable="a14" a14:legacySpreadsheetColorIndex="64"/>
            </a:solidFill>
            <a:miter lim="800000"/>
            <a:headEnd/>
            <a:tailEnd/>
          </a:ln>
        </xdr:spPr>
      </xdr:sp>
      <xdr:sp macro="" textlink="">
        <xdr:nvSpPr>
          <xdr:cNvPr id="900214" name="Line 118"/>
          <xdr:cNvSpPr>
            <a:spLocks noChangeShapeType="1"/>
          </xdr:cNvSpPr>
        </xdr:nvSpPr>
        <xdr:spPr bwMode="auto">
          <a:xfrm>
            <a:off x="1272" y="2289"/>
            <a:ext cx="6"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900215" name="Rectangle 119"/>
          <xdr:cNvSpPr>
            <a:spLocks noChangeArrowheads="1"/>
          </xdr:cNvSpPr>
        </xdr:nvSpPr>
        <xdr:spPr bwMode="auto">
          <a:xfrm>
            <a:off x="1261" y="2285"/>
            <a:ext cx="7" cy="7"/>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sp macro="" textlink="">
        <xdr:nvSpPr>
          <xdr:cNvPr id="900216" name="Rectangle 120"/>
          <xdr:cNvSpPr>
            <a:spLocks noChangeArrowheads="1"/>
          </xdr:cNvSpPr>
        </xdr:nvSpPr>
        <xdr:spPr bwMode="auto">
          <a:xfrm>
            <a:off x="1261" y="2370"/>
            <a:ext cx="7" cy="7"/>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sp macro="" textlink="">
        <xdr:nvSpPr>
          <xdr:cNvPr id="900217" name="Line 121"/>
          <xdr:cNvSpPr>
            <a:spLocks noChangeShapeType="1"/>
          </xdr:cNvSpPr>
        </xdr:nvSpPr>
        <xdr:spPr bwMode="auto">
          <a:xfrm>
            <a:off x="1329" y="2388"/>
            <a:ext cx="72"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900218" name="Line 122"/>
          <xdr:cNvSpPr>
            <a:spLocks noChangeShapeType="1"/>
          </xdr:cNvSpPr>
        </xdr:nvSpPr>
        <xdr:spPr bwMode="auto">
          <a:xfrm>
            <a:off x="1331" y="2274"/>
            <a:ext cx="72"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900219" name="Line 123"/>
          <xdr:cNvSpPr>
            <a:spLocks noChangeShapeType="1"/>
          </xdr:cNvSpPr>
        </xdr:nvSpPr>
        <xdr:spPr bwMode="auto">
          <a:xfrm flipV="1">
            <a:off x="1353" y="2274"/>
            <a:ext cx="0" cy="114"/>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stealth" w="med" len="med"/>
            <a:tailEnd type="stealth" w="med" len="med"/>
          </a:ln>
          <a:extLst>
            <a:ext uri="{909E8E84-426E-40DD-AFC4-6F175D3DCCD1}">
              <a14:hiddenFill xmlns:a14="http://schemas.microsoft.com/office/drawing/2010/main">
                <a:noFill/>
              </a14:hiddenFill>
            </a:ext>
          </a:extLst>
        </xdr:spPr>
      </xdr:sp>
      <xdr:sp macro="" textlink="">
        <xdr:nvSpPr>
          <xdr:cNvPr id="900220" name="Line 124"/>
          <xdr:cNvSpPr>
            <a:spLocks noChangeShapeType="1"/>
          </xdr:cNvSpPr>
        </xdr:nvSpPr>
        <xdr:spPr bwMode="auto">
          <a:xfrm>
            <a:off x="1259" y="2393"/>
            <a:ext cx="0" cy="39"/>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900221" name="Line 125"/>
          <xdr:cNvSpPr>
            <a:spLocks noChangeShapeType="1"/>
          </xdr:cNvSpPr>
        </xdr:nvSpPr>
        <xdr:spPr bwMode="auto">
          <a:xfrm>
            <a:off x="1322" y="2393"/>
            <a:ext cx="0" cy="37"/>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900222" name="Line 126"/>
          <xdr:cNvSpPr>
            <a:spLocks noChangeShapeType="1"/>
          </xdr:cNvSpPr>
        </xdr:nvSpPr>
        <xdr:spPr bwMode="auto">
          <a:xfrm>
            <a:off x="1259" y="2423"/>
            <a:ext cx="63"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stealth" w="med" len="med"/>
            <a:tailEnd type="stealth" w="med" len="med"/>
          </a:ln>
          <a:extLst>
            <a:ext uri="{909E8E84-426E-40DD-AFC4-6F175D3DCCD1}">
              <a14:hiddenFill xmlns:a14="http://schemas.microsoft.com/office/drawing/2010/main">
                <a:noFill/>
              </a14:hiddenFill>
            </a:ext>
          </a:extLst>
        </xdr:spPr>
      </xdr:sp>
      <xdr:sp macro="" textlink="">
        <xdr:nvSpPr>
          <xdr:cNvPr id="900223" name="Line 127"/>
          <xdr:cNvSpPr>
            <a:spLocks noChangeShapeType="1"/>
          </xdr:cNvSpPr>
        </xdr:nvSpPr>
        <xdr:spPr bwMode="auto">
          <a:xfrm>
            <a:off x="1193" y="2338"/>
            <a:ext cx="66"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stealth" w="med" len="med"/>
          </a:ln>
          <a:extLst>
            <a:ext uri="{909E8E84-426E-40DD-AFC4-6F175D3DCCD1}">
              <a14:hiddenFill xmlns:a14="http://schemas.microsoft.com/office/drawing/2010/main">
                <a:noFill/>
              </a14:hiddenFill>
            </a:ext>
          </a:extLst>
        </xdr:spPr>
      </xdr:sp>
      <xdr:sp macro="" textlink="">
        <xdr:nvSpPr>
          <xdr:cNvPr id="900224" name="Line 128"/>
          <xdr:cNvSpPr>
            <a:spLocks noChangeShapeType="1"/>
          </xdr:cNvSpPr>
        </xdr:nvSpPr>
        <xdr:spPr bwMode="auto">
          <a:xfrm>
            <a:off x="1268" y="2338"/>
            <a:ext cx="31"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stealth" w="med" len="med"/>
            <a:tailEnd/>
          </a:ln>
          <a:extLst>
            <a:ext uri="{909E8E84-426E-40DD-AFC4-6F175D3DCCD1}">
              <a14:hiddenFill xmlns:a14="http://schemas.microsoft.com/office/drawing/2010/main">
                <a:noFill/>
              </a14:hiddenFill>
            </a:ext>
          </a:extLst>
        </xdr:spPr>
      </xdr:sp>
      <xdr:sp macro="" textlink="">
        <xdr:nvSpPr>
          <xdr:cNvPr id="900225" name="Line 129"/>
          <xdr:cNvSpPr>
            <a:spLocks noChangeShapeType="1"/>
          </xdr:cNvSpPr>
        </xdr:nvSpPr>
        <xdr:spPr bwMode="auto">
          <a:xfrm>
            <a:off x="1331" y="2373"/>
            <a:ext cx="1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900226" name="Line 130"/>
          <xdr:cNvSpPr>
            <a:spLocks noChangeShapeType="1"/>
          </xdr:cNvSpPr>
        </xdr:nvSpPr>
        <xdr:spPr bwMode="auto">
          <a:xfrm>
            <a:off x="1362" y="2373"/>
            <a:ext cx="39"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900227" name="Line 131"/>
          <xdr:cNvSpPr>
            <a:spLocks noChangeShapeType="1"/>
          </xdr:cNvSpPr>
        </xdr:nvSpPr>
        <xdr:spPr bwMode="auto">
          <a:xfrm>
            <a:off x="1389" y="2388"/>
            <a:ext cx="0" cy="29"/>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stealth" w="med" len="med"/>
            <a:tailEnd/>
          </a:ln>
          <a:extLst>
            <a:ext uri="{909E8E84-426E-40DD-AFC4-6F175D3DCCD1}">
              <a14:hiddenFill xmlns:a14="http://schemas.microsoft.com/office/drawing/2010/main">
                <a:noFill/>
              </a14:hiddenFill>
            </a:ext>
          </a:extLst>
        </xdr:spPr>
      </xdr:sp>
      <xdr:sp macro="" textlink="">
        <xdr:nvSpPr>
          <xdr:cNvPr id="900228" name="Line 132"/>
          <xdr:cNvSpPr>
            <a:spLocks noChangeShapeType="1"/>
          </xdr:cNvSpPr>
        </xdr:nvSpPr>
        <xdr:spPr bwMode="auto">
          <a:xfrm flipV="1">
            <a:off x="1389" y="2349"/>
            <a:ext cx="0" cy="24"/>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stealth" w="med" len="med"/>
            <a:tailEnd/>
          </a:ln>
          <a:extLst>
            <a:ext uri="{909E8E84-426E-40DD-AFC4-6F175D3DCCD1}">
              <a14:hiddenFill xmlns:a14="http://schemas.microsoft.com/office/drawing/2010/main">
                <a:noFill/>
              </a14:hiddenFill>
            </a:ext>
          </a:extLst>
        </xdr:spPr>
      </xdr:sp>
      <xdr:sp macro="" textlink="">
        <xdr:nvSpPr>
          <xdr:cNvPr id="900229" name="Line 133"/>
          <xdr:cNvSpPr>
            <a:spLocks noChangeShapeType="1"/>
          </xdr:cNvSpPr>
        </xdr:nvSpPr>
        <xdr:spPr bwMode="auto">
          <a:xfrm>
            <a:off x="1331" y="2289"/>
            <a:ext cx="16"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900230" name="Line 134"/>
          <xdr:cNvSpPr>
            <a:spLocks noChangeShapeType="1"/>
          </xdr:cNvSpPr>
        </xdr:nvSpPr>
        <xdr:spPr bwMode="auto">
          <a:xfrm>
            <a:off x="1361" y="2289"/>
            <a:ext cx="42"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900231" name="Line 135"/>
          <xdr:cNvSpPr>
            <a:spLocks noChangeShapeType="1"/>
          </xdr:cNvSpPr>
        </xdr:nvSpPr>
        <xdr:spPr bwMode="auto">
          <a:xfrm flipV="1">
            <a:off x="1389" y="2245"/>
            <a:ext cx="0" cy="29"/>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stealth" w="med" len="med"/>
            <a:tailEnd/>
          </a:ln>
          <a:extLst>
            <a:ext uri="{909E8E84-426E-40DD-AFC4-6F175D3DCCD1}">
              <a14:hiddenFill xmlns:a14="http://schemas.microsoft.com/office/drawing/2010/main">
                <a:noFill/>
              </a14:hiddenFill>
            </a:ext>
          </a:extLst>
        </xdr:spPr>
      </xdr:sp>
      <xdr:sp macro="" textlink="">
        <xdr:nvSpPr>
          <xdr:cNvPr id="900232" name="Line 136"/>
          <xdr:cNvSpPr>
            <a:spLocks noChangeShapeType="1"/>
          </xdr:cNvSpPr>
        </xdr:nvSpPr>
        <xdr:spPr bwMode="auto">
          <a:xfrm>
            <a:off x="1389" y="2289"/>
            <a:ext cx="0" cy="24"/>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stealth" w="med" len="med"/>
            <a:tailEnd/>
          </a:ln>
          <a:extLst>
            <a:ext uri="{909E8E84-426E-40DD-AFC4-6F175D3DCCD1}">
              <a14:hiddenFill xmlns:a14="http://schemas.microsoft.com/office/drawing/2010/main">
                <a:noFill/>
              </a14:hiddenFill>
            </a:ext>
          </a:extLst>
        </xdr:spPr>
      </xdr:sp>
    </xdr:grpSp>
    <xdr:clientData/>
  </xdr:twoCellAnchor>
  <xdr:twoCellAnchor>
    <xdr:from>
      <xdr:col>67</xdr:col>
      <xdr:colOff>504825</xdr:colOff>
      <xdr:row>180</xdr:row>
      <xdr:rowOff>57150</xdr:rowOff>
    </xdr:from>
    <xdr:to>
      <xdr:col>70</xdr:col>
      <xdr:colOff>276225</xdr:colOff>
      <xdr:row>191</xdr:row>
      <xdr:rowOff>85725</xdr:rowOff>
    </xdr:to>
    <xdr:grpSp>
      <xdr:nvGrpSpPr>
        <xdr:cNvPr id="900284" name="Group 188"/>
        <xdr:cNvGrpSpPr>
          <a:grpSpLocks/>
        </xdr:cNvGrpSpPr>
      </xdr:nvGrpSpPr>
      <xdr:grpSpPr bwMode="auto">
        <a:xfrm>
          <a:off x="11934825" y="29241750"/>
          <a:ext cx="1600200" cy="1809750"/>
          <a:chOff x="1253" y="3070"/>
          <a:chExt cx="168" cy="190"/>
        </a:xfrm>
      </xdr:grpSpPr>
      <xdr:sp macro="" textlink="">
        <xdr:nvSpPr>
          <xdr:cNvPr id="900233" name="Rectangle 137"/>
          <xdr:cNvSpPr>
            <a:spLocks noChangeArrowheads="1"/>
          </xdr:cNvSpPr>
        </xdr:nvSpPr>
        <xdr:spPr bwMode="auto">
          <a:xfrm>
            <a:off x="1254" y="3120"/>
            <a:ext cx="95" cy="116"/>
          </a:xfrm>
          <a:prstGeom prst="rect">
            <a:avLst/>
          </a:prstGeom>
          <a:solidFill>
            <a:srgbClr xmlns:mc="http://schemas.openxmlformats.org/markup-compatibility/2006" xmlns:a14="http://schemas.microsoft.com/office/drawing/2010/main" val="FFFFFF" mc:Ignorable="a14" a14:legacySpreadsheetColorIndex="9"/>
          </a:solidFill>
          <a:ln w="19050">
            <a:solidFill>
              <a:srgbClr xmlns:mc="http://schemas.openxmlformats.org/markup-compatibility/2006" xmlns:a14="http://schemas.microsoft.com/office/drawing/2010/main" val="000000" mc:Ignorable="a14" a14:legacySpreadsheetColorIndex="64"/>
            </a:solidFill>
            <a:miter lim="800000"/>
            <a:headEnd/>
            <a:tailEnd/>
          </a:ln>
        </xdr:spPr>
      </xdr:sp>
      <xdr:sp macro="" textlink="">
        <xdr:nvSpPr>
          <xdr:cNvPr id="900234" name="Rectangle 138"/>
          <xdr:cNvSpPr>
            <a:spLocks noChangeArrowheads="1"/>
          </xdr:cNvSpPr>
        </xdr:nvSpPr>
        <xdr:spPr bwMode="auto">
          <a:xfrm>
            <a:off x="1253" y="3119"/>
            <a:ext cx="14" cy="14"/>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sp macro="" textlink="">
        <xdr:nvSpPr>
          <xdr:cNvPr id="900235" name="Rectangle 139"/>
          <xdr:cNvSpPr>
            <a:spLocks noChangeArrowheads="1"/>
          </xdr:cNvSpPr>
        </xdr:nvSpPr>
        <xdr:spPr bwMode="auto">
          <a:xfrm>
            <a:off x="1336" y="3119"/>
            <a:ext cx="14" cy="14"/>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sp macro="" textlink="">
        <xdr:nvSpPr>
          <xdr:cNvPr id="900236" name="Rectangle 140"/>
          <xdr:cNvSpPr>
            <a:spLocks noChangeArrowheads="1"/>
          </xdr:cNvSpPr>
        </xdr:nvSpPr>
        <xdr:spPr bwMode="auto">
          <a:xfrm>
            <a:off x="1253" y="3223"/>
            <a:ext cx="14" cy="14"/>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sp macro="" textlink="">
        <xdr:nvSpPr>
          <xdr:cNvPr id="900237" name="Rectangle 141"/>
          <xdr:cNvSpPr>
            <a:spLocks noChangeArrowheads="1"/>
          </xdr:cNvSpPr>
        </xdr:nvSpPr>
        <xdr:spPr bwMode="auto">
          <a:xfrm>
            <a:off x="1336" y="3223"/>
            <a:ext cx="14" cy="14"/>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sp macro="" textlink="">
        <xdr:nvSpPr>
          <xdr:cNvPr id="900238" name="Line 142"/>
          <xdr:cNvSpPr>
            <a:spLocks noChangeShapeType="1"/>
          </xdr:cNvSpPr>
        </xdr:nvSpPr>
        <xdr:spPr bwMode="auto">
          <a:xfrm flipV="1">
            <a:off x="1254" y="3120"/>
            <a:ext cx="14" cy="13"/>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900239" name="Line 143"/>
          <xdr:cNvSpPr>
            <a:spLocks noChangeShapeType="1"/>
          </xdr:cNvSpPr>
        </xdr:nvSpPr>
        <xdr:spPr bwMode="auto">
          <a:xfrm flipH="1" flipV="1">
            <a:off x="1335" y="3120"/>
            <a:ext cx="14" cy="14"/>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900240" name="Line 144"/>
          <xdr:cNvSpPr>
            <a:spLocks noChangeShapeType="1"/>
          </xdr:cNvSpPr>
        </xdr:nvSpPr>
        <xdr:spPr bwMode="auto">
          <a:xfrm>
            <a:off x="1254" y="3222"/>
            <a:ext cx="14" cy="14"/>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900241" name="Line 145"/>
          <xdr:cNvSpPr>
            <a:spLocks noChangeShapeType="1"/>
          </xdr:cNvSpPr>
        </xdr:nvSpPr>
        <xdr:spPr bwMode="auto">
          <a:xfrm flipV="1">
            <a:off x="1335" y="3222"/>
            <a:ext cx="14" cy="14"/>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900242" name="Line 146"/>
          <xdr:cNvSpPr>
            <a:spLocks noChangeShapeType="1"/>
          </xdr:cNvSpPr>
        </xdr:nvSpPr>
        <xdr:spPr bwMode="auto">
          <a:xfrm>
            <a:off x="1343" y="3118"/>
            <a:ext cx="68"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900243" name="Line 147"/>
          <xdr:cNvSpPr>
            <a:spLocks noChangeShapeType="1"/>
          </xdr:cNvSpPr>
        </xdr:nvSpPr>
        <xdr:spPr bwMode="auto">
          <a:xfrm>
            <a:off x="1344" y="3236"/>
            <a:ext cx="77"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900244" name="Line 148"/>
          <xdr:cNvSpPr>
            <a:spLocks noChangeShapeType="1"/>
          </xdr:cNvSpPr>
        </xdr:nvSpPr>
        <xdr:spPr bwMode="auto">
          <a:xfrm>
            <a:off x="1391" y="3118"/>
            <a:ext cx="0" cy="118"/>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stealth" w="med" len="med"/>
            <a:tailEnd type="stealth" w="med" len="med"/>
          </a:ln>
          <a:extLst>
            <a:ext uri="{909E8E84-426E-40DD-AFC4-6F175D3DCCD1}">
              <a14:hiddenFill xmlns:a14="http://schemas.microsoft.com/office/drawing/2010/main">
                <a:noFill/>
              </a14:hiddenFill>
            </a:ext>
          </a:extLst>
        </xdr:spPr>
      </xdr:sp>
      <xdr:sp macro="" textlink="">
        <xdr:nvSpPr>
          <xdr:cNvPr id="900245" name="Line 149"/>
          <xdr:cNvSpPr>
            <a:spLocks noChangeShapeType="1"/>
          </xdr:cNvSpPr>
        </xdr:nvSpPr>
        <xdr:spPr bwMode="auto">
          <a:xfrm flipV="1">
            <a:off x="1253" y="3089"/>
            <a:ext cx="0" cy="37"/>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900246" name="Line 150"/>
          <xdr:cNvSpPr>
            <a:spLocks noChangeShapeType="1"/>
          </xdr:cNvSpPr>
        </xdr:nvSpPr>
        <xdr:spPr bwMode="auto">
          <a:xfrm flipV="1">
            <a:off x="1349" y="3070"/>
            <a:ext cx="0" cy="56"/>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900247" name="Line 151"/>
          <xdr:cNvSpPr>
            <a:spLocks noChangeShapeType="1"/>
          </xdr:cNvSpPr>
        </xdr:nvSpPr>
        <xdr:spPr bwMode="auto">
          <a:xfrm>
            <a:off x="1253" y="3098"/>
            <a:ext cx="96"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stealth" w="med" len="med"/>
            <a:tailEnd type="stealth" w="med" len="med"/>
          </a:ln>
          <a:extLst>
            <a:ext uri="{909E8E84-426E-40DD-AFC4-6F175D3DCCD1}">
              <a14:hiddenFill xmlns:a14="http://schemas.microsoft.com/office/drawing/2010/main">
                <a:noFill/>
              </a14:hiddenFill>
            </a:ext>
          </a:extLst>
        </xdr:spPr>
      </xdr:sp>
      <xdr:sp macro="" textlink="">
        <xdr:nvSpPr>
          <xdr:cNvPr id="900248" name="Line 152"/>
          <xdr:cNvSpPr>
            <a:spLocks noChangeShapeType="1"/>
          </xdr:cNvSpPr>
        </xdr:nvSpPr>
        <xdr:spPr bwMode="auto">
          <a:xfrm flipV="1">
            <a:off x="1335" y="3102"/>
            <a:ext cx="0" cy="11"/>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900249" name="Line 153"/>
          <xdr:cNvSpPr>
            <a:spLocks noChangeShapeType="1"/>
          </xdr:cNvSpPr>
        </xdr:nvSpPr>
        <xdr:spPr bwMode="auto">
          <a:xfrm flipV="1">
            <a:off x="1335" y="3070"/>
            <a:ext cx="0" cy="23"/>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900250" name="Line 154"/>
          <xdr:cNvSpPr>
            <a:spLocks noChangeShapeType="1"/>
          </xdr:cNvSpPr>
        </xdr:nvSpPr>
        <xdr:spPr bwMode="auto">
          <a:xfrm>
            <a:off x="1318" y="3082"/>
            <a:ext cx="17"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stealth" w="med" len="med"/>
          </a:ln>
          <a:extLst>
            <a:ext uri="{909E8E84-426E-40DD-AFC4-6F175D3DCCD1}">
              <a14:hiddenFill xmlns:a14="http://schemas.microsoft.com/office/drawing/2010/main">
                <a:noFill/>
              </a14:hiddenFill>
            </a:ext>
          </a:extLst>
        </xdr:spPr>
      </xdr:sp>
      <xdr:sp macro="" textlink="">
        <xdr:nvSpPr>
          <xdr:cNvPr id="900251" name="Line 155"/>
          <xdr:cNvSpPr>
            <a:spLocks noChangeShapeType="1"/>
          </xdr:cNvSpPr>
        </xdr:nvSpPr>
        <xdr:spPr bwMode="auto">
          <a:xfrm>
            <a:off x="1349" y="3082"/>
            <a:ext cx="4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stealth" w="med" len="med"/>
            <a:tailEnd/>
          </a:ln>
          <a:extLst>
            <a:ext uri="{909E8E84-426E-40DD-AFC4-6F175D3DCCD1}">
              <a14:hiddenFill xmlns:a14="http://schemas.microsoft.com/office/drawing/2010/main">
                <a:noFill/>
              </a14:hiddenFill>
            </a:ext>
          </a:extLst>
        </xdr:spPr>
      </xdr:sp>
      <xdr:sp macro="" textlink="">
        <xdr:nvSpPr>
          <xdr:cNvPr id="900252" name="Line 156"/>
          <xdr:cNvSpPr>
            <a:spLocks noChangeShapeType="1"/>
          </xdr:cNvSpPr>
        </xdr:nvSpPr>
        <xdr:spPr bwMode="auto">
          <a:xfrm>
            <a:off x="1354" y="3222"/>
            <a:ext cx="3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900253" name="Line 157"/>
          <xdr:cNvSpPr>
            <a:spLocks noChangeShapeType="1"/>
          </xdr:cNvSpPr>
        </xdr:nvSpPr>
        <xdr:spPr bwMode="auto">
          <a:xfrm flipV="1">
            <a:off x="1399" y="3221"/>
            <a:ext cx="22"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900254" name="Line 158"/>
          <xdr:cNvSpPr>
            <a:spLocks noChangeShapeType="1"/>
          </xdr:cNvSpPr>
        </xdr:nvSpPr>
        <xdr:spPr bwMode="auto">
          <a:xfrm>
            <a:off x="1410" y="3236"/>
            <a:ext cx="0" cy="24"/>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stealth" w="med" len="med"/>
            <a:tailEnd/>
          </a:ln>
          <a:extLst>
            <a:ext uri="{909E8E84-426E-40DD-AFC4-6F175D3DCCD1}">
              <a14:hiddenFill xmlns:a14="http://schemas.microsoft.com/office/drawing/2010/main">
                <a:noFill/>
              </a14:hiddenFill>
            </a:ext>
          </a:extLst>
        </xdr:spPr>
      </xdr:sp>
      <xdr:sp macro="" textlink="">
        <xdr:nvSpPr>
          <xdr:cNvPr id="900255" name="Line 159"/>
          <xdr:cNvSpPr>
            <a:spLocks noChangeShapeType="1"/>
          </xdr:cNvSpPr>
        </xdr:nvSpPr>
        <xdr:spPr bwMode="auto">
          <a:xfrm flipV="1">
            <a:off x="1410" y="3198"/>
            <a:ext cx="0" cy="24"/>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stealth" w="med" len="med"/>
            <a:tailEnd/>
          </a:ln>
          <a:extLst>
            <a:ext uri="{909E8E84-426E-40DD-AFC4-6F175D3DCCD1}">
              <a14:hiddenFill xmlns:a14="http://schemas.microsoft.com/office/drawing/2010/main">
                <a:noFill/>
              </a14:hiddenFill>
            </a:ext>
          </a:extLst>
        </xdr:spPr>
      </xdr:sp>
    </xdr:grpSp>
    <xdr:clientData/>
  </xdr:twoCellAnchor>
  <xdr:twoCellAnchor>
    <xdr:from>
      <xdr:col>66</xdr:col>
      <xdr:colOff>542925</xdr:colOff>
      <xdr:row>158</xdr:row>
      <xdr:rowOff>57150</xdr:rowOff>
    </xdr:from>
    <xdr:to>
      <xdr:col>70</xdr:col>
      <xdr:colOff>85725</xdr:colOff>
      <xdr:row>166</xdr:row>
      <xdr:rowOff>133350</xdr:rowOff>
    </xdr:to>
    <xdr:grpSp>
      <xdr:nvGrpSpPr>
        <xdr:cNvPr id="900283" name="Group 187"/>
        <xdr:cNvGrpSpPr>
          <a:grpSpLocks/>
        </xdr:cNvGrpSpPr>
      </xdr:nvGrpSpPr>
      <xdr:grpSpPr bwMode="auto">
        <a:xfrm>
          <a:off x="11363325" y="25679400"/>
          <a:ext cx="1981200" cy="1371600"/>
          <a:chOff x="1193" y="2696"/>
          <a:chExt cx="208" cy="144"/>
        </a:xfrm>
      </xdr:grpSpPr>
      <xdr:sp macro="" textlink="">
        <xdr:nvSpPr>
          <xdr:cNvPr id="900256" name="Rectangle 160"/>
          <xdr:cNvSpPr>
            <a:spLocks noChangeArrowheads="1"/>
          </xdr:cNvSpPr>
        </xdr:nvSpPr>
        <xdr:spPr bwMode="auto">
          <a:xfrm>
            <a:off x="1260" y="2782"/>
            <a:ext cx="64" cy="14"/>
          </a:xfrm>
          <a:prstGeom prst="rect">
            <a:avLst/>
          </a:prstGeom>
          <a:solidFill>
            <a:srgbClr xmlns:mc="http://schemas.openxmlformats.org/markup-compatibility/2006" xmlns:a14="http://schemas.microsoft.com/office/drawing/2010/main" val="FFFFFF" mc:Ignorable="a14" a14:legacySpreadsheetColorIndex="9"/>
          </a:solidFill>
          <a:ln w="19050">
            <a:solidFill>
              <a:srgbClr xmlns:mc="http://schemas.openxmlformats.org/markup-compatibility/2006" xmlns:a14="http://schemas.microsoft.com/office/drawing/2010/main" val="000000" mc:Ignorable="a14" a14:legacySpreadsheetColorIndex="64"/>
            </a:solidFill>
            <a:miter lim="800000"/>
            <a:headEnd/>
            <a:tailEnd/>
          </a:ln>
        </xdr:spPr>
      </xdr:sp>
      <xdr:sp macro="" textlink="">
        <xdr:nvSpPr>
          <xdr:cNvPr id="900257" name="Rectangle 161"/>
          <xdr:cNvSpPr>
            <a:spLocks noChangeArrowheads="1"/>
          </xdr:cNvSpPr>
        </xdr:nvSpPr>
        <xdr:spPr bwMode="auto">
          <a:xfrm>
            <a:off x="1260" y="2697"/>
            <a:ext cx="14" cy="85"/>
          </a:xfrm>
          <a:prstGeom prst="rect">
            <a:avLst/>
          </a:prstGeom>
          <a:solidFill>
            <a:srgbClr xmlns:mc="http://schemas.openxmlformats.org/markup-compatibility/2006" xmlns:a14="http://schemas.microsoft.com/office/drawing/2010/main" val="FFFFFF" mc:Ignorable="a14" a14:legacySpreadsheetColorIndex="9"/>
          </a:solidFill>
          <a:ln w="19050">
            <a:solidFill>
              <a:srgbClr xmlns:mc="http://schemas.openxmlformats.org/markup-compatibility/2006" xmlns:a14="http://schemas.microsoft.com/office/drawing/2010/main" val="000000" mc:Ignorable="a14" a14:legacySpreadsheetColorIndex="64"/>
            </a:solidFill>
            <a:miter lim="800000"/>
            <a:headEnd/>
            <a:tailEnd/>
          </a:ln>
        </xdr:spPr>
      </xdr:sp>
      <xdr:sp macro="" textlink="">
        <xdr:nvSpPr>
          <xdr:cNvPr id="900258" name="Line 162"/>
          <xdr:cNvSpPr>
            <a:spLocks noChangeShapeType="1"/>
          </xdr:cNvSpPr>
        </xdr:nvSpPr>
        <xdr:spPr bwMode="auto">
          <a:xfrm>
            <a:off x="1272" y="2697"/>
            <a:ext cx="6"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900259" name="Rectangle 163"/>
          <xdr:cNvSpPr>
            <a:spLocks noChangeArrowheads="1"/>
          </xdr:cNvSpPr>
        </xdr:nvSpPr>
        <xdr:spPr bwMode="auto">
          <a:xfrm>
            <a:off x="1261" y="2778"/>
            <a:ext cx="12" cy="12"/>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sp macro="" textlink="">
        <xdr:nvSpPr>
          <xdr:cNvPr id="900260" name="Line 164"/>
          <xdr:cNvSpPr>
            <a:spLocks noChangeShapeType="1"/>
          </xdr:cNvSpPr>
        </xdr:nvSpPr>
        <xdr:spPr bwMode="auto">
          <a:xfrm>
            <a:off x="1329" y="2796"/>
            <a:ext cx="72"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900261" name="Line 165"/>
          <xdr:cNvSpPr>
            <a:spLocks noChangeShapeType="1"/>
          </xdr:cNvSpPr>
        </xdr:nvSpPr>
        <xdr:spPr bwMode="auto">
          <a:xfrm>
            <a:off x="1279" y="2696"/>
            <a:ext cx="88"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900262" name="Line 166"/>
          <xdr:cNvSpPr>
            <a:spLocks noChangeShapeType="1"/>
          </xdr:cNvSpPr>
        </xdr:nvSpPr>
        <xdr:spPr bwMode="auto">
          <a:xfrm flipV="1">
            <a:off x="1353" y="2697"/>
            <a:ext cx="0" cy="99"/>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stealth" w="med" len="med"/>
            <a:tailEnd type="stealth" w="med" len="med"/>
          </a:ln>
          <a:extLst>
            <a:ext uri="{909E8E84-426E-40DD-AFC4-6F175D3DCCD1}">
              <a14:hiddenFill xmlns:a14="http://schemas.microsoft.com/office/drawing/2010/main">
                <a:noFill/>
              </a14:hiddenFill>
            </a:ext>
          </a:extLst>
        </xdr:spPr>
      </xdr:sp>
      <xdr:sp macro="" textlink="">
        <xdr:nvSpPr>
          <xdr:cNvPr id="900263" name="Line 167"/>
          <xdr:cNvSpPr>
            <a:spLocks noChangeShapeType="1"/>
          </xdr:cNvSpPr>
        </xdr:nvSpPr>
        <xdr:spPr bwMode="auto">
          <a:xfrm>
            <a:off x="1259" y="2801"/>
            <a:ext cx="0" cy="39"/>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900264" name="Line 168"/>
          <xdr:cNvSpPr>
            <a:spLocks noChangeShapeType="1"/>
          </xdr:cNvSpPr>
        </xdr:nvSpPr>
        <xdr:spPr bwMode="auto">
          <a:xfrm>
            <a:off x="1322" y="2801"/>
            <a:ext cx="0" cy="37"/>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900265" name="Line 169"/>
          <xdr:cNvSpPr>
            <a:spLocks noChangeShapeType="1"/>
          </xdr:cNvSpPr>
        </xdr:nvSpPr>
        <xdr:spPr bwMode="auto">
          <a:xfrm>
            <a:off x="1259" y="2831"/>
            <a:ext cx="63"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stealth" w="med" len="med"/>
            <a:tailEnd type="stealth" w="med" len="med"/>
          </a:ln>
          <a:extLst>
            <a:ext uri="{909E8E84-426E-40DD-AFC4-6F175D3DCCD1}">
              <a14:hiddenFill xmlns:a14="http://schemas.microsoft.com/office/drawing/2010/main">
                <a:noFill/>
              </a14:hiddenFill>
            </a:ext>
          </a:extLst>
        </xdr:spPr>
      </xdr:sp>
      <xdr:sp macro="" textlink="">
        <xdr:nvSpPr>
          <xdr:cNvPr id="900266" name="Line 170"/>
          <xdr:cNvSpPr>
            <a:spLocks noChangeShapeType="1"/>
          </xdr:cNvSpPr>
        </xdr:nvSpPr>
        <xdr:spPr bwMode="auto">
          <a:xfrm>
            <a:off x="1193" y="2746"/>
            <a:ext cx="66"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stealth" w="med" len="med"/>
          </a:ln>
          <a:extLst>
            <a:ext uri="{909E8E84-426E-40DD-AFC4-6F175D3DCCD1}">
              <a14:hiddenFill xmlns:a14="http://schemas.microsoft.com/office/drawing/2010/main">
                <a:noFill/>
              </a14:hiddenFill>
            </a:ext>
          </a:extLst>
        </xdr:spPr>
      </xdr:sp>
      <xdr:sp macro="" textlink="">
        <xdr:nvSpPr>
          <xdr:cNvPr id="900267" name="Line 171"/>
          <xdr:cNvSpPr>
            <a:spLocks noChangeShapeType="1"/>
          </xdr:cNvSpPr>
        </xdr:nvSpPr>
        <xdr:spPr bwMode="auto">
          <a:xfrm>
            <a:off x="1273" y="2746"/>
            <a:ext cx="31"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stealth" w="med" len="med"/>
            <a:tailEnd/>
          </a:ln>
          <a:extLst>
            <a:ext uri="{909E8E84-426E-40DD-AFC4-6F175D3DCCD1}">
              <a14:hiddenFill xmlns:a14="http://schemas.microsoft.com/office/drawing/2010/main">
                <a:noFill/>
              </a14:hiddenFill>
            </a:ext>
          </a:extLst>
        </xdr:spPr>
      </xdr:sp>
      <xdr:sp macro="" textlink="">
        <xdr:nvSpPr>
          <xdr:cNvPr id="900268" name="Line 172"/>
          <xdr:cNvSpPr>
            <a:spLocks noChangeShapeType="1"/>
          </xdr:cNvSpPr>
        </xdr:nvSpPr>
        <xdr:spPr bwMode="auto">
          <a:xfrm>
            <a:off x="1331" y="2781"/>
            <a:ext cx="1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900269" name="Line 173"/>
          <xdr:cNvSpPr>
            <a:spLocks noChangeShapeType="1"/>
          </xdr:cNvSpPr>
        </xdr:nvSpPr>
        <xdr:spPr bwMode="auto">
          <a:xfrm>
            <a:off x="1362" y="2781"/>
            <a:ext cx="39"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900270" name="Line 174"/>
          <xdr:cNvSpPr>
            <a:spLocks noChangeShapeType="1"/>
          </xdr:cNvSpPr>
        </xdr:nvSpPr>
        <xdr:spPr bwMode="auto">
          <a:xfrm>
            <a:off x="1389" y="2796"/>
            <a:ext cx="0" cy="29"/>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stealth" w="med" len="med"/>
            <a:tailEnd/>
          </a:ln>
          <a:extLst>
            <a:ext uri="{909E8E84-426E-40DD-AFC4-6F175D3DCCD1}">
              <a14:hiddenFill xmlns:a14="http://schemas.microsoft.com/office/drawing/2010/main">
                <a:noFill/>
              </a14:hiddenFill>
            </a:ext>
          </a:extLst>
        </xdr:spPr>
      </xdr:sp>
      <xdr:sp macro="" textlink="">
        <xdr:nvSpPr>
          <xdr:cNvPr id="900271" name="Line 175"/>
          <xdr:cNvSpPr>
            <a:spLocks noChangeShapeType="1"/>
          </xdr:cNvSpPr>
        </xdr:nvSpPr>
        <xdr:spPr bwMode="auto">
          <a:xfrm flipV="1">
            <a:off x="1389" y="2757"/>
            <a:ext cx="0" cy="24"/>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stealth" w="med" len="med"/>
            <a:tailEnd/>
          </a:ln>
          <a:extLst>
            <a:ext uri="{909E8E84-426E-40DD-AFC4-6F175D3DCCD1}">
              <a14:hiddenFill xmlns:a14="http://schemas.microsoft.com/office/drawing/2010/main">
                <a:noFill/>
              </a14:hiddenFill>
            </a:ext>
          </a:extLst>
        </xdr:spPr>
      </xdr:sp>
    </xdr:grpSp>
    <xdr:clientData/>
  </xdr:twoCellAnchor>
</xdr:wsDr>
</file>

<file path=xl/drawings/drawing11.xml><?xml version="1.0" encoding="utf-8"?>
<xdr:wsDr xmlns:xdr="http://schemas.openxmlformats.org/drawingml/2006/spreadsheetDrawing" xmlns:a="http://schemas.openxmlformats.org/drawingml/2006/main">
  <xdr:twoCellAnchor>
    <xdr:from>
      <xdr:col>3</xdr:col>
      <xdr:colOff>533400</xdr:colOff>
      <xdr:row>156</xdr:row>
      <xdr:rowOff>38100</xdr:rowOff>
    </xdr:from>
    <xdr:to>
      <xdr:col>6</xdr:col>
      <xdr:colOff>409575</xdr:colOff>
      <xdr:row>156</xdr:row>
      <xdr:rowOff>38100</xdr:rowOff>
    </xdr:to>
    <xdr:sp macro="" textlink="">
      <xdr:nvSpPr>
        <xdr:cNvPr id="878593" name="Line 1"/>
        <xdr:cNvSpPr>
          <a:spLocks noChangeShapeType="1"/>
        </xdr:cNvSpPr>
      </xdr:nvSpPr>
      <xdr:spPr bwMode="auto">
        <a:xfrm>
          <a:off x="2362200" y="25336500"/>
          <a:ext cx="1704975"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400050</xdr:colOff>
      <xdr:row>212</xdr:row>
      <xdr:rowOff>76200</xdr:rowOff>
    </xdr:from>
    <xdr:to>
      <xdr:col>6</xdr:col>
      <xdr:colOff>361950</xdr:colOff>
      <xdr:row>212</xdr:row>
      <xdr:rowOff>76200</xdr:rowOff>
    </xdr:to>
    <xdr:sp macro="" textlink="">
      <xdr:nvSpPr>
        <xdr:cNvPr id="878594" name="Line 2"/>
        <xdr:cNvSpPr>
          <a:spLocks noChangeShapeType="1"/>
        </xdr:cNvSpPr>
      </xdr:nvSpPr>
      <xdr:spPr bwMode="auto">
        <a:xfrm>
          <a:off x="2228850" y="34442400"/>
          <a:ext cx="1790700"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0</xdr:col>
      <xdr:colOff>0</xdr:colOff>
      <xdr:row>54</xdr:row>
      <xdr:rowOff>57150</xdr:rowOff>
    </xdr:from>
    <xdr:to>
      <xdr:col>8</xdr:col>
      <xdr:colOff>381000</xdr:colOff>
      <xdr:row>107</xdr:row>
      <xdr:rowOff>76200</xdr:rowOff>
    </xdr:to>
    <xdr:pic>
      <xdr:nvPicPr>
        <xdr:cNvPr id="878595" name="Picture 3"/>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t="771" r="909" b="1212"/>
        <a:stretch>
          <a:fillRect/>
        </a:stretch>
      </xdr:blipFill>
      <xdr:spPr bwMode="auto">
        <a:xfrm>
          <a:off x="0" y="8839200"/>
          <a:ext cx="5257800" cy="86010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47625</xdr:colOff>
      <xdr:row>112</xdr:row>
      <xdr:rowOff>76200</xdr:rowOff>
    </xdr:from>
    <xdr:to>
      <xdr:col>9</xdr:col>
      <xdr:colOff>219075</xdr:colOff>
      <xdr:row>156</xdr:row>
      <xdr:rowOff>9525</xdr:rowOff>
    </xdr:to>
    <xdr:pic>
      <xdr:nvPicPr>
        <xdr:cNvPr id="878596" name="Picture 4"/>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r="2782" b="3516"/>
        <a:stretch>
          <a:fillRect/>
        </a:stretch>
      </xdr:blipFill>
      <xdr:spPr bwMode="auto">
        <a:xfrm>
          <a:off x="47625" y="18249900"/>
          <a:ext cx="5657850" cy="70580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152400</xdr:colOff>
      <xdr:row>163</xdr:row>
      <xdr:rowOff>9525</xdr:rowOff>
    </xdr:from>
    <xdr:to>
      <xdr:col>9</xdr:col>
      <xdr:colOff>104775</xdr:colOff>
      <xdr:row>212</xdr:row>
      <xdr:rowOff>28575</xdr:rowOff>
    </xdr:to>
    <xdr:pic>
      <xdr:nvPicPr>
        <xdr:cNvPr id="878597" name="Picture 5"/>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t="1717" r="2725" b="2747"/>
        <a:stretch>
          <a:fillRect/>
        </a:stretch>
      </xdr:blipFill>
      <xdr:spPr bwMode="auto">
        <a:xfrm>
          <a:off x="152400" y="26441400"/>
          <a:ext cx="5438775" cy="79533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5</xdr:col>
      <xdr:colOff>304800</xdr:colOff>
      <xdr:row>7</xdr:row>
      <xdr:rowOff>133350</xdr:rowOff>
    </xdr:from>
    <xdr:to>
      <xdr:col>5</xdr:col>
      <xdr:colOff>361950</xdr:colOff>
      <xdr:row>13</xdr:row>
      <xdr:rowOff>95250</xdr:rowOff>
    </xdr:to>
    <xdr:sp macro="" textlink="">
      <xdr:nvSpPr>
        <xdr:cNvPr id="877569" name="Rectangle 1"/>
        <xdr:cNvSpPr>
          <a:spLocks noChangeArrowheads="1"/>
        </xdr:cNvSpPr>
      </xdr:nvSpPr>
      <xdr:spPr bwMode="auto">
        <a:xfrm>
          <a:off x="3705225" y="1304925"/>
          <a:ext cx="57150" cy="933450"/>
        </a:xfrm>
        <a:prstGeom prst="rect">
          <a:avLst/>
        </a:pr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4</xdr:col>
      <xdr:colOff>504825</xdr:colOff>
      <xdr:row>13</xdr:row>
      <xdr:rowOff>95250</xdr:rowOff>
    </xdr:from>
    <xdr:to>
      <xdr:col>5</xdr:col>
      <xdr:colOff>257175</xdr:colOff>
      <xdr:row>13</xdr:row>
      <xdr:rowOff>95250</xdr:rowOff>
    </xdr:to>
    <xdr:sp macro="" textlink="">
      <xdr:nvSpPr>
        <xdr:cNvPr id="877570" name="Line 2"/>
        <xdr:cNvSpPr>
          <a:spLocks noChangeShapeType="1"/>
        </xdr:cNvSpPr>
      </xdr:nvSpPr>
      <xdr:spPr bwMode="auto">
        <a:xfrm flipH="1">
          <a:off x="3295650" y="2238375"/>
          <a:ext cx="36195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504825</xdr:colOff>
      <xdr:row>7</xdr:row>
      <xdr:rowOff>142875</xdr:rowOff>
    </xdr:from>
    <xdr:to>
      <xdr:col>5</xdr:col>
      <xdr:colOff>257175</xdr:colOff>
      <xdr:row>7</xdr:row>
      <xdr:rowOff>142875</xdr:rowOff>
    </xdr:to>
    <xdr:sp macro="" textlink="">
      <xdr:nvSpPr>
        <xdr:cNvPr id="877571" name="Line 3"/>
        <xdr:cNvSpPr>
          <a:spLocks noChangeShapeType="1"/>
        </xdr:cNvSpPr>
      </xdr:nvSpPr>
      <xdr:spPr bwMode="auto">
        <a:xfrm flipH="1">
          <a:off x="3295650" y="1314450"/>
          <a:ext cx="36195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571500</xdr:colOff>
      <xdr:row>6</xdr:row>
      <xdr:rowOff>76200</xdr:rowOff>
    </xdr:from>
    <xdr:to>
      <xdr:col>5</xdr:col>
      <xdr:colOff>571500</xdr:colOff>
      <xdr:row>15</xdr:row>
      <xdr:rowOff>85725</xdr:rowOff>
    </xdr:to>
    <xdr:sp macro="" textlink="">
      <xdr:nvSpPr>
        <xdr:cNvPr id="877572" name="Line 4"/>
        <xdr:cNvSpPr>
          <a:spLocks noChangeShapeType="1"/>
        </xdr:cNvSpPr>
      </xdr:nvSpPr>
      <xdr:spPr bwMode="auto">
        <a:xfrm>
          <a:off x="3971925" y="1085850"/>
          <a:ext cx="0" cy="1466850"/>
        </a:xfrm>
        <a:prstGeom prst="line">
          <a:avLst/>
        </a:prstGeom>
        <a:noFill/>
        <a:ln w="9525">
          <a:solidFill>
            <a:srgbClr xmlns:mc="http://schemas.openxmlformats.org/markup-compatibility/2006" xmlns:a14="http://schemas.microsoft.com/office/drawing/2010/main" val="000000" mc:Ignorable="a14" a14:legacySpreadsheetColorIndex="64"/>
          </a:solidFill>
          <a:prstDash val="lgDashDot"/>
          <a:round/>
          <a:headEnd/>
          <a:tailEnd/>
        </a:ln>
        <a:extLst>
          <a:ext uri="{909E8E84-426E-40DD-AFC4-6F175D3DCCD1}">
            <a14:hiddenFill xmlns:a14="http://schemas.microsoft.com/office/drawing/2010/main">
              <a:noFill/>
            </a14:hiddenFill>
          </a:ext>
        </a:extLst>
      </xdr:spPr>
    </xdr:sp>
    <xdr:clientData/>
  </xdr:twoCellAnchor>
  <xdr:twoCellAnchor>
    <xdr:from>
      <xdr:col>5</xdr:col>
      <xdr:colOff>333375</xdr:colOff>
      <xdr:row>13</xdr:row>
      <xdr:rowOff>152400</xdr:rowOff>
    </xdr:from>
    <xdr:to>
      <xdr:col>5</xdr:col>
      <xdr:colOff>333375</xdr:colOff>
      <xdr:row>16</xdr:row>
      <xdr:rowOff>85725</xdr:rowOff>
    </xdr:to>
    <xdr:sp macro="" textlink="">
      <xdr:nvSpPr>
        <xdr:cNvPr id="877573" name="Line 5"/>
        <xdr:cNvSpPr>
          <a:spLocks noChangeShapeType="1"/>
        </xdr:cNvSpPr>
      </xdr:nvSpPr>
      <xdr:spPr bwMode="auto">
        <a:xfrm>
          <a:off x="3733800" y="2295525"/>
          <a:ext cx="0" cy="4191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190500</xdr:colOff>
      <xdr:row>13</xdr:row>
      <xdr:rowOff>152400</xdr:rowOff>
    </xdr:from>
    <xdr:to>
      <xdr:col>6</xdr:col>
      <xdr:colOff>190500</xdr:colOff>
      <xdr:row>16</xdr:row>
      <xdr:rowOff>85725</xdr:rowOff>
    </xdr:to>
    <xdr:sp macro="" textlink="">
      <xdr:nvSpPr>
        <xdr:cNvPr id="877574" name="Line 6"/>
        <xdr:cNvSpPr>
          <a:spLocks noChangeShapeType="1"/>
        </xdr:cNvSpPr>
      </xdr:nvSpPr>
      <xdr:spPr bwMode="auto">
        <a:xfrm>
          <a:off x="4200525" y="2295525"/>
          <a:ext cx="0" cy="4191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200025</xdr:colOff>
      <xdr:row>10</xdr:row>
      <xdr:rowOff>114300</xdr:rowOff>
    </xdr:from>
    <xdr:to>
      <xdr:col>6</xdr:col>
      <xdr:colOff>276225</xdr:colOff>
      <xdr:row>10</xdr:row>
      <xdr:rowOff>114300</xdr:rowOff>
    </xdr:to>
    <xdr:sp macro="" textlink="">
      <xdr:nvSpPr>
        <xdr:cNvPr id="877575" name="Line 7"/>
        <xdr:cNvSpPr>
          <a:spLocks noChangeShapeType="1"/>
        </xdr:cNvSpPr>
      </xdr:nvSpPr>
      <xdr:spPr bwMode="auto">
        <a:xfrm>
          <a:off x="3600450" y="1771650"/>
          <a:ext cx="685800" cy="0"/>
        </a:xfrm>
        <a:prstGeom prst="line">
          <a:avLst/>
        </a:prstGeom>
        <a:noFill/>
        <a:ln w="9525">
          <a:solidFill>
            <a:srgbClr xmlns:mc="http://schemas.openxmlformats.org/markup-compatibility/2006" xmlns:a14="http://schemas.microsoft.com/office/drawing/2010/main" val="000000" mc:Ignorable="a14" a14:legacySpreadsheetColorIndex="64"/>
          </a:solidFill>
          <a:prstDash val="lgDashDot"/>
          <a:round/>
          <a:headEnd/>
          <a:tailEnd/>
        </a:ln>
        <a:extLst>
          <a:ext uri="{909E8E84-426E-40DD-AFC4-6F175D3DCCD1}">
            <a14:hiddenFill xmlns:a14="http://schemas.microsoft.com/office/drawing/2010/main">
              <a:noFill/>
            </a14:hiddenFill>
          </a:ext>
        </a:extLst>
      </xdr:spPr>
    </xdr:sp>
    <xdr:clientData/>
  </xdr:twoCellAnchor>
  <xdr:twoCellAnchor>
    <xdr:from>
      <xdr:col>6</xdr:col>
      <xdr:colOff>161925</xdr:colOff>
      <xdr:row>7</xdr:row>
      <xdr:rowOff>133350</xdr:rowOff>
    </xdr:from>
    <xdr:to>
      <xdr:col>6</xdr:col>
      <xdr:colOff>219075</xdr:colOff>
      <xdr:row>13</xdr:row>
      <xdr:rowOff>95250</xdr:rowOff>
    </xdr:to>
    <xdr:sp macro="" textlink="">
      <xdr:nvSpPr>
        <xdr:cNvPr id="877576" name="Rectangle 8"/>
        <xdr:cNvSpPr>
          <a:spLocks noChangeArrowheads="1"/>
        </xdr:cNvSpPr>
      </xdr:nvSpPr>
      <xdr:spPr bwMode="auto">
        <a:xfrm>
          <a:off x="4171950" y="1304925"/>
          <a:ext cx="57150" cy="933450"/>
        </a:xfrm>
        <a:prstGeom prst="rect">
          <a:avLst/>
        </a:pr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5</xdr:col>
      <xdr:colOff>247650</xdr:colOff>
      <xdr:row>19</xdr:row>
      <xdr:rowOff>28575</xdr:rowOff>
    </xdr:from>
    <xdr:to>
      <xdr:col>5</xdr:col>
      <xdr:colOff>295275</xdr:colOff>
      <xdr:row>24</xdr:row>
      <xdr:rowOff>142875</xdr:rowOff>
    </xdr:to>
    <xdr:sp macro="" textlink="">
      <xdr:nvSpPr>
        <xdr:cNvPr id="877577" name="Rectangle 9"/>
        <xdr:cNvSpPr>
          <a:spLocks noChangeArrowheads="1"/>
        </xdr:cNvSpPr>
      </xdr:nvSpPr>
      <xdr:spPr bwMode="auto">
        <a:xfrm>
          <a:off x="3648075" y="3143250"/>
          <a:ext cx="47625" cy="923925"/>
        </a:xfrm>
        <a:prstGeom prst="rect">
          <a:avLst/>
        </a:pr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5</xdr:col>
      <xdr:colOff>485775</xdr:colOff>
      <xdr:row>18</xdr:row>
      <xdr:rowOff>104775</xdr:rowOff>
    </xdr:from>
    <xdr:to>
      <xdr:col>5</xdr:col>
      <xdr:colOff>533400</xdr:colOff>
      <xdr:row>24</xdr:row>
      <xdr:rowOff>57150</xdr:rowOff>
    </xdr:to>
    <xdr:sp macro="" textlink="">
      <xdr:nvSpPr>
        <xdr:cNvPr id="877578" name="Rectangle 10"/>
        <xdr:cNvSpPr>
          <a:spLocks noChangeArrowheads="1"/>
        </xdr:cNvSpPr>
      </xdr:nvSpPr>
      <xdr:spPr bwMode="auto">
        <a:xfrm>
          <a:off x="3886200" y="3057525"/>
          <a:ext cx="47625" cy="923925"/>
        </a:xfrm>
        <a:prstGeom prst="rect">
          <a:avLst/>
        </a:pr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5</xdr:col>
      <xdr:colOff>390525</xdr:colOff>
      <xdr:row>18</xdr:row>
      <xdr:rowOff>133350</xdr:rowOff>
    </xdr:from>
    <xdr:to>
      <xdr:col>5</xdr:col>
      <xdr:colOff>390525</xdr:colOff>
      <xdr:row>25</xdr:row>
      <xdr:rowOff>142875</xdr:rowOff>
    </xdr:to>
    <xdr:sp macro="" textlink="">
      <xdr:nvSpPr>
        <xdr:cNvPr id="877579" name="Line 11"/>
        <xdr:cNvSpPr>
          <a:spLocks noChangeShapeType="1"/>
        </xdr:cNvSpPr>
      </xdr:nvSpPr>
      <xdr:spPr bwMode="auto">
        <a:xfrm>
          <a:off x="3790950" y="3086100"/>
          <a:ext cx="0" cy="1143000"/>
        </a:xfrm>
        <a:prstGeom prst="line">
          <a:avLst/>
        </a:prstGeom>
        <a:noFill/>
        <a:ln w="9525">
          <a:solidFill>
            <a:srgbClr xmlns:mc="http://schemas.openxmlformats.org/markup-compatibility/2006" xmlns:a14="http://schemas.microsoft.com/office/drawing/2010/main" val="000000" mc:Ignorable="a14" a14:legacySpreadsheetColorIndex="64"/>
          </a:solidFill>
          <a:prstDash val="lgDashDot"/>
          <a:round/>
          <a:headEnd/>
          <a:tailEnd/>
        </a:ln>
        <a:extLst>
          <a:ext uri="{909E8E84-426E-40DD-AFC4-6F175D3DCCD1}">
            <a14:hiddenFill xmlns:a14="http://schemas.microsoft.com/office/drawing/2010/main">
              <a:noFill/>
            </a14:hiddenFill>
          </a:ext>
        </a:extLst>
      </xdr:spPr>
    </xdr:sp>
    <xdr:clientData/>
  </xdr:twoCellAnchor>
  <xdr:twoCellAnchor>
    <xdr:from>
      <xdr:col>5</xdr:col>
      <xdr:colOff>114300</xdr:colOff>
      <xdr:row>21</xdr:row>
      <xdr:rowOff>9525</xdr:rowOff>
    </xdr:from>
    <xdr:to>
      <xdr:col>6</xdr:col>
      <xdr:colOff>85725</xdr:colOff>
      <xdr:row>22</xdr:row>
      <xdr:rowOff>66675</xdr:rowOff>
    </xdr:to>
    <xdr:sp macro="" textlink="">
      <xdr:nvSpPr>
        <xdr:cNvPr id="877580" name="Line 12"/>
        <xdr:cNvSpPr>
          <a:spLocks noChangeShapeType="1"/>
        </xdr:cNvSpPr>
      </xdr:nvSpPr>
      <xdr:spPr bwMode="auto">
        <a:xfrm flipV="1">
          <a:off x="3514725" y="3448050"/>
          <a:ext cx="581025" cy="219075"/>
        </a:xfrm>
        <a:prstGeom prst="line">
          <a:avLst/>
        </a:prstGeom>
        <a:noFill/>
        <a:ln w="9525">
          <a:solidFill>
            <a:srgbClr xmlns:mc="http://schemas.openxmlformats.org/markup-compatibility/2006" xmlns:a14="http://schemas.microsoft.com/office/drawing/2010/main" val="000000" mc:Ignorable="a14" a14:legacySpreadsheetColorIndex="64"/>
          </a:solidFill>
          <a:prstDash val="lgDashDot"/>
          <a:round/>
          <a:headEnd/>
          <a:tailEnd/>
        </a:ln>
        <a:extLst>
          <a:ext uri="{909E8E84-426E-40DD-AFC4-6F175D3DCCD1}">
            <a14:hiddenFill xmlns:a14="http://schemas.microsoft.com/office/drawing/2010/main">
              <a:noFill/>
            </a14:hiddenFill>
          </a:ext>
        </a:extLst>
      </xdr:spPr>
    </xdr:sp>
    <xdr:clientData/>
  </xdr:twoCellAnchor>
  <xdr:twoCellAnchor>
    <xdr:from>
      <xdr:col>5</xdr:col>
      <xdr:colOff>266700</xdr:colOff>
      <xdr:row>25</xdr:row>
      <xdr:rowOff>28575</xdr:rowOff>
    </xdr:from>
    <xdr:to>
      <xdr:col>5</xdr:col>
      <xdr:colOff>266700</xdr:colOff>
      <xdr:row>26</xdr:row>
      <xdr:rowOff>9525</xdr:rowOff>
    </xdr:to>
    <xdr:sp macro="" textlink="">
      <xdr:nvSpPr>
        <xdr:cNvPr id="877581" name="Line 13"/>
        <xdr:cNvSpPr>
          <a:spLocks noChangeShapeType="1"/>
        </xdr:cNvSpPr>
      </xdr:nvSpPr>
      <xdr:spPr bwMode="auto">
        <a:xfrm>
          <a:off x="3667125" y="4114800"/>
          <a:ext cx="0" cy="1428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504825</xdr:colOff>
      <xdr:row>24</xdr:row>
      <xdr:rowOff>104775</xdr:rowOff>
    </xdr:from>
    <xdr:to>
      <xdr:col>5</xdr:col>
      <xdr:colOff>504825</xdr:colOff>
      <xdr:row>25</xdr:row>
      <xdr:rowOff>85725</xdr:rowOff>
    </xdr:to>
    <xdr:sp macro="" textlink="">
      <xdr:nvSpPr>
        <xdr:cNvPr id="877582" name="Line 14"/>
        <xdr:cNvSpPr>
          <a:spLocks noChangeShapeType="1"/>
        </xdr:cNvSpPr>
      </xdr:nvSpPr>
      <xdr:spPr bwMode="auto">
        <a:xfrm>
          <a:off x="3905250" y="4029075"/>
          <a:ext cx="0" cy="1428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590550</xdr:colOff>
      <xdr:row>25</xdr:row>
      <xdr:rowOff>9525</xdr:rowOff>
    </xdr:from>
    <xdr:to>
      <xdr:col>5</xdr:col>
      <xdr:colOff>228600</xdr:colOff>
      <xdr:row>25</xdr:row>
      <xdr:rowOff>85725</xdr:rowOff>
    </xdr:to>
    <xdr:sp macro="" textlink="">
      <xdr:nvSpPr>
        <xdr:cNvPr id="877583" name="Line 15"/>
        <xdr:cNvSpPr>
          <a:spLocks noChangeShapeType="1"/>
        </xdr:cNvSpPr>
      </xdr:nvSpPr>
      <xdr:spPr bwMode="auto">
        <a:xfrm flipV="1">
          <a:off x="3381375" y="4095750"/>
          <a:ext cx="247650" cy="762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66675</xdr:colOff>
      <xdr:row>19</xdr:row>
      <xdr:rowOff>104775</xdr:rowOff>
    </xdr:from>
    <xdr:to>
      <xdr:col>5</xdr:col>
      <xdr:colOff>66675</xdr:colOff>
      <xdr:row>25</xdr:row>
      <xdr:rowOff>57150</xdr:rowOff>
    </xdr:to>
    <xdr:sp macro="" textlink="">
      <xdr:nvSpPr>
        <xdr:cNvPr id="877584" name="Line 16"/>
        <xdr:cNvSpPr>
          <a:spLocks noChangeShapeType="1"/>
        </xdr:cNvSpPr>
      </xdr:nvSpPr>
      <xdr:spPr bwMode="auto">
        <a:xfrm>
          <a:off x="3467100" y="3219450"/>
          <a:ext cx="0" cy="9239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stealth" w="med" len="med"/>
          <a:tailEnd type="stealth" w="med" len="med"/>
        </a:ln>
        <a:extLst>
          <a:ext uri="{909E8E84-426E-40DD-AFC4-6F175D3DCCD1}">
            <a14:hiddenFill xmlns:a14="http://schemas.microsoft.com/office/drawing/2010/main">
              <a:noFill/>
            </a14:hiddenFill>
          </a:ext>
        </a:extLst>
      </xdr:spPr>
    </xdr:sp>
    <xdr:clientData/>
  </xdr:twoCellAnchor>
  <xdr:twoCellAnchor>
    <xdr:from>
      <xdr:col>4</xdr:col>
      <xdr:colOff>581025</xdr:colOff>
      <xdr:row>19</xdr:row>
      <xdr:rowOff>57150</xdr:rowOff>
    </xdr:from>
    <xdr:to>
      <xdr:col>5</xdr:col>
      <xdr:colOff>219075</xdr:colOff>
      <xdr:row>19</xdr:row>
      <xdr:rowOff>133350</xdr:rowOff>
    </xdr:to>
    <xdr:sp macro="" textlink="">
      <xdr:nvSpPr>
        <xdr:cNvPr id="877585" name="Line 17"/>
        <xdr:cNvSpPr>
          <a:spLocks noChangeShapeType="1"/>
        </xdr:cNvSpPr>
      </xdr:nvSpPr>
      <xdr:spPr bwMode="auto">
        <a:xfrm flipV="1">
          <a:off x="3371850" y="3171825"/>
          <a:ext cx="247650" cy="762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581025</xdr:colOff>
      <xdr:row>7</xdr:row>
      <xdr:rowOff>19050</xdr:rowOff>
    </xdr:from>
    <xdr:to>
      <xdr:col>6</xdr:col>
      <xdr:colOff>323850</xdr:colOff>
      <xdr:row>7</xdr:row>
      <xdr:rowOff>19050</xdr:rowOff>
    </xdr:to>
    <xdr:sp macro="" textlink="">
      <xdr:nvSpPr>
        <xdr:cNvPr id="877586" name="Line 18"/>
        <xdr:cNvSpPr>
          <a:spLocks noChangeShapeType="1"/>
        </xdr:cNvSpPr>
      </xdr:nvSpPr>
      <xdr:spPr bwMode="auto">
        <a:xfrm>
          <a:off x="3981450" y="1190625"/>
          <a:ext cx="35242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stealth" w="sm" len="sm"/>
          <a:tailEnd type="stealth" w="sm" len="sm"/>
        </a:ln>
        <a:extLst>
          <a:ext uri="{909E8E84-426E-40DD-AFC4-6F175D3DCCD1}">
            <a14:hiddenFill xmlns:a14="http://schemas.microsoft.com/office/drawing/2010/main">
              <a:noFill/>
            </a14:hiddenFill>
          </a:ext>
        </a:extLst>
      </xdr:spPr>
    </xdr:sp>
    <xdr:clientData/>
  </xdr:twoCellAnchor>
  <xdr:twoCellAnchor>
    <xdr:from>
      <xdr:col>5</xdr:col>
      <xdr:colOff>38100</xdr:colOff>
      <xdr:row>7</xdr:row>
      <xdr:rowOff>142875</xdr:rowOff>
    </xdr:from>
    <xdr:to>
      <xdr:col>5</xdr:col>
      <xdr:colOff>38100</xdr:colOff>
      <xdr:row>13</xdr:row>
      <xdr:rowOff>104775</xdr:rowOff>
    </xdr:to>
    <xdr:sp macro="" textlink="">
      <xdr:nvSpPr>
        <xdr:cNvPr id="877587" name="Line 19"/>
        <xdr:cNvSpPr>
          <a:spLocks noChangeShapeType="1"/>
        </xdr:cNvSpPr>
      </xdr:nvSpPr>
      <xdr:spPr bwMode="auto">
        <a:xfrm>
          <a:off x="3438525" y="1314450"/>
          <a:ext cx="0" cy="9334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stealth" w="med" len="med"/>
          <a:tailEnd type="stealth" w="med" len="med"/>
        </a:ln>
        <a:extLst>
          <a:ext uri="{909E8E84-426E-40DD-AFC4-6F175D3DCCD1}">
            <a14:hiddenFill xmlns:a14="http://schemas.microsoft.com/office/drawing/2010/main">
              <a:noFill/>
            </a14:hiddenFill>
          </a:ext>
        </a:extLst>
      </xdr:spPr>
    </xdr:sp>
    <xdr:clientData/>
  </xdr:twoCellAnchor>
  <xdr:twoCellAnchor>
    <xdr:from>
      <xdr:col>5</xdr:col>
      <xdr:colOff>333375</xdr:colOff>
      <xdr:row>15</xdr:row>
      <xdr:rowOff>152400</xdr:rowOff>
    </xdr:from>
    <xdr:to>
      <xdr:col>6</xdr:col>
      <xdr:colOff>190500</xdr:colOff>
      <xdr:row>15</xdr:row>
      <xdr:rowOff>152400</xdr:rowOff>
    </xdr:to>
    <xdr:sp macro="" textlink="">
      <xdr:nvSpPr>
        <xdr:cNvPr id="877588" name="Line 20"/>
        <xdr:cNvSpPr>
          <a:spLocks noChangeShapeType="1"/>
        </xdr:cNvSpPr>
      </xdr:nvSpPr>
      <xdr:spPr bwMode="auto">
        <a:xfrm>
          <a:off x="3733800" y="2619375"/>
          <a:ext cx="46672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stealth" w="sm" len="sm"/>
          <a:tailEnd type="stealth" w="sm" len="sm"/>
        </a:ln>
        <a:extLst>
          <a:ext uri="{909E8E84-426E-40DD-AFC4-6F175D3DCCD1}">
            <a14:hiddenFill xmlns:a14="http://schemas.microsoft.com/office/drawing/2010/main">
              <a:noFill/>
            </a14:hiddenFill>
          </a:ext>
        </a:extLst>
      </xdr:spPr>
    </xdr:sp>
    <xdr:clientData/>
  </xdr:twoCellAnchor>
  <xdr:twoCellAnchor>
    <xdr:from>
      <xdr:col>4</xdr:col>
      <xdr:colOff>419100</xdr:colOff>
      <xdr:row>15</xdr:row>
      <xdr:rowOff>152400</xdr:rowOff>
    </xdr:from>
    <xdr:to>
      <xdr:col>5</xdr:col>
      <xdr:colOff>333375</xdr:colOff>
      <xdr:row>15</xdr:row>
      <xdr:rowOff>152400</xdr:rowOff>
    </xdr:to>
    <xdr:sp macro="" textlink="">
      <xdr:nvSpPr>
        <xdr:cNvPr id="877589" name="Line 21"/>
        <xdr:cNvSpPr>
          <a:spLocks noChangeShapeType="1"/>
        </xdr:cNvSpPr>
      </xdr:nvSpPr>
      <xdr:spPr bwMode="auto">
        <a:xfrm flipH="1">
          <a:off x="3209925" y="2619375"/>
          <a:ext cx="5238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333375</xdr:colOff>
      <xdr:row>15</xdr:row>
      <xdr:rowOff>0</xdr:rowOff>
    </xdr:from>
    <xdr:to>
      <xdr:col>5</xdr:col>
      <xdr:colOff>571500</xdr:colOff>
      <xdr:row>15</xdr:row>
      <xdr:rowOff>0</xdr:rowOff>
    </xdr:to>
    <xdr:sp macro="" textlink="">
      <xdr:nvSpPr>
        <xdr:cNvPr id="877590" name="Line 22"/>
        <xdr:cNvSpPr>
          <a:spLocks noChangeShapeType="1"/>
        </xdr:cNvSpPr>
      </xdr:nvSpPr>
      <xdr:spPr bwMode="auto">
        <a:xfrm>
          <a:off x="3733800" y="2466975"/>
          <a:ext cx="23812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stealth" w="sm" len="sm"/>
          <a:tailEnd type="stealth" w="sm" len="sm"/>
        </a:ln>
        <a:extLst>
          <a:ext uri="{909E8E84-426E-40DD-AFC4-6F175D3DCCD1}">
            <a14:hiddenFill xmlns:a14="http://schemas.microsoft.com/office/drawing/2010/main">
              <a:noFill/>
            </a14:hiddenFill>
          </a:ext>
        </a:extLst>
      </xdr:spPr>
    </xdr:sp>
    <xdr:clientData/>
  </xdr:twoCellAnchor>
  <xdr:twoCellAnchor>
    <xdr:from>
      <xdr:col>5</xdr:col>
      <xdr:colOff>571500</xdr:colOff>
      <xdr:row>15</xdr:row>
      <xdr:rowOff>0</xdr:rowOff>
    </xdr:from>
    <xdr:to>
      <xdr:col>6</xdr:col>
      <xdr:colOff>200025</xdr:colOff>
      <xdr:row>15</xdr:row>
      <xdr:rowOff>0</xdr:rowOff>
    </xdr:to>
    <xdr:sp macro="" textlink="">
      <xdr:nvSpPr>
        <xdr:cNvPr id="877591" name="Line 23"/>
        <xdr:cNvSpPr>
          <a:spLocks noChangeShapeType="1"/>
        </xdr:cNvSpPr>
      </xdr:nvSpPr>
      <xdr:spPr bwMode="auto">
        <a:xfrm>
          <a:off x="3971925" y="2466975"/>
          <a:ext cx="23812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stealth" w="sm" len="sm"/>
          <a:tailEnd type="stealth" w="sm" len="sm"/>
        </a:ln>
        <a:extLst>
          <a:ext uri="{909E8E84-426E-40DD-AFC4-6F175D3DCCD1}">
            <a14:hiddenFill xmlns:a14="http://schemas.microsoft.com/office/drawing/2010/main">
              <a:noFill/>
            </a14:hiddenFill>
          </a:ext>
        </a:extLst>
      </xdr:spPr>
    </xdr:sp>
    <xdr:clientData/>
  </xdr:twoCellAnchor>
  <xdr:twoCellAnchor>
    <xdr:from>
      <xdr:col>4</xdr:col>
      <xdr:colOff>466725</xdr:colOff>
      <xdr:row>15</xdr:row>
      <xdr:rowOff>0</xdr:rowOff>
    </xdr:from>
    <xdr:to>
      <xdr:col>5</xdr:col>
      <xdr:colOff>333375</xdr:colOff>
      <xdr:row>15</xdr:row>
      <xdr:rowOff>0</xdr:rowOff>
    </xdr:to>
    <xdr:sp macro="" textlink="">
      <xdr:nvSpPr>
        <xdr:cNvPr id="877592" name="Line 24"/>
        <xdr:cNvSpPr>
          <a:spLocks noChangeShapeType="1"/>
        </xdr:cNvSpPr>
      </xdr:nvSpPr>
      <xdr:spPr bwMode="auto">
        <a:xfrm flipH="1">
          <a:off x="3257550" y="2466975"/>
          <a:ext cx="47625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190500</xdr:colOff>
      <xdr:row>15</xdr:row>
      <xdr:rowOff>0</xdr:rowOff>
    </xdr:from>
    <xdr:to>
      <xdr:col>7</xdr:col>
      <xdr:colOff>57150</xdr:colOff>
      <xdr:row>15</xdr:row>
      <xdr:rowOff>0</xdr:rowOff>
    </xdr:to>
    <xdr:sp macro="" textlink="">
      <xdr:nvSpPr>
        <xdr:cNvPr id="877593" name="Line 25"/>
        <xdr:cNvSpPr>
          <a:spLocks noChangeShapeType="1"/>
        </xdr:cNvSpPr>
      </xdr:nvSpPr>
      <xdr:spPr bwMode="auto">
        <a:xfrm>
          <a:off x="4200525" y="2466975"/>
          <a:ext cx="47625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381000</xdr:colOff>
      <xdr:row>19</xdr:row>
      <xdr:rowOff>95250</xdr:rowOff>
    </xdr:from>
    <xdr:to>
      <xdr:col>6</xdr:col>
      <xdr:colOff>323850</xdr:colOff>
      <xdr:row>20</xdr:row>
      <xdr:rowOff>66675</xdr:rowOff>
    </xdr:to>
    <xdr:sp macro="" textlink="">
      <xdr:nvSpPr>
        <xdr:cNvPr id="877594" name="Line 26"/>
        <xdr:cNvSpPr>
          <a:spLocks noChangeShapeType="1"/>
        </xdr:cNvSpPr>
      </xdr:nvSpPr>
      <xdr:spPr bwMode="auto">
        <a:xfrm>
          <a:off x="3781425" y="3209925"/>
          <a:ext cx="55245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stealth" w="sm" len="sm"/>
          <a:tailEnd type="stealth" w="sm" len="sm"/>
        </a:ln>
        <a:extLst>
          <a:ext uri="{909E8E84-426E-40DD-AFC4-6F175D3DCCD1}">
            <a14:hiddenFill xmlns:a14="http://schemas.microsoft.com/office/drawing/2010/main">
              <a:noFill/>
            </a14:hiddenFill>
          </a:ext>
        </a:extLst>
      </xdr:spPr>
    </xdr:sp>
    <xdr:clientData/>
  </xdr:twoCellAnchor>
  <xdr:twoCellAnchor>
    <xdr:from>
      <xdr:col>5</xdr:col>
      <xdr:colOff>390525</xdr:colOff>
      <xdr:row>24</xdr:row>
      <xdr:rowOff>152400</xdr:rowOff>
    </xdr:from>
    <xdr:to>
      <xdr:col>5</xdr:col>
      <xdr:colOff>504825</xdr:colOff>
      <xdr:row>25</xdr:row>
      <xdr:rowOff>47625</xdr:rowOff>
    </xdr:to>
    <xdr:sp macro="" textlink="">
      <xdr:nvSpPr>
        <xdr:cNvPr id="877595" name="Line 27"/>
        <xdr:cNvSpPr>
          <a:spLocks noChangeShapeType="1"/>
        </xdr:cNvSpPr>
      </xdr:nvSpPr>
      <xdr:spPr bwMode="auto">
        <a:xfrm flipV="1">
          <a:off x="3790950" y="4076700"/>
          <a:ext cx="114300" cy="57150"/>
        </a:xfrm>
        <a:prstGeom prst="line">
          <a:avLst/>
        </a:prstGeom>
        <a:noFill/>
        <a:ln w="6350">
          <a:solidFill>
            <a:srgbClr xmlns:mc="http://schemas.openxmlformats.org/markup-compatibility/2006" xmlns:a14="http://schemas.microsoft.com/office/drawing/2010/main" val="000000" mc:Ignorable="a14" a14:legacySpreadsheetColorIndex="64"/>
          </a:solidFill>
          <a:round/>
          <a:headEnd type="stealth" w="sm" len="sm"/>
          <a:tailEnd type="stealth" w="sm" len="sm"/>
        </a:ln>
        <a:extLst>
          <a:ext uri="{909E8E84-426E-40DD-AFC4-6F175D3DCCD1}">
            <a14:hiddenFill xmlns:a14="http://schemas.microsoft.com/office/drawing/2010/main">
              <a:noFill/>
            </a14:hiddenFill>
          </a:ext>
        </a:extLst>
      </xdr:spPr>
    </xdr:sp>
    <xdr:clientData/>
  </xdr:twoCellAnchor>
  <xdr:twoCellAnchor>
    <xdr:from>
      <xdr:col>5</xdr:col>
      <xdr:colOff>266700</xdr:colOff>
      <xdr:row>25</xdr:row>
      <xdr:rowOff>47625</xdr:rowOff>
    </xdr:from>
    <xdr:to>
      <xdr:col>5</xdr:col>
      <xdr:colOff>381000</xdr:colOff>
      <xdr:row>25</xdr:row>
      <xdr:rowOff>104775</xdr:rowOff>
    </xdr:to>
    <xdr:sp macro="" textlink="">
      <xdr:nvSpPr>
        <xdr:cNvPr id="877596" name="Line 28"/>
        <xdr:cNvSpPr>
          <a:spLocks noChangeShapeType="1"/>
        </xdr:cNvSpPr>
      </xdr:nvSpPr>
      <xdr:spPr bwMode="auto">
        <a:xfrm flipV="1">
          <a:off x="3667125" y="4133850"/>
          <a:ext cx="114300" cy="57150"/>
        </a:xfrm>
        <a:prstGeom prst="line">
          <a:avLst/>
        </a:prstGeom>
        <a:noFill/>
        <a:ln w="6350">
          <a:solidFill>
            <a:srgbClr xmlns:mc="http://schemas.openxmlformats.org/markup-compatibility/2006" xmlns:a14="http://schemas.microsoft.com/office/drawing/2010/main" val="000000" mc:Ignorable="a14" a14:legacySpreadsheetColorIndex="64"/>
          </a:solidFill>
          <a:round/>
          <a:headEnd type="stealth" w="sm" len="sm"/>
          <a:tailEnd type="stealth" w="sm" len="sm"/>
        </a:ln>
        <a:extLst>
          <a:ext uri="{909E8E84-426E-40DD-AFC4-6F175D3DCCD1}">
            <a14:hiddenFill xmlns:a14="http://schemas.microsoft.com/office/drawing/2010/main">
              <a:noFill/>
            </a14:hiddenFill>
          </a:ext>
        </a:extLst>
      </xdr:spPr>
    </xdr:sp>
    <xdr:clientData/>
  </xdr:twoCellAnchor>
  <xdr:twoCellAnchor>
    <xdr:from>
      <xdr:col>5</xdr:col>
      <xdr:colOff>504825</xdr:colOff>
      <xdr:row>24</xdr:row>
      <xdr:rowOff>152400</xdr:rowOff>
    </xdr:from>
    <xdr:to>
      <xdr:col>5</xdr:col>
      <xdr:colOff>600075</xdr:colOff>
      <xdr:row>25</xdr:row>
      <xdr:rowOff>95250</xdr:rowOff>
    </xdr:to>
    <xdr:sp macro="" textlink="">
      <xdr:nvSpPr>
        <xdr:cNvPr id="877597" name="Line 29"/>
        <xdr:cNvSpPr>
          <a:spLocks noChangeShapeType="1"/>
        </xdr:cNvSpPr>
      </xdr:nvSpPr>
      <xdr:spPr bwMode="auto">
        <a:xfrm>
          <a:off x="3905250" y="4076700"/>
          <a:ext cx="95250" cy="1047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523875</xdr:colOff>
      <xdr:row>7</xdr:row>
      <xdr:rowOff>19050</xdr:rowOff>
    </xdr:from>
    <xdr:to>
      <xdr:col>5</xdr:col>
      <xdr:colOff>571500</xdr:colOff>
      <xdr:row>7</xdr:row>
      <xdr:rowOff>19050</xdr:rowOff>
    </xdr:to>
    <xdr:sp macro="" textlink="">
      <xdr:nvSpPr>
        <xdr:cNvPr id="877598" name="Line 30"/>
        <xdr:cNvSpPr>
          <a:spLocks noChangeShapeType="1"/>
        </xdr:cNvSpPr>
      </xdr:nvSpPr>
      <xdr:spPr bwMode="auto">
        <a:xfrm flipH="1">
          <a:off x="3314700" y="1190625"/>
          <a:ext cx="65722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333375</xdr:colOff>
      <xdr:row>7</xdr:row>
      <xdr:rowOff>28575</xdr:rowOff>
    </xdr:from>
    <xdr:to>
      <xdr:col>7</xdr:col>
      <xdr:colOff>342900</xdr:colOff>
      <xdr:row>10</xdr:row>
      <xdr:rowOff>114300</xdr:rowOff>
    </xdr:to>
    <xdr:sp macro="" textlink="">
      <xdr:nvSpPr>
        <xdr:cNvPr id="877599" name="Line 31"/>
        <xdr:cNvSpPr>
          <a:spLocks noChangeShapeType="1"/>
        </xdr:cNvSpPr>
      </xdr:nvSpPr>
      <xdr:spPr bwMode="auto">
        <a:xfrm flipH="1">
          <a:off x="4343400" y="1200150"/>
          <a:ext cx="619125" cy="57150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lg"/>
        </a:ln>
        <a:extLst>
          <a:ext uri="{909E8E84-426E-40DD-AFC4-6F175D3DCCD1}">
            <a14:hiddenFill xmlns:a14="http://schemas.microsoft.com/office/drawing/2010/main">
              <a:noFill/>
            </a14:hiddenFill>
          </a:ext>
        </a:extLst>
      </xdr:spPr>
    </xdr:sp>
    <xdr:clientData/>
  </xdr:twoCellAnchor>
  <xdr:twoCellAnchor>
    <xdr:from>
      <xdr:col>6</xdr:col>
      <xdr:colOff>419100</xdr:colOff>
      <xdr:row>10</xdr:row>
      <xdr:rowOff>114300</xdr:rowOff>
    </xdr:from>
    <xdr:to>
      <xdr:col>7</xdr:col>
      <xdr:colOff>428625</xdr:colOff>
      <xdr:row>10</xdr:row>
      <xdr:rowOff>114300</xdr:rowOff>
    </xdr:to>
    <xdr:sp macro="" textlink="">
      <xdr:nvSpPr>
        <xdr:cNvPr id="877600" name="Line 32"/>
        <xdr:cNvSpPr>
          <a:spLocks noChangeShapeType="1"/>
        </xdr:cNvSpPr>
      </xdr:nvSpPr>
      <xdr:spPr bwMode="auto">
        <a:xfrm flipH="1">
          <a:off x="4429125" y="1771650"/>
          <a:ext cx="619125" cy="0"/>
        </a:xfrm>
        <a:prstGeom prst="line">
          <a:avLst/>
        </a:prstGeom>
        <a:noFill/>
        <a:ln w="19050">
          <a:solidFill>
            <a:srgbClr xmlns:mc="http://schemas.openxmlformats.org/markup-compatibility/2006" xmlns:a14="http://schemas.microsoft.com/office/drawing/2010/main" val="000000" mc:Ignorable="a14" a14:legacySpreadsheetColorIndex="64"/>
          </a:solidFill>
          <a:prstDash val="dash"/>
          <a:round/>
          <a:headEnd/>
          <a:tailEnd type="triangle" w="sm" len="med"/>
        </a:ln>
        <a:extLst>
          <a:ext uri="{909E8E84-426E-40DD-AFC4-6F175D3DCCD1}">
            <a14:hiddenFill xmlns:a14="http://schemas.microsoft.com/office/drawing/2010/main">
              <a:noFill/>
            </a14:hiddenFill>
          </a:ext>
        </a:extLst>
      </xdr:spPr>
    </xdr:sp>
    <xdr:clientData/>
  </xdr:twoCellAnchor>
  <xdr:twoCellAnchor>
    <xdr:from>
      <xdr:col>6</xdr:col>
      <xdr:colOff>333375</xdr:colOff>
      <xdr:row>6</xdr:row>
      <xdr:rowOff>19050</xdr:rowOff>
    </xdr:from>
    <xdr:to>
      <xdr:col>6</xdr:col>
      <xdr:colOff>333375</xdr:colOff>
      <xdr:row>10</xdr:row>
      <xdr:rowOff>57150</xdr:rowOff>
    </xdr:to>
    <xdr:sp macro="" textlink="">
      <xdr:nvSpPr>
        <xdr:cNvPr id="877601" name="Line 33"/>
        <xdr:cNvSpPr>
          <a:spLocks noChangeShapeType="1"/>
        </xdr:cNvSpPr>
      </xdr:nvSpPr>
      <xdr:spPr bwMode="auto">
        <a:xfrm>
          <a:off x="4343400" y="1028700"/>
          <a:ext cx="0" cy="685800"/>
        </a:xfrm>
        <a:prstGeom prst="line">
          <a:avLst/>
        </a:prstGeom>
        <a:noFill/>
        <a:ln w="19050">
          <a:solidFill>
            <a:srgbClr xmlns:mc="http://schemas.openxmlformats.org/markup-compatibility/2006" xmlns:a14="http://schemas.microsoft.com/office/drawing/2010/main" val="000000" mc:Ignorable="a14" a14:legacySpreadsheetColorIndex="64"/>
          </a:solidFill>
          <a:prstDash val="dash"/>
          <a:round/>
          <a:headEnd/>
          <a:tailEnd type="triangle" w="sm" len="med"/>
        </a:ln>
        <a:extLst>
          <a:ext uri="{909E8E84-426E-40DD-AFC4-6F175D3DCCD1}">
            <a14:hiddenFill xmlns:a14="http://schemas.microsoft.com/office/drawing/2010/main">
              <a:noFill/>
            </a14:hiddenFill>
          </a:ext>
        </a:extLst>
      </xdr:spPr>
    </xdr:sp>
    <xdr:clientData/>
  </xdr:twoCellAnchor>
  <xdr:twoCellAnchor>
    <xdr:from>
      <xdr:col>6</xdr:col>
      <xdr:colOff>333375</xdr:colOff>
      <xdr:row>18</xdr:row>
      <xdr:rowOff>38100</xdr:rowOff>
    </xdr:from>
    <xdr:to>
      <xdr:col>6</xdr:col>
      <xdr:colOff>333375</xdr:colOff>
      <xdr:row>21</xdr:row>
      <xdr:rowOff>76200</xdr:rowOff>
    </xdr:to>
    <xdr:sp macro="" textlink="">
      <xdr:nvSpPr>
        <xdr:cNvPr id="877602" name="Line 34"/>
        <xdr:cNvSpPr>
          <a:spLocks noChangeShapeType="1"/>
        </xdr:cNvSpPr>
      </xdr:nvSpPr>
      <xdr:spPr bwMode="auto">
        <a:xfrm>
          <a:off x="4343400" y="2990850"/>
          <a:ext cx="0" cy="523875"/>
        </a:xfrm>
        <a:prstGeom prst="line">
          <a:avLst/>
        </a:prstGeom>
        <a:noFill/>
        <a:ln w="19050">
          <a:solidFill>
            <a:srgbClr xmlns:mc="http://schemas.openxmlformats.org/markup-compatibility/2006" xmlns:a14="http://schemas.microsoft.com/office/drawing/2010/main" val="000000" mc:Ignorable="a14" a14:legacySpreadsheetColorIndex="64"/>
          </a:solidFill>
          <a:prstDash val="dash"/>
          <a:round/>
          <a:headEnd/>
          <a:tailEnd type="triangle" w="sm" len="med"/>
        </a:ln>
        <a:extLst>
          <a:ext uri="{909E8E84-426E-40DD-AFC4-6F175D3DCCD1}">
            <a14:hiddenFill xmlns:a14="http://schemas.microsoft.com/office/drawing/2010/main">
              <a:noFill/>
            </a14:hiddenFill>
          </a:ext>
        </a:extLst>
      </xdr:spPr>
    </xdr:sp>
    <xdr:clientData/>
  </xdr:twoCellAnchor>
  <xdr:twoCellAnchor>
    <xdr:from>
      <xdr:col>6</xdr:col>
      <xdr:colOff>333375</xdr:colOff>
      <xdr:row>18</xdr:row>
      <xdr:rowOff>133350</xdr:rowOff>
    </xdr:from>
    <xdr:to>
      <xdr:col>7</xdr:col>
      <xdr:colOff>342900</xdr:colOff>
      <xdr:row>21</xdr:row>
      <xdr:rowOff>133350</xdr:rowOff>
    </xdr:to>
    <xdr:sp macro="" textlink="">
      <xdr:nvSpPr>
        <xdr:cNvPr id="877603" name="Line 35"/>
        <xdr:cNvSpPr>
          <a:spLocks noChangeShapeType="1"/>
        </xdr:cNvSpPr>
      </xdr:nvSpPr>
      <xdr:spPr bwMode="auto">
        <a:xfrm flipH="1">
          <a:off x="4343400" y="3086100"/>
          <a:ext cx="619125" cy="48577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lg"/>
        </a:ln>
        <a:extLst>
          <a:ext uri="{909E8E84-426E-40DD-AFC4-6F175D3DCCD1}">
            <a14:hiddenFill xmlns:a14="http://schemas.microsoft.com/office/drawing/2010/main">
              <a:noFill/>
            </a14:hiddenFill>
          </a:ext>
        </a:extLst>
      </xdr:spPr>
    </xdr:sp>
    <xdr:clientData/>
  </xdr:twoCellAnchor>
  <xdr:twoCellAnchor>
    <xdr:from>
      <xdr:col>6</xdr:col>
      <xdr:colOff>371475</xdr:colOff>
      <xdr:row>22</xdr:row>
      <xdr:rowOff>85725</xdr:rowOff>
    </xdr:from>
    <xdr:to>
      <xdr:col>7</xdr:col>
      <xdr:colOff>428625</xdr:colOff>
      <xdr:row>22</xdr:row>
      <xdr:rowOff>95250</xdr:rowOff>
    </xdr:to>
    <xdr:sp macro="" textlink="">
      <xdr:nvSpPr>
        <xdr:cNvPr id="877604" name="Line 36"/>
        <xdr:cNvSpPr>
          <a:spLocks noChangeShapeType="1"/>
        </xdr:cNvSpPr>
      </xdr:nvSpPr>
      <xdr:spPr bwMode="auto">
        <a:xfrm rot="1085692" flipH="1">
          <a:off x="4381500" y="3686175"/>
          <a:ext cx="666750" cy="9525"/>
        </a:xfrm>
        <a:prstGeom prst="line">
          <a:avLst/>
        </a:prstGeom>
        <a:noFill/>
        <a:ln w="19050">
          <a:solidFill>
            <a:srgbClr xmlns:mc="http://schemas.openxmlformats.org/markup-compatibility/2006" xmlns:a14="http://schemas.microsoft.com/office/drawing/2010/main" val="000000" mc:Ignorable="a14" a14:legacySpreadsheetColorIndex="64"/>
          </a:solidFill>
          <a:prstDash val="dash"/>
          <a:round/>
          <a:headEnd/>
          <a:tailEnd type="triangle" w="sm" len="med"/>
        </a:ln>
        <a:extLst>
          <a:ext uri="{909E8E84-426E-40DD-AFC4-6F175D3DCCD1}">
            <a14:hiddenFill xmlns:a14="http://schemas.microsoft.com/office/drawing/2010/main">
              <a:noFill/>
            </a14:hiddenFill>
          </a:ext>
        </a:extLst>
      </xdr:spPr>
    </xdr:sp>
    <xdr:clientData/>
  </xdr:twoCellAnchor>
  <xdr:twoCellAnchor>
    <xdr:from>
      <xdr:col>3</xdr:col>
      <xdr:colOff>0</xdr:colOff>
      <xdr:row>46</xdr:row>
      <xdr:rowOff>0</xdr:rowOff>
    </xdr:from>
    <xdr:to>
      <xdr:col>6</xdr:col>
      <xdr:colOff>0</xdr:colOff>
      <xdr:row>49</xdr:row>
      <xdr:rowOff>0</xdr:rowOff>
    </xdr:to>
    <xdr:sp macro="" textlink="">
      <xdr:nvSpPr>
        <xdr:cNvPr id="877607" name="Rectangle 39"/>
        <xdr:cNvSpPr>
          <a:spLocks noChangeArrowheads="1"/>
        </xdr:cNvSpPr>
      </xdr:nvSpPr>
      <xdr:spPr bwMode="auto">
        <a:xfrm>
          <a:off x="2076450" y="7505700"/>
          <a:ext cx="1933575" cy="485775"/>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ffectLst>
          <a:outerShdw dist="107763" dir="2700000" algn="ctr" rotWithShape="0">
            <a:srgbClr val="808080"/>
          </a:outerShdw>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53640926-AAD7-44D8-BBD7-CCE9431645EC}">
            <a14:shadowObscured xmlns:a14="http://schemas.microsoft.com/office/drawing/2010/main" val="1"/>
          </a:ext>
        </a:extLst>
      </xdr:spPr>
    </xdr:sp>
    <xdr:clientData/>
  </xdr:twoCellAnchor>
  <xdr:twoCellAnchor>
    <xdr:from>
      <xdr:col>6</xdr:col>
      <xdr:colOff>333375</xdr:colOff>
      <xdr:row>7</xdr:row>
      <xdr:rowOff>57150</xdr:rowOff>
    </xdr:from>
    <xdr:to>
      <xdr:col>7</xdr:col>
      <xdr:colOff>95250</xdr:colOff>
      <xdr:row>10</xdr:row>
      <xdr:rowOff>57150</xdr:rowOff>
    </xdr:to>
    <xdr:sp macro="" textlink="">
      <xdr:nvSpPr>
        <xdr:cNvPr id="877608" name="Arc 40"/>
        <xdr:cNvSpPr>
          <a:spLocks/>
        </xdr:cNvSpPr>
      </xdr:nvSpPr>
      <xdr:spPr bwMode="auto">
        <a:xfrm>
          <a:off x="4343400" y="1228725"/>
          <a:ext cx="371475" cy="485775"/>
        </a:xfrm>
        <a:custGeom>
          <a:avLst/>
          <a:gdLst>
            <a:gd name="G0" fmla="+- 0 0 0"/>
            <a:gd name="G1" fmla="+- 21600 0 0"/>
            <a:gd name="G2" fmla="+- 21600 0 0"/>
            <a:gd name="T0" fmla="*/ 0 w 17764"/>
            <a:gd name="T1" fmla="*/ 0 h 21600"/>
            <a:gd name="T2" fmla="*/ 17764 w 17764"/>
            <a:gd name="T3" fmla="*/ 9311 h 21600"/>
            <a:gd name="T4" fmla="*/ 0 w 17764"/>
            <a:gd name="T5" fmla="*/ 21600 h 21600"/>
          </a:gdLst>
          <a:ahLst/>
          <a:cxnLst>
            <a:cxn ang="0">
              <a:pos x="T0" y="T1"/>
            </a:cxn>
            <a:cxn ang="0">
              <a:pos x="T2" y="T3"/>
            </a:cxn>
            <a:cxn ang="0">
              <a:pos x="T4" y="T5"/>
            </a:cxn>
          </a:cxnLst>
          <a:rect l="0" t="0" r="r" b="b"/>
          <a:pathLst>
            <a:path w="17764" h="21600" fill="none" extrusionOk="0">
              <a:moveTo>
                <a:pt x="-1" y="0"/>
              </a:moveTo>
              <a:cubicBezTo>
                <a:pt x="7090" y="0"/>
                <a:pt x="13729" y="3480"/>
                <a:pt x="17763" y="9311"/>
              </a:cubicBezTo>
            </a:path>
            <a:path w="17764" h="21600" stroke="0" extrusionOk="0">
              <a:moveTo>
                <a:pt x="-1" y="0"/>
              </a:moveTo>
              <a:cubicBezTo>
                <a:pt x="7090" y="0"/>
                <a:pt x="13729" y="3480"/>
                <a:pt x="17763" y="9311"/>
              </a:cubicBezTo>
              <a:lnTo>
                <a:pt x="0" y="21600"/>
              </a:lnTo>
              <a:close/>
            </a:path>
          </a:pathLst>
        </a:custGeom>
        <a:noFill/>
        <a:ln w="9525">
          <a:solidFill>
            <a:srgbClr xmlns:mc="http://schemas.openxmlformats.org/markup-compatibility/2006" xmlns:a14="http://schemas.microsoft.com/office/drawing/2010/main" val="000000" mc:Ignorable="a14" a14:legacySpreadsheetColorIndex="64"/>
          </a:solidFill>
          <a:round/>
          <a:headEnd type="stealth" w="sm" len="sm"/>
          <a:tailEnd type="stealth" w="sm" len="sm"/>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twoCellAnchor>
    <xdr:from>
      <xdr:col>32</xdr:col>
      <xdr:colOff>0</xdr:colOff>
      <xdr:row>0</xdr:row>
      <xdr:rowOff>0</xdr:rowOff>
    </xdr:from>
    <xdr:to>
      <xdr:col>33</xdr:col>
      <xdr:colOff>0</xdr:colOff>
      <xdr:row>1</xdr:row>
      <xdr:rowOff>0</xdr:rowOff>
    </xdr:to>
    <xdr:sp macro="" textlink="">
      <xdr:nvSpPr>
        <xdr:cNvPr id="877609" name="Rectangle 41"/>
        <xdr:cNvSpPr>
          <a:spLocks noChangeArrowheads="1"/>
        </xdr:cNvSpPr>
      </xdr:nvSpPr>
      <xdr:spPr bwMode="auto">
        <a:xfrm>
          <a:off x="6038850" y="0"/>
          <a:ext cx="609600" cy="200025"/>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AF507438-7753-43E0-B8FC-AC1667EBCBE1}">
            <a14:hiddenEffects xmlns:a14="http://schemas.microsoft.com/office/drawing/2010/main">
              <a:effectLst>
                <a:outerShdw dist="35921" dir="2700000" algn="ctr" rotWithShape="0">
                  <a:srgbClr val="808080"/>
                </a:outerShdw>
              </a:effectLst>
            </a14:hiddenEffects>
          </a:ext>
          <a:ext uri="{53640926-AAD7-44D8-BBD7-CCE9431645EC}">
            <a14:shadowObscured xmlns:a14="http://schemas.microsoft.com/office/drawing/2010/main" val="1"/>
          </a:ext>
        </a:extLst>
      </xdr:spPr>
    </xdr:sp>
    <xdr:clientData/>
  </xdr:twoCellAnchor>
  <xdr:twoCellAnchor>
    <xdr:from>
      <xdr:col>32</xdr:col>
      <xdr:colOff>0</xdr:colOff>
      <xdr:row>0</xdr:row>
      <xdr:rowOff>0</xdr:rowOff>
    </xdr:from>
    <xdr:to>
      <xdr:col>33</xdr:col>
      <xdr:colOff>0</xdr:colOff>
      <xdr:row>1</xdr:row>
      <xdr:rowOff>0</xdr:rowOff>
    </xdr:to>
    <xdr:sp macro="" textlink="">
      <xdr:nvSpPr>
        <xdr:cNvPr id="877610" name="Rectangle 42"/>
        <xdr:cNvSpPr>
          <a:spLocks noChangeArrowheads="1"/>
        </xdr:cNvSpPr>
      </xdr:nvSpPr>
      <xdr:spPr bwMode="auto">
        <a:xfrm>
          <a:off x="6038850" y="0"/>
          <a:ext cx="609600" cy="200025"/>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AF507438-7753-43E0-B8FC-AC1667EBCBE1}">
            <a14:hiddenEffects xmlns:a14="http://schemas.microsoft.com/office/drawing/2010/main">
              <a:effectLst>
                <a:outerShdw dist="35921" dir="2700000" algn="ctr" rotWithShape="0">
                  <a:srgbClr val="808080"/>
                </a:outerShdw>
              </a:effectLst>
            </a14:hiddenEffects>
          </a:ext>
          <a:ext uri="{53640926-AAD7-44D8-BBD7-CCE9431645EC}">
            <a14:shadowObscured xmlns:a14="http://schemas.microsoft.com/office/drawing/2010/main" val="1"/>
          </a:ext>
        </a:extLst>
      </xdr:spPr>
    </xdr:sp>
    <xdr:clientData/>
  </xdr:twoCellAnchor>
  <xdr:twoCellAnchor>
    <xdr:from>
      <xdr:col>33</xdr:col>
      <xdr:colOff>0</xdr:colOff>
      <xdr:row>10</xdr:row>
      <xdr:rowOff>0</xdr:rowOff>
    </xdr:from>
    <xdr:to>
      <xdr:col>36</xdr:col>
      <xdr:colOff>0</xdr:colOff>
      <xdr:row>13</xdr:row>
      <xdr:rowOff>0</xdr:rowOff>
    </xdr:to>
    <xdr:sp macro="" textlink="">
      <xdr:nvSpPr>
        <xdr:cNvPr id="877628" name="Rectangle 60"/>
        <xdr:cNvSpPr>
          <a:spLocks noChangeArrowheads="1"/>
        </xdr:cNvSpPr>
      </xdr:nvSpPr>
      <xdr:spPr bwMode="auto">
        <a:xfrm>
          <a:off x="6648450" y="1657350"/>
          <a:ext cx="1828800" cy="485775"/>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ffectLst>
          <a:outerShdw dist="107763" dir="2700000" algn="ctr" rotWithShape="0">
            <a:srgbClr val="808080"/>
          </a:outerShdw>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53640926-AAD7-44D8-BBD7-CCE9431645EC}">
            <a14:shadowObscured xmlns:a14="http://schemas.microsoft.com/office/drawing/2010/main" val="1"/>
          </a:ext>
        </a:extLst>
      </xdr:spPr>
    </xdr: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504825</xdr:colOff>
      <xdr:row>11</xdr:row>
      <xdr:rowOff>142875</xdr:rowOff>
    </xdr:from>
    <xdr:to>
      <xdr:col>6</xdr:col>
      <xdr:colOff>228600</xdr:colOff>
      <xdr:row>12</xdr:row>
      <xdr:rowOff>38100</xdr:rowOff>
    </xdr:to>
    <xdr:sp macro="" textlink="">
      <xdr:nvSpPr>
        <xdr:cNvPr id="130053" name="Rectangle 5"/>
        <xdr:cNvSpPr>
          <a:spLocks noChangeArrowheads="1"/>
        </xdr:cNvSpPr>
      </xdr:nvSpPr>
      <xdr:spPr bwMode="auto">
        <a:xfrm>
          <a:off x="3295650" y="1962150"/>
          <a:ext cx="942975" cy="57150"/>
        </a:xfrm>
        <a:prstGeom prst="rect">
          <a:avLst/>
        </a:pr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4</xdr:col>
      <xdr:colOff>504825</xdr:colOff>
      <xdr:row>14</xdr:row>
      <xdr:rowOff>19050</xdr:rowOff>
    </xdr:from>
    <xdr:to>
      <xdr:col>6</xdr:col>
      <xdr:colOff>228600</xdr:colOff>
      <xdr:row>14</xdr:row>
      <xdr:rowOff>76200</xdr:rowOff>
    </xdr:to>
    <xdr:sp macro="" textlink="">
      <xdr:nvSpPr>
        <xdr:cNvPr id="130054" name="Rectangle 6"/>
        <xdr:cNvSpPr>
          <a:spLocks noChangeArrowheads="1"/>
        </xdr:cNvSpPr>
      </xdr:nvSpPr>
      <xdr:spPr bwMode="auto">
        <a:xfrm>
          <a:off x="3295650" y="2324100"/>
          <a:ext cx="942975" cy="57150"/>
        </a:xfrm>
        <a:prstGeom prst="rect">
          <a:avLst/>
        </a:pr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4</xdr:col>
      <xdr:colOff>495300</xdr:colOff>
      <xdr:row>13</xdr:row>
      <xdr:rowOff>28575</xdr:rowOff>
    </xdr:from>
    <xdr:to>
      <xdr:col>7</xdr:col>
      <xdr:colOff>0</xdr:colOff>
      <xdr:row>13</xdr:row>
      <xdr:rowOff>28575</xdr:rowOff>
    </xdr:to>
    <xdr:sp macro="" textlink="">
      <xdr:nvSpPr>
        <xdr:cNvPr id="130055" name="Line 7"/>
        <xdr:cNvSpPr>
          <a:spLocks noChangeShapeType="1"/>
        </xdr:cNvSpPr>
      </xdr:nvSpPr>
      <xdr:spPr bwMode="auto">
        <a:xfrm>
          <a:off x="3286125" y="2171700"/>
          <a:ext cx="1333500" cy="0"/>
        </a:xfrm>
        <a:prstGeom prst="line">
          <a:avLst/>
        </a:prstGeom>
        <a:noFill/>
        <a:ln w="9525">
          <a:solidFill>
            <a:srgbClr xmlns:mc="http://schemas.openxmlformats.org/markup-compatibility/2006" xmlns:a14="http://schemas.microsoft.com/office/drawing/2010/main" val="000000" mc:Ignorable="a14" a14:legacySpreadsheetColorIndex="64"/>
          </a:solidFill>
          <a:prstDash val="lgDashDot"/>
          <a:round/>
          <a:headEnd/>
          <a:tailEnd/>
        </a:ln>
        <a:extLst>
          <a:ext uri="{909E8E84-426E-40DD-AFC4-6F175D3DCCD1}">
            <a14:hiddenFill xmlns:a14="http://schemas.microsoft.com/office/drawing/2010/main">
              <a:noFill/>
            </a14:hiddenFill>
          </a:ext>
        </a:extLst>
      </xdr:spPr>
    </xdr:sp>
    <xdr:clientData/>
  </xdr:twoCellAnchor>
  <xdr:twoCellAnchor>
    <xdr:from>
      <xdr:col>4</xdr:col>
      <xdr:colOff>228600</xdr:colOff>
      <xdr:row>12</xdr:row>
      <xdr:rowOff>0</xdr:rowOff>
    </xdr:from>
    <xdr:to>
      <xdr:col>4</xdr:col>
      <xdr:colOff>457200</xdr:colOff>
      <xdr:row>12</xdr:row>
      <xdr:rowOff>0</xdr:rowOff>
    </xdr:to>
    <xdr:sp macro="" textlink="">
      <xdr:nvSpPr>
        <xdr:cNvPr id="130056" name="Line 8"/>
        <xdr:cNvSpPr>
          <a:spLocks noChangeShapeType="1"/>
        </xdr:cNvSpPr>
      </xdr:nvSpPr>
      <xdr:spPr bwMode="auto">
        <a:xfrm flipH="1">
          <a:off x="3019425" y="1981200"/>
          <a:ext cx="2286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228600</xdr:colOff>
      <xdr:row>14</xdr:row>
      <xdr:rowOff>47625</xdr:rowOff>
    </xdr:from>
    <xdr:to>
      <xdr:col>4</xdr:col>
      <xdr:colOff>457200</xdr:colOff>
      <xdr:row>14</xdr:row>
      <xdr:rowOff>47625</xdr:rowOff>
    </xdr:to>
    <xdr:sp macro="" textlink="">
      <xdr:nvSpPr>
        <xdr:cNvPr id="130057" name="Line 9"/>
        <xdr:cNvSpPr>
          <a:spLocks noChangeShapeType="1"/>
        </xdr:cNvSpPr>
      </xdr:nvSpPr>
      <xdr:spPr bwMode="auto">
        <a:xfrm flipH="1">
          <a:off x="3019425" y="2352675"/>
          <a:ext cx="2286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352425</xdr:colOff>
      <xdr:row>12</xdr:row>
      <xdr:rowOff>0</xdr:rowOff>
    </xdr:from>
    <xdr:to>
      <xdr:col>4</xdr:col>
      <xdr:colOff>352425</xdr:colOff>
      <xdr:row>14</xdr:row>
      <xdr:rowOff>47625</xdr:rowOff>
    </xdr:to>
    <xdr:sp macro="" textlink="">
      <xdr:nvSpPr>
        <xdr:cNvPr id="130058" name="Line 10"/>
        <xdr:cNvSpPr>
          <a:spLocks noChangeShapeType="1"/>
        </xdr:cNvSpPr>
      </xdr:nvSpPr>
      <xdr:spPr bwMode="auto">
        <a:xfrm>
          <a:off x="3143250" y="1981200"/>
          <a:ext cx="0" cy="3714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stealth" w="sm" len="sm"/>
          <a:tailEnd type="stealth" w="sm" len="sm"/>
        </a:ln>
        <a:extLst>
          <a:ext uri="{909E8E84-426E-40DD-AFC4-6F175D3DCCD1}">
            <a14:hiddenFill xmlns:a14="http://schemas.microsoft.com/office/drawing/2010/main">
              <a:noFill/>
            </a14:hiddenFill>
          </a:ext>
        </a:extLst>
      </xdr:spPr>
    </xdr:sp>
    <xdr:clientData/>
  </xdr:twoCellAnchor>
  <xdr:twoCellAnchor>
    <xdr:from>
      <xdr:col>5</xdr:col>
      <xdr:colOff>371475</xdr:colOff>
      <xdr:row>9</xdr:row>
      <xdr:rowOff>19050</xdr:rowOff>
    </xdr:from>
    <xdr:to>
      <xdr:col>5</xdr:col>
      <xdr:colOff>371475</xdr:colOff>
      <xdr:row>14</xdr:row>
      <xdr:rowOff>152400</xdr:rowOff>
    </xdr:to>
    <xdr:sp macro="" textlink="">
      <xdr:nvSpPr>
        <xdr:cNvPr id="130059" name="Line 11"/>
        <xdr:cNvSpPr>
          <a:spLocks noChangeShapeType="1"/>
        </xdr:cNvSpPr>
      </xdr:nvSpPr>
      <xdr:spPr bwMode="auto">
        <a:xfrm>
          <a:off x="3771900" y="1514475"/>
          <a:ext cx="0" cy="942975"/>
        </a:xfrm>
        <a:prstGeom prst="line">
          <a:avLst/>
        </a:prstGeom>
        <a:noFill/>
        <a:ln w="9525">
          <a:solidFill>
            <a:srgbClr xmlns:mc="http://schemas.openxmlformats.org/markup-compatibility/2006" xmlns:a14="http://schemas.microsoft.com/office/drawing/2010/main" val="000000" mc:Ignorable="a14" a14:legacySpreadsheetColorIndex="64"/>
          </a:solidFill>
          <a:prstDash val="lgDashDot"/>
          <a:round/>
          <a:headEnd/>
          <a:tailEnd/>
        </a:ln>
        <a:extLst>
          <a:ext uri="{909E8E84-426E-40DD-AFC4-6F175D3DCCD1}">
            <a14:hiddenFill xmlns:a14="http://schemas.microsoft.com/office/drawing/2010/main">
              <a:noFill/>
            </a14:hiddenFill>
          </a:ext>
        </a:extLst>
      </xdr:spPr>
    </xdr:sp>
    <xdr:clientData/>
  </xdr:twoCellAnchor>
  <xdr:twoCellAnchor>
    <xdr:from>
      <xdr:col>7</xdr:col>
      <xdr:colOff>47625</xdr:colOff>
      <xdr:row>10</xdr:row>
      <xdr:rowOff>0</xdr:rowOff>
    </xdr:from>
    <xdr:to>
      <xdr:col>8</xdr:col>
      <xdr:colOff>9525</xdr:colOff>
      <xdr:row>13</xdr:row>
      <xdr:rowOff>38100</xdr:rowOff>
    </xdr:to>
    <xdr:sp macro="" textlink="">
      <xdr:nvSpPr>
        <xdr:cNvPr id="130060" name="Line 12"/>
        <xdr:cNvSpPr>
          <a:spLocks noChangeShapeType="1"/>
        </xdr:cNvSpPr>
      </xdr:nvSpPr>
      <xdr:spPr bwMode="auto">
        <a:xfrm flipH="1">
          <a:off x="4667250" y="1657350"/>
          <a:ext cx="571500" cy="52387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lg"/>
        </a:ln>
        <a:extLst>
          <a:ext uri="{909E8E84-426E-40DD-AFC4-6F175D3DCCD1}">
            <a14:hiddenFill xmlns:a14="http://schemas.microsoft.com/office/drawing/2010/main">
              <a:noFill/>
            </a14:hiddenFill>
          </a:ext>
        </a:extLst>
      </xdr:spPr>
    </xdr:sp>
    <xdr:clientData/>
  </xdr:twoCellAnchor>
  <xdr:twoCellAnchor>
    <xdr:from>
      <xdr:col>7</xdr:col>
      <xdr:colOff>152400</xdr:colOff>
      <xdr:row>13</xdr:row>
      <xdr:rowOff>38100</xdr:rowOff>
    </xdr:from>
    <xdr:to>
      <xdr:col>8</xdr:col>
      <xdr:colOff>133350</xdr:colOff>
      <xdr:row>13</xdr:row>
      <xdr:rowOff>38100</xdr:rowOff>
    </xdr:to>
    <xdr:sp macro="" textlink="">
      <xdr:nvSpPr>
        <xdr:cNvPr id="130064" name="Line 16"/>
        <xdr:cNvSpPr>
          <a:spLocks noChangeShapeType="1"/>
        </xdr:cNvSpPr>
      </xdr:nvSpPr>
      <xdr:spPr bwMode="auto">
        <a:xfrm flipH="1">
          <a:off x="4772025" y="2181225"/>
          <a:ext cx="590550" cy="0"/>
        </a:xfrm>
        <a:prstGeom prst="line">
          <a:avLst/>
        </a:prstGeom>
        <a:noFill/>
        <a:ln w="19050">
          <a:solidFill>
            <a:srgbClr xmlns:mc="http://schemas.openxmlformats.org/markup-compatibility/2006" xmlns:a14="http://schemas.microsoft.com/office/drawing/2010/main" val="000000" mc:Ignorable="a14" a14:legacySpreadsheetColorIndex="64"/>
          </a:solidFill>
          <a:prstDash val="dash"/>
          <a:round/>
          <a:headEnd/>
          <a:tailEnd type="triangle" w="sm" len="med"/>
        </a:ln>
        <a:extLst>
          <a:ext uri="{909E8E84-426E-40DD-AFC4-6F175D3DCCD1}">
            <a14:hiddenFill xmlns:a14="http://schemas.microsoft.com/office/drawing/2010/main">
              <a:noFill/>
            </a14:hiddenFill>
          </a:ext>
        </a:extLst>
      </xdr:spPr>
    </xdr:sp>
    <xdr:clientData/>
  </xdr:twoCellAnchor>
  <xdr:twoCellAnchor>
    <xdr:from>
      <xdr:col>7</xdr:col>
      <xdr:colOff>38100</xdr:colOff>
      <xdr:row>9</xdr:row>
      <xdr:rowOff>9525</xdr:rowOff>
    </xdr:from>
    <xdr:to>
      <xdr:col>7</xdr:col>
      <xdr:colOff>38100</xdr:colOff>
      <xdr:row>12</xdr:row>
      <xdr:rowOff>142875</xdr:rowOff>
    </xdr:to>
    <xdr:sp macro="" textlink="">
      <xdr:nvSpPr>
        <xdr:cNvPr id="130065" name="Line 17"/>
        <xdr:cNvSpPr>
          <a:spLocks noChangeShapeType="1"/>
        </xdr:cNvSpPr>
      </xdr:nvSpPr>
      <xdr:spPr bwMode="auto">
        <a:xfrm>
          <a:off x="4657725" y="1504950"/>
          <a:ext cx="0" cy="619125"/>
        </a:xfrm>
        <a:prstGeom prst="line">
          <a:avLst/>
        </a:prstGeom>
        <a:noFill/>
        <a:ln w="19050">
          <a:solidFill>
            <a:srgbClr xmlns:mc="http://schemas.openxmlformats.org/markup-compatibility/2006" xmlns:a14="http://schemas.microsoft.com/office/drawing/2010/main" val="000000" mc:Ignorable="a14" a14:legacySpreadsheetColorIndex="64"/>
          </a:solidFill>
          <a:prstDash val="dash"/>
          <a:round/>
          <a:headEnd/>
          <a:tailEnd type="triangle" w="sm" len="med"/>
        </a:ln>
        <a:extLst>
          <a:ext uri="{909E8E84-426E-40DD-AFC4-6F175D3DCCD1}">
            <a14:hiddenFill xmlns:a14="http://schemas.microsoft.com/office/drawing/2010/main">
              <a:noFill/>
            </a14:hiddenFill>
          </a:ext>
        </a:extLst>
      </xdr:spPr>
    </xdr:sp>
    <xdr:clientData/>
  </xdr:twoCellAnchor>
  <xdr:twoCellAnchor>
    <xdr:from>
      <xdr:col>5</xdr:col>
      <xdr:colOff>371475</xdr:colOff>
      <xdr:row>10</xdr:row>
      <xdr:rowOff>28575</xdr:rowOff>
    </xdr:from>
    <xdr:to>
      <xdr:col>7</xdr:col>
      <xdr:colOff>28575</xdr:colOff>
      <xdr:row>10</xdr:row>
      <xdr:rowOff>28575</xdr:rowOff>
    </xdr:to>
    <xdr:sp macro="" textlink="">
      <xdr:nvSpPr>
        <xdr:cNvPr id="130066" name="Line 18"/>
        <xdr:cNvSpPr>
          <a:spLocks noChangeShapeType="1"/>
        </xdr:cNvSpPr>
      </xdr:nvSpPr>
      <xdr:spPr bwMode="auto">
        <a:xfrm>
          <a:off x="3771900" y="1685925"/>
          <a:ext cx="8763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stealth" w="med" len="sm"/>
          <a:tailEnd type="stealth" w="med" len="sm"/>
        </a:ln>
        <a:extLst>
          <a:ext uri="{909E8E84-426E-40DD-AFC4-6F175D3DCCD1}">
            <a14:hiddenFill xmlns:a14="http://schemas.microsoft.com/office/drawing/2010/main">
              <a:noFill/>
            </a14:hiddenFill>
          </a:ext>
        </a:extLst>
      </xdr:spPr>
    </xdr:sp>
    <xdr:clientData/>
  </xdr:twoCellAnchor>
  <xdr:twoCellAnchor>
    <xdr:from>
      <xdr:col>4</xdr:col>
      <xdr:colOff>504825</xdr:colOff>
      <xdr:row>14</xdr:row>
      <xdr:rowOff>123825</xdr:rowOff>
    </xdr:from>
    <xdr:to>
      <xdr:col>4</xdr:col>
      <xdr:colOff>504825</xdr:colOff>
      <xdr:row>16</xdr:row>
      <xdr:rowOff>152400</xdr:rowOff>
    </xdr:to>
    <xdr:sp macro="" textlink="">
      <xdr:nvSpPr>
        <xdr:cNvPr id="130067" name="Line 19"/>
        <xdr:cNvSpPr>
          <a:spLocks noChangeShapeType="1"/>
        </xdr:cNvSpPr>
      </xdr:nvSpPr>
      <xdr:spPr bwMode="auto">
        <a:xfrm>
          <a:off x="3295650" y="2428875"/>
          <a:ext cx="0" cy="3524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228600</xdr:colOff>
      <xdr:row>14</xdr:row>
      <xdr:rowOff>123825</xdr:rowOff>
    </xdr:from>
    <xdr:to>
      <xdr:col>6</xdr:col>
      <xdr:colOff>228600</xdr:colOff>
      <xdr:row>16</xdr:row>
      <xdr:rowOff>152400</xdr:rowOff>
    </xdr:to>
    <xdr:sp macro="" textlink="">
      <xdr:nvSpPr>
        <xdr:cNvPr id="130068" name="Line 20"/>
        <xdr:cNvSpPr>
          <a:spLocks noChangeShapeType="1"/>
        </xdr:cNvSpPr>
      </xdr:nvSpPr>
      <xdr:spPr bwMode="auto">
        <a:xfrm>
          <a:off x="4238625" y="2428875"/>
          <a:ext cx="0" cy="3524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504825</xdr:colOff>
      <xdr:row>16</xdr:row>
      <xdr:rowOff>38100</xdr:rowOff>
    </xdr:from>
    <xdr:to>
      <xdr:col>6</xdr:col>
      <xdr:colOff>228600</xdr:colOff>
      <xdr:row>16</xdr:row>
      <xdr:rowOff>38100</xdr:rowOff>
    </xdr:to>
    <xdr:sp macro="" textlink="">
      <xdr:nvSpPr>
        <xdr:cNvPr id="130069" name="Line 21"/>
        <xdr:cNvSpPr>
          <a:spLocks noChangeShapeType="1"/>
        </xdr:cNvSpPr>
      </xdr:nvSpPr>
      <xdr:spPr bwMode="auto">
        <a:xfrm>
          <a:off x="3295650" y="2667000"/>
          <a:ext cx="9429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stealth" w="med" len="sm"/>
          <a:tailEnd type="stealth" w="med" len="sm"/>
        </a:ln>
        <a:extLst>
          <a:ext uri="{909E8E84-426E-40DD-AFC4-6F175D3DCCD1}">
            <a14:hiddenFill xmlns:a14="http://schemas.microsoft.com/office/drawing/2010/main">
              <a:noFill/>
            </a14:hiddenFill>
          </a:ext>
        </a:extLst>
      </xdr:spPr>
    </xdr:sp>
    <xdr:clientData/>
  </xdr:twoCellAnchor>
  <xdr:twoCellAnchor>
    <xdr:from>
      <xdr:col>3</xdr:col>
      <xdr:colOff>0</xdr:colOff>
      <xdr:row>44</xdr:row>
      <xdr:rowOff>0</xdr:rowOff>
    </xdr:from>
    <xdr:to>
      <xdr:col>6</xdr:col>
      <xdr:colOff>0</xdr:colOff>
      <xdr:row>47</xdr:row>
      <xdr:rowOff>0</xdr:rowOff>
    </xdr:to>
    <xdr:sp macro="" textlink="">
      <xdr:nvSpPr>
        <xdr:cNvPr id="130080" name="Rectangle 32"/>
        <xdr:cNvSpPr>
          <a:spLocks noChangeArrowheads="1"/>
        </xdr:cNvSpPr>
      </xdr:nvSpPr>
      <xdr:spPr bwMode="auto">
        <a:xfrm>
          <a:off x="2076450" y="7181850"/>
          <a:ext cx="1933575" cy="485775"/>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ffectLst>
          <a:outerShdw dist="107763" dir="2700000" algn="ctr" rotWithShape="0">
            <a:srgbClr val="808080"/>
          </a:outerShdw>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53640926-AAD7-44D8-BBD7-CCE9431645EC}">
            <a14:shadowObscured xmlns:a14="http://schemas.microsoft.com/office/drawing/2010/main" val="1"/>
          </a:ext>
        </a:extLst>
      </xdr:spPr>
    </xdr:sp>
    <xdr:clientData/>
  </xdr:twoCellAnchor>
  <xdr:twoCellAnchor>
    <xdr:from>
      <xdr:col>7</xdr:col>
      <xdr:colOff>47625</xdr:colOff>
      <xdr:row>9</xdr:row>
      <xdr:rowOff>85725</xdr:rowOff>
    </xdr:from>
    <xdr:to>
      <xdr:col>7</xdr:col>
      <xdr:colOff>457200</xdr:colOff>
      <xdr:row>12</xdr:row>
      <xdr:rowOff>123825</xdr:rowOff>
    </xdr:to>
    <xdr:sp macro="" textlink="">
      <xdr:nvSpPr>
        <xdr:cNvPr id="130081" name="Arc 33"/>
        <xdr:cNvSpPr>
          <a:spLocks/>
        </xdr:cNvSpPr>
      </xdr:nvSpPr>
      <xdr:spPr bwMode="auto">
        <a:xfrm>
          <a:off x="4667250" y="1581150"/>
          <a:ext cx="409575" cy="523875"/>
        </a:xfrm>
        <a:custGeom>
          <a:avLst/>
          <a:gdLst>
            <a:gd name="G0" fmla="+- 0 0 0"/>
            <a:gd name="G1" fmla="+- 21600 0 0"/>
            <a:gd name="G2" fmla="+- 21600 0 0"/>
            <a:gd name="T0" fmla="*/ 0 w 17764"/>
            <a:gd name="T1" fmla="*/ 0 h 21600"/>
            <a:gd name="T2" fmla="*/ 17764 w 17764"/>
            <a:gd name="T3" fmla="*/ 9311 h 21600"/>
            <a:gd name="T4" fmla="*/ 0 w 17764"/>
            <a:gd name="T5" fmla="*/ 21600 h 21600"/>
          </a:gdLst>
          <a:ahLst/>
          <a:cxnLst>
            <a:cxn ang="0">
              <a:pos x="T0" y="T1"/>
            </a:cxn>
            <a:cxn ang="0">
              <a:pos x="T2" y="T3"/>
            </a:cxn>
            <a:cxn ang="0">
              <a:pos x="T4" y="T5"/>
            </a:cxn>
          </a:cxnLst>
          <a:rect l="0" t="0" r="r" b="b"/>
          <a:pathLst>
            <a:path w="17764" h="21600" fill="none" extrusionOk="0">
              <a:moveTo>
                <a:pt x="-1" y="0"/>
              </a:moveTo>
              <a:cubicBezTo>
                <a:pt x="7090" y="0"/>
                <a:pt x="13729" y="3480"/>
                <a:pt x="17763" y="9311"/>
              </a:cubicBezTo>
            </a:path>
            <a:path w="17764" h="21600" stroke="0" extrusionOk="0">
              <a:moveTo>
                <a:pt x="-1" y="0"/>
              </a:moveTo>
              <a:cubicBezTo>
                <a:pt x="7090" y="0"/>
                <a:pt x="13729" y="3480"/>
                <a:pt x="17763" y="9311"/>
              </a:cubicBezTo>
              <a:lnTo>
                <a:pt x="0" y="21600"/>
              </a:lnTo>
              <a:close/>
            </a:path>
          </a:pathLst>
        </a:custGeom>
        <a:noFill/>
        <a:ln w="9525">
          <a:solidFill>
            <a:srgbClr xmlns:mc="http://schemas.openxmlformats.org/markup-compatibility/2006" xmlns:a14="http://schemas.microsoft.com/office/drawing/2010/main" val="000000" mc:Ignorable="a14" a14:legacySpreadsheetColorIndex="64"/>
          </a:solidFill>
          <a:round/>
          <a:headEnd type="stealth" w="sm" len="sm"/>
          <a:tailEnd type="stealth" w="sm" len="sm"/>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twoCellAnchor>
    <xdr:from>
      <xdr:col>32</xdr:col>
      <xdr:colOff>0</xdr:colOff>
      <xdr:row>0</xdr:row>
      <xdr:rowOff>0</xdr:rowOff>
    </xdr:from>
    <xdr:to>
      <xdr:col>33</xdr:col>
      <xdr:colOff>0</xdr:colOff>
      <xdr:row>1</xdr:row>
      <xdr:rowOff>0</xdr:rowOff>
    </xdr:to>
    <xdr:sp macro="" textlink="">
      <xdr:nvSpPr>
        <xdr:cNvPr id="130082" name="Rectangle 34"/>
        <xdr:cNvSpPr>
          <a:spLocks noChangeArrowheads="1"/>
        </xdr:cNvSpPr>
      </xdr:nvSpPr>
      <xdr:spPr bwMode="auto">
        <a:xfrm>
          <a:off x="6038850" y="0"/>
          <a:ext cx="609600" cy="200025"/>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AF507438-7753-43E0-B8FC-AC1667EBCBE1}">
            <a14:hiddenEffects xmlns:a14="http://schemas.microsoft.com/office/drawing/2010/main">
              <a:effectLst>
                <a:outerShdw dist="35921" dir="2700000" algn="ctr" rotWithShape="0">
                  <a:srgbClr val="808080"/>
                </a:outerShdw>
              </a:effectLst>
            </a14:hiddenEffects>
          </a:ext>
          <a:ext uri="{53640926-AAD7-44D8-BBD7-CCE9431645EC}">
            <a14:shadowObscured xmlns:a14="http://schemas.microsoft.com/office/drawing/2010/main" val="1"/>
          </a:ext>
        </a:extLst>
      </xdr:spPr>
    </xdr:sp>
    <xdr:clientData/>
  </xdr:twoCellAnchor>
  <xdr:twoCellAnchor>
    <xdr:from>
      <xdr:col>32</xdr:col>
      <xdr:colOff>0</xdr:colOff>
      <xdr:row>0</xdr:row>
      <xdr:rowOff>0</xdr:rowOff>
    </xdr:from>
    <xdr:to>
      <xdr:col>33</xdr:col>
      <xdr:colOff>0</xdr:colOff>
      <xdr:row>1</xdr:row>
      <xdr:rowOff>0</xdr:rowOff>
    </xdr:to>
    <xdr:sp macro="" textlink="">
      <xdr:nvSpPr>
        <xdr:cNvPr id="130083" name="Rectangle 35"/>
        <xdr:cNvSpPr>
          <a:spLocks noChangeArrowheads="1"/>
        </xdr:cNvSpPr>
      </xdr:nvSpPr>
      <xdr:spPr bwMode="auto">
        <a:xfrm>
          <a:off x="6038850" y="0"/>
          <a:ext cx="609600" cy="200025"/>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AF507438-7753-43E0-B8FC-AC1667EBCBE1}">
            <a14:hiddenEffects xmlns:a14="http://schemas.microsoft.com/office/drawing/2010/main">
              <a:effectLst>
                <a:outerShdw dist="35921" dir="2700000" algn="ctr" rotWithShape="0">
                  <a:srgbClr val="808080"/>
                </a:outerShdw>
              </a:effectLst>
            </a14:hiddenEffects>
          </a:ext>
          <a:ext uri="{53640926-AAD7-44D8-BBD7-CCE9431645EC}">
            <a14:shadowObscured xmlns:a14="http://schemas.microsoft.com/office/drawing/2010/main" val="1"/>
          </a:ext>
        </a:extLst>
      </xdr:spPr>
    </xdr:sp>
    <xdr:clientData/>
  </xdr:twoCellAnchor>
  <xdr:twoCellAnchor>
    <xdr:from>
      <xdr:col>33</xdr:col>
      <xdr:colOff>0</xdr:colOff>
      <xdr:row>10</xdr:row>
      <xdr:rowOff>0</xdr:rowOff>
    </xdr:from>
    <xdr:to>
      <xdr:col>36</xdr:col>
      <xdr:colOff>0</xdr:colOff>
      <xdr:row>13</xdr:row>
      <xdr:rowOff>0</xdr:rowOff>
    </xdr:to>
    <xdr:sp macro="" textlink="">
      <xdr:nvSpPr>
        <xdr:cNvPr id="130085" name="Rectangle 37"/>
        <xdr:cNvSpPr>
          <a:spLocks noChangeArrowheads="1"/>
        </xdr:cNvSpPr>
      </xdr:nvSpPr>
      <xdr:spPr bwMode="auto">
        <a:xfrm>
          <a:off x="6648450" y="1657350"/>
          <a:ext cx="1828800" cy="485775"/>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ffectLst>
          <a:outerShdw dist="107763" dir="2700000" algn="ctr" rotWithShape="0">
            <a:srgbClr val="808080"/>
          </a:outerShdw>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53640926-AAD7-44D8-BBD7-CCE9431645EC}">
            <a14:shadowObscured xmlns:a14="http://schemas.microsoft.com/office/drawing/2010/main" val="1"/>
          </a:ext>
        </a:extLst>
      </xdr:spPr>
    </xdr:sp>
    <xdr:clientData/>
  </xdr:twoCellAnchor>
</xdr:wsDr>
</file>

<file path=xl/drawings/drawing4.xml><?xml version="1.0" encoding="utf-8"?>
<xdr:wsDr xmlns:xdr="http://schemas.openxmlformats.org/drawingml/2006/spreadsheetDrawing" xmlns:a="http://schemas.openxmlformats.org/drawingml/2006/main">
  <xdr:twoCellAnchor>
    <xdr:from>
      <xdr:col>5</xdr:col>
      <xdr:colOff>381000</xdr:colOff>
      <xdr:row>9</xdr:row>
      <xdr:rowOff>104775</xdr:rowOff>
    </xdr:from>
    <xdr:to>
      <xdr:col>6</xdr:col>
      <xdr:colOff>95250</xdr:colOff>
      <xdr:row>10</xdr:row>
      <xdr:rowOff>0</xdr:rowOff>
    </xdr:to>
    <xdr:sp macro="" textlink="">
      <xdr:nvSpPr>
        <xdr:cNvPr id="881665" name="Rectangle 1"/>
        <xdr:cNvSpPr>
          <a:spLocks noChangeArrowheads="1"/>
        </xdr:cNvSpPr>
      </xdr:nvSpPr>
      <xdr:spPr bwMode="auto">
        <a:xfrm>
          <a:off x="3781425" y="1600200"/>
          <a:ext cx="323850" cy="57150"/>
        </a:xfrm>
        <a:prstGeom prst="rect">
          <a:avLst/>
        </a:pr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5</xdr:col>
      <xdr:colOff>381000</xdr:colOff>
      <xdr:row>16</xdr:row>
      <xdr:rowOff>57150</xdr:rowOff>
    </xdr:from>
    <xdr:to>
      <xdr:col>6</xdr:col>
      <xdr:colOff>95250</xdr:colOff>
      <xdr:row>16</xdr:row>
      <xdr:rowOff>114300</xdr:rowOff>
    </xdr:to>
    <xdr:sp macro="" textlink="">
      <xdr:nvSpPr>
        <xdr:cNvPr id="881666" name="Rectangle 2"/>
        <xdr:cNvSpPr>
          <a:spLocks noChangeArrowheads="1"/>
        </xdr:cNvSpPr>
      </xdr:nvSpPr>
      <xdr:spPr bwMode="auto">
        <a:xfrm>
          <a:off x="3781425" y="2686050"/>
          <a:ext cx="323850" cy="57150"/>
        </a:xfrm>
        <a:prstGeom prst="rect">
          <a:avLst/>
        </a:pr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5</xdr:col>
      <xdr:colOff>209550</xdr:colOff>
      <xdr:row>13</xdr:row>
      <xdr:rowOff>28575</xdr:rowOff>
    </xdr:from>
    <xdr:to>
      <xdr:col>7</xdr:col>
      <xdr:colOff>190500</xdr:colOff>
      <xdr:row>13</xdr:row>
      <xdr:rowOff>28575</xdr:rowOff>
    </xdr:to>
    <xdr:sp macro="" textlink="">
      <xdr:nvSpPr>
        <xdr:cNvPr id="881667" name="Line 3"/>
        <xdr:cNvSpPr>
          <a:spLocks noChangeShapeType="1"/>
        </xdr:cNvSpPr>
      </xdr:nvSpPr>
      <xdr:spPr bwMode="auto">
        <a:xfrm>
          <a:off x="3609975" y="2171700"/>
          <a:ext cx="1200150" cy="0"/>
        </a:xfrm>
        <a:prstGeom prst="line">
          <a:avLst/>
        </a:prstGeom>
        <a:noFill/>
        <a:ln w="9525">
          <a:solidFill>
            <a:srgbClr xmlns:mc="http://schemas.openxmlformats.org/markup-compatibility/2006" xmlns:a14="http://schemas.microsoft.com/office/drawing/2010/main" val="000000" mc:Ignorable="a14" a14:legacySpreadsheetColorIndex="64"/>
          </a:solidFill>
          <a:prstDash val="lgDashDot"/>
          <a:round/>
          <a:headEnd/>
          <a:tailEnd/>
        </a:ln>
        <a:extLst>
          <a:ext uri="{909E8E84-426E-40DD-AFC4-6F175D3DCCD1}">
            <a14:hiddenFill xmlns:a14="http://schemas.microsoft.com/office/drawing/2010/main">
              <a:noFill/>
            </a14:hiddenFill>
          </a:ext>
        </a:extLst>
      </xdr:spPr>
    </xdr:sp>
    <xdr:clientData/>
  </xdr:twoCellAnchor>
  <xdr:twoCellAnchor>
    <xdr:from>
      <xdr:col>4</xdr:col>
      <xdr:colOff>495300</xdr:colOff>
      <xdr:row>9</xdr:row>
      <xdr:rowOff>142875</xdr:rowOff>
    </xdr:from>
    <xdr:to>
      <xdr:col>5</xdr:col>
      <xdr:colOff>276225</xdr:colOff>
      <xdr:row>9</xdr:row>
      <xdr:rowOff>142875</xdr:rowOff>
    </xdr:to>
    <xdr:sp macro="" textlink="">
      <xdr:nvSpPr>
        <xdr:cNvPr id="881668" name="Line 4"/>
        <xdr:cNvSpPr>
          <a:spLocks noChangeShapeType="1"/>
        </xdr:cNvSpPr>
      </xdr:nvSpPr>
      <xdr:spPr bwMode="auto">
        <a:xfrm flipH="1">
          <a:off x="3286125" y="1638300"/>
          <a:ext cx="39052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495300</xdr:colOff>
      <xdr:row>16</xdr:row>
      <xdr:rowOff>85725</xdr:rowOff>
    </xdr:from>
    <xdr:to>
      <xdr:col>5</xdr:col>
      <xdr:colOff>276225</xdr:colOff>
      <xdr:row>16</xdr:row>
      <xdr:rowOff>85725</xdr:rowOff>
    </xdr:to>
    <xdr:sp macro="" textlink="">
      <xdr:nvSpPr>
        <xdr:cNvPr id="881669" name="Line 5"/>
        <xdr:cNvSpPr>
          <a:spLocks noChangeShapeType="1"/>
        </xdr:cNvSpPr>
      </xdr:nvSpPr>
      <xdr:spPr bwMode="auto">
        <a:xfrm flipH="1">
          <a:off x="3286125" y="2714625"/>
          <a:ext cx="39052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542925</xdr:colOff>
      <xdr:row>6</xdr:row>
      <xdr:rowOff>142875</xdr:rowOff>
    </xdr:from>
    <xdr:to>
      <xdr:col>5</xdr:col>
      <xdr:colOff>542925</xdr:colOff>
      <xdr:row>15</xdr:row>
      <xdr:rowOff>152400</xdr:rowOff>
    </xdr:to>
    <xdr:sp macro="" textlink="">
      <xdr:nvSpPr>
        <xdr:cNvPr id="881670" name="Line 6"/>
        <xdr:cNvSpPr>
          <a:spLocks noChangeShapeType="1"/>
        </xdr:cNvSpPr>
      </xdr:nvSpPr>
      <xdr:spPr bwMode="auto">
        <a:xfrm>
          <a:off x="3943350" y="1152525"/>
          <a:ext cx="0" cy="1466850"/>
        </a:xfrm>
        <a:prstGeom prst="line">
          <a:avLst/>
        </a:prstGeom>
        <a:noFill/>
        <a:ln w="9525">
          <a:solidFill>
            <a:srgbClr xmlns:mc="http://schemas.openxmlformats.org/markup-compatibility/2006" xmlns:a14="http://schemas.microsoft.com/office/drawing/2010/main" val="000000" mc:Ignorable="a14" a14:legacySpreadsheetColorIndex="64"/>
          </a:solidFill>
          <a:prstDash val="lgDashDot"/>
          <a:round/>
          <a:headEnd/>
          <a:tailEnd/>
        </a:ln>
        <a:extLst>
          <a:ext uri="{909E8E84-426E-40DD-AFC4-6F175D3DCCD1}">
            <a14:hiddenFill xmlns:a14="http://schemas.microsoft.com/office/drawing/2010/main">
              <a:noFill/>
            </a14:hiddenFill>
          </a:ext>
        </a:extLst>
      </xdr:spPr>
    </xdr:sp>
    <xdr:clientData/>
  </xdr:twoCellAnchor>
  <xdr:twoCellAnchor>
    <xdr:from>
      <xdr:col>5</xdr:col>
      <xdr:colOff>352425</xdr:colOff>
      <xdr:row>16</xdr:row>
      <xdr:rowOff>152400</xdr:rowOff>
    </xdr:from>
    <xdr:to>
      <xdr:col>5</xdr:col>
      <xdr:colOff>352425</xdr:colOff>
      <xdr:row>18</xdr:row>
      <xdr:rowOff>142875</xdr:rowOff>
    </xdr:to>
    <xdr:sp macro="" textlink="">
      <xdr:nvSpPr>
        <xdr:cNvPr id="881671" name="Line 7"/>
        <xdr:cNvSpPr>
          <a:spLocks noChangeShapeType="1"/>
        </xdr:cNvSpPr>
      </xdr:nvSpPr>
      <xdr:spPr bwMode="auto">
        <a:xfrm>
          <a:off x="3752850" y="2781300"/>
          <a:ext cx="0" cy="3143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123825</xdr:colOff>
      <xdr:row>16</xdr:row>
      <xdr:rowOff>152400</xdr:rowOff>
    </xdr:from>
    <xdr:to>
      <xdr:col>6</xdr:col>
      <xdr:colOff>123825</xdr:colOff>
      <xdr:row>18</xdr:row>
      <xdr:rowOff>142875</xdr:rowOff>
    </xdr:to>
    <xdr:sp macro="" textlink="">
      <xdr:nvSpPr>
        <xdr:cNvPr id="881672" name="Line 8"/>
        <xdr:cNvSpPr>
          <a:spLocks noChangeShapeType="1"/>
        </xdr:cNvSpPr>
      </xdr:nvSpPr>
      <xdr:spPr bwMode="auto">
        <a:xfrm>
          <a:off x="4133850" y="2781300"/>
          <a:ext cx="0" cy="3143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323850</xdr:colOff>
      <xdr:row>9</xdr:row>
      <xdr:rowOff>104775</xdr:rowOff>
    </xdr:from>
    <xdr:to>
      <xdr:col>5</xdr:col>
      <xdr:colOff>381000</xdr:colOff>
      <xdr:row>16</xdr:row>
      <xdr:rowOff>114300</xdr:rowOff>
    </xdr:to>
    <xdr:sp macro="" textlink="">
      <xdr:nvSpPr>
        <xdr:cNvPr id="881673" name="Rectangle 9"/>
        <xdr:cNvSpPr>
          <a:spLocks noChangeArrowheads="1"/>
        </xdr:cNvSpPr>
      </xdr:nvSpPr>
      <xdr:spPr bwMode="auto">
        <a:xfrm>
          <a:off x="3724275" y="1600200"/>
          <a:ext cx="57150" cy="1143000"/>
        </a:xfrm>
        <a:prstGeom prst="rect">
          <a:avLst/>
        </a:pr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6</xdr:col>
      <xdr:colOff>95250</xdr:colOff>
      <xdr:row>9</xdr:row>
      <xdr:rowOff>104775</xdr:rowOff>
    </xdr:from>
    <xdr:to>
      <xdr:col>6</xdr:col>
      <xdr:colOff>152400</xdr:colOff>
      <xdr:row>16</xdr:row>
      <xdr:rowOff>114300</xdr:rowOff>
    </xdr:to>
    <xdr:sp macro="" textlink="">
      <xdr:nvSpPr>
        <xdr:cNvPr id="881674" name="Rectangle 10"/>
        <xdr:cNvSpPr>
          <a:spLocks noChangeArrowheads="1"/>
        </xdr:cNvSpPr>
      </xdr:nvSpPr>
      <xdr:spPr bwMode="auto">
        <a:xfrm>
          <a:off x="4105275" y="1600200"/>
          <a:ext cx="57150" cy="1143000"/>
        </a:xfrm>
        <a:prstGeom prst="rect">
          <a:avLst/>
        </a:pr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5</xdr:col>
      <xdr:colOff>352425</xdr:colOff>
      <xdr:row>18</xdr:row>
      <xdr:rowOff>38100</xdr:rowOff>
    </xdr:from>
    <xdr:to>
      <xdr:col>6</xdr:col>
      <xdr:colOff>123825</xdr:colOff>
      <xdr:row>18</xdr:row>
      <xdr:rowOff>38100</xdr:rowOff>
    </xdr:to>
    <xdr:sp macro="" textlink="">
      <xdr:nvSpPr>
        <xdr:cNvPr id="881675" name="Line 11"/>
        <xdr:cNvSpPr>
          <a:spLocks noChangeShapeType="1"/>
        </xdr:cNvSpPr>
      </xdr:nvSpPr>
      <xdr:spPr bwMode="auto">
        <a:xfrm>
          <a:off x="3752850" y="2990850"/>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stealth" w="sm" len="sm"/>
          <a:tailEnd type="stealth" w="sm" len="sm"/>
        </a:ln>
        <a:extLst>
          <a:ext uri="{909E8E84-426E-40DD-AFC4-6F175D3DCCD1}">
            <a14:hiddenFill xmlns:a14="http://schemas.microsoft.com/office/drawing/2010/main">
              <a:noFill/>
            </a14:hiddenFill>
          </a:ext>
        </a:extLst>
      </xdr:spPr>
    </xdr:sp>
    <xdr:clientData/>
  </xdr:twoCellAnchor>
  <xdr:twoCellAnchor>
    <xdr:from>
      <xdr:col>5</xdr:col>
      <xdr:colOff>19050</xdr:colOff>
      <xdr:row>9</xdr:row>
      <xdr:rowOff>142875</xdr:rowOff>
    </xdr:from>
    <xdr:to>
      <xdr:col>5</xdr:col>
      <xdr:colOff>19050</xdr:colOff>
      <xdr:row>16</xdr:row>
      <xdr:rowOff>85725</xdr:rowOff>
    </xdr:to>
    <xdr:sp macro="" textlink="">
      <xdr:nvSpPr>
        <xdr:cNvPr id="881676" name="Line 12"/>
        <xdr:cNvSpPr>
          <a:spLocks noChangeShapeType="1"/>
        </xdr:cNvSpPr>
      </xdr:nvSpPr>
      <xdr:spPr bwMode="auto">
        <a:xfrm>
          <a:off x="3419475" y="1638300"/>
          <a:ext cx="0" cy="10763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stealth" w="med" len="sm"/>
          <a:tailEnd type="stealth" w="med" len="sm"/>
        </a:ln>
        <a:extLst>
          <a:ext uri="{909E8E84-426E-40DD-AFC4-6F175D3DCCD1}">
            <a14:hiddenFill xmlns:a14="http://schemas.microsoft.com/office/drawing/2010/main">
              <a:noFill/>
            </a14:hiddenFill>
          </a:ext>
        </a:extLst>
      </xdr:spPr>
    </xdr:sp>
    <xdr:clientData/>
  </xdr:twoCellAnchor>
  <xdr:twoCellAnchor>
    <xdr:from>
      <xdr:col>5</xdr:col>
      <xdr:colOff>552450</xdr:colOff>
      <xdr:row>7</xdr:row>
      <xdr:rowOff>152400</xdr:rowOff>
    </xdr:from>
    <xdr:to>
      <xdr:col>7</xdr:col>
      <xdr:colOff>276225</xdr:colOff>
      <xdr:row>7</xdr:row>
      <xdr:rowOff>152400</xdr:rowOff>
    </xdr:to>
    <xdr:sp macro="" textlink="">
      <xdr:nvSpPr>
        <xdr:cNvPr id="881677" name="Line 13"/>
        <xdr:cNvSpPr>
          <a:spLocks noChangeShapeType="1"/>
        </xdr:cNvSpPr>
      </xdr:nvSpPr>
      <xdr:spPr bwMode="auto">
        <a:xfrm>
          <a:off x="3952875" y="1323975"/>
          <a:ext cx="9429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stealth" w="sm" len="sm"/>
          <a:tailEnd type="stealth" w="sm" len="sm"/>
        </a:ln>
        <a:extLst>
          <a:ext uri="{909E8E84-426E-40DD-AFC4-6F175D3DCCD1}">
            <a14:hiddenFill xmlns:a14="http://schemas.microsoft.com/office/drawing/2010/main">
              <a:noFill/>
            </a14:hiddenFill>
          </a:ext>
        </a:extLst>
      </xdr:spPr>
    </xdr:sp>
    <xdr:clientData/>
  </xdr:twoCellAnchor>
  <xdr:twoCellAnchor>
    <xdr:from>
      <xdr:col>7</xdr:col>
      <xdr:colOff>276225</xdr:colOff>
      <xdr:row>7</xdr:row>
      <xdr:rowOff>9525</xdr:rowOff>
    </xdr:from>
    <xdr:to>
      <xdr:col>7</xdr:col>
      <xdr:colOff>276225</xdr:colOff>
      <xdr:row>8</xdr:row>
      <xdr:rowOff>9525</xdr:rowOff>
    </xdr:to>
    <xdr:sp macro="" textlink="">
      <xdr:nvSpPr>
        <xdr:cNvPr id="881679" name="Line 15"/>
        <xdr:cNvSpPr>
          <a:spLocks noChangeShapeType="1"/>
        </xdr:cNvSpPr>
      </xdr:nvSpPr>
      <xdr:spPr bwMode="auto">
        <a:xfrm flipV="1">
          <a:off x="4895850" y="1181100"/>
          <a:ext cx="0" cy="1619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295275</xdr:colOff>
      <xdr:row>10</xdr:row>
      <xdr:rowOff>0</xdr:rowOff>
    </xdr:from>
    <xdr:to>
      <xdr:col>8</xdr:col>
      <xdr:colOff>257175</xdr:colOff>
      <xdr:row>13</xdr:row>
      <xdr:rowOff>38100</xdr:rowOff>
    </xdr:to>
    <xdr:sp macro="" textlink="">
      <xdr:nvSpPr>
        <xdr:cNvPr id="881680" name="Line 16"/>
        <xdr:cNvSpPr>
          <a:spLocks noChangeShapeType="1"/>
        </xdr:cNvSpPr>
      </xdr:nvSpPr>
      <xdr:spPr bwMode="auto">
        <a:xfrm flipH="1">
          <a:off x="4914900" y="1657350"/>
          <a:ext cx="571500" cy="52387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lg"/>
        </a:ln>
        <a:extLst>
          <a:ext uri="{909E8E84-426E-40DD-AFC4-6F175D3DCCD1}">
            <a14:hiddenFill xmlns:a14="http://schemas.microsoft.com/office/drawing/2010/main">
              <a:noFill/>
            </a14:hiddenFill>
          </a:ext>
        </a:extLst>
      </xdr:spPr>
    </xdr:sp>
    <xdr:clientData/>
  </xdr:twoCellAnchor>
  <xdr:twoCellAnchor>
    <xdr:from>
      <xdr:col>7</xdr:col>
      <xdr:colOff>400050</xdr:colOff>
      <xdr:row>13</xdr:row>
      <xdr:rowOff>28575</xdr:rowOff>
    </xdr:from>
    <xdr:to>
      <xdr:col>8</xdr:col>
      <xdr:colOff>381000</xdr:colOff>
      <xdr:row>13</xdr:row>
      <xdr:rowOff>28575</xdr:rowOff>
    </xdr:to>
    <xdr:sp macro="" textlink="">
      <xdr:nvSpPr>
        <xdr:cNvPr id="881684" name="Line 20"/>
        <xdr:cNvSpPr>
          <a:spLocks noChangeShapeType="1"/>
        </xdr:cNvSpPr>
      </xdr:nvSpPr>
      <xdr:spPr bwMode="auto">
        <a:xfrm flipH="1">
          <a:off x="5019675" y="2171700"/>
          <a:ext cx="590550" cy="0"/>
        </a:xfrm>
        <a:prstGeom prst="line">
          <a:avLst/>
        </a:prstGeom>
        <a:noFill/>
        <a:ln w="19050">
          <a:solidFill>
            <a:srgbClr xmlns:mc="http://schemas.openxmlformats.org/markup-compatibility/2006" xmlns:a14="http://schemas.microsoft.com/office/drawing/2010/main" val="000000" mc:Ignorable="a14" a14:legacySpreadsheetColorIndex="64"/>
          </a:solidFill>
          <a:prstDash val="dash"/>
          <a:round/>
          <a:headEnd/>
          <a:tailEnd type="triangle" w="sm" len="med"/>
        </a:ln>
        <a:extLst>
          <a:ext uri="{909E8E84-426E-40DD-AFC4-6F175D3DCCD1}">
            <a14:hiddenFill xmlns:a14="http://schemas.microsoft.com/office/drawing/2010/main">
              <a:noFill/>
            </a14:hiddenFill>
          </a:ext>
        </a:extLst>
      </xdr:spPr>
    </xdr:sp>
    <xdr:clientData/>
  </xdr:twoCellAnchor>
  <xdr:twoCellAnchor>
    <xdr:from>
      <xdr:col>7</xdr:col>
      <xdr:colOff>285750</xdr:colOff>
      <xdr:row>9</xdr:row>
      <xdr:rowOff>47625</xdr:rowOff>
    </xdr:from>
    <xdr:to>
      <xdr:col>7</xdr:col>
      <xdr:colOff>285750</xdr:colOff>
      <xdr:row>12</xdr:row>
      <xdr:rowOff>152400</xdr:rowOff>
    </xdr:to>
    <xdr:sp macro="" textlink="">
      <xdr:nvSpPr>
        <xdr:cNvPr id="881685" name="Line 21"/>
        <xdr:cNvSpPr>
          <a:spLocks noChangeShapeType="1"/>
        </xdr:cNvSpPr>
      </xdr:nvSpPr>
      <xdr:spPr bwMode="auto">
        <a:xfrm>
          <a:off x="4905375" y="1543050"/>
          <a:ext cx="0" cy="590550"/>
        </a:xfrm>
        <a:prstGeom prst="line">
          <a:avLst/>
        </a:prstGeom>
        <a:noFill/>
        <a:ln w="19050">
          <a:solidFill>
            <a:srgbClr xmlns:mc="http://schemas.openxmlformats.org/markup-compatibility/2006" xmlns:a14="http://schemas.microsoft.com/office/drawing/2010/main" val="000000" mc:Ignorable="a14" a14:legacySpreadsheetColorIndex="64"/>
          </a:solidFill>
          <a:prstDash val="dash"/>
          <a:round/>
          <a:headEnd/>
          <a:tailEnd type="triangle" w="sm" len="med"/>
        </a:ln>
        <a:extLst>
          <a:ext uri="{909E8E84-426E-40DD-AFC4-6F175D3DCCD1}">
            <a14:hiddenFill xmlns:a14="http://schemas.microsoft.com/office/drawing/2010/main">
              <a:noFill/>
            </a14:hiddenFill>
          </a:ext>
        </a:extLst>
      </xdr:spPr>
    </xdr:sp>
    <xdr:clientData/>
  </xdr:twoCellAnchor>
  <xdr:twoCellAnchor>
    <xdr:from>
      <xdr:col>27</xdr:col>
      <xdr:colOff>0</xdr:colOff>
      <xdr:row>0</xdr:row>
      <xdr:rowOff>0</xdr:rowOff>
    </xdr:from>
    <xdr:to>
      <xdr:col>28</xdr:col>
      <xdr:colOff>0</xdr:colOff>
      <xdr:row>1</xdr:row>
      <xdr:rowOff>0</xdr:rowOff>
    </xdr:to>
    <xdr:sp macro="" textlink="">
      <xdr:nvSpPr>
        <xdr:cNvPr id="881686" name="Rectangle 22"/>
        <xdr:cNvSpPr>
          <a:spLocks noChangeArrowheads="1"/>
        </xdr:cNvSpPr>
      </xdr:nvSpPr>
      <xdr:spPr bwMode="auto">
        <a:xfrm>
          <a:off x="6038850" y="0"/>
          <a:ext cx="609600" cy="200025"/>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AF507438-7753-43E0-B8FC-AC1667EBCBE1}">
            <a14:hiddenEffects xmlns:a14="http://schemas.microsoft.com/office/drawing/2010/main">
              <a:effectLst>
                <a:outerShdw dist="35921" dir="2700000" algn="ctr" rotWithShape="0">
                  <a:srgbClr val="808080"/>
                </a:outerShdw>
              </a:effectLst>
            </a14:hiddenEffects>
          </a:ext>
          <a:ext uri="{53640926-AAD7-44D8-BBD7-CCE9431645EC}">
            <a14:shadowObscured xmlns:a14="http://schemas.microsoft.com/office/drawing/2010/main" val="1"/>
          </a:ext>
        </a:extLst>
      </xdr:spPr>
    </xdr:sp>
    <xdr:clientData/>
  </xdr:twoCellAnchor>
  <xdr:twoCellAnchor>
    <xdr:from>
      <xdr:col>27</xdr:col>
      <xdr:colOff>0</xdr:colOff>
      <xdr:row>0</xdr:row>
      <xdr:rowOff>0</xdr:rowOff>
    </xdr:from>
    <xdr:to>
      <xdr:col>28</xdr:col>
      <xdr:colOff>0</xdr:colOff>
      <xdr:row>1</xdr:row>
      <xdr:rowOff>0</xdr:rowOff>
    </xdr:to>
    <xdr:sp macro="" textlink="">
      <xdr:nvSpPr>
        <xdr:cNvPr id="881687" name="Rectangle 23"/>
        <xdr:cNvSpPr>
          <a:spLocks noChangeArrowheads="1"/>
        </xdr:cNvSpPr>
      </xdr:nvSpPr>
      <xdr:spPr bwMode="auto">
        <a:xfrm>
          <a:off x="6038850" y="0"/>
          <a:ext cx="609600" cy="200025"/>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AF507438-7753-43E0-B8FC-AC1667EBCBE1}">
            <a14:hiddenEffects xmlns:a14="http://schemas.microsoft.com/office/drawing/2010/main">
              <a:effectLst>
                <a:outerShdw dist="35921" dir="2700000" algn="ctr" rotWithShape="0">
                  <a:srgbClr val="808080"/>
                </a:outerShdw>
              </a:effectLst>
            </a14:hiddenEffects>
          </a:ext>
          <a:ext uri="{53640926-AAD7-44D8-BBD7-CCE9431645EC}">
            <a14:shadowObscured xmlns:a14="http://schemas.microsoft.com/office/drawing/2010/main" val="1"/>
          </a:ext>
        </a:extLst>
      </xdr:spPr>
    </xdr:sp>
    <xdr:clientData/>
  </xdr:twoCellAnchor>
  <xdr:twoCellAnchor>
    <xdr:from>
      <xdr:col>27</xdr:col>
      <xdr:colOff>0</xdr:colOff>
      <xdr:row>0</xdr:row>
      <xdr:rowOff>0</xdr:rowOff>
    </xdr:from>
    <xdr:to>
      <xdr:col>28</xdr:col>
      <xdr:colOff>0</xdr:colOff>
      <xdr:row>1</xdr:row>
      <xdr:rowOff>0</xdr:rowOff>
    </xdr:to>
    <xdr:sp macro="" textlink="">
      <xdr:nvSpPr>
        <xdr:cNvPr id="881688" name="Rectangle 24"/>
        <xdr:cNvSpPr>
          <a:spLocks noChangeArrowheads="1"/>
        </xdr:cNvSpPr>
      </xdr:nvSpPr>
      <xdr:spPr bwMode="auto">
        <a:xfrm>
          <a:off x="6038850" y="0"/>
          <a:ext cx="609600" cy="200025"/>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AF507438-7753-43E0-B8FC-AC1667EBCBE1}">
            <a14:hiddenEffects xmlns:a14="http://schemas.microsoft.com/office/drawing/2010/main">
              <a:effectLst>
                <a:outerShdw dist="35921" dir="2700000" algn="ctr" rotWithShape="0">
                  <a:srgbClr val="808080"/>
                </a:outerShdw>
              </a:effectLst>
            </a14:hiddenEffects>
          </a:ext>
          <a:ext uri="{53640926-AAD7-44D8-BBD7-CCE9431645EC}">
            <a14:shadowObscured xmlns:a14="http://schemas.microsoft.com/office/drawing/2010/main" val="1"/>
          </a:ext>
        </a:extLst>
      </xdr:spPr>
    </xdr:sp>
    <xdr:clientData/>
  </xdr:twoCellAnchor>
  <xdr:twoCellAnchor>
    <xdr:from>
      <xdr:col>27</xdr:col>
      <xdr:colOff>0</xdr:colOff>
      <xdr:row>0</xdr:row>
      <xdr:rowOff>0</xdr:rowOff>
    </xdr:from>
    <xdr:to>
      <xdr:col>28</xdr:col>
      <xdr:colOff>0</xdr:colOff>
      <xdr:row>1</xdr:row>
      <xdr:rowOff>0</xdr:rowOff>
    </xdr:to>
    <xdr:sp macro="" textlink="">
      <xdr:nvSpPr>
        <xdr:cNvPr id="881689" name="Rectangle 25"/>
        <xdr:cNvSpPr>
          <a:spLocks noChangeArrowheads="1"/>
        </xdr:cNvSpPr>
      </xdr:nvSpPr>
      <xdr:spPr bwMode="auto">
        <a:xfrm>
          <a:off x="6038850" y="0"/>
          <a:ext cx="609600" cy="200025"/>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AF507438-7753-43E0-B8FC-AC1667EBCBE1}">
            <a14:hiddenEffects xmlns:a14="http://schemas.microsoft.com/office/drawing/2010/main">
              <a:effectLst>
                <a:outerShdw dist="35921" dir="2700000" algn="ctr" rotWithShape="0">
                  <a:srgbClr val="808080"/>
                </a:outerShdw>
              </a:effectLst>
            </a14:hiddenEffects>
          </a:ext>
          <a:ext uri="{53640926-AAD7-44D8-BBD7-CCE9431645EC}">
            <a14:shadowObscured xmlns:a14="http://schemas.microsoft.com/office/drawing/2010/main" val="1"/>
          </a:ext>
        </a:extLst>
      </xdr:spPr>
    </xdr:sp>
    <xdr:clientData/>
  </xdr:twoCellAnchor>
  <xdr:twoCellAnchor>
    <xdr:from>
      <xdr:col>3</xdr:col>
      <xdr:colOff>0</xdr:colOff>
      <xdr:row>44</xdr:row>
      <xdr:rowOff>0</xdr:rowOff>
    </xdr:from>
    <xdr:to>
      <xdr:col>6</xdr:col>
      <xdr:colOff>0</xdr:colOff>
      <xdr:row>47</xdr:row>
      <xdr:rowOff>0</xdr:rowOff>
    </xdr:to>
    <xdr:sp macro="" textlink="">
      <xdr:nvSpPr>
        <xdr:cNvPr id="881691" name="Rectangle 27"/>
        <xdr:cNvSpPr>
          <a:spLocks noChangeArrowheads="1"/>
        </xdr:cNvSpPr>
      </xdr:nvSpPr>
      <xdr:spPr bwMode="auto">
        <a:xfrm>
          <a:off x="2076450" y="7181850"/>
          <a:ext cx="1933575" cy="485775"/>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ffectLst>
          <a:outerShdw dist="107763" dir="2700000" algn="ctr" rotWithShape="0">
            <a:srgbClr val="808080"/>
          </a:outerShdw>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53640926-AAD7-44D8-BBD7-CCE9431645EC}">
            <a14:shadowObscured xmlns:a14="http://schemas.microsoft.com/office/drawing/2010/main" val="1"/>
          </a:ext>
        </a:extLst>
      </xdr:spPr>
    </xdr:sp>
    <xdr:clientData/>
  </xdr:twoCellAnchor>
  <xdr:twoCellAnchor>
    <xdr:from>
      <xdr:col>7</xdr:col>
      <xdr:colOff>257175</xdr:colOff>
      <xdr:row>10</xdr:row>
      <xdr:rowOff>57150</xdr:rowOff>
    </xdr:from>
    <xdr:to>
      <xdr:col>8</xdr:col>
      <xdr:colOff>9525</xdr:colOff>
      <xdr:row>13</xdr:row>
      <xdr:rowOff>95250</xdr:rowOff>
    </xdr:to>
    <xdr:sp macro="" textlink="">
      <xdr:nvSpPr>
        <xdr:cNvPr id="881692" name="Arc 28"/>
        <xdr:cNvSpPr>
          <a:spLocks/>
        </xdr:cNvSpPr>
      </xdr:nvSpPr>
      <xdr:spPr bwMode="auto">
        <a:xfrm>
          <a:off x="4876800" y="1714500"/>
          <a:ext cx="361950" cy="523875"/>
        </a:xfrm>
        <a:custGeom>
          <a:avLst/>
          <a:gdLst>
            <a:gd name="G0" fmla="+- 0 0 0"/>
            <a:gd name="G1" fmla="+- 21564 0 0"/>
            <a:gd name="G2" fmla="+- 21600 0 0"/>
            <a:gd name="T0" fmla="*/ 1241 w 15674"/>
            <a:gd name="T1" fmla="*/ 0 h 21564"/>
            <a:gd name="T2" fmla="*/ 15674 w 15674"/>
            <a:gd name="T3" fmla="*/ 6701 h 21564"/>
            <a:gd name="T4" fmla="*/ 0 w 15674"/>
            <a:gd name="T5" fmla="*/ 21564 h 21564"/>
          </a:gdLst>
          <a:ahLst/>
          <a:cxnLst>
            <a:cxn ang="0">
              <a:pos x="T0" y="T1"/>
            </a:cxn>
            <a:cxn ang="0">
              <a:pos x="T2" y="T3"/>
            </a:cxn>
            <a:cxn ang="0">
              <a:pos x="T4" y="T5"/>
            </a:cxn>
          </a:cxnLst>
          <a:rect l="0" t="0" r="r" b="b"/>
          <a:pathLst>
            <a:path w="15674" h="21564" fill="none" extrusionOk="0">
              <a:moveTo>
                <a:pt x="1241" y="-1"/>
              </a:moveTo>
              <a:cubicBezTo>
                <a:pt x="6729" y="315"/>
                <a:pt x="11890" y="2712"/>
                <a:pt x="15673" y="6701"/>
              </a:cubicBezTo>
            </a:path>
            <a:path w="15674" h="21564" stroke="0" extrusionOk="0">
              <a:moveTo>
                <a:pt x="1241" y="-1"/>
              </a:moveTo>
              <a:cubicBezTo>
                <a:pt x="6729" y="315"/>
                <a:pt x="11890" y="2712"/>
                <a:pt x="15673" y="6701"/>
              </a:cubicBezTo>
              <a:lnTo>
                <a:pt x="0" y="21564"/>
              </a:lnTo>
              <a:close/>
            </a:path>
          </a:pathLst>
        </a:custGeom>
        <a:noFill/>
        <a:ln w="9525">
          <a:solidFill>
            <a:srgbClr xmlns:mc="http://schemas.openxmlformats.org/markup-compatibility/2006" xmlns:a14="http://schemas.microsoft.com/office/drawing/2010/main" val="000000" mc:Ignorable="a14" a14:legacySpreadsheetColorIndex="64"/>
          </a:solidFill>
          <a:round/>
          <a:headEnd type="stealth" w="sm" len="sm"/>
          <a:tailEnd type="stealth" w="sm" len="sm"/>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twoCellAnchor>
    <xdr:from>
      <xdr:col>28</xdr:col>
      <xdr:colOff>0</xdr:colOff>
      <xdr:row>10</xdr:row>
      <xdr:rowOff>0</xdr:rowOff>
    </xdr:from>
    <xdr:to>
      <xdr:col>31</xdr:col>
      <xdr:colOff>0</xdr:colOff>
      <xdr:row>13</xdr:row>
      <xdr:rowOff>0</xdr:rowOff>
    </xdr:to>
    <xdr:sp macro="" textlink="">
      <xdr:nvSpPr>
        <xdr:cNvPr id="881693" name="Rectangle 29"/>
        <xdr:cNvSpPr>
          <a:spLocks noChangeArrowheads="1"/>
        </xdr:cNvSpPr>
      </xdr:nvSpPr>
      <xdr:spPr bwMode="auto">
        <a:xfrm>
          <a:off x="6648450" y="1657350"/>
          <a:ext cx="1828800" cy="485775"/>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ffectLst>
          <a:outerShdw dist="107763" dir="2700000" algn="ctr" rotWithShape="0">
            <a:srgbClr val="808080"/>
          </a:outerShdw>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53640926-AAD7-44D8-BBD7-CCE9431645EC}">
            <a14:shadowObscured xmlns:a14="http://schemas.microsoft.com/office/drawing/2010/main" val="1"/>
          </a:ext>
        </a:extLst>
      </xdr:spPr>
    </xdr:sp>
    <xdr:clientData/>
  </xdr:twoCellAnchor>
</xdr:wsDr>
</file>

<file path=xl/drawings/drawing5.xml><?xml version="1.0" encoding="utf-8"?>
<xdr:wsDr xmlns:xdr="http://schemas.openxmlformats.org/drawingml/2006/spreadsheetDrawing" xmlns:a="http://schemas.openxmlformats.org/drawingml/2006/main">
  <xdr:twoCellAnchor>
    <xdr:from>
      <xdr:col>5</xdr:col>
      <xdr:colOff>180975</xdr:colOff>
      <xdr:row>11</xdr:row>
      <xdr:rowOff>133350</xdr:rowOff>
    </xdr:from>
    <xdr:to>
      <xdr:col>7</xdr:col>
      <xdr:colOff>104775</xdr:colOff>
      <xdr:row>12</xdr:row>
      <xdr:rowOff>28575</xdr:rowOff>
    </xdr:to>
    <xdr:sp macro="" textlink="">
      <xdr:nvSpPr>
        <xdr:cNvPr id="882689" name="Rectangle 1"/>
        <xdr:cNvSpPr>
          <a:spLocks noChangeArrowheads="1"/>
        </xdr:cNvSpPr>
      </xdr:nvSpPr>
      <xdr:spPr bwMode="auto">
        <a:xfrm>
          <a:off x="3581400" y="1952625"/>
          <a:ext cx="1143000" cy="57150"/>
        </a:xfrm>
        <a:prstGeom prst="rect">
          <a:avLst/>
        </a:pr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5</xdr:col>
      <xdr:colOff>180975</xdr:colOff>
      <xdr:row>14</xdr:row>
      <xdr:rowOff>28575</xdr:rowOff>
    </xdr:from>
    <xdr:to>
      <xdr:col>7</xdr:col>
      <xdr:colOff>104775</xdr:colOff>
      <xdr:row>14</xdr:row>
      <xdr:rowOff>85725</xdr:rowOff>
    </xdr:to>
    <xdr:sp macro="" textlink="">
      <xdr:nvSpPr>
        <xdr:cNvPr id="882690" name="Rectangle 2"/>
        <xdr:cNvSpPr>
          <a:spLocks noChangeArrowheads="1"/>
        </xdr:cNvSpPr>
      </xdr:nvSpPr>
      <xdr:spPr bwMode="auto">
        <a:xfrm>
          <a:off x="3581400" y="2333625"/>
          <a:ext cx="1143000" cy="57150"/>
        </a:xfrm>
        <a:prstGeom prst="rect">
          <a:avLst/>
        </a:pr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5</xdr:col>
      <xdr:colOff>104775</xdr:colOff>
      <xdr:row>13</xdr:row>
      <xdr:rowOff>28575</xdr:rowOff>
    </xdr:from>
    <xdr:to>
      <xdr:col>7</xdr:col>
      <xdr:colOff>333375</xdr:colOff>
      <xdr:row>13</xdr:row>
      <xdr:rowOff>28575</xdr:rowOff>
    </xdr:to>
    <xdr:sp macro="" textlink="">
      <xdr:nvSpPr>
        <xdr:cNvPr id="882691" name="Line 3"/>
        <xdr:cNvSpPr>
          <a:spLocks noChangeShapeType="1"/>
        </xdr:cNvSpPr>
      </xdr:nvSpPr>
      <xdr:spPr bwMode="auto">
        <a:xfrm>
          <a:off x="3505200" y="2171700"/>
          <a:ext cx="1447800" cy="0"/>
        </a:xfrm>
        <a:prstGeom prst="line">
          <a:avLst/>
        </a:prstGeom>
        <a:noFill/>
        <a:ln w="9525">
          <a:solidFill>
            <a:srgbClr xmlns:mc="http://schemas.openxmlformats.org/markup-compatibility/2006" xmlns:a14="http://schemas.microsoft.com/office/drawing/2010/main" val="000000" mc:Ignorable="a14" a14:legacySpreadsheetColorIndex="64"/>
          </a:solidFill>
          <a:prstDash val="lgDashDot"/>
          <a:round/>
          <a:headEnd/>
          <a:tailEnd/>
        </a:ln>
        <a:extLst>
          <a:ext uri="{909E8E84-426E-40DD-AFC4-6F175D3DCCD1}">
            <a14:hiddenFill xmlns:a14="http://schemas.microsoft.com/office/drawing/2010/main">
              <a:noFill/>
            </a14:hiddenFill>
          </a:ext>
        </a:extLst>
      </xdr:spPr>
    </xdr:sp>
    <xdr:clientData/>
  </xdr:twoCellAnchor>
  <xdr:twoCellAnchor>
    <xdr:from>
      <xdr:col>4</xdr:col>
      <xdr:colOff>552450</xdr:colOff>
      <xdr:row>12</xdr:row>
      <xdr:rowOff>0</xdr:rowOff>
    </xdr:from>
    <xdr:to>
      <xdr:col>5</xdr:col>
      <xdr:colOff>142875</xdr:colOff>
      <xdr:row>12</xdr:row>
      <xdr:rowOff>0</xdr:rowOff>
    </xdr:to>
    <xdr:sp macro="" textlink="">
      <xdr:nvSpPr>
        <xdr:cNvPr id="882692" name="Line 4"/>
        <xdr:cNvSpPr>
          <a:spLocks noChangeShapeType="1"/>
        </xdr:cNvSpPr>
      </xdr:nvSpPr>
      <xdr:spPr bwMode="auto">
        <a:xfrm flipH="1">
          <a:off x="3343275" y="1981200"/>
          <a:ext cx="20002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552450</xdr:colOff>
      <xdr:row>14</xdr:row>
      <xdr:rowOff>57150</xdr:rowOff>
    </xdr:from>
    <xdr:to>
      <xdr:col>5</xdr:col>
      <xdr:colOff>142875</xdr:colOff>
      <xdr:row>14</xdr:row>
      <xdr:rowOff>57150</xdr:rowOff>
    </xdr:to>
    <xdr:sp macro="" textlink="">
      <xdr:nvSpPr>
        <xdr:cNvPr id="882693" name="Line 5"/>
        <xdr:cNvSpPr>
          <a:spLocks noChangeShapeType="1"/>
        </xdr:cNvSpPr>
      </xdr:nvSpPr>
      <xdr:spPr bwMode="auto">
        <a:xfrm flipH="1">
          <a:off x="3343275" y="2362200"/>
          <a:ext cx="20002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38100</xdr:colOff>
      <xdr:row>12</xdr:row>
      <xdr:rowOff>0</xdr:rowOff>
    </xdr:from>
    <xdr:to>
      <xdr:col>5</xdr:col>
      <xdr:colOff>38100</xdr:colOff>
      <xdr:row>14</xdr:row>
      <xdr:rowOff>57150</xdr:rowOff>
    </xdr:to>
    <xdr:sp macro="" textlink="">
      <xdr:nvSpPr>
        <xdr:cNvPr id="882694" name="Line 6"/>
        <xdr:cNvSpPr>
          <a:spLocks noChangeShapeType="1"/>
        </xdr:cNvSpPr>
      </xdr:nvSpPr>
      <xdr:spPr bwMode="auto">
        <a:xfrm>
          <a:off x="3438525" y="1981200"/>
          <a:ext cx="0" cy="3810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stealth" w="sm" len="sm"/>
          <a:tailEnd type="stealth" w="sm" len="sm"/>
        </a:ln>
        <a:extLst>
          <a:ext uri="{909E8E84-426E-40DD-AFC4-6F175D3DCCD1}">
            <a14:hiddenFill xmlns:a14="http://schemas.microsoft.com/office/drawing/2010/main">
              <a:noFill/>
            </a14:hiddenFill>
          </a:ext>
        </a:extLst>
      </xdr:spPr>
    </xdr:sp>
    <xdr:clientData/>
  </xdr:twoCellAnchor>
  <xdr:twoCellAnchor>
    <xdr:from>
      <xdr:col>6</xdr:col>
      <xdr:colOff>142875</xdr:colOff>
      <xdr:row>9</xdr:row>
      <xdr:rowOff>152400</xdr:rowOff>
    </xdr:from>
    <xdr:to>
      <xdr:col>6</xdr:col>
      <xdr:colOff>142875</xdr:colOff>
      <xdr:row>14</xdr:row>
      <xdr:rowOff>152400</xdr:rowOff>
    </xdr:to>
    <xdr:sp macro="" textlink="">
      <xdr:nvSpPr>
        <xdr:cNvPr id="882695" name="Line 7"/>
        <xdr:cNvSpPr>
          <a:spLocks noChangeShapeType="1"/>
        </xdr:cNvSpPr>
      </xdr:nvSpPr>
      <xdr:spPr bwMode="auto">
        <a:xfrm>
          <a:off x="4152900" y="1647825"/>
          <a:ext cx="0" cy="809625"/>
        </a:xfrm>
        <a:prstGeom prst="line">
          <a:avLst/>
        </a:prstGeom>
        <a:noFill/>
        <a:ln w="9525">
          <a:solidFill>
            <a:srgbClr xmlns:mc="http://schemas.openxmlformats.org/markup-compatibility/2006" xmlns:a14="http://schemas.microsoft.com/office/drawing/2010/main" val="000000" mc:Ignorable="a14" a14:legacySpreadsheetColorIndex="64"/>
          </a:solidFill>
          <a:prstDash val="lgDashDot"/>
          <a:round/>
          <a:headEnd/>
          <a:tailEnd/>
        </a:ln>
        <a:extLst>
          <a:ext uri="{909E8E84-426E-40DD-AFC4-6F175D3DCCD1}">
            <a14:hiddenFill xmlns:a14="http://schemas.microsoft.com/office/drawing/2010/main">
              <a:noFill/>
            </a14:hiddenFill>
          </a:ext>
        </a:extLst>
      </xdr:spPr>
    </xdr:sp>
    <xdr:clientData/>
  </xdr:twoCellAnchor>
  <xdr:twoCellAnchor>
    <xdr:from>
      <xdr:col>6</xdr:col>
      <xdr:colOff>142875</xdr:colOff>
      <xdr:row>11</xdr:row>
      <xdr:rowOff>0</xdr:rowOff>
    </xdr:from>
    <xdr:to>
      <xdr:col>7</xdr:col>
      <xdr:colOff>400050</xdr:colOff>
      <xdr:row>11</xdr:row>
      <xdr:rowOff>0</xdr:rowOff>
    </xdr:to>
    <xdr:sp macro="" textlink="">
      <xdr:nvSpPr>
        <xdr:cNvPr id="882696" name="Line 8"/>
        <xdr:cNvSpPr>
          <a:spLocks noChangeShapeType="1"/>
        </xdr:cNvSpPr>
      </xdr:nvSpPr>
      <xdr:spPr bwMode="auto">
        <a:xfrm>
          <a:off x="4152900" y="1819275"/>
          <a:ext cx="8667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stealth" w="med" len="sm"/>
          <a:tailEnd type="stealth" w="med" len="sm"/>
        </a:ln>
        <a:extLst>
          <a:ext uri="{909E8E84-426E-40DD-AFC4-6F175D3DCCD1}">
            <a14:hiddenFill xmlns:a14="http://schemas.microsoft.com/office/drawing/2010/main">
              <a:noFill/>
            </a14:hiddenFill>
          </a:ext>
        </a:extLst>
      </xdr:spPr>
    </xdr:sp>
    <xdr:clientData/>
  </xdr:twoCellAnchor>
  <xdr:twoCellAnchor>
    <xdr:from>
      <xdr:col>5</xdr:col>
      <xdr:colOff>209550</xdr:colOff>
      <xdr:row>14</xdr:row>
      <xdr:rowOff>123825</xdr:rowOff>
    </xdr:from>
    <xdr:to>
      <xdr:col>5</xdr:col>
      <xdr:colOff>209550</xdr:colOff>
      <xdr:row>16</xdr:row>
      <xdr:rowOff>152400</xdr:rowOff>
    </xdr:to>
    <xdr:sp macro="" textlink="">
      <xdr:nvSpPr>
        <xdr:cNvPr id="882697" name="Line 9"/>
        <xdr:cNvSpPr>
          <a:spLocks noChangeShapeType="1"/>
        </xdr:cNvSpPr>
      </xdr:nvSpPr>
      <xdr:spPr bwMode="auto">
        <a:xfrm>
          <a:off x="3609975" y="2428875"/>
          <a:ext cx="0" cy="3524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76200</xdr:colOff>
      <xdr:row>14</xdr:row>
      <xdr:rowOff>123825</xdr:rowOff>
    </xdr:from>
    <xdr:to>
      <xdr:col>7</xdr:col>
      <xdr:colOff>76200</xdr:colOff>
      <xdr:row>16</xdr:row>
      <xdr:rowOff>152400</xdr:rowOff>
    </xdr:to>
    <xdr:sp macro="" textlink="">
      <xdr:nvSpPr>
        <xdr:cNvPr id="882698" name="Line 10"/>
        <xdr:cNvSpPr>
          <a:spLocks noChangeShapeType="1"/>
        </xdr:cNvSpPr>
      </xdr:nvSpPr>
      <xdr:spPr bwMode="auto">
        <a:xfrm>
          <a:off x="4695825" y="2428875"/>
          <a:ext cx="0" cy="3524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180975</xdr:colOff>
      <xdr:row>12</xdr:row>
      <xdr:rowOff>28575</xdr:rowOff>
    </xdr:from>
    <xdr:to>
      <xdr:col>5</xdr:col>
      <xdr:colOff>238125</xdr:colOff>
      <xdr:row>14</xdr:row>
      <xdr:rowOff>28575</xdr:rowOff>
    </xdr:to>
    <xdr:sp macro="" textlink="">
      <xdr:nvSpPr>
        <xdr:cNvPr id="882699" name="Rectangle 11"/>
        <xdr:cNvSpPr>
          <a:spLocks noChangeArrowheads="1"/>
        </xdr:cNvSpPr>
      </xdr:nvSpPr>
      <xdr:spPr bwMode="auto">
        <a:xfrm>
          <a:off x="3581400" y="2009775"/>
          <a:ext cx="57150" cy="323850"/>
        </a:xfrm>
        <a:prstGeom prst="rect">
          <a:avLst/>
        </a:pr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7</xdr:col>
      <xdr:colOff>47625</xdr:colOff>
      <xdr:row>12</xdr:row>
      <xdr:rowOff>28575</xdr:rowOff>
    </xdr:from>
    <xdr:to>
      <xdr:col>7</xdr:col>
      <xdr:colOff>104775</xdr:colOff>
      <xdr:row>14</xdr:row>
      <xdr:rowOff>28575</xdr:rowOff>
    </xdr:to>
    <xdr:sp macro="" textlink="">
      <xdr:nvSpPr>
        <xdr:cNvPr id="882700" name="Rectangle 12"/>
        <xdr:cNvSpPr>
          <a:spLocks noChangeArrowheads="1"/>
        </xdr:cNvSpPr>
      </xdr:nvSpPr>
      <xdr:spPr bwMode="auto">
        <a:xfrm>
          <a:off x="4667250" y="2009775"/>
          <a:ext cx="57150" cy="323850"/>
        </a:xfrm>
        <a:prstGeom prst="rect">
          <a:avLst/>
        </a:pr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5</xdr:col>
      <xdr:colOff>209550</xdr:colOff>
      <xdr:row>16</xdr:row>
      <xdr:rowOff>38100</xdr:rowOff>
    </xdr:from>
    <xdr:to>
      <xdr:col>7</xdr:col>
      <xdr:colOff>76200</xdr:colOff>
      <xdr:row>16</xdr:row>
      <xdr:rowOff>38100</xdr:rowOff>
    </xdr:to>
    <xdr:sp macro="" textlink="">
      <xdr:nvSpPr>
        <xdr:cNvPr id="882701" name="Line 13"/>
        <xdr:cNvSpPr>
          <a:spLocks noChangeShapeType="1"/>
        </xdr:cNvSpPr>
      </xdr:nvSpPr>
      <xdr:spPr bwMode="auto">
        <a:xfrm>
          <a:off x="3609975" y="2667000"/>
          <a:ext cx="108585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stealth" w="med" len="sm"/>
          <a:tailEnd type="stealth" w="med" len="sm"/>
        </a:ln>
        <a:extLst>
          <a:ext uri="{909E8E84-426E-40DD-AFC4-6F175D3DCCD1}">
            <a14:hiddenFill xmlns:a14="http://schemas.microsoft.com/office/drawing/2010/main">
              <a:noFill/>
            </a14:hiddenFill>
          </a:ext>
        </a:extLst>
      </xdr:spPr>
    </xdr:sp>
    <xdr:clientData/>
  </xdr:twoCellAnchor>
  <xdr:twoCellAnchor>
    <xdr:from>
      <xdr:col>7</xdr:col>
      <xdr:colOff>419100</xdr:colOff>
      <xdr:row>9</xdr:row>
      <xdr:rowOff>152400</xdr:rowOff>
    </xdr:from>
    <xdr:to>
      <xdr:col>8</xdr:col>
      <xdr:colOff>381000</xdr:colOff>
      <xdr:row>13</xdr:row>
      <xdr:rowOff>28575</xdr:rowOff>
    </xdr:to>
    <xdr:sp macro="" textlink="">
      <xdr:nvSpPr>
        <xdr:cNvPr id="882703" name="Line 15"/>
        <xdr:cNvSpPr>
          <a:spLocks noChangeShapeType="1"/>
        </xdr:cNvSpPr>
      </xdr:nvSpPr>
      <xdr:spPr bwMode="auto">
        <a:xfrm flipH="1">
          <a:off x="5038725" y="1647825"/>
          <a:ext cx="571500" cy="52387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lg"/>
        </a:ln>
        <a:extLst>
          <a:ext uri="{909E8E84-426E-40DD-AFC4-6F175D3DCCD1}">
            <a14:hiddenFill xmlns:a14="http://schemas.microsoft.com/office/drawing/2010/main">
              <a:noFill/>
            </a14:hiddenFill>
          </a:ext>
        </a:extLst>
      </xdr:spPr>
    </xdr:sp>
    <xdr:clientData/>
  </xdr:twoCellAnchor>
  <xdr:twoCellAnchor>
    <xdr:from>
      <xdr:col>7</xdr:col>
      <xdr:colOff>485775</xdr:colOff>
      <xdr:row>13</xdr:row>
      <xdr:rowOff>28575</xdr:rowOff>
    </xdr:from>
    <xdr:to>
      <xdr:col>8</xdr:col>
      <xdr:colOff>428625</xdr:colOff>
      <xdr:row>13</xdr:row>
      <xdr:rowOff>28575</xdr:rowOff>
    </xdr:to>
    <xdr:sp macro="" textlink="">
      <xdr:nvSpPr>
        <xdr:cNvPr id="882704" name="Line 16"/>
        <xdr:cNvSpPr>
          <a:spLocks noChangeShapeType="1"/>
        </xdr:cNvSpPr>
      </xdr:nvSpPr>
      <xdr:spPr bwMode="auto">
        <a:xfrm flipH="1">
          <a:off x="5105400" y="2171700"/>
          <a:ext cx="552450" cy="0"/>
        </a:xfrm>
        <a:prstGeom prst="line">
          <a:avLst/>
        </a:prstGeom>
        <a:noFill/>
        <a:ln w="19050">
          <a:solidFill>
            <a:srgbClr xmlns:mc="http://schemas.openxmlformats.org/markup-compatibility/2006" xmlns:a14="http://schemas.microsoft.com/office/drawing/2010/main" val="000000" mc:Ignorable="a14" a14:legacySpreadsheetColorIndex="64"/>
          </a:solidFill>
          <a:prstDash val="dash"/>
          <a:round/>
          <a:headEnd/>
          <a:tailEnd type="triangle" w="sm" len="med"/>
        </a:ln>
        <a:extLst>
          <a:ext uri="{909E8E84-426E-40DD-AFC4-6F175D3DCCD1}">
            <a14:hiddenFill xmlns:a14="http://schemas.microsoft.com/office/drawing/2010/main">
              <a:noFill/>
            </a14:hiddenFill>
          </a:ext>
        </a:extLst>
      </xdr:spPr>
    </xdr:sp>
    <xdr:clientData/>
  </xdr:twoCellAnchor>
  <xdr:twoCellAnchor>
    <xdr:from>
      <xdr:col>7</xdr:col>
      <xdr:colOff>409575</xdr:colOff>
      <xdr:row>9</xdr:row>
      <xdr:rowOff>47625</xdr:rowOff>
    </xdr:from>
    <xdr:to>
      <xdr:col>7</xdr:col>
      <xdr:colOff>409575</xdr:colOff>
      <xdr:row>12</xdr:row>
      <xdr:rowOff>152400</xdr:rowOff>
    </xdr:to>
    <xdr:sp macro="" textlink="">
      <xdr:nvSpPr>
        <xdr:cNvPr id="882705" name="Line 17"/>
        <xdr:cNvSpPr>
          <a:spLocks noChangeShapeType="1"/>
        </xdr:cNvSpPr>
      </xdr:nvSpPr>
      <xdr:spPr bwMode="auto">
        <a:xfrm>
          <a:off x="5029200" y="1543050"/>
          <a:ext cx="0" cy="590550"/>
        </a:xfrm>
        <a:prstGeom prst="line">
          <a:avLst/>
        </a:prstGeom>
        <a:noFill/>
        <a:ln w="19050">
          <a:solidFill>
            <a:srgbClr xmlns:mc="http://schemas.openxmlformats.org/markup-compatibility/2006" xmlns:a14="http://schemas.microsoft.com/office/drawing/2010/main" val="000000" mc:Ignorable="a14" a14:legacySpreadsheetColorIndex="64"/>
          </a:solidFill>
          <a:prstDash val="dash"/>
          <a:round/>
          <a:headEnd/>
          <a:tailEnd type="triangle" w="sm" len="med"/>
        </a:ln>
        <a:extLst>
          <a:ext uri="{909E8E84-426E-40DD-AFC4-6F175D3DCCD1}">
            <a14:hiddenFill xmlns:a14="http://schemas.microsoft.com/office/drawing/2010/main">
              <a:noFill/>
            </a14:hiddenFill>
          </a:ext>
        </a:extLst>
      </xdr:spPr>
    </xdr:sp>
    <xdr:clientData/>
  </xdr:twoCellAnchor>
  <xdr:twoCellAnchor>
    <xdr:from>
      <xdr:col>7</xdr:col>
      <xdr:colOff>381000</xdr:colOff>
      <xdr:row>10</xdr:row>
      <xdr:rowOff>28575</xdr:rowOff>
    </xdr:from>
    <xdr:to>
      <xdr:col>8</xdr:col>
      <xdr:colOff>142875</xdr:colOff>
      <xdr:row>13</xdr:row>
      <xdr:rowOff>66675</xdr:rowOff>
    </xdr:to>
    <xdr:sp macro="" textlink="">
      <xdr:nvSpPr>
        <xdr:cNvPr id="882706" name="Arc 18"/>
        <xdr:cNvSpPr>
          <a:spLocks/>
        </xdr:cNvSpPr>
      </xdr:nvSpPr>
      <xdr:spPr bwMode="auto">
        <a:xfrm>
          <a:off x="5000625" y="1685925"/>
          <a:ext cx="371475" cy="523875"/>
        </a:xfrm>
        <a:custGeom>
          <a:avLst/>
          <a:gdLst>
            <a:gd name="G0" fmla="+- 0 0 0"/>
            <a:gd name="G1" fmla="+- 21564 0 0"/>
            <a:gd name="G2" fmla="+- 21600 0 0"/>
            <a:gd name="T0" fmla="*/ 1241 w 16040"/>
            <a:gd name="T1" fmla="*/ 0 h 21564"/>
            <a:gd name="T2" fmla="*/ 16040 w 16040"/>
            <a:gd name="T3" fmla="*/ 7098 h 21564"/>
            <a:gd name="T4" fmla="*/ 0 w 16040"/>
            <a:gd name="T5" fmla="*/ 21564 h 21564"/>
          </a:gdLst>
          <a:ahLst/>
          <a:cxnLst>
            <a:cxn ang="0">
              <a:pos x="T0" y="T1"/>
            </a:cxn>
            <a:cxn ang="0">
              <a:pos x="T2" y="T3"/>
            </a:cxn>
            <a:cxn ang="0">
              <a:pos x="T4" y="T5"/>
            </a:cxn>
          </a:cxnLst>
          <a:rect l="0" t="0" r="r" b="b"/>
          <a:pathLst>
            <a:path w="16040" h="21564" fill="none" extrusionOk="0">
              <a:moveTo>
                <a:pt x="1241" y="-1"/>
              </a:moveTo>
              <a:cubicBezTo>
                <a:pt x="6915" y="326"/>
                <a:pt x="12233" y="2876"/>
                <a:pt x="16040" y="7097"/>
              </a:cubicBezTo>
            </a:path>
            <a:path w="16040" h="21564" stroke="0" extrusionOk="0">
              <a:moveTo>
                <a:pt x="1241" y="-1"/>
              </a:moveTo>
              <a:cubicBezTo>
                <a:pt x="6915" y="326"/>
                <a:pt x="12233" y="2876"/>
                <a:pt x="16040" y="7097"/>
              </a:cubicBezTo>
              <a:lnTo>
                <a:pt x="0" y="21564"/>
              </a:lnTo>
              <a:close/>
            </a:path>
          </a:pathLst>
        </a:custGeom>
        <a:noFill/>
        <a:ln w="9525">
          <a:solidFill>
            <a:srgbClr xmlns:mc="http://schemas.openxmlformats.org/markup-compatibility/2006" xmlns:a14="http://schemas.microsoft.com/office/drawing/2010/main" val="000000" mc:Ignorable="a14" a14:legacySpreadsheetColorIndex="64"/>
          </a:solidFill>
          <a:round/>
          <a:headEnd type="stealth" w="sm" len="sm"/>
          <a:tailEnd type="stealth" w="sm" len="sm"/>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twoCellAnchor>
    <xdr:from>
      <xdr:col>3</xdr:col>
      <xdr:colOff>0</xdr:colOff>
      <xdr:row>44</xdr:row>
      <xdr:rowOff>0</xdr:rowOff>
    </xdr:from>
    <xdr:to>
      <xdr:col>6</xdr:col>
      <xdr:colOff>0</xdr:colOff>
      <xdr:row>47</xdr:row>
      <xdr:rowOff>0</xdr:rowOff>
    </xdr:to>
    <xdr:sp macro="" textlink="">
      <xdr:nvSpPr>
        <xdr:cNvPr id="882707" name="Rectangle 19"/>
        <xdr:cNvSpPr>
          <a:spLocks noChangeArrowheads="1"/>
        </xdr:cNvSpPr>
      </xdr:nvSpPr>
      <xdr:spPr bwMode="auto">
        <a:xfrm>
          <a:off x="2076450" y="7181850"/>
          <a:ext cx="1933575" cy="485775"/>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ffectLst>
          <a:outerShdw dist="107763" dir="2700000" algn="ctr" rotWithShape="0">
            <a:srgbClr val="808080"/>
          </a:outerShdw>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53640926-AAD7-44D8-BBD7-CCE9431645EC}">
            <a14:shadowObscured xmlns:a14="http://schemas.microsoft.com/office/drawing/2010/main" val="1"/>
          </a:ext>
        </a:extLst>
      </xdr:spPr>
    </xdr:sp>
    <xdr:clientData/>
  </xdr:twoCellAnchor>
  <xdr:twoCellAnchor>
    <xdr:from>
      <xdr:col>27</xdr:col>
      <xdr:colOff>0</xdr:colOff>
      <xdr:row>0</xdr:row>
      <xdr:rowOff>0</xdr:rowOff>
    </xdr:from>
    <xdr:to>
      <xdr:col>28</xdr:col>
      <xdr:colOff>0</xdr:colOff>
      <xdr:row>1</xdr:row>
      <xdr:rowOff>0</xdr:rowOff>
    </xdr:to>
    <xdr:sp macro="" textlink="">
      <xdr:nvSpPr>
        <xdr:cNvPr id="882708" name="Rectangle 20"/>
        <xdr:cNvSpPr>
          <a:spLocks noChangeArrowheads="1"/>
        </xdr:cNvSpPr>
      </xdr:nvSpPr>
      <xdr:spPr bwMode="auto">
        <a:xfrm>
          <a:off x="6038850" y="0"/>
          <a:ext cx="609600" cy="200025"/>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AF507438-7753-43E0-B8FC-AC1667EBCBE1}">
            <a14:hiddenEffects xmlns:a14="http://schemas.microsoft.com/office/drawing/2010/main">
              <a:effectLst>
                <a:outerShdw dist="35921" dir="2700000" algn="ctr" rotWithShape="0">
                  <a:srgbClr val="808080"/>
                </a:outerShdw>
              </a:effectLst>
            </a14:hiddenEffects>
          </a:ext>
          <a:ext uri="{53640926-AAD7-44D8-BBD7-CCE9431645EC}">
            <a14:shadowObscured xmlns:a14="http://schemas.microsoft.com/office/drawing/2010/main" val="1"/>
          </a:ext>
        </a:extLst>
      </xdr:spPr>
    </xdr:sp>
    <xdr:clientData/>
  </xdr:twoCellAnchor>
  <xdr:twoCellAnchor>
    <xdr:from>
      <xdr:col>27</xdr:col>
      <xdr:colOff>0</xdr:colOff>
      <xdr:row>0</xdr:row>
      <xdr:rowOff>0</xdr:rowOff>
    </xdr:from>
    <xdr:to>
      <xdr:col>28</xdr:col>
      <xdr:colOff>0</xdr:colOff>
      <xdr:row>1</xdr:row>
      <xdr:rowOff>0</xdr:rowOff>
    </xdr:to>
    <xdr:sp macro="" textlink="">
      <xdr:nvSpPr>
        <xdr:cNvPr id="882709" name="Rectangle 21"/>
        <xdr:cNvSpPr>
          <a:spLocks noChangeArrowheads="1"/>
        </xdr:cNvSpPr>
      </xdr:nvSpPr>
      <xdr:spPr bwMode="auto">
        <a:xfrm>
          <a:off x="6038850" y="0"/>
          <a:ext cx="609600" cy="200025"/>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AF507438-7753-43E0-B8FC-AC1667EBCBE1}">
            <a14:hiddenEffects xmlns:a14="http://schemas.microsoft.com/office/drawing/2010/main">
              <a:effectLst>
                <a:outerShdw dist="35921" dir="2700000" algn="ctr" rotWithShape="0">
                  <a:srgbClr val="808080"/>
                </a:outerShdw>
              </a:effectLst>
            </a14:hiddenEffects>
          </a:ext>
          <a:ext uri="{53640926-AAD7-44D8-BBD7-CCE9431645EC}">
            <a14:shadowObscured xmlns:a14="http://schemas.microsoft.com/office/drawing/2010/main" val="1"/>
          </a:ext>
        </a:extLst>
      </xdr:spPr>
    </xdr:sp>
    <xdr:clientData/>
  </xdr:twoCellAnchor>
  <xdr:twoCellAnchor>
    <xdr:from>
      <xdr:col>27</xdr:col>
      <xdr:colOff>0</xdr:colOff>
      <xdr:row>0</xdr:row>
      <xdr:rowOff>0</xdr:rowOff>
    </xdr:from>
    <xdr:to>
      <xdr:col>28</xdr:col>
      <xdr:colOff>0</xdr:colOff>
      <xdr:row>1</xdr:row>
      <xdr:rowOff>0</xdr:rowOff>
    </xdr:to>
    <xdr:sp macro="" textlink="">
      <xdr:nvSpPr>
        <xdr:cNvPr id="882710" name="Rectangle 22"/>
        <xdr:cNvSpPr>
          <a:spLocks noChangeArrowheads="1"/>
        </xdr:cNvSpPr>
      </xdr:nvSpPr>
      <xdr:spPr bwMode="auto">
        <a:xfrm>
          <a:off x="6038850" y="0"/>
          <a:ext cx="609600" cy="200025"/>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AF507438-7753-43E0-B8FC-AC1667EBCBE1}">
            <a14:hiddenEffects xmlns:a14="http://schemas.microsoft.com/office/drawing/2010/main">
              <a:effectLst>
                <a:outerShdw dist="35921" dir="2700000" algn="ctr" rotWithShape="0">
                  <a:srgbClr val="808080"/>
                </a:outerShdw>
              </a:effectLst>
            </a14:hiddenEffects>
          </a:ext>
          <a:ext uri="{53640926-AAD7-44D8-BBD7-CCE9431645EC}">
            <a14:shadowObscured xmlns:a14="http://schemas.microsoft.com/office/drawing/2010/main" val="1"/>
          </a:ext>
        </a:extLst>
      </xdr:spPr>
    </xdr:sp>
    <xdr:clientData/>
  </xdr:twoCellAnchor>
  <xdr:twoCellAnchor>
    <xdr:from>
      <xdr:col>27</xdr:col>
      <xdr:colOff>0</xdr:colOff>
      <xdr:row>0</xdr:row>
      <xdr:rowOff>0</xdr:rowOff>
    </xdr:from>
    <xdr:to>
      <xdr:col>28</xdr:col>
      <xdr:colOff>0</xdr:colOff>
      <xdr:row>1</xdr:row>
      <xdr:rowOff>0</xdr:rowOff>
    </xdr:to>
    <xdr:sp macro="" textlink="">
      <xdr:nvSpPr>
        <xdr:cNvPr id="882711" name="Rectangle 23"/>
        <xdr:cNvSpPr>
          <a:spLocks noChangeArrowheads="1"/>
        </xdr:cNvSpPr>
      </xdr:nvSpPr>
      <xdr:spPr bwMode="auto">
        <a:xfrm>
          <a:off x="6038850" y="0"/>
          <a:ext cx="609600" cy="200025"/>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AF507438-7753-43E0-B8FC-AC1667EBCBE1}">
            <a14:hiddenEffects xmlns:a14="http://schemas.microsoft.com/office/drawing/2010/main">
              <a:effectLst>
                <a:outerShdw dist="35921" dir="2700000" algn="ctr" rotWithShape="0">
                  <a:srgbClr val="808080"/>
                </a:outerShdw>
              </a:effectLst>
            </a14:hiddenEffects>
          </a:ext>
          <a:ext uri="{53640926-AAD7-44D8-BBD7-CCE9431645EC}">
            <a14:shadowObscured xmlns:a14="http://schemas.microsoft.com/office/drawing/2010/main" val="1"/>
          </a:ext>
        </a:extLst>
      </xdr:spPr>
    </xdr:sp>
    <xdr:clientData/>
  </xdr:twoCellAnchor>
</xdr:wsDr>
</file>

<file path=xl/drawings/drawing6.xml><?xml version="1.0" encoding="utf-8"?>
<xdr:wsDr xmlns:xdr="http://schemas.openxmlformats.org/drawingml/2006/spreadsheetDrawing" xmlns:a="http://schemas.openxmlformats.org/drawingml/2006/main">
  <xdr:twoCellAnchor>
    <xdr:from>
      <xdr:col>5</xdr:col>
      <xdr:colOff>314325</xdr:colOff>
      <xdr:row>12</xdr:row>
      <xdr:rowOff>114300</xdr:rowOff>
    </xdr:from>
    <xdr:to>
      <xdr:col>5</xdr:col>
      <xdr:colOff>371475</xdr:colOff>
      <xdr:row>20</xdr:row>
      <xdr:rowOff>104775</xdr:rowOff>
    </xdr:to>
    <xdr:sp macro="" textlink="">
      <xdr:nvSpPr>
        <xdr:cNvPr id="872450" name="Rectangle 2"/>
        <xdr:cNvSpPr>
          <a:spLocks noChangeArrowheads="1"/>
        </xdr:cNvSpPr>
      </xdr:nvSpPr>
      <xdr:spPr bwMode="auto">
        <a:xfrm>
          <a:off x="3714750" y="2095500"/>
          <a:ext cx="57150" cy="1285875"/>
        </a:xfrm>
        <a:prstGeom prst="rect">
          <a:avLst/>
        </a:pr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5</xdr:col>
      <xdr:colOff>371475</xdr:colOff>
      <xdr:row>12</xdr:row>
      <xdr:rowOff>114300</xdr:rowOff>
    </xdr:from>
    <xdr:to>
      <xdr:col>6</xdr:col>
      <xdr:colOff>276225</xdr:colOff>
      <xdr:row>13</xdr:row>
      <xdr:rowOff>9525</xdr:rowOff>
    </xdr:to>
    <xdr:sp macro="" textlink="">
      <xdr:nvSpPr>
        <xdr:cNvPr id="872451" name="Rectangle 3"/>
        <xdr:cNvSpPr>
          <a:spLocks noChangeArrowheads="1"/>
        </xdr:cNvSpPr>
      </xdr:nvSpPr>
      <xdr:spPr bwMode="auto">
        <a:xfrm>
          <a:off x="3771900" y="2095500"/>
          <a:ext cx="514350" cy="57150"/>
        </a:xfrm>
        <a:prstGeom prst="rect">
          <a:avLst/>
        </a:pr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5</xdr:col>
      <xdr:colOff>371475</xdr:colOff>
      <xdr:row>20</xdr:row>
      <xdr:rowOff>47625</xdr:rowOff>
    </xdr:from>
    <xdr:to>
      <xdr:col>6</xdr:col>
      <xdr:colOff>276225</xdr:colOff>
      <xdr:row>20</xdr:row>
      <xdr:rowOff>104775</xdr:rowOff>
    </xdr:to>
    <xdr:sp macro="" textlink="">
      <xdr:nvSpPr>
        <xdr:cNvPr id="872452" name="Rectangle 4"/>
        <xdr:cNvSpPr>
          <a:spLocks noChangeArrowheads="1"/>
        </xdr:cNvSpPr>
      </xdr:nvSpPr>
      <xdr:spPr bwMode="auto">
        <a:xfrm>
          <a:off x="3771900" y="3324225"/>
          <a:ext cx="514350" cy="57150"/>
        </a:xfrm>
        <a:prstGeom prst="rect">
          <a:avLst/>
        </a:pr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4</xdr:col>
      <xdr:colOff>533400</xdr:colOff>
      <xdr:row>20</xdr:row>
      <xdr:rowOff>76200</xdr:rowOff>
    </xdr:from>
    <xdr:to>
      <xdr:col>5</xdr:col>
      <xdr:colOff>266700</xdr:colOff>
      <xdr:row>20</xdr:row>
      <xdr:rowOff>76200</xdr:rowOff>
    </xdr:to>
    <xdr:sp macro="" textlink="">
      <xdr:nvSpPr>
        <xdr:cNvPr id="872453" name="Line 5"/>
        <xdr:cNvSpPr>
          <a:spLocks noChangeShapeType="1"/>
        </xdr:cNvSpPr>
      </xdr:nvSpPr>
      <xdr:spPr bwMode="auto">
        <a:xfrm flipH="1">
          <a:off x="3324225" y="3352800"/>
          <a:ext cx="3429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533400</xdr:colOff>
      <xdr:row>12</xdr:row>
      <xdr:rowOff>152400</xdr:rowOff>
    </xdr:from>
    <xdr:to>
      <xdr:col>5</xdr:col>
      <xdr:colOff>266700</xdr:colOff>
      <xdr:row>12</xdr:row>
      <xdr:rowOff>152400</xdr:rowOff>
    </xdr:to>
    <xdr:sp macro="" textlink="">
      <xdr:nvSpPr>
        <xdr:cNvPr id="872454" name="Line 6"/>
        <xdr:cNvSpPr>
          <a:spLocks noChangeShapeType="1"/>
        </xdr:cNvSpPr>
      </xdr:nvSpPr>
      <xdr:spPr bwMode="auto">
        <a:xfrm flipH="1">
          <a:off x="3324225" y="2133600"/>
          <a:ext cx="3429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533400</xdr:colOff>
      <xdr:row>9</xdr:row>
      <xdr:rowOff>66675</xdr:rowOff>
    </xdr:from>
    <xdr:to>
      <xdr:col>5</xdr:col>
      <xdr:colOff>533400</xdr:colOff>
      <xdr:row>22</xdr:row>
      <xdr:rowOff>76200</xdr:rowOff>
    </xdr:to>
    <xdr:sp macro="" textlink="">
      <xdr:nvSpPr>
        <xdr:cNvPr id="872455" name="Line 7"/>
        <xdr:cNvSpPr>
          <a:spLocks noChangeShapeType="1"/>
        </xdr:cNvSpPr>
      </xdr:nvSpPr>
      <xdr:spPr bwMode="auto">
        <a:xfrm>
          <a:off x="3933825" y="1562100"/>
          <a:ext cx="0" cy="2114550"/>
        </a:xfrm>
        <a:prstGeom prst="line">
          <a:avLst/>
        </a:prstGeom>
        <a:noFill/>
        <a:ln w="9525">
          <a:solidFill>
            <a:srgbClr xmlns:mc="http://schemas.openxmlformats.org/markup-compatibility/2006" xmlns:a14="http://schemas.microsoft.com/office/drawing/2010/main" val="000000" mc:Ignorable="a14" a14:legacySpreadsheetColorIndex="64"/>
          </a:solidFill>
          <a:prstDash val="lgDashDot"/>
          <a:round/>
          <a:headEnd/>
          <a:tailEnd/>
        </a:ln>
        <a:extLst>
          <a:ext uri="{909E8E84-426E-40DD-AFC4-6F175D3DCCD1}">
            <a14:hiddenFill xmlns:a14="http://schemas.microsoft.com/office/drawing/2010/main">
              <a:noFill/>
            </a14:hiddenFill>
          </a:ext>
        </a:extLst>
      </xdr:spPr>
    </xdr:sp>
    <xdr:clientData/>
  </xdr:twoCellAnchor>
  <xdr:twoCellAnchor>
    <xdr:from>
      <xdr:col>5</xdr:col>
      <xdr:colOff>342900</xdr:colOff>
      <xdr:row>20</xdr:row>
      <xdr:rowOff>142875</xdr:rowOff>
    </xdr:from>
    <xdr:to>
      <xdr:col>5</xdr:col>
      <xdr:colOff>342900</xdr:colOff>
      <xdr:row>24</xdr:row>
      <xdr:rowOff>85725</xdr:rowOff>
    </xdr:to>
    <xdr:sp macro="" textlink="">
      <xdr:nvSpPr>
        <xdr:cNvPr id="872456" name="Line 8"/>
        <xdr:cNvSpPr>
          <a:spLocks noChangeShapeType="1"/>
        </xdr:cNvSpPr>
      </xdr:nvSpPr>
      <xdr:spPr bwMode="auto">
        <a:xfrm>
          <a:off x="3743325" y="3419475"/>
          <a:ext cx="0" cy="5905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276225</xdr:colOff>
      <xdr:row>20</xdr:row>
      <xdr:rowOff>142875</xdr:rowOff>
    </xdr:from>
    <xdr:to>
      <xdr:col>6</xdr:col>
      <xdr:colOff>276225</xdr:colOff>
      <xdr:row>24</xdr:row>
      <xdr:rowOff>85725</xdr:rowOff>
    </xdr:to>
    <xdr:sp macro="" textlink="">
      <xdr:nvSpPr>
        <xdr:cNvPr id="872457" name="Line 9"/>
        <xdr:cNvSpPr>
          <a:spLocks noChangeShapeType="1"/>
        </xdr:cNvSpPr>
      </xdr:nvSpPr>
      <xdr:spPr bwMode="auto">
        <a:xfrm>
          <a:off x="4286250" y="3419475"/>
          <a:ext cx="0" cy="5905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142875</xdr:colOff>
      <xdr:row>16</xdr:row>
      <xdr:rowOff>114300</xdr:rowOff>
    </xdr:from>
    <xdr:to>
      <xdr:col>6</xdr:col>
      <xdr:colOff>381000</xdr:colOff>
      <xdr:row>16</xdr:row>
      <xdr:rowOff>114300</xdr:rowOff>
    </xdr:to>
    <xdr:sp macro="" textlink="">
      <xdr:nvSpPr>
        <xdr:cNvPr id="872458" name="Line 10"/>
        <xdr:cNvSpPr>
          <a:spLocks noChangeShapeType="1"/>
        </xdr:cNvSpPr>
      </xdr:nvSpPr>
      <xdr:spPr bwMode="auto">
        <a:xfrm>
          <a:off x="3543300" y="2743200"/>
          <a:ext cx="847725" cy="0"/>
        </a:xfrm>
        <a:prstGeom prst="line">
          <a:avLst/>
        </a:prstGeom>
        <a:noFill/>
        <a:ln w="9525">
          <a:solidFill>
            <a:srgbClr xmlns:mc="http://schemas.openxmlformats.org/markup-compatibility/2006" xmlns:a14="http://schemas.microsoft.com/office/drawing/2010/main" val="000000" mc:Ignorable="a14" a14:legacySpreadsheetColorIndex="64"/>
          </a:solidFill>
          <a:prstDash val="lgDashDot"/>
          <a:round/>
          <a:headEnd/>
          <a:tailEnd/>
        </a:ln>
        <a:extLst>
          <a:ext uri="{909E8E84-426E-40DD-AFC4-6F175D3DCCD1}">
            <a14:hiddenFill xmlns:a14="http://schemas.microsoft.com/office/drawing/2010/main">
              <a:noFill/>
            </a14:hiddenFill>
          </a:ext>
        </a:extLst>
      </xdr:spPr>
    </xdr:sp>
    <xdr:clientData/>
  </xdr:twoCellAnchor>
  <xdr:twoCellAnchor>
    <xdr:from>
      <xdr:col>5</xdr:col>
      <xdr:colOff>342900</xdr:colOff>
      <xdr:row>8</xdr:row>
      <xdr:rowOff>38100</xdr:rowOff>
    </xdr:from>
    <xdr:to>
      <xdr:col>5</xdr:col>
      <xdr:colOff>342900</xdr:colOff>
      <xdr:row>12</xdr:row>
      <xdr:rowOff>66675</xdr:rowOff>
    </xdr:to>
    <xdr:sp macro="" textlink="">
      <xdr:nvSpPr>
        <xdr:cNvPr id="872459" name="Line 11"/>
        <xdr:cNvSpPr>
          <a:spLocks noChangeShapeType="1"/>
        </xdr:cNvSpPr>
      </xdr:nvSpPr>
      <xdr:spPr bwMode="auto">
        <a:xfrm flipV="1">
          <a:off x="3743325" y="1371600"/>
          <a:ext cx="0" cy="6762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66675</xdr:colOff>
      <xdr:row>12</xdr:row>
      <xdr:rowOff>152400</xdr:rowOff>
    </xdr:from>
    <xdr:to>
      <xdr:col>5</xdr:col>
      <xdr:colOff>66675</xdr:colOff>
      <xdr:row>20</xdr:row>
      <xdr:rowOff>76200</xdr:rowOff>
    </xdr:to>
    <xdr:sp macro="" textlink="">
      <xdr:nvSpPr>
        <xdr:cNvPr id="872460" name="Line 12"/>
        <xdr:cNvSpPr>
          <a:spLocks noChangeShapeType="1"/>
        </xdr:cNvSpPr>
      </xdr:nvSpPr>
      <xdr:spPr bwMode="auto">
        <a:xfrm>
          <a:off x="3467100" y="2133600"/>
          <a:ext cx="0" cy="12192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stealth" w="med" len="med"/>
          <a:tailEnd type="stealth" w="med" len="med"/>
        </a:ln>
        <a:extLst>
          <a:ext uri="{909E8E84-426E-40DD-AFC4-6F175D3DCCD1}">
            <a14:hiddenFill xmlns:a14="http://schemas.microsoft.com/office/drawing/2010/main">
              <a:noFill/>
            </a14:hiddenFill>
          </a:ext>
        </a:extLst>
      </xdr:spPr>
    </xdr:sp>
    <xdr:clientData/>
  </xdr:twoCellAnchor>
  <xdr:twoCellAnchor>
    <xdr:from>
      <xdr:col>5</xdr:col>
      <xdr:colOff>342900</xdr:colOff>
      <xdr:row>24</xdr:row>
      <xdr:rowOff>19050</xdr:rowOff>
    </xdr:from>
    <xdr:to>
      <xdr:col>6</xdr:col>
      <xdr:colOff>276225</xdr:colOff>
      <xdr:row>24</xdr:row>
      <xdr:rowOff>19050</xdr:rowOff>
    </xdr:to>
    <xdr:sp macro="" textlink="">
      <xdr:nvSpPr>
        <xdr:cNvPr id="872461" name="Line 13"/>
        <xdr:cNvSpPr>
          <a:spLocks noChangeShapeType="1"/>
        </xdr:cNvSpPr>
      </xdr:nvSpPr>
      <xdr:spPr bwMode="auto">
        <a:xfrm>
          <a:off x="3743325" y="3943350"/>
          <a:ext cx="54292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stealth" w="sm" len="sm"/>
          <a:tailEnd type="stealth" w="sm" len="sm"/>
        </a:ln>
        <a:extLst>
          <a:ext uri="{909E8E84-426E-40DD-AFC4-6F175D3DCCD1}">
            <a14:hiddenFill xmlns:a14="http://schemas.microsoft.com/office/drawing/2010/main">
              <a:noFill/>
            </a14:hiddenFill>
          </a:ext>
        </a:extLst>
      </xdr:spPr>
    </xdr:sp>
    <xdr:clientData/>
  </xdr:twoCellAnchor>
  <xdr:twoCellAnchor>
    <xdr:from>
      <xdr:col>7</xdr:col>
      <xdr:colOff>285750</xdr:colOff>
      <xdr:row>12</xdr:row>
      <xdr:rowOff>142875</xdr:rowOff>
    </xdr:from>
    <xdr:to>
      <xdr:col>8</xdr:col>
      <xdr:colOff>323850</xdr:colOff>
      <xdr:row>16</xdr:row>
      <xdr:rowOff>104775</xdr:rowOff>
    </xdr:to>
    <xdr:sp macro="" textlink="">
      <xdr:nvSpPr>
        <xdr:cNvPr id="872462" name="Line 14"/>
        <xdr:cNvSpPr>
          <a:spLocks noChangeShapeType="1"/>
        </xdr:cNvSpPr>
      </xdr:nvSpPr>
      <xdr:spPr bwMode="auto">
        <a:xfrm flipH="1">
          <a:off x="4905375" y="2124075"/>
          <a:ext cx="647700" cy="60960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lg"/>
        </a:ln>
        <a:extLst>
          <a:ext uri="{909E8E84-426E-40DD-AFC4-6F175D3DCCD1}">
            <a14:hiddenFill xmlns:a14="http://schemas.microsoft.com/office/drawing/2010/main">
              <a:noFill/>
            </a14:hiddenFill>
          </a:ext>
        </a:extLst>
      </xdr:spPr>
    </xdr:sp>
    <xdr:clientData/>
  </xdr:twoCellAnchor>
  <xdr:twoCellAnchor>
    <xdr:from>
      <xdr:col>7</xdr:col>
      <xdr:colOff>381000</xdr:colOff>
      <xdr:row>16</xdr:row>
      <xdr:rowOff>104775</xdr:rowOff>
    </xdr:from>
    <xdr:to>
      <xdr:col>8</xdr:col>
      <xdr:colOff>485775</xdr:colOff>
      <xdr:row>16</xdr:row>
      <xdr:rowOff>104775</xdr:rowOff>
    </xdr:to>
    <xdr:sp macro="" textlink="">
      <xdr:nvSpPr>
        <xdr:cNvPr id="872463" name="Line 15"/>
        <xdr:cNvSpPr>
          <a:spLocks noChangeShapeType="1"/>
        </xdr:cNvSpPr>
      </xdr:nvSpPr>
      <xdr:spPr bwMode="auto">
        <a:xfrm flipH="1">
          <a:off x="5000625" y="2733675"/>
          <a:ext cx="714375" cy="0"/>
        </a:xfrm>
        <a:prstGeom prst="line">
          <a:avLst/>
        </a:prstGeom>
        <a:noFill/>
        <a:ln w="19050">
          <a:solidFill>
            <a:srgbClr xmlns:mc="http://schemas.openxmlformats.org/markup-compatibility/2006" xmlns:a14="http://schemas.microsoft.com/office/drawing/2010/main" val="000000" mc:Ignorable="a14" a14:legacySpreadsheetColorIndex="64"/>
          </a:solidFill>
          <a:prstDash val="dash"/>
          <a:round/>
          <a:headEnd/>
          <a:tailEnd type="triangle" w="sm" len="med"/>
        </a:ln>
        <a:extLst>
          <a:ext uri="{909E8E84-426E-40DD-AFC4-6F175D3DCCD1}">
            <a14:hiddenFill xmlns:a14="http://schemas.microsoft.com/office/drawing/2010/main">
              <a:noFill/>
            </a14:hiddenFill>
          </a:ext>
        </a:extLst>
      </xdr:spPr>
    </xdr:sp>
    <xdr:clientData/>
  </xdr:twoCellAnchor>
  <xdr:twoCellAnchor>
    <xdr:from>
      <xdr:col>7</xdr:col>
      <xdr:colOff>285750</xdr:colOff>
      <xdr:row>12</xdr:row>
      <xdr:rowOff>28575</xdr:rowOff>
    </xdr:from>
    <xdr:to>
      <xdr:col>7</xdr:col>
      <xdr:colOff>285750</xdr:colOff>
      <xdr:row>15</xdr:row>
      <xdr:rowOff>152400</xdr:rowOff>
    </xdr:to>
    <xdr:sp macro="" textlink="">
      <xdr:nvSpPr>
        <xdr:cNvPr id="872464" name="Line 16"/>
        <xdr:cNvSpPr>
          <a:spLocks noChangeShapeType="1"/>
        </xdr:cNvSpPr>
      </xdr:nvSpPr>
      <xdr:spPr bwMode="auto">
        <a:xfrm>
          <a:off x="4905375" y="2009775"/>
          <a:ext cx="0" cy="609600"/>
        </a:xfrm>
        <a:prstGeom prst="line">
          <a:avLst/>
        </a:prstGeom>
        <a:noFill/>
        <a:ln w="19050">
          <a:solidFill>
            <a:srgbClr xmlns:mc="http://schemas.openxmlformats.org/markup-compatibility/2006" xmlns:a14="http://schemas.microsoft.com/office/drawing/2010/main" val="000000" mc:Ignorable="a14" a14:legacySpreadsheetColorIndex="64"/>
          </a:solidFill>
          <a:prstDash val="dash"/>
          <a:round/>
          <a:headEnd/>
          <a:tailEnd type="triangle" w="sm" len="med"/>
        </a:ln>
        <a:extLst>
          <a:ext uri="{909E8E84-426E-40DD-AFC4-6F175D3DCCD1}">
            <a14:hiddenFill xmlns:a14="http://schemas.microsoft.com/office/drawing/2010/main">
              <a:noFill/>
            </a14:hiddenFill>
          </a:ext>
        </a:extLst>
      </xdr:spPr>
    </xdr:sp>
    <xdr:clientData/>
  </xdr:twoCellAnchor>
  <xdr:twoCellAnchor>
    <xdr:from>
      <xdr:col>5</xdr:col>
      <xdr:colOff>533400</xdr:colOff>
      <xdr:row>21</xdr:row>
      <xdr:rowOff>152400</xdr:rowOff>
    </xdr:from>
    <xdr:to>
      <xdr:col>6</xdr:col>
      <xdr:colOff>276225</xdr:colOff>
      <xdr:row>21</xdr:row>
      <xdr:rowOff>152400</xdr:rowOff>
    </xdr:to>
    <xdr:sp macro="" textlink="">
      <xdr:nvSpPr>
        <xdr:cNvPr id="872465" name="Line 17"/>
        <xdr:cNvSpPr>
          <a:spLocks noChangeShapeType="1"/>
        </xdr:cNvSpPr>
      </xdr:nvSpPr>
      <xdr:spPr bwMode="auto">
        <a:xfrm>
          <a:off x="3933825" y="3590925"/>
          <a:ext cx="35242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stealth" w="sm" len="sm"/>
          <a:tailEnd type="stealth" w="sm" len="sm"/>
        </a:ln>
        <a:extLst>
          <a:ext uri="{909E8E84-426E-40DD-AFC4-6F175D3DCCD1}">
            <a14:hiddenFill xmlns:a14="http://schemas.microsoft.com/office/drawing/2010/main">
              <a:noFill/>
            </a14:hiddenFill>
          </a:ext>
        </a:extLst>
      </xdr:spPr>
    </xdr:sp>
    <xdr:clientData/>
  </xdr:twoCellAnchor>
  <xdr:twoCellAnchor>
    <xdr:from>
      <xdr:col>4</xdr:col>
      <xdr:colOff>295275</xdr:colOff>
      <xdr:row>21</xdr:row>
      <xdr:rowOff>152400</xdr:rowOff>
    </xdr:from>
    <xdr:to>
      <xdr:col>5</xdr:col>
      <xdr:colOff>342900</xdr:colOff>
      <xdr:row>21</xdr:row>
      <xdr:rowOff>152400</xdr:rowOff>
    </xdr:to>
    <xdr:sp macro="" textlink="">
      <xdr:nvSpPr>
        <xdr:cNvPr id="872466" name="Line 18"/>
        <xdr:cNvSpPr>
          <a:spLocks noChangeShapeType="1"/>
        </xdr:cNvSpPr>
      </xdr:nvSpPr>
      <xdr:spPr bwMode="auto">
        <a:xfrm>
          <a:off x="3086100" y="3590925"/>
          <a:ext cx="65722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stealth" w="sm" len="sm"/>
        </a:ln>
        <a:extLst>
          <a:ext uri="{909E8E84-426E-40DD-AFC4-6F175D3DCCD1}">
            <a14:hiddenFill xmlns:a14="http://schemas.microsoft.com/office/drawing/2010/main">
              <a:noFill/>
            </a14:hiddenFill>
          </a:ext>
        </a:extLst>
      </xdr:spPr>
    </xdr:sp>
    <xdr:clientData/>
  </xdr:twoCellAnchor>
  <xdr:twoCellAnchor>
    <xdr:from>
      <xdr:col>5</xdr:col>
      <xdr:colOff>342900</xdr:colOff>
      <xdr:row>21</xdr:row>
      <xdr:rowOff>152400</xdr:rowOff>
    </xdr:from>
    <xdr:to>
      <xdr:col>5</xdr:col>
      <xdr:colOff>533400</xdr:colOff>
      <xdr:row>21</xdr:row>
      <xdr:rowOff>152400</xdr:rowOff>
    </xdr:to>
    <xdr:sp macro="" textlink="">
      <xdr:nvSpPr>
        <xdr:cNvPr id="872467" name="Line 19"/>
        <xdr:cNvSpPr>
          <a:spLocks noChangeShapeType="1"/>
        </xdr:cNvSpPr>
      </xdr:nvSpPr>
      <xdr:spPr bwMode="auto">
        <a:xfrm>
          <a:off x="3743325" y="3590925"/>
          <a:ext cx="1905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276225</xdr:colOff>
      <xdr:row>21</xdr:row>
      <xdr:rowOff>152400</xdr:rowOff>
    </xdr:from>
    <xdr:to>
      <xdr:col>7</xdr:col>
      <xdr:colOff>114300</xdr:colOff>
      <xdr:row>21</xdr:row>
      <xdr:rowOff>152400</xdr:rowOff>
    </xdr:to>
    <xdr:sp macro="" textlink="">
      <xdr:nvSpPr>
        <xdr:cNvPr id="872468" name="Line 20"/>
        <xdr:cNvSpPr>
          <a:spLocks noChangeShapeType="1"/>
        </xdr:cNvSpPr>
      </xdr:nvSpPr>
      <xdr:spPr bwMode="auto">
        <a:xfrm>
          <a:off x="4286250" y="3590925"/>
          <a:ext cx="4476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285750</xdr:colOff>
      <xdr:row>8</xdr:row>
      <xdr:rowOff>38100</xdr:rowOff>
    </xdr:from>
    <xdr:to>
      <xdr:col>7</xdr:col>
      <xdr:colOff>285750</xdr:colOff>
      <xdr:row>10</xdr:row>
      <xdr:rowOff>133350</xdr:rowOff>
    </xdr:to>
    <xdr:sp macro="" textlink="">
      <xdr:nvSpPr>
        <xdr:cNvPr id="872469" name="Line 21"/>
        <xdr:cNvSpPr>
          <a:spLocks noChangeShapeType="1"/>
        </xdr:cNvSpPr>
      </xdr:nvSpPr>
      <xdr:spPr bwMode="auto">
        <a:xfrm flipV="1">
          <a:off x="4905375" y="1371600"/>
          <a:ext cx="0" cy="4191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0</xdr:colOff>
      <xdr:row>45</xdr:row>
      <xdr:rowOff>0</xdr:rowOff>
    </xdr:from>
    <xdr:to>
      <xdr:col>6</xdr:col>
      <xdr:colOff>0</xdr:colOff>
      <xdr:row>48</xdr:row>
      <xdr:rowOff>0</xdr:rowOff>
    </xdr:to>
    <xdr:sp macro="" textlink="">
      <xdr:nvSpPr>
        <xdr:cNvPr id="872470" name="Rectangle 22"/>
        <xdr:cNvSpPr>
          <a:spLocks noChangeArrowheads="1"/>
        </xdr:cNvSpPr>
      </xdr:nvSpPr>
      <xdr:spPr bwMode="auto">
        <a:xfrm>
          <a:off x="2076450" y="7343775"/>
          <a:ext cx="1933575" cy="485775"/>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ffectLst>
          <a:outerShdw dist="107763" dir="2700000" algn="ctr" rotWithShape="0">
            <a:srgbClr val="808080"/>
          </a:outerShdw>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53640926-AAD7-44D8-BBD7-CCE9431645EC}">
            <a14:shadowObscured xmlns:a14="http://schemas.microsoft.com/office/drawing/2010/main" val="1"/>
          </a:ext>
        </a:extLst>
      </xdr:spPr>
    </xdr:sp>
    <xdr:clientData/>
  </xdr:twoCellAnchor>
  <xdr:twoCellAnchor>
    <xdr:from>
      <xdr:col>7</xdr:col>
      <xdr:colOff>285750</xdr:colOff>
      <xdr:row>13</xdr:row>
      <xdr:rowOff>19050</xdr:rowOff>
    </xdr:from>
    <xdr:to>
      <xdr:col>8</xdr:col>
      <xdr:colOff>47625</xdr:colOff>
      <xdr:row>16</xdr:row>
      <xdr:rowOff>19050</xdr:rowOff>
    </xdr:to>
    <xdr:sp macro="" textlink="">
      <xdr:nvSpPr>
        <xdr:cNvPr id="872471" name="Arc 23"/>
        <xdr:cNvSpPr>
          <a:spLocks/>
        </xdr:cNvSpPr>
      </xdr:nvSpPr>
      <xdr:spPr bwMode="auto">
        <a:xfrm>
          <a:off x="4905375" y="2162175"/>
          <a:ext cx="371475" cy="485775"/>
        </a:xfrm>
        <a:custGeom>
          <a:avLst/>
          <a:gdLst>
            <a:gd name="G0" fmla="+- 0 0 0"/>
            <a:gd name="G1" fmla="+- 21600 0 0"/>
            <a:gd name="G2" fmla="+- 21600 0 0"/>
            <a:gd name="T0" fmla="*/ 0 w 17764"/>
            <a:gd name="T1" fmla="*/ 0 h 21600"/>
            <a:gd name="T2" fmla="*/ 17764 w 17764"/>
            <a:gd name="T3" fmla="*/ 9311 h 21600"/>
            <a:gd name="T4" fmla="*/ 0 w 17764"/>
            <a:gd name="T5" fmla="*/ 21600 h 21600"/>
          </a:gdLst>
          <a:ahLst/>
          <a:cxnLst>
            <a:cxn ang="0">
              <a:pos x="T0" y="T1"/>
            </a:cxn>
            <a:cxn ang="0">
              <a:pos x="T2" y="T3"/>
            </a:cxn>
            <a:cxn ang="0">
              <a:pos x="T4" y="T5"/>
            </a:cxn>
          </a:cxnLst>
          <a:rect l="0" t="0" r="r" b="b"/>
          <a:pathLst>
            <a:path w="17764" h="21600" fill="none" extrusionOk="0">
              <a:moveTo>
                <a:pt x="-1" y="0"/>
              </a:moveTo>
              <a:cubicBezTo>
                <a:pt x="7090" y="0"/>
                <a:pt x="13729" y="3480"/>
                <a:pt x="17763" y="9311"/>
              </a:cubicBezTo>
            </a:path>
            <a:path w="17764" h="21600" stroke="0" extrusionOk="0">
              <a:moveTo>
                <a:pt x="-1" y="0"/>
              </a:moveTo>
              <a:cubicBezTo>
                <a:pt x="7090" y="0"/>
                <a:pt x="13729" y="3480"/>
                <a:pt x="17763" y="9311"/>
              </a:cubicBezTo>
              <a:lnTo>
                <a:pt x="0" y="21600"/>
              </a:lnTo>
              <a:close/>
            </a:path>
          </a:pathLst>
        </a:custGeom>
        <a:noFill/>
        <a:ln w="9525">
          <a:solidFill>
            <a:srgbClr xmlns:mc="http://schemas.openxmlformats.org/markup-compatibility/2006" xmlns:a14="http://schemas.microsoft.com/office/drawing/2010/main" val="000000" mc:Ignorable="a14" a14:legacySpreadsheetColorIndex="64"/>
          </a:solidFill>
          <a:round/>
          <a:headEnd type="stealth" w="sm" len="sm"/>
          <a:tailEnd type="stealth" w="sm" len="sm"/>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twoCellAnchor>
    <xdr:from>
      <xdr:col>5</xdr:col>
      <xdr:colOff>342900</xdr:colOff>
      <xdr:row>8</xdr:row>
      <xdr:rowOff>152400</xdr:rowOff>
    </xdr:from>
    <xdr:to>
      <xdr:col>7</xdr:col>
      <xdr:colOff>285750</xdr:colOff>
      <xdr:row>8</xdr:row>
      <xdr:rowOff>152400</xdr:rowOff>
    </xdr:to>
    <xdr:sp macro="" textlink="">
      <xdr:nvSpPr>
        <xdr:cNvPr id="872473" name="Line 25"/>
        <xdr:cNvSpPr>
          <a:spLocks noChangeShapeType="1"/>
        </xdr:cNvSpPr>
      </xdr:nvSpPr>
      <xdr:spPr bwMode="auto">
        <a:xfrm>
          <a:off x="3743325" y="1485900"/>
          <a:ext cx="116205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stealth" w="med" len="sm"/>
          <a:tailEnd type="stealth" w="med" len="sm"/>
        </a:ln>
        <a:extLst>
          <a:ext uri="{909E8E84-426E-40DD-AFC4-6F175D3DCCD1}">
            <a14:hiddenFill xmlns:a14="http://schemas.microsoft.com/office/drawing/2010/main">
              <a:noFill/>
            </a14:hiddenFill>
          </a:ext>
        </a:extLst>
      </xdr:spPr>
    </xdr:sp>
    <xdr:clientData/>
  </xdr:twoCellAnchor>
  <xdr:twoCellAnchor>
    <xdr:from>
      <xdr:col>5</xdr:col>
      <xdr:colOff>533400</xdr:colOff>
      <xdr:row>9</xdr:row>
      <xdr:rowOff>152400</xdr:rowOff>
    </xdr:from>
    <xdr:to>
      <xdr:col>7</xdr:col>
      <xdr:colOff>285750</xdr:colOff>
      <xdr:row>9</xdr:row>
      <xdr:rowOff>152400</xdr:rowOff>
    </xdr:to>
    <xdr:sp macro="" textlink="">
      <xdr:nvSpPr>
        <xdr:cNvPr id="872474" name="Line 26"/>
        <xdr:cNvSpPr>
          <a:spLocks noChangeShapeType="1"/>
        </xdr:cNvSpPr>
      </xdr:nvSpPr>
      <xdr:spPr bwMode="auto">
        <a:xfrm>
          <a:off x="3933825" y="1647825"/>
          <a:ext cx="97155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stealth" w="med" len="sm"/>
          <a:tailEnd type="stealth" w="med" len="sm"/>
        </a:ln>
        <a:extLst>
          <a:ext uri="{909E8E84-426E-40DD-AFC4-6F175D3DCCD1}">
            <a14:hiddenFill xmlns:a14="http://schemas.microsoft.com/office/drawing/2010/main">
              <a:noFill/>
            </a14:hiddenFill>
          </a:ext>
        </a:extLst>
      </xdr:spPr>
    </xdr:sp>
    <xdr:clientData/>
  </xdr:twoCellAnchor>
  <xdr:twoCellAnchor>
    <xdr:from>
      <xdr:col>33</xdr:col>
      <xdr:colOff>0</xdr:colOff>
      <xdr:row>0</xdr:row>
      <xdr:rowOff>0</xdr:rowOff>
    </xdr:from>
    <xdr:to>
      <xdr:col>34</xdr:col>
      <xdr:colOff>0</xdr:colOff>
      <xdr:row>1</xdr:row>
      <xdr:rowOff>0</xdr:rowOff>
    </xdr:to>
    <xdr:sp macro="" textlink="">
      <xdr:nvSpPr>
        <xdr:cNvPr id="872475" name="Rectangle 27"/>
        <xdr:cNvSpPr>
          <a:spLocks noChangeArrowheads="1"/>
        </xdr:cNvSpPr>
      </xdr:nvSpPr>
      <xdr:spPr bwMode="auto">
        <a:xfrm>
          <a:off x="6038850" y="0"/>
          <a:ext cx="609600" cy="200025"/>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AF507438-7753-43E0-B8FC-AC1667EBCBE1}">
            <a14:hiddenEffects xmlns:a14="http://schemas.microsoft.com/office/drawing/2010/main">
              <a:effectLst>
                <a:outerShdw dist="35921" dir="2700000" algn="ctr" rotWithShape="0">
                  <a:srgbClr val="808080"/>
                </a:outerShdw>
              </a:effectLst>
            </a14:hiddenEffects>
          </a:ext>
          <a:ext uri="{53640926-AAD7-44D8-BBD7-CCE9431645EC}">
            <a14:shadowObscured xmlns:a14="http://schemas.microsoft.com/office/drawing/2010/main" val="1"/>
          </a:ext>
        </a:extLst>
      </xdr:spPr>
    </xdr:sp>
    <xdr:clientData/>
  </xdr:twoCellAnchor>
  <xdr:twoCellAnchor>
    <xdr:from>
      <xdr:col>34</xdr:col>
      <xdr:colOff>0</xdr:colOff>
      <xdr:row>10</xdr:row>
      <xdr:rowOff>0</xdr:rowOff>
    </xdr:from>
    <xdr:to>
      <xdr:col>37</xdr:col>
      <xdr:colOff>0</xdr:colOff>
      <xdr:row>13</xdr:row>
      <xdr:rowOff>0</xdr:rowOff>
    </xdr:to>
    <xdr:sp macro="" textlink="">
      <xdr:nvSpPr>
        <xdr:cNvPr id="872479" name="Rectangle 31"/>
        <xdr:cNvSpPr>
          <a:spLocks noChangeArrowheads="1"/>
        </xdr:cNvSpPr>
      </xdr:nvSpPr>
      <xdr:spPr bwMode="auto">
        <a:xfrm>
          <a:off x="6648450" y="1657350"/>
          <a:ext cx="1828800" cy="485775"/>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ffectLst>
          <a:outerShdw dist="107763" dir="2700000" algn="ctr" rotWithShape="0">
            <a:srgbClr val="808080"/>
          </a:outerShdw>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53640926-AAD7-44D8-BBD7-CCE9431645EC}">
            <a14:shadowObscured xmlns:a14="http://schemas.microsoft.com/office/drawing/2010/main" val="1"/>
          </a:ext>
        </a:extLst>
      </xdr:spPr>
    </xdr:sp>
    <xdr:clientData/>
  </xdr:twoCellAnchor>
  <xdr:twoCellAnchor>
    <xdr:from>
      <xdr:col>33</xdr:col>
      <xdr:colOff>0</xdr:colOff>
      <xdr:row>0</xdr:row>
      <xdr:rowOff>0</xdr:rowOff>
    </xdr:from>
    <xdr:to>
      <xdr:col>34</xdr:col>
      <xdr:colOff>0</xdr:colOff>
      <xdr:row>1</xdr:row>
      <xdr:rowOff>0</xdr:rowOff>
    </xdr:to>
    <xdr:sp macro="" textlink="">
      <xdr:nvSpPr>
        <xdr:cNvPr id="872480" name="Rectangle 32"/>
        <xdr:cNvSpPr>
          <a:spLocks noChangeArrowheads="1"/>
        </xdr:cNvSpPr>
      </xdr:nvSpPr>
      <xdr:spPr bwMode="auto">
        <a:xfrm>
          <a:off x="6038850" y="0"/>
          <a:ext cx="609600" cy="200025"/>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AF507438-7753-43E0-B8FC-AC1667EBCBE1}">
            <a14:hiddenEffects xmlns:a14="http://schemas.microsoft.com/office/drawing/2010/main">
              <a:effectLst>
                <a:outerShdw dist="35921" dir="2700000" algn="ctr" rotWithShape="0">
                  <a:srgbClr val="808080"/>
                </a:outerShdw>
              </a:effectLst>
            </a14:hiddenEffects>
          </a:ext>
          <a:ext uri="{53640926-AAD7-44D8-BBD7-CCE9431645EC}">
            <a14:shadowObscured xmlns:a14="http://schemas.microsoft.com/office/drawing/2010/main" val="1"/>
          </a:ext>
        </a:extLst>
      </xdr:spPr>
    </xdr:sp>
    <xdr:clientData/>
  </xdr:twoCellAnchor>
</xdr:wsDr>
</file>

<file path=xl/drawings/drawing7.xml><?xml version="1.0" encoding="utf-8"?>
<xdr:wsDr xmlns:xdr="http://schemas.openxmlformats.org/drawingml/2006/spreadsheetDrawing" xmlns:a="http://schemas.openxmlformats.org/drawingml/2006/main">
  <xdr:twoCellAnchor>
    <xdr:from>
      <xdr:col>6</xdr:col>
      <xdr:colOff>314325</xdr:colOff>
      <xdr:row>11</xdr:row>
      <xdr:rowOff>114300</xdr:rowOff>
    </xdr:from>
    <xdr:to>
      <xdr:col>6</xdr:col>
      <xdr:colOff>371475</xdr:colOff>
      <xdr:row>19</xdr:row>
      <xdr:rowOff>104775</xdr:rowOff>
    </xdr:to>
    <xdr:sp macro="" textlink="">
      <xdr:nvSpPr>
        <xdr:cNvPr id="875523" name="Rectangle 3"/>
        <xdr:cNvSpPr>
          <a:spLocks noChangeArrowheads="1"/>
        </xdr:cNvSpPr>
      </xdr:nvSpPr>
      <xdr:spPr bwMode="auto">
        <a:xfrm>
          <a:off x="4324350" y="1933575"/>
          <a:ext cx="57150" cy="1285875"/>
        </a:xfrm>
        <a:prstGeom prst="rect">
          <a:avLst/>
        </a:pr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6</xdr:col>
      <xdr:colOff>371475</xdr:colOff>
      <xdr:row>11</xdr:row>
      <xdr:rowOff>114300</xdr:rowOff>
    </xdr:from>
    <xdr:to>
      <xdr:col>7</xdr:col>
      <xdr:colOff>276225</xdr:colOff>
      <xdr:row>12</xdr:row>
      <xdr:rowOff>9525</xdr:rowOff>
    </xdr:to>
    <xdr:sp macro="" textlink="">
      <xdr:nvSpPr>
        <xdr:cNvPr id="875524" name="Rectangle 4"/>
        <xdr:cNvSpPr>
          <a:spLocks noChangeArrowheads="1"/>
        </xdr:cNvSpPr>
      </xdr:nvSpPr>
      <xdr:spPr bwMode="auto">
        <a:xfrm>
          <a:off x="4381500" y="1933575"/>
          <a:ext cx="514350" cy="57150"/>
        </a:xfrm>
        <a:prstGeom prst="rect">
          <a:avLst/>
        </a:pr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6</xdr:col>
      <xdr:colOff>371475</xdr:colOff>
      <xdr:row>19</xdr:row>
      <xdr:rowOff>47625</xdr:rowOff>
    </xdr:from>
    <xdr:to>
      <xdr:col>7</xdr:col>
      <xdr:colOff>276225</xdr:colOff>
      <xdr:row>19</xdr:row>
      <xdr:rowOff>104775</xdr:rowOff>
    </xdr:to>
    <xdr:sp macro="" textlink="">
      <xdr:nvSpPr>
        <xdr:cNvPr id="875525" name="Rectangle 5"/>
        <xdr:cNvSpPr>
          <a:spLocks noChangeArrowheads="1"/>
        </xdr:cNvSpPr>
      </xdr:nvSpPr>
      <xdr:spPr bwMode="auto">
        <a:xfrm>
          <a:off x="4381500" y="3162300"/>
          <a:ext cx="514350" cy="57150"/>
        </a:xfrm>
        <a:prstGeom prst="rect">
          <a:avLst/>
        </a:pr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7</xdr:col>
      <xdr:colOff>323850</xdr:colOff>
      <xdr:row>19</xdr:row>
      <xdr:rowOff>76200</xdr:rowOff>
    </xdr:from>
    <xdr:to>
      <xdr:col>7</xdr:col>
      <xdr:colOff>600075</xdr:colOff>
      <xdr:row>19</xdr:row>
      <xdr:rowOff>76200</xdr:rowOff>
    </xdr:to>
    <xdr:sp macro="" textlink="">
      <xdr:nvSpPr>
        <xdr:cNvPr id="875526" name="Line 6"/>
        <xdr:cNvSpPr>
          <a:spLocks noChangeShapeType="1"/>
        </xdr:cNvSpPr>
      </xdr:nvSpPr>
      <xdr:spPr bwMode="auto">
        <a:xfrm flipH="1">
          <a:off x="4943475" y="3190875"/>
          <a:ext cx="27622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323850</xdr:colOff>
      <xdr:row>11</xdr:row>
      <xdr:rowOff>152400</xdr:rowOff>
    </xdr:from>
    <xdr:to>
      <xdr:col>7</xdr:col>
      <xdr:colOff>600075</xdr:colOff>
      <xdr:row>11</xdr:row>
      <xdr:rowOff>152400</xdr:rowOff>
    </xdr:to>
    <xdr:sp macro="" textlink="">
      <xdr:nvSpPr>
        <xdr:cNvPr id="875527" name="Line 7"/>
        <xdr:cNvSpPr>
          <a:spLocks noChangeShapeType="1"/>
        </xdr:cNvSpPr>
      </xdr:nvSpPr>
      <xdr:spPr bwMode="auto">
        <a:xfrm flipH="1">
          <a:off x="4943475" y="1971675"/>
          <a:ext cx="27622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552450</xdr:colOff>
      <xdr:row>8</xdr:row>
      <xdr:rowOff>28575</xdr:rowOff>
    </xdr:from>
    <xdr:to>
      <xdr:col>6</xdr:col>
      <xdr:colOff>552450</xdr:colOff>
      <xdr:row>21</xdr:row>
      <xdr:rowOff>85725</xdr:rowOff>
    </xdr:to>
    <xdr:sp macro="" textlink="">
      <xdr:nvSpPr>
        <xdr:cNvPr id="875528" name="Line 8"/>
        <xdr:cNvSpPr>
          <a:spLocks noChangeShapeType="1"/>
        </xdr:cNvSpPr>
      </xdr:nvSpPr>
      <xdr:spPr bwMode="auto">
        <a:xfrm>
          <a:off x="4562475" y="1362075"/>
          <a:ext cx="0" cy="2162175"/>
        </a:xfrm>
        <a:prstGeom prst="line">
          <a:avLst/>
        </a:prstGeom>
        <a:noFill/>
        <a:ln w="9525">
          <a:solidFill>
            <a:srgbClr xmlns:mc="http://schemas.openxmlformats.org/markup-compatibility/2006" xmlns:a14="http://schemas.microsoft.com/office/drawing/2010/main" val="000000" mc:Ignorable="a14" a14:legacySpreadsheetColorIndex="64"/>
          </a:solidFill>
          <a:prstDash val="lgDashDot"/>
          <a:round/>
          <a:headEnd/>
          <a:tailEnd/>
        </a:ln>
        <a:extLst>
          <a:ext uri="{909E8E84-426E-40DD-AFC4-6F175D3DCCD1}">
            <a14:hiddenFill xmlns:a14="http://schemas.microsoft.com/office/drawing/2010/main">
              <a:noFill/>
            </a14:hiddenFill>
          </a:ext>
        </a:extLst>
      </xdr:spPr>
    </xdr:sp>
    <xdr:clientData/>
  </xdr:twoCellAnchor>
  <xdr:twoCellAnchor>
    <xdr:from>
      <xdr:col>6</xdr:col>
      <xdr:colOff>342900</xdr:colOff>
      <xdr:row>19</xdr:row>
      <xdr:rowOff>142875</xdr:rowOff>
    </xdr:from>
    <xdr:to>
      <xdr:col>6</xdr:col>
      <xdr:colOff>342900</xdr:colOff>
      <xdr:row>23</xdr:row>
      <xdr:rowOff>85725</xdr:rowOff>
    </xdr:to>
    <xdr:sp macro="" textlink="">
      <xdr:nvSpPr>
        <xdr:cNvPr id="875529" name="Line 9"/>
        <xdr:cNvSpPr>
          <a:spLocks noChangeShapeType="1"/>
        </xdr:cNvSpPr>
      </xdr:nvSpPr>
      <xdr:spPr bwMode="auto">
        <a:xfrm>
          <a:off x="4352925" y="3257550"/>
          <a:ext cx="0" cy="5905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276225</xdr:colOff>
      <xdr:row>19</xdr:row>
      <xdr:rowOff>142875</xdr:rowOff>
    </xdr:from>
    <xdr:to>
      <xdr:col>7</xdr:col>
      <xdr:colOff>276225</xdr:colOff>
      <xdr:row>23</xdr:row>
      <xdr:rowOff>85725</xdr:rowOff>
    </xdr:to>
    <xdr:sp macro="" textlink="">
      <xdr:nvSpPr>
        <xdr:cNvPr id="875530" name="Line 10"/>
        <xdr:cNvSpPr>
          <a:spLocks noChangeShapeType="1"/>
        </xdr:cNvSpPr>
      </xdr:nvSpPr>
      <xdr:spPr bwMode="auto">
        <a:xfrm>
          <a:off x="4895850" y="3257550"/>
          <a:ext cx="0" cy="5905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161925</xdr:colOff>
      <xdr:row>15</xdr:row>
      <xdr:rowOff>114300</xdr:rowOff>
    </xdr:from>
    <xdr:to>
      <xdr:col>7</xdr:col>
      <xdr:colOff>304800</xdr:colOff>
      <xdr:row>15</xdr:row>
      <xdr:rowOff>114300</xdr:rowOff>
    </xdr:to>
    <xdr:sp macro="" textlink="">
      <xdr:nvSpPr>
        <xdr:cNvPr id="875531" name="Line 11"/>
        <xdr:cNvSpPr>
          <a:spLocks noChangeShapeType="1"/>
        </xdr:cNvSpPr>
      </xdr:nvSpPr>
      <xdr:spPr bwMode="auto">
        <a:xfrm>
          <a:off x="4171950" y="2581275"/>
          <a:ext cx="752475" cy="0"/>
        </a:xfrm>
        <a:prstGeom prst="line">
          <a:avLst/>
        </a:prstGeom>
        <a:noFill/>
        <a:ln w="9525">
          <a:solidFill>
            <a:srgbClr xmlns:mc="http://schemas.openxmlformats.org/markup-compatibility/2006" xmlns:a14="http://schemas.microsoft.com/office/drawing/2010/main" val="000000" mc:Ignorable="a14" a14:legacySpreadsheetColorIndex="64"/>
          </a:solidFill>
          <a:prstDash val="lgDashDot"/>
          <a:round/>
          <a:headEnd/>
          <a:tailEnd/>
        </a:ln>
        <a:extLst>
          <a:ext uri="{909E8E84-426E-40DD-AFC4-6F175D3DCCD1}">
            <a14:hiddenFill xmlns:a14="http://schemas.microsoft.com/office/drawing/2010/main">
              <a:noFill/>
            </a14:hiddenFill>
          </a:ext>
        </a:extLst>
      </xdr:spPr>
    </xdr:sp>
    <xdr:clientData/>
  </xdr:twoCellAnchor>
  <xdr:twoCellAnchor>
    <xdr:from>
      <xdr:col>6</xdr:col>
      <xdr:colOff>342900</xdr:colOff>
      <xdr:row>9</xdr:row>
      <xdr:rowOff>76200</xdr:rowOff>
    </xdr:from>
    <xdr:to>
      <xdr:col>6</xdr:col>
      <xdr:colOff>342900</xdr:colOff>
      <xdr:row>11</xdr:row>
      <xdr:rowOff>66675</xdr:rowOff>
    </xdr:to>
    <xdr:sp macro="" textlink="">
      <xdr:nvSpPr>
        <xdr:cNvPr id="875532" name="Line 12"/>
        <xdr:cNvSpPr>
          <a:spLocks noChangeShapeType="1"/>
        </xdr:cNvSpPr>
      </xdr:nvSpPr>
      <xdr:spPr bwMode="auto">
        <a:xfrm flipV="1">
          <a:off x="4352925" y="1571625"/>
          <a:ext cx="0" cy="3143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428625</xdr:colOff>
      <xdr:row>11</xdr:row>
      <xdr:rowOff>152400</xdr:rowOff>
    </xdr:from>
    <xdr:to>
      <xdr:col>7</xdr:col>
      <xdr:colOff>428625</xdr:colOff>
      <xdr:row>19</xdr:row>
      <xdr:rowOff>76200</xdr:rowOff>
    </xdr:to>
    <xdr:sp macro="" textlink="">
      <xdr:nvSpPr>
        <xdr:cNvPr id="875533" name="Line 13"/>
        <xdr:cNvSpPr>
          <a:spLocks noChangeShapeType="1"/>
        </xdr:cNvSpPr>
      </xdr:nvSpPr>
      <xdr:spPr bwMode="auto">
        <a:xfrm>
          <a:off x="5048250" y="1971675"/>
          <a:ext cx="0" cy="12192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stealth" w="med" len="med"/>
          <a:tailEnd type="stealth" w="med" len="med"/>
        </a:ln>
        <a:extLst>
          <a:ext uri="{909E8E84-426E-40DD-AFC4-6F175D3DCCD1}">
            <a14:hiddenFill xmlns:a14="http://schemas.microsoft.com/office/drawing/2010/main">
              <a:noFill/>
            </a14:hiddenFill>
          </a:ext>
        </a:extLst>
      </xdr:spPr>
    </xdr:sp>
    <xdr:clientData/>
  </xdr:twoCellAnchor>
  <xdr:twoCellAnchor>
    <xdr:from>
      <xdr:col>6</xdr:col>
      <xdr:colOff>342900</xdr:colOff>
      <xdr:row>23</xdr:row>
      <xdr:rowOff>19050</xdr:rowOff>
    </xdr:from>
    <xdr:to>
      <xdr:col>7</xdr:col>
      <xdr:colOff>276225</xdr:colOff>
      <xdr:row>23</xdr:row>
      <xdr:rowOff>19050</xdr:rowOff>
    </xdr:to>
    <xdr:sp macro="" textlink="">
      <xdr:nvSpPr>
        <xdr:cNvPr id="875534" name="Line 14"/>
        <xdr:cNvSpPr>
          <a:spLocks noChangeShapeType="1"/>
        </xdr:cNvSpPr>
      </xdr:nvSpPr>
      <xdr:spPr bwMode="auto">
        <a:xfrm>
          <a:off x="4352925" y="3781425"/>
          <a:ext cx="54292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stealth" w="sm" len="sm"/>
          <a:tailEnd type="stealth" w="sm" len="sm"/>
        </a:ln>
        <a:extLst>
          <a:ext uri="{909E8E84-426E-40DD-AFC4-6F175D3DCCD1}">
            <a14:hiddenFill xmlns:a14="http://schemas.microsoft.com/office/drawing/2010/main">
              <a:noFill/>
            </a14:hiddenFill>
          </a:ext>
        </a:extLst>
      </xdr:spPr>
    </xdr:sp>
    <xdr:clientData/>
  </xdr:twoCellAnchor>
  <xdr:twoCellAnchor>
    <xdr:from>
      <xdr:col>6</xdr:col>
      <xdr:colOff>552450</xdr:colOff>
      <xdr:row>20</xdr:row>
      <xdr:rowOff>152400</xdr:rowOff>
    </xdr:from>
    <xdr:to>
      <xdr:col>7</xdr:col>
      <xdr:colOff>276225</xdr:colOff>
      <xdr:row>20</xdr:row>
      <xdr:rowOff>152400</xdr:rowOff>
    </xdr:to>
    <xdr:sp macro="" textlink="">
      <xdr:nvSpPr>
        <xdr:cNvPr id="875536" name="Line 16"/>
        <xdr:cNvSpPr>
          <a:spLocks noChangeShapeType="1"/>
        </xdr:cNvSpPr>
      </xdr:nvSpPr>
      <xdr:spPr bwMode="auto">
        <a:xfrm>
          <a:off x="4562475" y="3429000"/>
          <a:ext cx="3333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stealth" w="sm" len="sm"/>
          <a:tailEnd type="stealth" w="sm" len="sm"/>
        </a:ln>
        <a:extLst>
          <a:ext uri="{909E8E84-426E-40DD-AFC4-6F175D3DCCD1}">
            <a14:hiddenFill xmlns:a14="http://schemas.microsoft.com/office/drawing/2010/main">
              <a:noFill/>
            </a14:hiddenFill>
          </a:ext>
        </a:extLst>
      </xdr:spPr>
    </xdr:sp>
    <xdr:clientData/>
  </xdr:twoCellAnchor>
  <xdr:twoCellAnchor>
    <xdr:from>
      <xdr:col>5</xdr:col>
      <xdr:colOff>323850</xdr:colOff>
      <xdr:row>20</xdr:row>
      <xdr:rowOff>152400</xdr:rowOff>
    </xdr:from>
    <xdr:to>
      <xdr:col>6</xdr:col>
      <xdr:colOff>371475</xdr:colOff>
      <xdr:row>20</xdr:row>
      <xdr:rowOff>152400</xdr:rowOff>
    </xdr:to>
    <xdr:sp macro="" textlink="">
      <xdr:nvSpPr>
        <xdr:cNvPr id="875537" name="Line 17"/>
        <xdr:cNvSpPr>
          <a:spLocks noChangeShapeType="1"/>
        </xdr:cNvSpPr>
      </xdr:nvSpPr>
      <xdr:spPr bwMode="auto">
        <a:xfrm>
          <a:off x="3724275" y="3429000"/>
          <a:ext cx="65722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stealth" w="sm" len="sm"/>
        </a:ln>
        <a:extLst>
          <a:ext uri="{909E8E84-426E-40DD-AFC4-6F175D3DCCD1}">
            <a14:hiddenFill xmlns:a14="http://schemas.microsoft.com/office/drawing/2010/main">
              <a:noFill/>
            </a14:hiddenFill>
          </a:ext>
        </a:extLst>
      </xdr:spPr>
    </xdr:sp>
    <xdr:clientData/>
  </xdr:twoCellAnchor>
  <xdr:twoCellAnchor>
    <xdr:from>
      <xdr:col>6</xdr:col>
      <xdr:colOff>342900</xdr:colOff>
      <xdr:row>20</xdr:row>
      <xdr:rowOff>152400</xdr:rowOff>
    </xdr:from>
    <xdr:to>
      <xdr:col>6</xdr:col>
      <xdr:colOff>552450</xdr:colOff>
      <xdr:row>20</xdr:row>
      <xdr:rowOff>152400</xdr:rowOff>
    </xdr:to>
    <xdr:sp macro="" textlink="">
      <xdr:nvSpPr>
        <xdr:cNvPr id="875538" name="Line 18"/>
        <xdr:cNvSpPr>
          <a:spLocks noChangeShapeType="1"/>
        </xdr:cNvSpPr>
      </xdr:nvSpPr>
      <xdr:spPr bwMode="auto">
        <a:xfrm>
          <a:off x="4352925" y="3429000"/>
          <a:ext cx="20955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304800</xdr:colOff>
      <xdr:row>11</xdr:row>
      <xdr:rowOff>142875</xdr:rowOff>
    </xdr:from>
    <xdr:to>
      <xdr:col>5</xdr:col>
      <xdr:colOff>342900</xdr:colOff>
      <xdr:row>15</xdr:row>
      <xdr:rowOff>104775</xdr:rowOff>
    </xdr:to>
    <xdr:sp macro="" textlink="">
      <xdr:nvSpPr>
        <xdr:cNvPr id="875539" name="Line 19"/>
        <xdr:cNvSpPr>
          <a:spLocks noChangeShapeType="1"/>
        </xdr:cNvSpPr>
      </xdr:nvSpPr>
      <xdr:spPr bwMode="auto">
        <a:xfrm flipH="1">
          <a:off x="3095625" y="1962150"/>
          <a:ext cx="647700" cy="60960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lg"/>
        </a:ln>
        <a:extLst>
          <a:ext uri="{909E8E84-426E-40DD-AFC4-6F175D3DCCD1}">
            <a14:hiddenFill xmlns:a14="http://schemas.microsoft.com/office/drawing/2010/main">
              <a:noFill/>
            </a14:hiddenFill>
          </a:ext>
        </a:extLst>
      </xdr:spPr>
    </xdr:sp>
    <xdr:clientData/>
  </xdr:twoCellAnchor>
  <xdr:twoCellAnchor>
    <xdr:from>
      <xdr:col>4</xdr:col>
      <xdr:colOff>371475</xdr:colOff>
      <xdr:row>15</xdr:row>
      <xdr:rowOff>114300</xdr:rowOff>
    </xdr:from>
    <xdr:to>
      <xdr:col>5</xdr:col>
      <xdr:colOff>476250</xdr:colOff>
      <xdr:row>15</xdr:row>
      <xdr:rowOff>114300</xdr:rowOff>
    </xdr:to>
    <xdr:sp macro="" textlink="">
      <xdr:nvSpPr>
        <xdr:cNvPr id="875543" name="Line 23"/>
        <xdr:cNvSpPr>
          <a:spLocks noChangeShapeType="1"/>
        </xdr:cNvSpPr>
      </xdr:nvSpPr>
      <xdr:spPr bwMode="auto">
        <a:xfrm flipH="1">
          <a:off x="3162300" y="2581275"/>
          <a:ext cx="714375" cy="0"/>
        </a:xfrm>
        <a:prstGeom prst="line">
          <a:avLst/>
        </a:prstGeom>
        <a:noFill/>
        <a:ln w="19050">
          <a:solidFill>
            <a:srgbClr xmlns:mc="http://schemas.openxmlformats.org/markup-compatibility/2006" xmlns:a14="http://schemas.microsoft.com/office/drawing/2010/main" val="000000" mc:Ignorable="a14" a14:legacySpreadsheetColorIndex="64"/>
          </a:solidFill>
          <a:prstDash val="dash"/>
          <a:round/>
          <a:headEnd/>
          <a:tailEnd type="triangle" w="sm" len="med"/>
        </a:ln>
        <a:extLst>
          <a:ext uri="{909E8E84-426E-40DD-AFC4-6F175D3DCCD1}">
            <a14:hiddenFill xmlns:a14="http://schemas.microsoft.com/office/drawing/2010/main">
              <a:noFill/>
            </a14:hiddenFill>
          </a:ext>
        </a:extLst>
      </xdr:spPr>
    </xdr:sp>
    <xdr:clientData/>
  </xdr:twoCellAnchor>
  <xdr:twoCellAnchor>
    <xdr:from>
      <xdr:col>4</xdr:col>
      <xdr:colOff>285750</xdr:colOff>
      <xdr:row>11</xdr:row>
      <xdr:rowOff>38100</xdr:rowOff>
    </xdr:from>
    <xdr:to>
      <xdr:col>4</xdr:col>
      <xdr:colOff>285750</xdr:colOff>
      <xdr:row>15</xdr:row>
      <xdr:rowOff>38100</xdr:rowOff>
    </xdr:to>
    <xdr:sp macro="" textlink="">
      <xdr:nvSpPr>
        <xdr:cNvPr id="875544" name="Line 24"/>
        <xdr:cNvSpPr>
          <a:spLocks noChangeShapeType="1"/>
        </xdr:cNvSpPr>
      </xdr:nvSpPr>
      <xdr:spPr bwMode="auto">
        <a:xfrm>
          <a:off x="3076575" y="1857375"/>
          <a:ext cx="0" cy="647700"/>
        </a:xfrm>
        <a:prstGeom prst="line">
          <a:avLst/>
        </a:prstGeom>
        <a:noFill/>
        <a:ln w="19050">
          <a:solidFill>
            <a:srgbClr xmlns:mc="http://schemas.openxmlformats.org/markup-compatibility/2006" xmlns:a14="http://schemas.microsoft.com/office/drawing/2010/main" val="000000" mc:Ignorable="a14" a14:legacySpreadsheetColorIndex="64"/>
          </a:solidFill>
          <a:prstDash val="dash"/>
          <a:round/>
          <a:headEnd/>
          <a:tailEnd type="triangle" w="sm" len="med"/>
        </a:ln>
        <a:extLst>
          <a:ext uri="{909E8E84-426E-40DD-AFC4-6F175D3DCCD1}">
            <a14:hiddenFill xmlns:a14="http://schemas.microsoft.com/office/drawing/2010/main">
              <a:noFill/>
            </a14:hiddenFill>
          </a:ext>
        </a:extLst>
      </xdr:spPr>
    </xdr:sp>
    <xdr:clientData/>
  </xdr:twoCellAnchor>
  <xdr:twoCellAnchor>
    <xdr:from>
      <xdr:col>7</xdr:col>
      <xdr:colOff>285750</xdr:colOff>
      <xdr:row>20</xdr:row>
      <xdr:rowOff>152400</xdr:rowOff>
    </xdr:from>
    <xdr:to>
      <xdr:col>8</xdr:col>
      <xdr:colOff>123825</xdr:colOff>
      <xdr:row>20</xdr:row>
      <xdr:rowOff>152400</xdr:rowOff>
    </xdr:to>
    <xdr:sp macro="" textlink="">
      <xdr:nvSpPr>
        <xdr:cNvPr id="875545" name="Line 25"/>
        <xdr:cNvSpPr>
          <a:spLocks noChangeShapeType="1"/>
        </xdr:cNvSpPr>
      </xdr:nvSpPr>
      <xdr:spPr bwMode="auto">
        <a:xfrm>
          <a:off x="4905375" y="3429000"/>
          <a:ext cx="4476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285750</xdr:colOff>
      <xdr:row>10</xdr:row>
      <xdr:rowOff>0</xdr:rowOff>
    </xdr:from>
    <xdr:to>
      <xdr:col>6</xdr:col>
      <xdr:colOff>342900</xdr:colOff>
      <xdr:row>10</xdr:row>
      <xdr:rowOff>0</xdr:rowOff>
    </xdr:to>
    <xdr:sp macro="" textlink="">
      <xdr:nvSpPr>
        <xdr:cNvPr id="875546" name="Line 26"/>
        <xdr:cNvSpPr>
          <a:spLocks noChangeShapeType="1"/>
        </xdr:cNvSpPr>
      </xdr:nvSpPr>
      <xdr:spPr bwMode="auto">
        <a:xfrm>
          <a:off x="3076575" y="1657350"/>
          <a:ext cx="127635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stealth" w="med" len="sm"/>
          <a:tailEnd type="stealth" w="med" len="sm"/>
        </a:ln>
        <a:extLst>
          <a:ext uri="{909E8E84-426E-40DD-AFC4-6F175D3DCCD1}">
            <a14:hiddenFill xmlns:a14="http://schemas.microsoft.com/office/drawing/2010/main">
              <a:noFill/>
            </a14:hiddenFill>
          </a:ext>
        </a:extLst>
      </xdr:spPr>
    </xdr:sp>
    <xdr:clientData/>
  </xdr:twoCellAnchor>
  <xdr:twoCellAnchor>
    <xdr:from>
      <xdr:col>4</xdr:col>
      <xdr:colOff>285750</xdr:colOff>
      <xdr:row>8</xdr:row>
      <xdr:rowOff>152400</xdr:rowOff>
    </xdr:from>
    <xdr:to>
      <xdr:col>6</xdr:col>
      <xdr:colOff>552450</xdr:colOff>
      <xdr:row>8</xdr:row>
      <xdr:rowOff>152400</xdr:rowOff>
    </xdr:to>
    <xdr:sp macro="" textlink="">
      <xdr:nvSpPr>
        <xdr:cNvPr id="875547" name="Line 27"/>
        <xdr:cNvSpPr>
          <a:spLocks noChangeShapeType="1"/>
        </xdr:cNvSpPr>
      </xdr:nvSpPr>
      <xdr:spPr bwMode="auto">
        <a:xfrm>
          <a:off x="3076575" y="1485900"/>
          <a:ext cx="14859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stealth" w="med" len="sm"/>
          <a:tailEnd type="stealth" w="med" len="sm"/>
        </a:ln>
        <a:extLst>
          <a:ext uri="{909E8E84-426E-40DD-AFC4-6F175D3DCCD1}">
            <a14:hiddenFill xmlns:a14="http://schemas.microsoft.com/office/drawing/2010/main">
              <a:noFill/>
            </a14:hiddenFill>
          </a:ext>
        </a:extLst>
      </xdr:spPr>
    </xdr:sp>
    <xdr:clientData/>
  </xdr:twoCellAnchor>
  <xdr:twoCellAnchor>
    <xdr:from>
      <xdr:col>4</xdr:col>
      <xdr:colOff>285750</xdr:colOff>
      <xdr:row>8</xdr:row>
      <xdr:rowOff>38100</xdr:rowOff>
    </xdr:from>
    <xdr:to>
      <xdr:col>4</xdr:col>
      <xdr:colOff>285750</xdr:colOff>
      <xdr:row>10</xdr:row>
      <xdr:rowOff>133350</xdr:rowOff>
    </xdr:to>
    <xdr:sp macro="" textlink="">
      <xdr:nvSpPr>
        <xdr:cNvPr id="875548" name="Line 28"/>
        <xdr:cNvSpPr>
          <a:spLocks noChangeShapeType="1"/>
        </xdr:cNvSpPr>
      </xdr:nvSpPr>
      <xdr:spPr bwMode="auto">
        <a:xfrm flipV="1">
          <a:off x="3076575" y="1371600"/>
          <a:ext cx="0" cy="4191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0</xdr:colOff>
      <xdr:row>45</xdr:row>
      <xdr:rowOff>0</xdr:rowOff>
    </xdr:from>
    <xdr:to>
      <xdr:col>6</xdr:col>
      <xdr:colOff>0</xdr:colOff>
      <xdr:row>48</xdr:row>
      <xdr:rowOff>0</xdr:rowOff>
    </xdr:to>
    <xdr:sp macro="" textlink="">
      <xdr:nvSpPr>
        <xdr:cNvPr id="875550" name="Rectangle 30"/>
        <xdr:cNvSpPr>
          <a:spLocks noChangeArrowheads="1"/>
        </xdr:cNvSpPr>
      </xdr:nvSpPr>
      <xdr:spPr bwMode="auto">
        <a:xfrm>
          <a:off x="2076450" y="7343775"/>
          <a:ext cx="1933575" cy="485775"/>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ffectLst>
          <a:outerShdw dist="107763" dir="2700000" algn="ctr" rotWithShape="0">
            <a:srgbClr val="808080"/>
          </a:outerShdw>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53640926-AAD7-44D8-BBD7-CCE9431645EC}">
            <a14:shadowObscured xmlns:a14="http://schemas.microsoft.com/office/drawing/2010/main" val="1"/>
          </a:ext>
        </a:extLst>
      </xdr:spPr>
    </xdr:sp>
    <xdr:clientData/>
  </xdr:twoCellAnchor>
  <xdr:twoCellAnchor>
    <xdr:from>
      <xdr:col>4</xdr:col>
      <xdr:colOff>285750</xdr:colOff>
      <xdr:row>12</xdr:row>
      <xdr:rowOff>38100</xdr:rowOff>
    </xdr:from>
    <xdr:to>
      <xdr:col>5</xdr:col>
      <xdr:colOff>66675</xdr:colOff>
      <xdr:row>15</xdr:row>
      <xdr:rowOff>133350</xdr:rowOff>
    </xdr:to>
    <xdr:sp macro="" textlink="">
      <xdr:nvSpPr>
        <xdr:cNvPr id="875551" name="Arc 31"/>
        <xdr:cNvSpPr>
          <a:spLocks/>
        </xdr:cNvSpPr>
      </xdr:nvSpPr>
      <xdr:spPr bwMode="auto">
        <a:xfrm>
          <a:off x="3076575" y="2019300"/>
          <a:ext cx="390525" cy="581025"/>
        </a:xfrm>
        <a:custGeom>
          <a:avLst/>
          <a:gdLst>
            <a:gd name="G0" fmla="+- 0 0 0"/>
            <a:gd name="G1" fmla="+- 21600 0 0"/>
            <a:gd name="G2" fmla="+- 21600 0 0"/>
            <a:gd name="T0" fmla="*/ 0 w 16647"/>
            <a:gd name="T1" fmla="*/ 0 h 21600"/>
            <a:gd name="T2" fmla="*/ 16647 w 16647"/>
            <a:gd name="T3" fmla="*/ 7836 h 21600"/>
            <a:gd name="T4" fmla="*/ 0 w 16647"/>
            <a:gd name="T5" fmla="*/ 21600 h 21600"/>
          </a:gdLst>
          <a:ahLst/>
          <a:cxnLst>
            <a:cxn ang="0">
              <a:pos x="T0" y="T1"/>
            </a:cxn>
            <a:cxn ang="0">
              <a:pos x="T2" y="T3"/>
            </a:cxn>
            <a:cxn ang="0">
              <a:pos x="T4" y="T5"/>
            </a:cxn>
          </a:cxnLst>
          <a:rect l="0" t="0" r="r" b="b"/>
          <a:pathLst>
            <a:path w="16647" h="21600" fill="none" extrusionOk="0">
              <a:moveTo>
                <a:pt x="-1" y="0"/>
              </a:moveTo>
              <a:cubicBezTo>
                <a:pt x="6439" y="0"/>
                <a:pt x="12543" y="2873"/>
                <a:pt x="16646" y="7836"/>
              </a:cubicBezTo>
            </a:path>
            <a:path w="16647" h="21600" stroke="0" extrusionOk="0">
              <a:moveTo>
                <a:pt x="-1" y="0"/>
              </a:moveTo>
              <a:cubicBezTo>
                <a:pt x="6439" y="0"/>
                <a:pt x="12543" y="2873"/>
                <a:pt x="16646" y="7836"/>
              </a:cubicBezTo>
              <a:lnTo>
                <a:pt x="0" y="21600"/>
              </a:lnTo>
              <a:close/>
            </a:path>
          </a:pathLst>
        </a:custGeom>
        <a:noFill/>
        <a:ln w="9525">
          <a:solidFill>
            <a:srgbClr xmlns:mc="http://schemas.openxmlformats.org/markup-compatibility/2006" xmlns:a14="http://schemas.microsoft.com/office/drawing/2010/main" val="000000" mc:Ignorable="a14" a14:legacySpreadsheetColorIndex="64"/>
          </a:solidFill>
          <a:round/>
          <a:headEnd type="stealth" w="sm" len="sm"/>
          <a:tailEnd type="stealth" w="sm" len="sm"/>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twoCellAnchor>
    <xdr:from>
      <xdr:col>33</xdr:col>
      <xdr:colOff>0</xdr:colOff>
      <xdr:row>0</xdr:row>
      <xdr:rowOff>0</xdr:rowOff>
    </xdr:from>
    <xdr:to>
      <xdr:col>34</xdr:col>
      <xdr:colOff>0</xdr:colOff>
      <xdr:row>1</xdr:row>
      <xdr:rowOff>0</xdr:rowOff>
    </xdr:to>
    <xdr:sp macro="" textlink="">
      <xdr:nvSpPr>
        <xdr:cNvPr id="875895" name="Rectangle 375"/>
        <xdr:cNvSpPr>
          <a:spLocks noChangeArrowheads="1"/>
        </xdr:cNvSpPr>
      </xdr:nvSpPr>
      <xdr:spPr bwMode="auto">
        <a:xfrm>
          <a:off x="6038850" y="0"/>
          <a:ext cx="609600" cy="200025"/>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AF507438-7753-43E0-B8FC-AC1667EBCBE1}">
            <a14:hiddenEffects xmlns:a14="http://schemas.microsoft.com/office/drawing/2010/main">
              <a:effectLst>
                <a:outerShdw dist="35921" dir="2700000" algn="ctr" rotWithShape="0">
                  <a:srgbClr val="808080"/>
                </a:outerShdw>
              </a:effectLst>
            </a14:hiddenEffects>
          </a:ext>
          <a:ext uri="{53640926-AAD7-44D8-BBD7-CCE9431645EC}">
            <a14:shadowObscured xmlns:a14="http://schemas.microsoft.com/office/drawing/2010/main" val="1"/>
          </a:ext>
        </a:extLst>
      </xdr:spPr>
    </xdr:sp>
    <xdr:clientData/>
  </xdr:twoCellAnchor>
  <xdr:twoCellAnchor>
    <xdr:from>
      <xdr:col>33</xdr:col>
      <xdr:colOff>0</xdr:colOff>
      <xdr:row>0</xdr:row>
      <xdr:rowOff>0</xdr:rowOff>
    </xdr:from>
    <xdr:to>
      <xdr:col>34</xdr:col>
      <xdr:colOff>0</xdr:colOff>
      <xdr:row>1</xdr:row>
      <xdr:rowOff>0</xdr:rowOff>
    </xdr:to>
    <xdr:sp macro="" textlink="">
      <xdr:nvSpPr>
        <xdr:cNvPr id="875896" name="Rectangle 376"/>
        <xdr:cNvSpPr>
          <a:spLocks noChangeArrowheads="1"/>
        </xdr:cNvSpPr>
      </xdr:nvSpPr>
      <xdr:spPr bwMode="auto">
        <a:xfrm>
          <a:off x="6038850" y="0"/>
          <a:ext cx="609600" cy="200025"/>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AF507438-7753-43E0-B8FC-AC1667EBCBE1}">
            <a14:hiddenEffects xmlns:a14="http://schemas.microsoft.com/office/drawing/2010/main">
              <a:effectLst>
                <a:outerShdw dist="35921" dir="2700000" algn="ctr" rotWithShape="0">
                  <a:srgbClr val="808080"/>
                </a:outerShdw>
              </a:effectLst>
            </a14:hiddenEffects>
          </a:ext>
          <a:ext uri="{53640926-AAD7-44D8-BBD7-CCE9431645EC}">
            <a14:shadowObscured xmlns:a14="http://schemas.microsoft.com/office/drawing/2010/main" val="1"/>
          </a:ext>
        </a:extLst>
      </xdr:spPr>
    </xdr:sp>
    <xdr:clientData/>
  </xdr:twoCellAnchor>
  <xdr:twoCellAnchor>
    <xdr:from>
      <xdr:col>34</xdr:col>
      <xdr:colOff>0</xdr:colOff>
      <xdr:row>10</xdr:row>
      <xdr:rowOff>0</xdr:rowOff>
    </xdr:from>
    <xdr:to>
      <xdr:col>37</xdr:col>
      <xdr:colOff>0</xdr:colOff>
      <xdr:row>13</xdr:row>
      <xdr:rowOff>0</xdr:rowOff>
    </xdr:to>
    <xdr:sp macro="" textlink="">
      <xdr:nvSpPr>
        <xdr:cNvPr id="875898" name="Rectangle 378"/>
        <xdr:cNvSpPr>
          <a:spLocks noChangeArrowheads="1"/>
        </xdr:cNvSpPr>
      </xdr:nvSpPr>
      <xdr:spPr bwMode="auto">
        <a:xfrm>
          <a:off x="6648450" y="1657350"/>
          <a:ext cx="1828800" cy="485775"/>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ffectLst>
          <a:outerShdw dist="107763" dir="2700000" algn="ctr" rotWithShape="0">
            <a:srgbClr val="808080"/>
          </a:outerShdw>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53640926-AAD7-44D8-BBD7-CCE9431645EC}">
            <a14:shadowObscured xmlns:a14="http://schemas.microsoft.com/office/drawing/2010/main" val="1"/>
          </a:ext>
        </a:extLst>
      </xdr:spPr>
    </xdr:sp>
    <xdr:clientData/>
  </xdr:twoCellAnchor>
</xdr:wsDr>
</file>

<file path=xl/drawings/drawing8.xml><?xml version="1.0" encoding="utf-8"?>
<xdr:wsDr xmlns:xdr="http://schemas.openxmlformats.org/drawingml/2006/spreadsheetDrawing" xmlns:a="http://schemas.openxmlformats.org/drawingml/2006/main">
  <xdr:twoCellAnchor>
    <xdr:from>
      <xdr:col>5</xdr:col>
      <xdr:colOff>314325</xdr:colOff>
      <xdr:row>10</xdr:row>
      <xdr:rowOff>114300</xdr:rowOff>
    </xdr:from>
    <xdr:to>
      <xdr:col>5</xdr:col>
      <xdr:colOff>371475</xdr:colOff>
      <xdr:row>18</xdr:row>
      <xdr:rowOff>104775</xdr:rowOff>
    </xdr:to>
    <xdr:sp macro="" textlink="">
      <xdr:nvSpPr>
        <xdr:cNvPr id="879618" name="Rectangle 2"/>
        <xdr:cNvSpPr>
          <a:spLocks noChangeArrowheads="1"/>
        </xdr:cNvSpPr>
      </xdr:nvSpPr>
      <xdr:spPr bwMode="auto">
        <a:xfrm>
          <a:off x="3714750" y="1771650"/>
          <a:ext cx="57150" cy="1285875"/>
        </a:xfrm>
        <a:prstGeom prst="rect">
          <a:avLst/>
        </a:pr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5</xdr:col>
      <xdr:colOff>371475</xdr:colOff>
      <xdr:row>10</xdr:row>
      <xdr:rowOff>114300</xdr:rowOff>
    </xdr:from>
    <xdr:to>
      <xdr:col>6</xdr:col>
      <xdr:colOff>276225</xdr:colOff>
      <xdr:row>11</xdr:row>
      <xdr:rowOff>9525</xdr:rowOff>
    </xdr:to>
    <xdr:sp macro="" textlink="">
      <xdr:nvSpPr>
        <xdr:cNvPr id="879619" name="Rectangle 3"/>
        <xdr:cNvSpPr>
          <a:spLocks noChangeArrowheads="1"/>
        </xdr:cNvSpPr>
      </xdr:nvSpPr>
      <xdr:spPr bwMode="auto">
        <a:xfrm>
          <a:off x="3771900" y="1771650"/>
          <a:ext cx="514350" cy="57150"/>
        </a:xfrm>
        <a:prstGeom prst="rect">
          <a:avLst/>
        </a:pr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4</xdr:col>
      <xdr:colOff>495300</xdr:colOff>
      <xdr:row>18</xdr:row>
      <xdr:rowOff>104775</xdr:rowOff>
    </xdr:from>
    <xdr:to>
      <xdr:col>5</xdr:col>
      <xdr:colOff>266700</xdr:colOff>
      <xdr:row>18</xdr:row>
      <xdr:rowOff>104775</xdr:rowOff>
    </xdr:to>
    <xdr:sp macro="" textlink="">
      <xdr:nvSpPr>
        <xdr:cNvPr id="879620" name="Line 4"/>
        <xdr:cNvSpPr>
          <a:spLocks noChangeShapeType="1"/>
        </xdr:cNvSpPr>
      </xdr:nvSpPr>
      <xdr:spPr bwMode="auto">
        <a:xfrm flipH="1">
          <a:off x="3286125" y="3057525"/>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495300</xdr:colOff>
      <xdr:row>10</xdr:row>
      <xdr:rowOff>142875</xdr:rowOff>
    </xdr:from>
    <xdr:to>
      <xdr:col>5</xdr:col>
      <xdr:colOff>266700</xdr:colOff>
      <xdr:row>10</xdr:row>
      <xdr:rowOff>142875</xdr:rowOff>
    </xdr:to>
    <xdr:sp macro="" textlink="">
      <xdr:nvSpPr>
        <xdr:cNvPr id="879621" name="Line 5"/>
        <xdr:cNvSpPr>
          <a:spLocks noChangeShapeType="1"/>
        </xdr:cNvSpPr>
      </xdr:nvSpPr>
      <xdr:spPr bwMode="auto">
        <a:xfrm flipH="1">
          <a:off x="3286125" y="1800225"/>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19050</xdr:colOff>
      <xdr:row>9</xdr:row>
      <xdr:rowOff>47625</xdr:rowOff>
    </xdr:from>
    <xdr:to>
      <xdr:col>6</xdr:col>
      <xdr:colOff>19050</xdr:colOff>
      <xdr:row>20</xdr:row>
      <xdr:rowOff>95250</xdr:rowOff>
    </xdr:to>
    <xdr:sp macro="" textlink="">
      <xdr:nvSpPr>
        <xdr:cNvPr id="879622" name="Line 6"/>
        <xdr:cNvSpPr>
          <a:spLocks noChangeShapeType="1"/>
        </xdr:cNvSpPr>
      </xdr:nvSpPr>
      <xdr:spPr bwMode="auto">
        <a:xfrm>
          <a:off x="4029075" y="1543050"/>
          <a:ext cx="0" cy="1828800"/>
        </a:xfrm>
        <a:prstGeom prst="line">
          <a:avLst/>
        </a:prstGeom>
        <a:noFill/>
        <a:ln w="9525">
          <a:solidFill>
            <a:srgbClr xmlns:mc="http://schemas.openxmlformats.org/markup-compatibility/2006" xmlns:a14="http://schemas.microsoft.com/office/drawing/2010/main" val="000000" mc:Ignorable="a14" a14:legacySpreadsheetColorIndex="64"/>
          </a:solidFill>
          <a:prstDash val="lgDashDot"/>
          <a:round/>
          <a:headEnd/>
          <a:tailEnd/>
        </a:ln>
        <a:extLst>
          <a:ext uri="{909E8E84-426E-40DD-AFC4-6F175D3DCCD1}">
            <a14:hiddenFill xmlns:a14="http://schemas.microsoft.com/office/drawing/2010/main">
              <a:noFill/>
            </a14:hiddenFill>
          </a:ext>
        </a:extLst>
      </xdr:spPr>
    </xdr:sp>
    <xdr:clientData/>
  </xdr:twoCellAnchor>
  <xdr:twoCellAnchor>
    <xdr:from>
      <xdr:col>5</xdr:col>
      <xdr:colOff>342900</xdr:colOff>
      <xdr:row>18</xdr:row>
      <xdr:rowOff>142875</xdr:rowOff>
    </xdr:from>
    <xdr:to>
      <xdr:col>5</xdr:col>
      <xdr:colOff>342900</xdr:colOff>
      <xdr:row>22</xdr:row>
      <xdr:rowOff>85725</xdr:rowOff>
    </xdr:to>
    <xdr:sp macro="" textlink="">
      <xdr:nvSpPr>
        <xdr:cNvPr id="879623" name="Line 7"/>
        <xdr:cNvSpPr>
          <a:spLocks noChangeShapeType="1"/>
        </xdr:cNvSpPr>
      </xdr:nvSpPr>
      <xdr:spPr bwMode="auto">
        <a:xfrm>
          <a:off x="3743325" y="3095625"/>
          <a:ext cx="0" cy="5905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276225</xdr:colOff>
      <xdr:row>11</xdr:row>
      <xdr:rowOff>47625</xdr:rowOff>
    </xdr:from>
    <xdr:to>
      <xdr:col>6</xdr:col>
      <xdr:colOff>276225</xdr:colOff>
      <xdr:row>22</xdr:row>
      <xdr:rowOff>95250</xdr:rowOff>
    </xdr:to>
    <xdr:sp macro="" textlink="">
      <xdr:nvSpPr>
        <xdr:cNvPr id="879624" name="Line 8"/>
        <xdr:cNvSpPr>
          <a:spLocks noChangeShapeType="1"/>
        </xdr:cNvSpPr>
      </xdr:nvSpPr>
      <xdr:spPr bwMode="auto">
        <a:xfrm>
          <a:off x="4286250" y="1866900"/>
          <a:ext cx="0" cy="1828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161925</xdr:colOff>
      <xdr:row>13</xdr:row>
      <xdr:rowOff>47625</xdr:rowOff>
    </xdr:from>
    <xdr:to>
      <xdr:col>6</xdr:col>
      <xdr:colOff>219075</xdr:colOff>
      <xdr:row>13</xdr:row>
      <xdr:rowOff>47625</xdr:rowOff>
    </xdr:to>
    <xdr:sp macro="" textlink="">
      <xdr:nvSpPr>
        <xdr:cNvPr id="879625" name="Line 9"/>
        <xdr:cNvSpPr>
          <a:spLocks noChangeShapeType="1"/>
        </xdr:cNvSpPr>
      </xdr:nvSpPr>
      <xdr:spPr bwMode="auto">
        <a:xfrm>
          <a:off x="3562350" y="2190750"/>
          <a:ext cx="666750" cy="0"/>
        </a:xfrm>
        <a:prstGeom prst="line">
          <a:avLst/>
        </a:prstGeom>
        <a:noFill/>
        <a:ln w="9525">
          <a:solidFill>
            <a:srgbClr xmlns:mc="http://schemas.openxmlformats.org/markup-compatibility/2006" xmlns:a14="http://schemas.microsoft.com/office/drawing/2010/main" val="000000" mc:Ignorable="a14" a14:legacySpreadsheetColorIndex="64"/>
          </a:solidFill>
          <a:prstDash val="lgDashDot"/>
          <a:round/>
          <a:headEnd/>
          <a:tailEnd/>
        </a:ln>
        <a:extLst>
          <a:ext uri="{909E8E84-426E-40DD-AFC4-6F175D3DCCD1}">
            <a14:hiddenFill xmlns:a14="http://schemas.microsoft.com/office/drawing/2010/main">
              <a:noFill/>
            </a14:hiddenFill>
          </a:ext>
        </a:extLst>
      </xdr:spPr>
    </xdr:sp>
    <xdr:clientData/>
  </xdr:twoCellAnchor>
  <xdr:twoCellAnchor>
    <xdr:from>
      <xdr:col>5</xdr:col>
      <xdr:colOff>342900</xdr:colOff>
      <xdr:row>8</xdr:row>
      <xdr:rowOff>38100</xdr:rowOff>
    </xdr:from>
    <xdr:to>
      <xdr:col>5</xdr:col>
      <xdr:colOff>342900</xdr:colOff>
      <xdr:row>10</xdr:row>
      <xdr:rowOff>76200</xdr:rowOff>
    </xdr:to>
    <xdr:sp macro="" textlink="">
      <xdr:nvSpPr>
        <xdr:cNvPr id="879626" name="Line 10"/>
        <xdr:cNvSpPr>
          <a:spLocks noChangeShapeType="1"/>
        </xdr:cNvSpPr>
      </xdr:nvSpPr>
      <xdr:spPr bwMode="auto">
        <a:xfrm flipV="1">
          <a:off x="3743325" y="1371600"/>
          <a:ext cx="0" cy="3619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19050</xdr:colOff>
      <xdr:row>9</xdr:row>
      <xdr:rowOff>152400</xdr:rowOff>
    </xdr:from>
    <xdr:to>
      <xdr:col>7</xdr:col>
      <xdr:colOff>276225</xdr:colOff>
      <xdr:row>9</xdr:row>
      <xdr:rowOff>152400</xdr:rowOff>
    </xdr:to>
    <xdr:sp macro="" textlink="">
      <xdr:nvSpPr>
        <xdr:cNvPr id="879627" name="Line 11"/>
        <xdr:cNvSpPr>
          <a:spLocks noChangeShapeType="1"/>
        </xdr:cNvSpPr>
      </xdr:nvSpPr>
      <xdr:spPr bwMode="auto">
        <a:xfrm>
          <a:off x="4029075" y="1647825"/>
          <a:ext cx="8667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stealth" w="med" len="sm"/>
          <a:tailEnd type="stealth" w="med" len="sm"/>
        </a:ln>
        <a:extLst>
          <a:ext uri="{909E8E84-426E-40DD-AFC4-6F175D3DCCD1}">
            <a14:hiddenFill xmlns:a14="http://schemas.microsoft.com/office/drawing/2010/main">
              <a:noFill/>
            </a14:hiddenFill>
          </a:ext>
        </a:extLst>
      </xdr:spPr>
    </xdr:sp>
    <xdr:clientData/>
  </xdr:twoCellAnchor>
  <xdr:twoCellAnchor>
    <xdr:from>
      <xdr:col>5</xdr:col>
      <xdr:colOff>342900</xdr:colOff>
      <xdr:row>8</xdr:row>
      <xdr:rowOff>152400</xdr:rowOff>
    </xdr:from>
    <xdr:to>
      <xdr:col>7</xdr:col>
      <xdr:colOff>276225</xdr:colOff>
      <xdr:row>8</xdr:row>
      <xdr:rowOff>152400</xdr:rowOff>
    </xdr:to>
    <xdr:sp macro="" textlink="">
      <xdr:nvSpPr>
        <xdr:cNvPr id="879628" name="Line 12"/>
        <xdr:cNvSpPr>
          <a:spLocks noChangeShapeType="1"/>
        </xdr:cNvSpPr>
      </xdr:nvSpPr>
      <xdr:spPr bwMode="auto">
        <a:xfrm>
          <a:off x="3743325" y="1485900"/>
          <a:ext cx="115252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stealth" w="med" len="sm"/>
          <a:tailEnd type="stealth" w="med" len="sm"/>
        </a:ln>
        <a:extLst>
          <a:ext uri="{909E8E84-426E-40DD-AFC4-6F175D3DCCD1}">
            <a14:hiddenFill xmlns:a14="http://schemas.microsoft.com/office/drawing/2010/main">
              <a:noFill/>
            </a14:hiddenFill>
          </a:ext>
        </a:extLst>
      </xdr:spPr>
    </xdr:sp>
    <xdr:clientData/>
  </xdr:twoCellAnchor>
  <xdr:twoCellAnchor>
    <xdr:from>
      <xdr:col>5</xdr:col>
      <xdr:colOff>66675</xdr:colOff>
      <xdr:row>10</xdr:row>
      <xdr:rowOff>142875</xdr:rowOff>
    </xdr:from>
    <xdr:to>
      <xdr:col>5</xdr:col>
      <xdr:colOff>66675</xdr:colOff>
      <xdr:row>18</xdr:row>
      <xdr:rowOff>104775</xdr:rowOff>
    </xdr:to>
    <xdr:sp macro="" textlink="">
      <xdr:nvSpPr>
        <xdr:cNvPr id="879629" name="Line 13"/>
        <xdr:cNvSpPr>
          <a:spLocks noChangeShapeType="1"/>
        </xdr:cNvSpPr>
      </xdr:nvSpPr>
      <xdr:spPr bwMode="auto">
        <a:xfrm>
          <a:off x="3467100" y="1800225"/>
          <a:ext cx="0" cy="12573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stealth" w="med" len="med"/>
          <a:tailEnd type="stealth" w="med" len="med"/>
        </a:ln>
        <a:extLst>
          <a:ext uri="{909E8E84-426E-40DD-AFC4-6F175D3DCCD1}">
            <a14:hiddenFill xmlns:a14="http://schemas.microsoft.com/office/drawing/2010/main">
              <a:noFill/>
            </a14:hiddenFill>
          </a:ext>
        </a:extLst>
      </xdr:spPr>
    </xdr:sp>
    <xdr:clientData/>
  </xdr:twoCellAnchor>
  <xdr:twoCellAnchor>
    <xdr:from>
      <xdr:col>5</xdr:col>
      <xdr:colOff>342900</xdr:colOff>
      <xdr:row>22</xdr:row>
      <xdr:rowOff>19050</xdr:rowOff>
    </xdr:from>
    <xdr:to>
      <xdr:col>6</xdr:col>
      <xdr:colOff>276225</xdr:colOff>
      <xdr:row>22</xdr:row>
      <xdr:rowOff>19050</xdr:rowOff>
    </xdr:to>
    <xdr:sp macro="" textlink="">
      <xdr:nvSpPr>
        <xdr:cNvPr id="879630" name="Line 14"/>
        <xdr:cNvSpPr>
          <a:spLocks noChangeShapeType="1"/>
        </xdr:cNvSpPr>
      </xdr:nvSpPr>
      <xdr:spPr bwMode="auto">
        <a:xfrm>
          <a:off x="3743325" y="3619500"/>
          <a:ext cx="54292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stealth" w="sm" len="sm"/>
          <a:tailEnd type="stealth" w="sm" len="sm"/>
        </a:ln>
        <a:extLst>
          <a:ext uri="{909E8E84-426E-40DD-AFC4-6F175D3DCCD1}">
            <a14:hiddenFill xmlns:a14="http://schemas.microsoft.com/office/drawing/2010/main">
              <a:noFill/>
            </a14:hiddenFill>
          </a:ext>
        </a:extLst>
      </xdr:spPr>
    </xdr:sp>
    <xdr:clientData/>
  </xdr:twoCellAnchor>
  <xdr:twoCellAnchor>
    <xdr:from>
      <xdr:col>4</xdr:col>
      <xdr:colOff>438150</xdr:colOff>
      <xdr:row>22</xdr:row>
      <xdr:rowOff>19050</xdr:rowOff>
    </xdr:from>
    <xdr:to>
      <xdr:col>5</xdr:col>
      <xdr:colOff>342900</xdr:colOff>
      <xdr:row>22</xdr:row>
      <xdr:rowOff>19050</xdr:rowOff>
    </xdr:to>
    <xdr:sp macro="" textlink="">
      <xdr:nvSpPr>
        <xdr:cNvPr id="879631" name="Line 15"/>
        <xdr:cNvSpPr>
          <a:spLocks noChangeShapeType="1"/>
        </xdr:cNvSpPr>
      </xdr:nvSpPr>
      <xdr:spPr bwMode="auto">
        <a:xfrm flipH="1">
          <a:off x="3228975" y="3619500"/>
          <a:ext cx="51435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314325</xdr:colOff>
      <xdr:row>9</xdr:row>
      <xdr:rowOff>104775</xdr:rowOff>
    </xdr:from>
    <xdr:to>
      <xdr:col>8</xdr:col>
      <xdr:colOff>352425</xdr:colOff>
      <xdr:row>13</xdr:row>
      <xdr:rowOff>66675</xdr:rowOff>
    </xdr:to>
    <xdr:sp macro="" textlink="">
      <xdr:nvSpPr>
        <xdr:cNvPr id="879632" name="Line 16"/>
        <xdr:cNvSpPr>
          <a:spLocks noChangeShapeType="1"/>
        </xdr:cNvSpPr>
      </xdr:nvSpPr>
      <xdr:spPr bwMode="auto">
        <a:xfrm flipH="1">
          <a:off x="4933950" y="1600200"/>
          <a:ext cx="647700" cy="60960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lg"/>
        </a:ln>
        <a:extLst>
          <a:ext uri="{909E8E84-426E-40DD-AFC4-6F175D3DCCD1}">
            <a14:hiddenFill xmlns:a14="http://schemas.microsoft.com/office/drawing/2010/main">
              <a:noFill/>
            </a14:hiddenFill>
          </a:ext>
        </a:extLst>
      </xdr:spPr>
    </xdr:sp>
    <xdr:clientData/>
  </xdr:twoCellAnchor>
  <xdr:twoCellAnchor>
    <xdr:from>
      <xdr:col>7</xdr:col>
      <xdr:colOff>438150</xdr:colOff>
      <xdr:row>13</xdr:row>
      <xdr:rowOff>47625</xdr:rowOff>
    </xdr:from>
    <xdr:to>
      <xdr:col>8</xdr:col>
      <xdr:colOff>419100</xdr:colOff>
      <xdr:row>13</xdr:row>
      <xdr:rowOff>47625</xdr:rowOff>
    </xdr:to>
    <xdr:sp macro="" textlink="">
      <xdr:nvSpPr>
        <xdr:cNvPr id="879633" name="Line 17"/>
        <xdr:cNvSpPr>
          <a:spLocks noChangeShapeType="1"/>
        </xdr:cNvSpPr>
      </xdr:nvSpPr>
      <xdr:spPr bwMode="auto">
        <a:xfrm flipH="1">
          <a:off x="5057775" y="2190750"/>
          <a:ext cx="590550" cy="0"/>
        </a:xfrm>
        <a:prstGeom prst="line">
          <a:avLst/>
        </a:prstGeom>
        <a:noFill/>
        <a:ln w="19050">
          <a:solidFill>
            <a:srgbClr xmlns:mc="http://schemas.openxmlformats.org/markup-compatibility/2006" xmlns:a14="http://schemas.microsoft.com/office/drawing/2010/main" val="000000" mc:Ignorable="a14" a14:legacySpreadsheetColorIndex="64"/>
          </a:solidFill>
          <a:prstDash val="dash"/>
          <a:round/>
          <a:headEnd/>
          <a:tailEnd type="triangle" w="sm" len="med"/>
        </a:ln>
        <a:extLst>
          <a:ext uri="{909E8E84-426E-40DD-AFC4-6F175D3DCCD1}">
            <a14:hiddenFill xmlns:a14="http://schemas.microsoft.com/office/drawing/2010/main">
              <a:noFill/>
            </a14:hiddenFill>
          </a:ext>
        </a:extLst>
      </xdr:spPr>
    </xdr:sp>
    <xdr:clientData/>
  </xdr:twoCellAnchor>
  <xdr:twoCellAnchor>
    <xdr:from>
      <xdr:col>7</xdr:col>
      <xdr:colOff>285750</xdr:colOff>
      <xdr:row>9</xdr:row>
      <xdr:rowOff>76200</xdr:rowOff>
    </xdr:from>
    <xdr:to>
      <xdr:col>7</xdr:col>
      <xdr:colOff>285750</xdr:colOff>
      <xdr:row>13</xdr:row>
      <xdr:rowOff>19050</xdr:rowOff>
    </xdr:to>
    <xdr:sp macro="" textlink="">
      <xdr:nvSpPr>
        <xdr:cNvPr id="879634" name="Line 18"/>
        <xdr:cNvSpPr>
          <a:spLocks noChangeShapeType="1"/>
        </xdr:cNvSpPr>
      </xdr:nvSpPr>
      <xdr:spPr bwMode="auto">
        <a:xfrm>
          <a:off x="4905375" y="1571625"/>
          <a:ext cx="0" cy="590550"/>
        </a:xfrm>
        <a:prstGeom prst="line">
          <a:avLst/>
        </a:prstGeom>
        <a:noFill/>
        <a:ln w="19050">
          <a:solidFill>
            <a:srgbClr xmlns:mc="http://schemas.openxmlformats.org/markup-compatibility/2006" xmlns:a14="http://schemas.microsoft.com/office/drawing/2010/main" val="000000" mc:Ignorable="a14" a14:legacySpreadsheetColorIndex="64"/>
          </a:solidFill>
          <a:prstDash val="dash"/>
          <a:round/>
          <a:headEnd/>
          <a:tailEnd type="triangle" w="sm" len="med"/>
        </a:ln>
        <a:extLst>
          <a:ext uri="{909E8E84-426E-40DD-AFC4-6F175D3DCCD1}">
            <a14:hiddenFill xmlns:a14="http://schemas.microsoft.com/office/drawing/2010/main">
              <a:noFill/>
            </a14:hiddenFill>
          </a:ext>
        </a:extLst>
      </xdr:spPr>
    </xdr:sp>
    <xdr:clientData/>
  </xdr:twoCellAnchor>
  <xdr:twoCellAnchor>
    <xdr:from>
      <xdr:col>6</xdr:col>
      <xdr:colOff>19050</xdr:colOff>
      <xdr:row>19</xdr:row>
      <xdr:rowOff>152400</xdr:rowOff>
    </xdr:from>
    <xdr:to>
      <xdr:col>6</xdr:col>
      <xdr:colOff>276225</xdr:colOff>
      <xdr:row>19</xdr:row>
      <xdr:rowOff>152400</xdr:rowOff>
    </xdr:to>
    <xdr:sp macro="" textlink="">
      <xdr:nvSpPr>
        <xdr:cNvPr id="879635" name="Line 19"/>
        <xdr:cNvSpPr>
          <a:spLocks noChangeShapeType="1"/>
        </xdr:cNvSpPr>
      </xdr:nvSpPr>
      <xdr:spPr bwMode="auto">
        <a:xfrm>
          <a:off x="4029075" y="3267075"/>
          <a:ext cx="2571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stealth" w="sm" len="sm"/>
          <a:tailEnd type="stealth" w="sm" len="sm"/>
        </a:ln>
        <a:extLst>
          <a:ext uri="{909E8E84-426E-40DD-AFC4-6F175D3DCCD1}">
            <a14:hiddenFill xmlns:a14="http://schemas.microsoft.com/office/drawing/2010/main">
              <a:noFill/>
            </a14:hiddenFill>
          </a:ext>
        </a:extLst>
      </xdr:spPr>
    </xdr:sp>
    <xdr:clientData/>
  </xdr:twoCellAnchor>
  <xdr:twoCellAnchor>
    <xdr:from>
      <xdr:col>4</xdr:col>
      <xdr:colOff>200025</xdr:colOff>
      <xdr:row>19</xdr:row>
      <xdr:rowOff>152400</xdr:rowOff>
    </xdr:from>
    <xdr:to>
      <xdr:col>5</xdr:col>
      <xdr:colOff>342900</xdr:colOff>
      <xdr:row>19</xdr:row>
      <xdr:rowOff>152400</xdr:rowOff>
    </xdr:to>
    <xdr:sp macro="" textlink="">
      <xdr:nvSpPr>
        <xdr:cNvPr id="879636" name="Line 20"/>
        <xdr:cNvSpPr>
          <a:spLocks noChangeShapeType="1"/>
        </xdr:cNvSpPr>
      </xdr:nvSpPr>
      <xdr:spPr bwMode="auto">
        <a:xfrm>
          <a:off x="2990850" y="3267075"/>
          <a:ext cx="7524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stealth" w="sm" len="sm"/>
        </a:ln>
        <a:extLst>
          <a:ext uri="{909E8E84-426E-40DD-AFC4-6F175D3DCCD1}">
            <a14:hiddenFill xmlns:a14="http://schemas.microsoft.com/office/drawing/2010/main">
              <a:noFill/>
            </a14:hiddenFill>
          </a:ext>
        </a:extLst>
      </xdr:spPr>
    </xdr:sp>
    <xdr:clientData/>
  </xdr:twoCellAnchor>
  <xdr:twoCellAnchor>
    <xdr:from>
      <xdr:col>5</xdr:col>
      <xdr:colOff>342900</xdr:colOff>
      <xdr:row>19</xdr:row>
      <xdr:rowOff>152400</xdr:rowOff>
    </xdr:from>
    <xdr:to>
      <xdr:col>6</xdr:col>
      <xdr:colOff>19050</xdr:colOff>
      <xdr:row>19</xdr:row>
      <xdr:rowOff>152400</xdr:rowOff>
    </xdr:to>
    <xdr:sp macro="" textlink="">
      <xdr:nvSpPr>
        <xdr:cNvPr id="879637" name="Line 21"/>
        <xdr:cNvSpPr>
          <a:spLocks noChangeShapeType="1"/>
        </xdr:cNvSpPr>
      </xdr:nvSpPr>
      <xdr:spPr bwMode="auto">
        <a:xfrm>
          <a:off x="3743325" y="3267075"/>
          <a:ext cx="28575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276225</xdr:colOff>
      <xdr:row>19</xdr:row>
      <xdr:rowOff>152400</xdr:rowOff>
    </xdr:from>
    <xdr:to>
      <xdr:col>7</xdr:col>
      <xdr:colOff>171450</xdr:colOff>
      <xdr:row>19</xdr:row>
      <xdr:rowOff>152400</xdr:rowOff>
    </xdr:to>
    <xdr:sp macro="" textlink="">
      <xdr:nvSpPr>
        <xdr:cNvPr id="879638" name="Line 22"/>
        <xdr:cNvSpPr>
          <a:spLocks noChangeShapeType="1"/>
        </xdr:cNvSpPr>
      </xdr:nvSpPr>
      <xdr:spPr bwMode="auto">
        <a:xfrm>
          <a:off x="4286250" y="3267075"/>
          <a:ext cx="50482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323850</xdr:colOff>
      <xdr:row>10</xdr:row>
      <xdr:rowOff>142875</xdr:rowOff>
    </xdr:from>
    <xdr:to>
      <xdr:col>6</xdr:col>
      <xdr:colOff>581025</xdr:colOff>
      <xdr:row>10</xdr:row>
      <xdr:rowOff>142875</xdr:rowOff>
    </xdr:to>
    <xdr:sp macro="" textlink="">
      <xdr:nvSpPr>
        <xdr:cNvPr id="879639" name="Line 23"/>
        <xdr:cNvSpPr>
          <a:spLocks noChangeShapeType="1"/>
        </xdr:cNvSpPr>
      </xdr:nvSpPr>
      <xdr:spPr bwMode="auto">
        <a:xfrm>
          <a:off x="4333875" y="1800225"/>
          <a:ext cx="2571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438150</xdr:colOff>
      <xdr:row>10</xdr:row>
      <xdr:rowOff>142875</xdr:rowOff>
    </xdr:from>
    <xdr:to>
      <xdr:col>6</xdr:col>
      <xdr:colOff>438150</xdr:colOff>
      <xdr:row>13</xdr:row>
      <xdr:rowOff>47625</xdr:rowOff>
    </xdr:to>
    <xdr:sp macro="" textlink="">
      <xdr:nvSpPr>
        <xdr:cNvPr id="879640" name="Line 24"/>
        <xdr:cNvSpPr>
          <a:spLocks noChangeShapeType="1"/>
        </xdr:cNvSpPr>
      </xdr:nvSpPr>
      <xdr:spPr bwMode="auto">
        <a:xfrm>
          <a:off x="4448175" y="1800225"/>
          <a:ext cx="0" cy="3905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stealth" w="sm" len="sm"/>
          <a:tailEnd type="stealth" w="sm" len="sm"/>
        </a:ln>
        <a:extLst>
          <a:ext uri="{909E8E84-426E-40DD-AFC4-6F175D3DCCD1}">
            <a14:hiddenFill xmlns:a14="http://schemas.microsoft.com/office/drawing/2010/main">
              <a:noFill/>
            </a14:hiddenFill>
          </a:ext>
        </a:extLst>
      </xdr:spPr>
    </xdr:sp>
    <xdr:clientData/>
  </xdr:twoCellAnchor>
  <xdr:twoCellAnchor>
    <xdr:from>
      <xdr:col>6</xdr:col>
      <xdr:colOff>438150</xdr:colOff>
      <xdr:row>13</xdr:row>
      <xdr:rowOff>47625</xdr:rowOff>
    </xdr:from>
    <xdr:to>
      <xdr:col>6</xdr:col>
      <xdr:colOff>438150</xdr:colOff>
      <xdr:row>15</xdr:row>
      <xdr:rowOff>19050</xdr:rowOff>
    </xdr:to>
    <xdr:sp macro="" textlink="">
      <xdr:nvSpPr>
        <xdr:cNvPr id="879641" name="Line 25"/>
        <xdr:cNvSpPr>
          <a:spLocks noChangeShapeType="1"/>
        </xdr:cNvSpPr>
      </xdr:nvSpPr>
      <xdr:spPr bwMode="auto">
        <a:xfrm>
          <a:off x="4448175" y="2190750"/>
          <a:ext cx="0" cy="2952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314325</xdr:colOff>
      <xdr:row>13</xdr:row>
      <xdr:rowOff>47625</xdr:rowOff>
    </xdr:from>
    <xdr:to>
      <xdr:col>6</xdr:col>
      <xdr:colOff>571500</xdr:colOff>
      <xdr:row>13</xdr:row>
      <xdr:rowOff>47625</xdr:rowOff>
    </xdr:to>
    <xdr:sp macro="" textlink="">
      <xdr:nvSpPr>
        <xdr:cNvPr id="879642" name="Line 26"/>
        <xdr:cNvSpPr>
          <a:spLocks noChangeShapeType="1"/>
        </xdr:cNvSpPr>
      </xdr:nvSpPr>
      <xdr:spPr bwMode="auto">
        <a:xfrm>
          <a:off x="4324350" y="2190750"/>
          <a:ext cx="2571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285750</xdr:colOff>
      <xdr:row>8</xdr:row>
      <xdr:rowOff>28575</xdr:rowOff>
    </xdr:from>
    <xdr:to>
      <xdr:col>7</xdr:col>
      <xdr:colOff>285750</xdr:colOff>
      <xdr:row>9</xdr:row>
      <xdr:rowOff>28575</xdr:rowOff>
    </xdr:to>
    <xdr:sp macro="" textlink="">
      <xdr:nvSpPr>
        <xdr:cNvPr id="879643" name="Line 27"/>
        <xdr:cNvSpPr>
          <a:spLocks noChangeShapeType="1"/>
        </xdr:cNvSpPr>
      </xdr:nvSpPr>
      <xdr:spPr bwMode="auto">
        <a:xfrm flipV="1">
          <a:off x="4905375" y="1362075"/>
          <a:ext cx="0" cy="1619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33</xdr:col>
      <xdr:colOff>0</xdr:colOff>
      <xdr:row>0</xdr:row>
      <xdr:rowOff>0</xdr:rowOff>
    </xdr:from>
    <xdr:to>
      <xdr:col>34</xdr:col>
      <xdr:colOff>0</xdr:colOff>
      <xdr:row>1</xdr:row>
      <xdr:rowOff>0</xdr:rowOff>
    </xdr:to>
    <xdr:sp macro="" textlink="">
      <xdr:nvSpPr>
        <xdr:cNvPr id="879645" name="Rectangle 29"/>
        <xdr:cNvSpPr>
          <a:spLocks noChangeArrowheads="1"/>
        </xdr:cNvSpPr>
      </xdr:nvSpPr>
      <xdr:spPr bwMode="auto">
        <a:xfrm>
          <a:off x="6038850" y="0"/>
          <a:ext cx="609600" cy="200025"/>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AF507438-7753-43E0-B8FC-AC1667EBCBE1}">
            <a14:hiddenEffects xmlns:a14="http://schemas.microsoft.com/office/drawing/2010/main">
              <a:effectLst>
                <a:outerShdw dist="35921" dir="2700000" algn="ctr" rotWithShape="0">
                  <a:srgbClr val="808080"/>
                </a:outerShdw>
              </a:effectLst>
            </a14:hiddenEffects>
          </a:ext>
          <a:ext uri="{53640926-AAD7-44D8-BBD7-CCE9431645EC}">
            <a14:shadowObscured xmlns:a14="http://schemas.microsoft.com/office/drawing/2010/main" val="1"/>
          </a:ext>
        </a:extLst>
      </xdr:spPr>
    </xdr:sp>
    <xdr:clientData/>
  </xdr:twoCellAnchor>
  <xdr:twoCellAnchor>
    <xdr:from>
      <xdr:col>33</xdr:col>
      <xdr:colOff>0</xdr:colOff>
      <xdr:row>0</xdr:row>
      <xdr:rowOff>0</xdr:rowOff>
    </xdr:from>
    <xdr:to>
      <xdr:col>34</xdr:col>
      <xdr:colOff>0</xdr:colOff>
      <xdr:row>1</xdr:row>
      <xdr:rowOff>0</xdr:rowOff>
    </xdr:to>
    <xdr:sp macro="" textlink="">
      <xdr:nvSpPr>
        <xdr:cNvPr id="879646" name="Rectangle 30"/>
        <xdr:cNvSpPr>
          <a:spLocks noChangeArrowheads="1"/>
        </xdr:cNvSpPr>
      </xdr:nvSpPr>
      <xdr:spPr bwMode="auto">
        <a:xfrm>
          <a:off x="6038850" y="0"/>
          <a:ext cx="609600" cy="200025"/>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AF507438-7753-43E0-B8FC-AC1667EBCBE1}">
            <a14:hiddenEffects xmlns:a14="http://schemas.microsoft.com/office/drawing/2010/main">
              <a:effectLst>
                <a:outerShdw dist="35921" dir="2700000" algn="ctr" rotWithShape="0">
                  <a:srgbClr val="808080"/>
                </a:outerShdw>
              </a:effectLst>
            </a14:hiddenEffects>
          </a:ext>
          <a:ext uri="{53640926-AAD7-44D8-BBD7-CCE9431645EC}">
            <a14:shadowObscured xmlns:a14="http://schemas.microsoft.com/office/drawing/2010/main" val="1"/>
          </a:ext>
        </a:extLst>
      </xdr:spPr>
    </xdr:sp>
    <xdr:clientData/>
  </xdr:twoCellAnchor>
  <xdr:twoCellAnchor>
    <xdr:from>
      <xdr:col>7</xdr:col>
      <xdr:colOff>285750</xdr:colOff>
      <xdr:row>9</xdr:row>
      <xdr:rowOff>152400</xdr:rowOff>
    </xdr:from>
    <xdr:to>
      <xdr:col>8</xdr:col>
      <xdr:colOff>66675</xdr:colOff>
      <xdr:row>13</xdr:row>
      <xdr:rowOff>85725</xdr:rowOff>
    </xdr:to>
    <xdr:sp macro="" textlink="">
      <xdr:nvSpPr>
        <xdr:cNvPr id="879647" name="Arc 31"/>
        <xdr:cNvSpPr>
          <a:spLocks/>
        </xdr:cNvSpPr>
      </xdr:nvSpPr>
      <xdr:spPr bwMode="auto">
        <a:xfrm>
          <a:off x="4905375" y="1647825"/>
          <a:ext cx="390525" cy="581025"/>
        </a:xfrm>
        <a:custGeom>
          <a:avLst/>
          <a:gdLst>
            <a:gd name="G0" fmla="+- 0 0 0"/>
            <a:gd name="G1" fmla="+- 21600 0 0"/>
            <a:gd name="G2" fmla="+- 21600 0 0"/>
            <a:gd name="T0" fmla="*/ 0 w 16786"/>
            <a:gd name="T1" fmla="*/ 0 h 21600"/>
            <a:gd name="T2" fmla="*/ 16786 w 16786"/>
            <a:gd name="T3" fmla="*/ 8006 h 21600"/>
            <a:gd name="T4" fmla="*/ 0 w 16786"/>
            <a:gd name="T5" fmla="*/ 21600 h 21600"/>
          </a:gdLst>
          <a:ahLst/>
          <a:cxnLst>
            <a:cxn ang="0">
              <a:pos x="T0" y="T1"/>
            </a:cxn>
            <a:cxn ang="0">
              <a:pos x="T2" y="T3"/>
            </a:cxn>
            <a:cxn ang="0">
              <a:pos x="T4" y="T5"/>
            </a:cxn>
          </a:cxnLst>
          <a:rect l="0" t="0" r="r" b="b"/>
          <a:pathLst>
            <a:path w="16786" h="21600" fill="none" extrusionOk="0">
              <a:moveTo>
                <a:pt x="-1" y="0"/>
              </a:moveTo>
              <a:cubicBezTo>
                <a:pt x="6516" y="0"/>
                <a:pt x="12684" y="2941"/>
                <a:pt x="16785" y="8006"/>
              </a:cubicBezTo>
            </a:path>
            <a:path w="16786" h="21600" stroke="0" extrusionOk="0">
              <a:moveTo>
                <a:pt x="-1" y="0"/>
              </a:moveTo>
              <a:cubicBezTo>
                <a:pt x="6516" y="0"/>
                <a:pt x="12684" y="2941"/>
                <a:pt x="16785" y="8006"/>
              </a:cubicBezTo>
              <a:lnTo>
                <a:pt x="0" y="21600"/>
              </a:lnTo>
              <a:close/>
            </a:path>
          </a:pathLst>
        </a:custGeom>
        <a:noFill/>
        <a:ln w="9525">
          <a:solidFill>
            <a:srgbClr xmlns:mc="http://schemas.openxmlformats.org/markup-compatibility/2006" xmlns:a14="http://schemas.microsoft.com/office/drawing/2010/main" val="000000" mc:Ignorable="a14" a14:legacySpreadsheetColorIndex="64"/>
          </a:solidFill>
          <a:round/>
          <a:headEnd type="stealth" w="sm" len="sm"/>
          <a:tailEnd type="stealth" w="sm" len="sm"/>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twoCellAnchor>
    <xdr:from>
      <xdr:col>33</xdr:col>
      <xdr:colOff>0</xdr:colOff>
      <xdr:row>0</xdr:row>
      <xdr:rowOff>0</xdr:rowOff>
    </xdr:from>
    <xdr:to>
      <xdr:col>34</xdr:col>
      <xdr:colOff>0</xdr:colOff>
      <xdr:row>1</xdr:row>
      <xdr:rowOff>0</xdr:rowOff>
    </xdr:to>
    <xdr:sp macro="" textlink="">
      <xdr:nvSpPr>
        <xdr:cNvPr id="879648" name="Rectangle 32"/>
        <xdr:cNvSpPr>
          <a:spLocks noChangeArrowheads="1"/>
        </xdr:cNvSpPr>
      </xdr:nvSpPr>
      <xdr:spPr bwMode="auto">
        <a:xfrm>
          <a:off x="6038850" y="0"/>
          <a:ext cx="609600" cy="200025"/>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AF507438-7753-43E0-B8FC-AC1667EBCBE1}">
            <a14:hiddenEffects xmlns:a14="http://schemas.microsoft.com/office/drawing/2010/main">
              <a:effectLst>
                <a:outerShdw dist="35921" dir="2700000" algn="ctr" rotWithShape="0">
                  <a:srgbClr val="808080"/>
                </a:outerShdw>
              </a:effectLst>
            </a14:hiddenEffects>
          </a:ext>
          <a:ext uri="{53640926-AAD7-44D8-BBD7-CCE9431645EC}">
            <a14:shadowObscured xmlns:a14="http://schemas.microsoft.com/office/drawing/2010/main" val="1"/>
          </a:ext>
        </a:extLst>
      </xdr:spPr>
    </xdr:sp>
    <xdr:clientData/>
  </xdr:twoCellAnchor>
  <xdr:twoCellAnchor>
    <xdr:from>
      <xdr:col>33</xdr:col>
      <xdr:colOff>0</xdr:colOff>
      <xdr:row>0</xdr:row>
      <xdr:rowOff>0</xdr:rowOff>
    </xdr:from>
    <xdr:to>
      <xdr:col>34</xdr:col>
      <xdr:colOff>0</xdr:colOff>
      <xdr:row>1</xdr:row>
      <xdr:rowOff>0</xdr:rowOff>
    </xdr:to>
    <xdr:sp macro="" textlink="">
      <xdr:nvSpPr>
        <xdr:cNvPr id="879649" name="Rectangle 33"/>
        <xdr:cNvSpPr>
          <a:spLocks noChangeArrowheads="1"/>
        </xdr:cNvSpPr>
      </xdr:nvSpPr>
      <xdr:spPr bwMode="auto">
        <a:xfrm>
          <a:off x="6038850" y="0"/>
          <a:ext cx="609600" cy="200025"/>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AF507438-7753-43E0-B8FC-AC1667EBCBE1}">
            <a14:hiddenEffects xmlns:a14="http://schemas.microsoft.com/office/drawing/2010/main">
              <a:effectLst>
                <a:outerShdw dist="35921" dir="2700000" algn="ctr" rotWithShape="0">
                  <a:srgbClr val="808080"/>
                </a:outerShdw>
              </a:effectLst>
            </a14:hiddenEffects>
          </a:ext>
          <a:ext uri="{53640926-AAD7-44D8-BBD7-CCE9431645EC}">
            <a14:shadowObscured xmlns:a14="http://schemas.microsoft.com/office/drawing/2010/main" val="1"/>
          </a:ext>
        </a:extLst>
      </xdr:spPr>
    </xdr:sp>
    <xdr:clientData/>
  </xdr:twoCellAnchor>
  <xdr:twoCellAnchor>
    <xdr:from>
      <xdr:col>3</xdr:col>
      <xdr:colOff>0</xdr:colOff>
      <xdr:row>45</xdr:row>
      <xdr:rowOff>0</xdr:rowOff>
    </xdr:from>
    <xdr:to>
      <xdr:col>6</xdr:col>
      <xdr:colOff>0</xdr:colOff>
      <xdr:row>48</xdr:row>
      <xdr:rowOff>0</xdr:rowOff>
    </xdr:to>
    <xdr:sp macro="" textlink="">
      <xdr:nvSpPr>
        <xdr:cNvPr id="879651" name="Rectangle 35"/>
        <xdr:cNvSpPr>
          <a:spLocks noChangeArrowheads="1"/>
        </xdr:cNvSpPr>
      </xdr:nvSpPr>
      <xdr:spPr bwMode="auto">
        <a:xfrm>
          <a:off x="2076450" y="7343775"/>
          <a:ext cx="1933575" cy="485775"/>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ffectLst>
          <a:outerShdw dist="107763" dir="2700000" algn="ctr" rotWithShape="0">
            <a:srgbClr val="808080"/>
          </a:outerShdw>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53640926-AAD7-44D8-BBD7-CCE9431645EC}">
            <a14:shadowObscured xmlns:a14="http://schemas.microsoft.com/office/drawing/2010/main" val="1"/>
          </a:ext>
        </a:extLst>
      </xdr:spPr>
    </xdr:sp>
    <xdr:clientData/>
  </xdr:twoCellAnchor>
  <xdr:twoCellAnchor>
    <xdr:from>
      <xdr:col>34</xdr:col>
      <xdr:colOff>0</xdr:colOff>
      <xdr:row>10</xdr:row>
      <xdr:rowOff>0</xdr:rowOff>
    </xdr:from>
    <xdr:to>
      <xdr:col>37</xdr:col>
      <xdr:colOff>0</xdr:colOff>
      <xdr:row>13</xdr:row>
      <xdr:rowOff>0</xdr:rowOff>
    </xdr:to>
    <xdr:sp macro="" textlink="">
      <xdr:nvSpPr>
        <xdr:cNvPr id="879652" name="Rectangle 36"/>
        <xdr:cNvSpPr>
          <a:spLocks noChangeArrowheads="1"/>
        </xdr:cNvSpPr>
      </xdr:nvSpPr>
      <xdr:spPr bwMode="auto">
        <a:xfrm>
          <a:off x="6648450" y="1657350"/>
          <a:ext cx="1828800" cy="485775"/>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ffectLst>
          <a:outerShdw dist="107763" dir="2700000" algn="ctr" rotWithShape="0">
            <a:srgbClr val="808080"/>
          </a:outerShdw>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53640926-AAD7-44D8-BBD7-CCE9431645EC}">
            <a14:shadowObscured xmlns:a14="http://schemas.microsoft.com/office/drawing/2010/main" val="1"/>
          </a:ext>
        </a:extLst>
      </xdr:spPr>
    </xdr:sp>
    <xdr:clientData/>
  </xdr:twoCellAnchor>
</xdr:wsDr>
</file>

<file path=xl/drawings/drawing9.xml><?xml version="1.0" encoding="utf-8"?>
<xdr:wsDr xmlns:xdr="http://schemas.openxmlformats.org/drawingml/2006/spreadsheetDrawing" xmlns:a="http://schemas.openxmlformats.org/drawingml/2006/main">
  <xdr:twoCellAnchor>
    <xdr:from>
      <xdr:col>6</xdr:col>
      <xdr:colOff>314325</xdr:colOff>
      <xdr:row>10</xdr:row>
      <xdr:rowOff>114300</xdr:rowOff>
    </xdr:from>
    <xdr:to>
      <xdr:col>6</xdr:col>
      <xdr:colOff>371475</xdr:colOff>
      <xdr:row>18</xdr:row>
      <xdr:rowOff>104775</xdr:rowOff>
    </xdr:to>
    <xdr:sp macro="" textlink="">
      <xdr:nvSpPr>
        <xdr:cNvPr id="136197" name="Rectangle 5"/>
        <xdr:cNvSpPr>
          <a:spLocks noChangeArrowheads="1"/>
        </xdr:cNvSpPr>
      </xdr:nvSpPr>
      <xdr:spPr bwMode="auto">
        <a:xfrm>
          <a:off x="4324350" y="1771650"/>
          <a:ext cx="57150" cy="1285875"/>
        </a:xfrm>
        <a:prstGeom prst="rect">
          <a:avLst/>
        </a:pr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6</xdr:col>
      <xdr:colOff>371475</xdr:colOff>
      <xdr:row>10</xdr:row>
      <xdr:rowOff>114300</xdr:rowOff>
    </xdr:from>
    <xdr:to>
      <xdr:col>7</xdr:col>
      <xdr:colOff>276225</xdr:colOff>
      <xdr:row>11</xdr:row>
      <xdr:rowOff>9525</xdr:rowOff>
    </xdr:to>
    <xdr:sp macro="" textlink="">
      <xdr:nvSpPr>
        <xdr:cNvPr id="136198" name="Rectangle 6"/>
        <xdr:cNvSpPr>
          <a:spLocks noChangeArrowheads="1"/>
        </xdr:cNvSpPr>
      </xdr:nvSpPr>
      <xdr:spPr bwMode="auto">
        <a:xfrm>
          <a:off x="4381500" y="1771650"/>
          <a:ext cx="514350" cy="57150"/>
        </a:xfrm>
        <a:prstGeom prst="rect">
          <a:avLst/>
        </a:pr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7</xdr:col>
      <xdr:colOff>314325</xdr:colOff>
      <xdr:row>18</xdr:row>
      <xdr:rowOff>104775</xdr:rowOff>
    </xdr:from>
    <xdr:to>
      <xdr:col>8</xdr:col>
      <xdr:colOff>47625</xdr:colOff>
      <xdr:row>18</xdr:row>
      <xdr:rowOff>104775</xdr:rowOff>
    </xdr:to>
    <xdr:sp macro="" textlink="">
      <xdr:nvSpPr>
        <xdr:cNvPr id="136199" name="Line 7"/>
        <xdr:cNvSpPr>
          <a:spLocks noChangeShapeType="1"/>
        </xdr:cNvSpPr>
      </xdr:nvSpPr>
      <xdr:spPr bwMode="auto">
        <a:xfrm flipH="1">
          <a:off x="4933950" y="3057525"/>
          <a:ext cx="3429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323850</xdr:colOff>
      <xdr:row>10</xdr:row>
      <xdr:rowOff>142875</xdr:rowOff>
    </xdr:from>
    <xdr:to>
      <xdr:col>8</xdr:col>
      <xdr:colOff>200025</xdr:colOff>
      <xdr:row>10</xdr:row>
      <xdr:rowOff>142875</xdr:rowOff>
    </xdr:to>
    <xdr:sp macro="" textlink="">
      <xdr:nvSpPr>
        <xdr:cNvPr id="136200" name="Line 8"/>
        <xdr:cNvSpPr>
          <a:spLocks noChangeShapeType="1"/>
        </xdr:cNvSpPr>
      </xdr:nvSpPr>
      <xdr:spPr bwMode="auto">
        <a:xfrm flipH="1">
          <a:off x="4943475" y="1800225"/>
          <a:ext cx="4857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19050</xdr:colOff>
      <xdr:row>7</xdr:row>
      <xdr:rowOff>133350</xdr:rowOff>
    </xdr:from>
    <xdr:to>
      <xdr:col>7</xdr:col>
      <xdr:colOff>19050</xdr:colOff>
      <xdr:row>20</xdr:row>
      <xdr:rowOff>133350</xdr:rowOff>
    </xdr:to>
    <xdr:sp macro="" textlink="">
      <xdr:nvSpPr>
        <xdr:cNvPr id="136201" name="Line 9"/>
        <xdr:cNvSpPr>
          <a:spLocks noChangeShapeType="1"/>
        </xdr:cNvSpPr>
      </xdr:nvSpPr>
      <xdr:spPr bwMode="auto">
        <a:xfrm>
          <a:off x="4638675" y="1304925"/>
          <a:ext cx="0" cy="2105025"/>
        </a:xfrm>
        <a:prstGeom prst="line">
          <a:avLst/>
        </a:prstGeom>
        <a:noFill/>
        <a:ln w="9525">
          <a:solidFill>
            <a:srgbClr xmlns:mc="http://schemas.openxmlformats.org/markup-compatibility/2006" xmlns:a14="http://schemas.microsoft.com/office/drawing/2010/main" val="000000" mc:Ignorable="a14" a14:legacySpreadsheetColorIndex="64"/>
          </a:solidFill>
          <a:prstDash val="lgDashDot"/>
          <a:round/>
          <a:headEnd/>
          <a:tailEnd/>
        </a:ln>
        <a:extLst>
          <a:ext uri="{909E8E84-426E-40DD-AFC4-6F175D3DCCD1}">
            <a14:hiddenFill xmlns:a14="http://schemas.microsoft.com/office/drawing/2010/main">
              <a:noFill/>
            </a14:hiddenFill>
          </a:ext>
        </a:extLst>
      </xdr:spPr>
    </xdr:sp>
    <xdr:clientData/>
  </xdr:twoCellAnchor>
  <xdr:twoCellAnchor>
    <xdr:from>
      <xdr:col>6</xdr:col>
      <xdr:colOff>342900</xdr:colOff>
      <xdr:row>18</xdr:row>
      <xdr:rowOff>142875</xdr:rowOff>
    </xdr:from>
    <xdr:to>
      <xdr:col>6</xdr:col>
      <xdr:colOff>342900</xdr:colOff>
      <xdr:row>22</xdr:row>
      <xdr:rowOff>85725</xdr:rowOff>
    </xdr:to>
    <xdr:sp macro="" textlink="">
      <xdr:nvSpPr>
        <xdr:cNvPr id="136202" name="Line 10"/>
        <xdr:cNvSpPr>
          <a:spLocks noChangeShapeType="1"/>
        </xdr:cNvSpPr>
      </xdr:nvSpPr>
      <xdr:spPr bwMode="auto">
        <a:xfrm>
          <a:off x="4352925" y="3095625"/>
          <a:ext cx="0" cy="5905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276225</xdr:colOff>
      <xdr:row>11</xdr:row>
      <xdr:rowOff>47625</xdr:rowOff>
    </xdr:from>
    <xdr:to>
      <xdr:col>7</xdr:col>
      <xdr:colOff>276225</xdr:colOff>
      <xdr:row>22</xdr:row>
      <xdr:rowOff>95250</xdr:rowOff>
    </xdr:to>
    <xdr:sp macro="" textlink="">
      <xdr:nvSpPr>
        <xdr:cNvPr id="136203" name="Line 11"/>
        <xdr:cNvSpPr>
          <a:spLocks noChangeShapeType="1"/>
        </xdr:cNvSpPr>
      </xdr:nvSpPr>
      <xdr:spPr bwMode="auto">
        <a:xfrm>
          <a:off x="4895850" y="1866900"/>
          <a:ext cx="0" cy="1828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161925</xdr:colOff>
      <xdr:row>13</xdr:row>
      <xdr:rowOff>47625</xdr:rowOff>
    </xdr:from>
    <xdr:to>
      <xdr:col>7</xdr:col>
      <xdr:colOff>219075</xdr:colOff>
      <xdr:row>13</xdr:row>
      <xdr:rowOff>47625</xdr:rowOff>
    </xdr:to>
    <xdr:sp macro="" textlink="">
      <xdr:nvSpPr>
        <xdr:cNvPr id="136204" name="Line 12"/>
        <xdr:cNvSpPr>
          <a:spLocks noChangeShapeType="1"/>
        </xdr:cNvSpPr>
      </xdr:nvSpPr>
      <xdr:spPr bwMode="auto">
        <a:xfrm>
          <a:off x="4171950" y="2190750"/>
          <a:ext cx="666750" cy="0"/>
        </a:xfrm>
        <a:prstGeom prst="line">
          <a:avLst/>
        </a:prstGeom>
        <a:noFill/>
        <a:ln w="9525">
          <a:solidFill>
            <a:srgbClr xmlns:mc="http://schemas.openxmlformats.org/markup-compatibility/2006" xmlns:a14="http://schemas.microsoft.com/office/drawing/2010/main" val="000000" mc:Ignorable="a14" a14:legacySpreadsheetColorIndex="64"/>
          </a:solidFill>
          <a:prstDash val="lgDashDot"/>
          <a:round/>
          <a:headEnd/>
          <a:tailEnd/>
        </a:ln>
        <a:extLst>
          <a:ext uri="{909E8E84-426E-40DD-AFC4-6F175D3DCCD1}">
            <a14:hiddenFill xmlns:a14="http://schemas.microsoft.com/office/drawing/2010/main">
              <a:noFill/>
            </a14:hiddenFill>
          </a:ext>
        </a:extLst>
      </xdr:spPr>
    </xdr:sp>
    <xdr:clientData/>
  </xdr:twoCellAnchor>
  <xdr:twoCellAnchor>
    <xdr:from>
      <xdr:col>6</xdr:col>
      <xdr:colOff>342900</xdr:colOff>
      <xdr:row>9</xdr:row>
      <xdr:rowOff>57150</xdr:rowOff>
    </xdr:from>
    <xdr:to>
      <xdr:col>6</xdr:col>
      <xdr:colOff>342900</xdr:colOff>
      <xdr:row>10</xdr:row>
      <xdr:rowOff>76200</xdr:rowOff>
    </xdr:to>
    <xdr:sp macro="" textlink="">
      <xdr:nvSpPr>
        <xdr:cNvPr id="136205" name="Line 13"/>
        <xdr:cNvSpPr>
          <a:spLocks noChangeShapeType="1"/>
        </xdr:cNvSpPr>
      </xdr:nvSpPr>
      <xdr:spPr bwMode="auto">
        <a:xfrm flipV="1">
          <a:off x="4352925" y="1552575"/>
          <a:ext cx="0" cy="1809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485775</xdr:colOff>
      <xdr:row>10</xdr:row>
      <xdr:rowOff>142875</xdr:rowOff>
    </xdr:from>
    <xdr:to>
      <xdr:col>7</xdr:col>
      <xdr:colOff>485775</xdr:colOff>
      <xdr:row>18</xdr:row>
      <xdr:rowOff>104775</xdr:rowOff>
    </xdr:to>
    <xdr:sp macro="" textlink="">
      <xdr:nvSpPr>
        <xdr:cNvPr id="136206" name="Line 14"/>
        <xdr:cNvSpPr>
          <a:spLocks noChangeShapeType="1"/>
        </xdr:cNvSpPr>
      </xdr:nvSpPr>
      <xdr:spPr bwMode="auto">
        <a:xfrm>
          <a:off x="5105400" y="1800225"/>
          <a:ext cx="0" cy="12573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stealth" w="med" len="med"/>
          <a:tailEnd type="stealth" w="med" len="med"/>
        </a:ln>
        <a:extLst>
          <a:ext uri="{909E8E84-426E-40DD-AFC4-6F175D3DCCD1}">
            <a14:hiddenFill xmlns:a14="http://schemas.microsoft.com/office/drawing/2010/main">
              <a:noFill/>
            </a14:hiddenFill>
          </a:ext>
        </a:extLst>
      </xdr:spPr>
    </xdr:sp>
    <xdr:clientData/>
  </xdr:twoCellAnchor>
  <xdr:twoCellAnchor>
    <xdr:from>
      <xdr:col>6</xdr:col>
      <xdr:colOff>342900</xdr:colOff>
      <xdr:row>22</xdr:row>
      <xdr:rowOff>19050</xdr:rowOff>
    </xdr:from>
    <xdr:to>
      <xdr:col>7</xdr:col>
      <xdr:colOff>276225</xdr:colOff>
      <xdr:row>22</xdr:row>
      <xdr:rowOff>19050</xdr:rowOff>
    </xdr:to>
    <xdr:sp macro="" textlink="">
      <xdr:nvSpPr>
        <xdr:cNvPr id="136207" name="Line 15"/>
        <xdr:cNvSpPr>
          <a:spLocks noChangeShapeType="1"/>
        </xdr:cNvSpPr>
      </xdr:nvSpPr>
      <xdr:spPr bwMode="auto">
        <a:xfrm>
          <a:off x="4352925" y="3619500"/>
          <a:ext cx="54292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stealth" w="sm" len="sm"/>
          <a:tailEnd type="stealth" w="sm" len="sm"/>
        </a:ln>
        <a:extLst>
          <a:ext uri="{909E8E84-426E-40DD-AFC4-6F175D3DCCD1}">
            <a14:hiddenFill xmlns:a14="http://schemas.microsoft.com/office/drawing/2010/main">
              <a:noFill/>
            </a14:hiddenFill>
          </a:ext>
        </a:extLst>
      </xdr:spPr>
    </xdr:sp>
    <xdr:clientData/>
  </xdr:twoCellAnchor>
  <xdr:twoCellAnchor>
    <xdr:from>
      <xdr:col>5</xdr:col>
      <xdr:colOff>438150</xdr:colOff>
      <xdr:row>22</xdr:row>
      <xdr:rowOff>19050</xdr:rowOff>
    </xdr:from>
    <xdr:to>
      <xdr:col>6</xdr:col>
      <xdr:colOff>342900</xdr:colOff>
      <xdr:row>22</xdr:row>
      <xdr:rowOff>19050</xdr:rowOff>
    </xdr:to>
    <xdr:sp macro="" textlink="">
      <xdr:nvSpPr>
        <xdr:cNvPr id="136208" name="Line 16"/>
        <xdr:cNvSpPr>
          <a:spLocks noChangeShapeType="1"/>
        </xdr:cNvSpPr>
      </xdr:nvSpPr>
      <xdr:spPr bwMode="auto">
        <a:xfrm flipH="1">
          <a:off x="3838575" y="3619500"/>
          <a:ext cx="51435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19050</xdr:colOff>
      <xdr:row>19</xdr:row>
      <xdr:rowOff>152400</xdr:rowOff>
    </xdr:from>
    <xdr:to>
      <xdr:col>7</xdr:col>
      <xdr:colOff>276225</xdr:colOff>
      <xdr:row>19</xdr:row>
      <xdr:rowOff>152400</xdr:rowOff>
    </xdr:to>
    <xdr:sp macro="" textlink="">
      <xdr:nvSpPr>
        <xdr:cNvPr id="136209" name="Line 17"/>
        <xdr:cNvSpPr>
          <a:spLocks noChangeShapeType="1"/>
        </xdr:cNvSpPr>
      </xdr:nvSpPr>
      <xdr:spPr bwMode="auto">
        <a:xfrm>
          <a:off x="4638675" y="3267075"/>
          <a:ext cx="2571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stealth" w="sm" len="sm"/>
          <a:tailEnd type="stealth" w="sm" len="sm"/>
        </a:ln>
        <a:extLst>
          <a:ext uri="{909E8E84-426E-40DD-AFC4-6F175D3DCCD1}">
            <a14:hiddenFill xmlns:a14="http://schemas.microsoft.com/office/drawing/2010/main">
              <a:noFill/>
            </a14:hiddenFill>
          </a:ext>
        </a:extLst>
      </xdr:spPr>
    </xdr:sp>
    <xdr:clientData/>
  </xdr:twoCellAnchor>
  <xdr:twoCellAnchor>
    <xdr:from>
      <xdr:col>5</xdr:col>
      <xdr:colOff>200025</xdr:colOff>
      <xdr:row>19</xdr:row>
      <xdr:rowOff>152400</xdr:rowOff>
    </xdr:from>
    <xdr:to>
      <xdr:col>6</xdr:col>
      <xdr:colOff>342900</xdr:colOff>
      <xdr:row>19</xdr:row>
      <xdr:rowOff>152400</xdr:rowOff>
    </xdr:to>
    <xdr:sp macro="" textlink="">
      <xdr:nvSpPr>
        <xdr:cNvPr id="136210" name="Line 18"/>
        <xdr:cNvSpPr>
          <a:spLocks noChangeShapeType="1"/>
        </xdr:cNvSpPr>
      </xdr:nvSpPr>
      <xdr:spPr bwMode="auto">
        <a:xfrm>
          <a:off x="3600450" y="3267075"/>
          <a:ext cx="7524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stealth" w="sm" len="sm"/>
        </a:ln>
        <a:extLst>
          <a:ext uri="{909E8E84-426E-40DD-AFC4-6F175D3DCCD1}">
            <a14:hiddenFill xmlns:a14="http://schemas.microsoft.com/office/drawing/2010/main">
              <a:noFill/>
            </a14:hiddenFill>
          </a:ext>
        </a:extLst>
      </xdr:spPr>
    </xdr:sp>
    <xdr:clientData/>
  </xdr:twoCellAnchor>
  <xdr:twoCellAnchor>
    <xdr:from>
      <xdr:col>6</xdr:col>
      <xdr:colOff>342900</xdr:colOff>
      <xdr:row>19</xdr:row>
      <xdr:rowOff>152400</xdr:rowOff>
    </xdr:from>
    <xdr:to>
      <xdr:col>7</xdr:col>
      <xdr:colOff>19050</xdr:colOff>
      <xdr:row>19</xdr:row>
      <xdr:rowOff>152400</xdr:rowOff>
    </xdr:to>
    <xdr:sp macro="" textlink="">
      <xdr:nvSpPr>
        <xdr:cNvPr id="136211" name="Line 19"/>
        <xdr:cNvSpPr>
          <a:spLocks noChangeShapeType="1"/>
        </xdr:cNvSpPr>
      </xdr:nvSpPr>
      <xdr:spPr bwMode="auto">
        <a:xfrm>
          <a:off x="4352925" y="3267075"/>
          <a:ext cx="28575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314325</xdr:colOff>
      <xdr:row>10</xdr:row>
      <xdr:rowOff>38100</xdr:rowOff>
    </xdr:from>
    <xdr:to>
      <xdr:col>5</xdr:col>
      <xdr:colOff>285750</xdr:colOff>
      <xdr:row>13</xdr:row>
      <xdr:rowOff>57150</xdr:rowOff>
    </xdr:to>
    <xdr:sp macro="" textlink="">
      <xdr:nvSpPr>
        <xdr:cNvPr id="136212" name="Line 20"/>
        <xdr:cNvSpPr>
          <a:spLocks noChangeShapeType="1"/>
        </xdr:cNvSpPr>
      </xdr:nvSpPr>
      <xdr:spPr bwMode="auto">
        <a:xfrm flipH="1">
          <a:off x="3105150" y="1695450"/>
          <a:ext cx="581025" cy="50482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lg"/>
        </a:ln>
        <a:extLst>
          <a:ext uri="{909E8E84-426E-40DD-AFC4-6F175D3DCCD1}">
            <a14:hiddenFill xmlns:a14="http://schemas.microsoft.com/office/drawing/2010/main">
              <a:noFill/>
            </a14:hiddenFill>
          </a:ext>
        </a:extLst>
      </xdr:spPr>
    </xdr:sp>
    <xdr:clientData/>
  </xdr:twoCellAnchor>
  <xdr:twoCellAnchor>
    <xdr:from>
      <xdr:col>4</xdr:col>
      <xdr:colOff>390525</xdr:colOff>
      <xdr:row>13</xdr:row>
      <xdr:rowOff>47625</xdr:rowOff>
    </xdr:from>
    <xdr:to>
      <xdr:col>6</xdr:col>
      <xdr:colOff>47625</xdr:colOff>
      <xdr:row>13</xdr:row>
      <xdr:rowOff>47625</xdr:rowOff>
    </xdr:to>
    <xdr:sp macro="" textlink="">
      <xdr:nvSpPr>
        <xdr:cNvPr id="136216" name="Line 24"/>
        <xdr:cNvSpPr>
          <a:spLocks noChangeShapeType="1"/>
        </xdr:cNvSpPr>
      </xdr:nvSpPr>
      <xdr:spPr bwMode="auto">
        <a:xfrm flipH="1">
          <a:off x="3181350" y="2190750"/>
          <a:ext cx="876300" cy="0"/>
        </a:xfrm>
        <a:prstGeom prst="line">
          <a:avLst/>
        </a:prstGeom>
        <a:noFill/>
        <a:ln w="19050">
          <a:solidFill>
            <a:srgbClr xmlns:mc="http://schemas.openxmlformats.org/markup-compatibility/2006" xmlns:a14="http://schemas.microsoft.com/office/drawing/2010/main" val="000000" mc:Ignorable="a14" a14:legacySpreadsheetColorIndex="64"/>
          </a:solidFill>
          <a:prstDash val="dash"/>
          <a:round/>
          <a:headEnd/>
          <a:tailEnd type="triangle" w="sm" len="med"/>
        </a:ln>
        <a:extLst>
          <a:ext uri="{909E8E84-426E-40DD-AFC4-6F175D3DCCD1}">
            <a14:hiddenFill xmlns:a14="http://schemas.microsoft.com/office/drawing/2010/main">
              <a:noFill/>
            </a14:hiddenFill>
          </a:ext>
        </a:extLst>
      </xdr:spPr>
    </xdr:sp>
    <xdr:clientData/>
  </xdr:twoCellAnchor>
  <xdr:twoCellAnchor>
    <xdr:from>
      <xdr:col>4</xdr:col>
      <xdr:colOff>285750</xdr:colOff>
      <xdr:row>9</xdr:row>
      <xdr:rowOff>76200</xdr:rowOff>
    </xdr:from>
    <xdr:to>
      <xdr:col>4</xdr:col>
      <xdr:colOff>285750</xdr:colOff>
      <xdr:row>13</xdr:row>
      <xdr:rowOff>19050</xdr:rowOff>
    </xdr:to>
    <xdr:sp macro="" textlink="">
      <xdr:nvSpPr>
        <xdr:cNvPr id="136217" name="Line 25"/>
        <xdr:cNvSpPr>
          <a:spLocks noChangeShapeType="1"/>
        </xdr:cNvSpPr>
      </xdr:nvSpPr>
      <xdr:spPr bwMode="auto">
        <a:xfrm>
          <a:off x="3076575" y="1571625"/>
          <a:ext cx="0" cy="590550"/>
        </a:xfrm>
        <a:prstGeom prst="line">
          <a:avLst/>
        </a:prstGeom>
        <a:noFill/>
        <a:ln w="19050">
          <a:solidFill>
            <a:srgbClr xmlns:mc="http://schemas.openxmlformats.org/markup-compatibility/2006" xmlns:a14="http://schemas.microsoft.com/office/drawing/2010/main" val="000000" mc:Ignorable="a14" a14:legacySpreadsheetColorIndex="64"/>
          </a:solidFill>
          <a:prstDash val="dash"/>
          <a:round/>
          <a:headEnd/>
          <a:tailEnd type="triangle" w="sm" len="med"/>
        </a:ln>
        <a:extLst>
          <a:ext uri="{909E8E84-426E-40DD-AFC4-6F175D3DCCD1}">
            <a14:hiddenFill xmlns:a14="http://schemas.microsoft.com/office/drawing/2010/main">
              <a:noFill/>
            </a14:hiddenFill>
          </a:ext>
        </a:extLst>
      </xdr:spPr>
    </xdr:sp>
    <xdr:clientData/>
  </xdr:twoCellAnchor>
  <xdr:twoCellAnchor>
    <xdr:from>
      <xdr:col>7</xdr:col>
      <xdr:colOff>285750</xdr:colOff>
      <xdr:row>19</xdr:row>
      <xdr:rowOff>152400</xdr:rowOff>
    </xdr:from>
    <xdr:to>
      <xdr:col>8</xdr:col>
      <xdr:colOff>180975</xdr:colOff>
      <xdr:row>19</xdr:row>
      <xdr:rowOff>152400</xdr:rowOff>
    </xdr:to>
    <xdr:sp macro="" textlink="">
      <xdr:nvSpPr>
        <xdr:cNvPr id="136218" name="Line 26"/>
        <xdr:cNvSpPr>
          <a:spLocks noChangeShapeType="1"/>
        </xdr:cNvSpPr>
      </xdr:nvSpPr>
      <xdr:spPr bwMode="auto">
        <a:xfrm>
          <a:off x="4905375" y="3267075"/>
          <a:ext cx="50482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285750</xdr:colOff>
      <xdr:row>10</xdr:row>
      <xdr:rowOff>0</xdr:rowOff>
    </xdr:from>
    <xdr:to>
      <xdr:col>6</xdr:col>
      <xdr:colOff>342900</xdr:colOff>
      <xdr:row>10</xdr:row>
      <xdr:rowOff>0</xdr:rowOff>
    </xdr:to>
    <xdr:sp macro="" textlink="">
      <xdr:nvSpPr>
        <xdr:cNvPr id="136219" name="Line 27"/>
        <xdr:cNvSpPr>
          <a:spLocks noChangeShapeType="1"/>
        </xdr:cNvSpPr>
      </xdr:nvSpPr>
      <xdr:spPr bwMode="auto">
        <a:xfrm>
          <a:off x="3076575" y="1657350"/>
          <a:ext cx="127635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stealth" w="med" len="sm"/>
          <a:tailEnd type="stealth" w="med" len="sm"/>
        </a:ln>
        <a:extLst>
          <a:ext uri="{909E8E84-426E-40DD-AFC4-6F175D3DCCD1}">
            <a14:hiddenFill xmlns:a14="http://schemas.microsoft.com/office/drawing/2010/main">
              <a:noFill/>
            </a14:hiddenFill>
          </a:ext>
        </a:extLst>
      </xdr:spPr>
    </xdr:sp>
    <xdr:clientData/>
  </xdr:twoCellAnchor>
  <xdr:twoCellAnchor>
    <xdr:from>
      <xdr:col>4</xdr:col>
      <xdr:colOff>285750</xdr:colOff>
      <xdr:row>9</xdr:row>
      <xdr:rowOff>0</xdr:rowOff>
    </xdr:from>
    <xdr:to>
      <xdr:col>7</xdr:col>
      <xdr:colOff>19050</xdr:colOff>
      <xdr:row>9</xdr:row>
      <xdr:rowOff>0</xdr:rowOff>
    </xdr:to>
    <xdr:sp macro="" textlink="">
      <xdr:nvSpPr>
        <xdr:cNvPr id="136220" name="Line 28"/>
        <xdr:cNvSpPr>
          <a:spLocks noChangeShapeType="1"/>
        </xdr:cNvSpPr>
      </xdr:nvSpPr>
      <xdr:spPr bwMode="auto">
        <a:xfrm>
          <a:off x="3076575" y="1495425"/>
          <a:ext cx="15621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stealth" w="med" len="sm"/>
          <a:tailEnd type="stealth" w="med" len="sm"/>
        </a:ln>
        <a:extLst>
          <a:ext uri="{909E8E84-426E-40DD-AFC4-6F175D3DCCD1}">
            <a14:hiddenFill xmlns:a14="http://schemas.microsoft.com/office/drawing/2010/main">
              <a:noFill/>
            </a14:hiddenFill>
          </a:ext>
        </a:extLst>
      </xdr:spPr>
    </xdr:sp>
    <xdr:clientData/>
  </xdr:twoCellAnchor>
  <xdr:twoCellAnchor>
    <xdr:from>
      <xdr:col>8</xdr:col>
      <xdr:colOff>47625</xdr:colOff>
      <xdr:row>10</xdr:row>
      <xdr:rowOff>142875</xdr:rowOff>
    </xdr:from>
    <xdr:to>
      <xdr:col>8</xdr:col>
      <xdr:colOff>47625</xdr:colOff>
      <xdr:row>13</xdr:row>
      <xdr:rowOff>47625</xdr:rowOff>
    </xdr:to>
    <xdr:sp macro="" textlink="">
      <xdr:nvSpPr>
        <xdr:cNvPr id="136221" name="Line 29"/>
        <xdr:cNvSpPr>
          <a:spLocks noChangeShapeType="1"/>
        </xdr:cNvSpPr>
      </xdr:nvSpPr>
      <xdr:spPr bwMode="auto">
        <a:xfrm>
          <a:off x="5276850" y="1800225"/>
          <a:ext cx="0" cy="3905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stealth" w="sm" len="sm"/>
          <a:tailEnd type="stealth" w="sm" len="sm"/>
        </a:ln>
        <a:extLst>
          <a:ext uri="{909E8E84-426E-40DD-AFC4-6F175D3DCCD1}">
            <a14:hiddenFill xmlns:a14="http://schemas.microsoft.com/office/drawing/2010/main">
              <a:noFill/>
            </a14:hiddenFill>
          </a:ext>
        </a:extLst>
      </xdr:spPr>
    </xdr:sp>
    <xdr:clientData/>
  </xdr:twoCellAnchor>
  <xdr:twoCellAnchor>
    <xdr:from>
      <xdr:col>7</xdr:col>
      <xdr:colOff>542925</xdr:colOff>
      <xdr:row>13</xdr:row>
      <xdr:rowOff>47625</xdr:rowOff>
    </xdr:from>
    <xdr:to>
      <xdr:col>8</xdr:col>
      <xdr:colOff>209550</xdr:colOff>
      <xdr:row>13</xdr:row>
      <xdr:rowOff>47625</xdr:rowOff>
    </xdr:to>
    <xdr:sp macro="" textlink="">
      <xdr:nvSpPr>
        <xdr:cNvPr id="136222" name="Line 30"/>
        <xdr:cNvSpPr>
          <a:spLocks noChangeShapeType="1"/>
        </xdr:cNvSpPr>
      </xdr:nvSpPr>
      <xdr:spPr bwMode="auto">
        <a:xfrm flipH="1">
          <a:off x="5162550" y="2190750"/>
          <a:ext cx="27622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285750</xdr:colOff>
      <xdr:row>8</xdr:row>
      <xdr:rowOff>28575</xdr:rowOff>
    </xdr:from>
    <xdr:to>
      <xdr:col>4</xdr:col>
      <xdr:colOff>285750</xdr:colOff>
      <xdr:row>9</xdr:row>
      <xdr:rowOff>38100</xdr:rowOff>
    </xdr:to>
    <xdr:sp macro="" textlink="">
      <xdr:nvSpPr>
        <xdr:cNvPr id="136223" name="Line 31"/>
        <xdr:cNvSpPr>
          <a:spLocks noChangeShapeType="1"/>
        </xdr:cNvSpPr>
      </xdr:nvSpPr>
      <xdr:spPr bwMode="auto">
        <a:xfrm flipV="1">
          <a:off x="3076575" y="1362075"/>
          <a:ext cx="0" cy="1714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0</xdr:colOff>
      <xdr:row>45</xdr:row>
      <xdr:rowOff>0</xdr:rowOff>
    </xdr:from>
    <xdr:to>
      <xdr:col>6</xdr:col>
      <xdr:colOff>0</xdr:colOff>
      <xdr:row>48</xdr:row>
      <xdr:rowOff>0</xdr:rowOff>
    </xdr:to>
    <xdr:sp macro="" textlink="">
      <xdr:nvSpPr>
        <xdr:cNvPr id="136233" name="Rectangle 41"/>
        <xdr:cNvSpPr>
          <a:spLocks noChangeArrowheads="1"/>
        </xdr:cNvSpPr>
      </xdr:nvSpPr>
      <xdr:spPr bwMode="auto">
        <a:xfrm>
          <a:off x="2076450" y="7343775"/>
          <a:ext cx="1933575" cy="485775"/>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ffectLst>
          <a:outerShdw dist="107763" dir="2700000" algn="ctr" rotWithShape="0">
            <a:srgbClr val="808080"/>
          </a:outerShdw>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53640926-AAD7-44D8-BBD7-CCE9431645EC}">
            <a14:shadowObscured xmlns:a14="http://schemas.microsoft.com/office/drawing/2010/main" val="1"/>
          </a:ext>
        </a:extLst>
      </xdr:spPr>
    </xdr:sp>
    <xdr:clientData/>
  </xdr:twoCellAnchor>
  <xdr:twoCellAnchor>
    <xdr:from>
      <xdr:col>4</xdr:col>
      <xdr:colOff>285750</xdr:colOff>
      <xdr:row>10</xdr:row>
      <xdr:rowOff>85725</xdr:rowOff>
    </xdr:from>
    <xdr:to>
      <xdr:col>5</xdr:col>
      <xdr:colOff>38100</xdr:colOff>
      <xdr:row>14</xdr:row>
      <xdr:rowOff>19050</xdr:rowOff>
    </xdr:to>
    <xdr:sp macro="" textlink="">
      <xdr:nvSpPr>
        <xdr:cNvPr id="136234" name="Arc 42"/>
        <xdr:cNvSpPr>
          <a:spLocks/>
        </xdr:cNvSpPr>
      </xdr:nvSpPr>
      <xdr:spPr bwMode="auto">
        <a:xfrm>
          <a:off x="3076575" y="1743075"/>
          <a:ext cx="361950" cy="581025"/>
        </a:xfrm>
        <a:custGeom>
          <a:avLst/>
          <a:gdLst>
            <a:gd name="G0" fmla="+- 0 0 0"/>
            <a:gd name="G1" fmla="+- 21600 0 0"/>
            <a:gd name="G2" fmla="+- 21600 0 0"/>
            <a:gd name="T0" fmla="*/ 0 w 15656"/>
            <a:gd name="T1" fmla="*/ 0 h 21600"/>
            <a:gd name="T2" fmla="*/ 15656 w 15656"/>
            <a:gd name="T3" fmla="*/ 6719 h 21600"/>
            <a:gd name="T4" fmla="*/ 0 w 15656"/>
            <a:gd name="T5" fmla="*/ 21600 h 21600"/>
          </a:gdLst>
          <a:ahLst/>
          <a:cxnLst>
            <a:cxn ang="0">
              <a:pos x="T0" y="T1"/>
            </a:cxn>
            <a:cxn ang="0">
              <a:pos x="T2" y="T3"/>
            </a:cxn>
            <a:cxn ang="0">
              <a:pos x="T4" y="T5"/>
            </a:cxn>
          </a:cxnLst>
          <a:rect l="0" t="0" r="r" b="b"/>
          <a:pathLst>
            <a:path w="15656" h="21600" fill="none" extrusionOk="0">
              <a:moveTo>
                <a:pt x="-1" y="0"/>
              </a:moveTo>
              <a:cubicBezTo>
                <a:pt x="5918" y="0"/>
                <a:pt x="11578" y="2428"/>
                <a:pt x="15656" y="6718"/>
              </a:cubicBezTo>
            </a:path>
            <a:path w="15656" h="21600" stroke="0" extrusionOk="0">
              <a:moveTo>
                <a:pt x="-1" y="0"/>
              </a:moveTo>
              <a:cubicBezTo>
                <a:pt x="5918" y="0"/>
                <a:pt x="11578" y="2428"/>
                <a:pt x="15656" y="6718"/>
              </a:cubicBezTo>
              <a:lnTo>
                <a:pt x="0" y="21600"/>
              </a:lnTo>
              <a:close/>
            </a:path>
          </a:pathLst>
        </a:custGeom>
        <a:noFill/>
        <a:ln w="9525">
          <a:solidFill>
            <a:srgbClr xmlns:mc="http://schemas.openxmlformats.org/markup-compatibility/2006" xmlns:a14="http://schemas.microsoft.com/office/drawing/2010/main" val="000000" mc:Ignorable="a14" a14:legacySpreadsheetColorIndex="64"/>
          </a:solidFill>
          <a:round/>
          <a:headEnd type="stealth" w="sm" len="sm"/>
          <a:tailEnd type="stealth" w="sm" len="sm"/>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twoCellAnchor>
    <xdr:from>
      <xdr:col>33</xdr:col>
      <xdr:colOff>0</xdr:colOff>
      <xdr:row>0</xdr:row>
      <xdr:rowOff>0</xdr:rowOff>
    </xdr:from>
    <xdr:to>
      <xdr:col>34</xdr:col>
      <xdr:colOff>0</xdr:colOff>
      <xdr:row>1</xdr:row>
      <xdr:rowOff>0</xdr:rowOff>
    </xdr:to>
    <xdr:sp macro="" textlink="">
      <xdr:nvSpPr>
        <xdr:cNvPr id="136235" name="Rectangle 43"/>
        <xdr:cNvSpPr>
          <a:spLocks noChangeArrowheads="1"/>
        </xdr:cNvSpPr>
      </xdr:nvSpPr>
      <xdr:spPr bwMode="auto">
        <a:xfrm>
          <a:off x="6038850" y="0"/>
          <a:ext cx="609600" cy="200025"/>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AF507438-7753-43E0-B8FC-AC1667EBCBE1}">
            <a14:hiddenEffects xmlns:a14="http://schemas.microsoft.com/office/drawing/2010/main">
              <a:effectLst>
                <a:outerShdw dist="35921" dir="2700000" algn="ctr" rotWithShape="0">
                  <a:srgbClr val="808080"/>
                </a:outerShdw>
              </a:effectLst>
            </a14:hiddenEffects>
          </a:ext>
          <a:ext uri="{53640926-AAD7-44D8-BBD7-CCE9431645EC}">
            <a14:shadowObscured xmlns:a14="http://schemas.microsoft.com/office/drawing/2010/main" val="1"/>
          </a:ext>
        </a:extLst>
      </xdr:spPr>
    </xdr:sp>
    <xdr:clientData/>
  </xdr:twoCellAnchor>
  <xdr:twoCellAnchor>
    <xdr:from>
      <xdr:col>33</xdr:col>
      <xdr:colOff>0</xdr:colOff>
      <xdr:row>0</xdr:row>
      <xdr:rowOff>0</xdr:rowOff>
    </xdr:from>
    <xdr:to>
      <xdr:col>34</xdr:col>
      <xdr:colOff>0</xdr:colOff>
      <xdr:row>1</xdr:row>
      <xdr:rowOff>0</xdr:rowOff>
    </xdr:to>
    <xdr:sp macro="" textlink="">
      <xdr:nvSpPr>
        <xdr:cNvPr id="136236" name="Rectangle 44"/>
        <xdr:cNvSpPr>
          <a:spLocks noChangeArrowheads="1"/>
        </xdr:cNvSpPr>
      </xdr:nvSpPr>
      <xdr:spPr bwMode="auto">
        <a:xfrm>
          <a:off x="6038850" y="0"/>
          <a:ext cx="609600" cy="200025"/>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AF507438-7753-43E0-B8FC-AC1667EBCBE1}">
            <a14:hiddenEffects xmlns:a14="http://schemas.microsoft.com/office/drawing/2010/main">
              <a:effectLst>
                <a:outerShdw dist="35921" dir="2700000" algn="ctr" rotWithShape="0">
                  <a:srgbClr val="808080"/>
                </a:outerShdw>
              </a:effectLst>
            </a14:hiddenEffects>
          </a:ext>
          <a:ext uri="{53640926-AAD7-44D8-BBD7-CCE9431645EC}">
            <a14:shadowObscured xmlns:a14="http://schemas.microsoft.com/office/drawing/2010/main" val="1"/>
          </a:ext>
        </a:extLst>
      </xdr:spPr>
    </xdr:sp>
    <xdr:clientData/>
  </xdr:twoCellAnchor>
  <xdr:twoCellAnchor>
    <xdr:from>
      <xdr:col>33</xdr:col>
      <xdr:colOff>0</xdr:colOff>
      <xdr:row>0</xdr:row>
      <xdr:rowOff>0</xdr:rowOff>
    </xdr:from>
    <xdr:to>
      <xdr:col>34</xdr:col>
      <xdr:colOff>0</xdr:colOff>
      <xdr:row>1</xdr:row>
      <xdr:rowOff>0</xdr:rowOff>
    </xdr:to>
    <xdr:sp macro="" textlink="">
      <xdr:nvSpPr>
        <xdr:cNvPr id="136237" name="Rectangle 45"/>
        <xdr:cNvSpPr>
          <a:spLocks noChangeArrowheads="1"/>
        </xdr:cNvSpPr>
      </xdr:nvSpPr>
      <xdr:spPr bwMode="auto">
        <a:xfrm>
          <a:off x="6038850" y="0"/>
          <a:ext cx="609600" cy="200025"/>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AF507438-7753-43E0-B8FC-AC1667EBCBE1}">
            <a14:hiddenEffects xmlns:a14="http://schemas.microsoft.com/office/drawing/2010/main">
              <a:effectLst>
                <a:outerShdw dist="35921" dir="2700000" algn="ctr" rotWithShape="0">
                  <a:srgbClr val="808080"/>
                </a:outerShdw>
              </a:effectLst>
            </a14:hiddenEffects>
          </a:ext>
          <a:ext uri="{53640926-AAD7-44D8-BBD7-CCE9431645EC}">
            <a14:shadowObscured xmlns:a14="http://schemas.microsoft.com/office/drawing/2010/main" val="1"/>
          </a:ext>
        </a:extLst>
      </xdr:spPr>
    </xdr:sp>
    <xdr:clientData/>
  </xdr:twoCellAnchor>
  <xdr:twoCellAnchor>
    <xdr:from>
      <xdr:col>33</xdr:col>
      <xdr:colOff>0</xdr:colOff>
      <xdr:row>0</xdr:row>
      <xdr:rowOff>0</xdr:rowOff>
    </xdr:from>
    <xdr:to>
      <xdr:col>34</xdr:col>
      <xdr:colOff>0</xdr:colOff>
      <xdr:row>1</xdr:row>
      <xdr:rowOff>0</xdr:rowOff>
    </xdr:to>
    <xdr:sp macro="" textlink="">
      <xdr:nvSpPr>
        <xdr:cNvPr id="136238" name="Rectangle 46"/>
        <xdr:cNvSpPr>
          <a:spLocks noChangeArrowheads="1"/>
        </xdr:cNvSpPr>
      </xdr:nvSpPr>
      <xdr:spPr bwMode="auto">
        <a:xfrm>
          <a:off x="6038850" y="0"/>
          <a:ext cx="609600" cy="200025"/>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AF507438-7753-43E0-B8FC-AC1667EBCBE1}">
            <a14:hiddenEffects xmlns:a14="http://schemas.microsoft.com/office/drawing/2010/main">
              <a:effectLst>
                <a:outerShdw dist="35921" dir="2700000" algn="ctr" rotWithShape="0">
                  <a:srgbClr val="808080"/>
                </a:outerShdw>
              </a:effectLst>
            </a14:hiddenEffects>
          </a:ext>
          <a:ext uri="{53640926-AAD7-44D8-BBD7-CCE9431645EC}">
            <a14:shadowObscured xmlns:a14="http://schemas.microsoft.com/office/drawing/2010/main" val="1"/>
          </a:ext>
        </a:extLst>
      </xdr:spPr>
    </xdr:sp>
    <xdr:clientData/>
  </xdr:twoCellAnchor>
  <xdr:twoCellAnchor>
    <xdr:from>
      <xdr:col>33</xdr:col>
      <xdr:colOff>0</xdr:colOff>
      <xdr:row>0</xdr:row>
      <xdr:rowOff>0</xdr:rowOff>
    </xdr:from>
    <xdr:to>
      <xdr:col>34</xdr:col>
      <xdr:colOff>0</xdr:colOff>
      <xdr:row>1</xdr:row>
      <xdr:rowOff>0</xdr:rowOff>
    </xdr:to>
    <xdr:sp macro="" textlink="">
      <xdr:nvSpPr>
        <xdr:cNvPr id="136239" name="Rectangle 47"/>
        <xdr:cNvSpPr>
          <a:spLocks noChangeArrowheads="1"/>
        </xdr:cNvSpPr>
      </xdr:nvSpPr>
      <xdr:spPr bwMode="auto">
        <a:xfrm>
          <a:off x="6038850" y="0"/>
          <a:ext cx="609600" cy="200025"/>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AF507438-7753-43E0-B8FC-AC1667EBCBE1}">
            <a14:hiddenEffects xmlns:a14="http://schemas.microsoft.com/office/drawing/2010/main">
              <a:effectLst>
                <a:outerShdw dist="35921" dir="2700000" algn="ctr" rotWithShape="0">
                  <a:srgbClr val="808080"/>
                </a:outerShdw>
              </a:effectLst>
            </a14:hiddenEffects>
          </a:ext>
          <a:ext uri="{53640926-AAD7-44D8-BBD7-CCE9431645EC}">
            <a14:shadowObscured xmlns:a14="http://schemas.microsoft.com/office/drawing/2010/main" val="1"/>
          </a:ext>
        </a:extLst>
      </xdr:spPr>
    </xdr:sp>
    <xdr:clientData/>
  </xdr:twoCellAnchor>
  <xdr:twoCellAnchor>
    <xdr:from>
      <xdr:col>33</xdr:col>
      <xdr:colOff>0</xdr:colOff>
      <xdr:row>0</xdr:row>
      <xdr:rowOff>0</xdr:rowOff>
    </xdr:from>
    <xdr:to>
      <xdr:col>34</xdr:col>
      <xdr:colOff>0</xdr:colOff>
      <xdr:row>1</xdr:row>
      <xdr:rowOff>0</xdr:rowOff>
    </xdr:to>
    <xdr:sp macro="" textlink="">
      <xdr:nvSpPr>
        <xdr:cNvPr id="136240" name="Rectangle 48"/>
        <xdr:cNvSpPr>
          <a:spLocks noChangeArrowheads="1"/>
        </xdr:cNvSpPr>
      </xdr:nvSpPr>
      <xdr:spPr bwMode="auto">
        <a:xfrm>
          <a:off x="6038850" y="0"/>
          <a:ext cx="609600" cy="200025"/>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AF507438-7753-43E0-B8FC-AC1667EBCBE1}">
            <a14:hiddenEffects xmlns:a14="http://schemas.microsoft.com/office/drawing/2010/main">
              <a:effectLst>
                <a:outerShdw dist="35921" dir="2700000" algn="ctr" rotWithShape="0">
                  <a:srgbClr val="808080"/>
                </a:outerShdw>
              </a:effectLst>
            </a14:hiddenEffects>
          </a:ext>
          <a:ext uri="{53640926-AAD7-44D8-BBD7-CCE9431645EC}">
            <a14:shadowObscured xmlns:a14="http://schemas.microsoft.com/office/drawing/2010/main" val="1"/>
          </a:ext>
        </a:extLst>
      </xdr:spPr>
    </xdr:sp>
    <xdr:clientData/>
  </xdr:twoCellAnchor>
  <xdr:twoCellAnchor>
    <xdr:from>
      <xdr:col>34</xdr:col>
      <xdr:colOff>0</xdr:colOff>
      <xdr:row>10</xdr:row>
      <xdr:rowOff>0</xdr:rowOff>
    </xdr:from>
    <xdr:to>
      <xdr:col>37</xdr:col>
      <xdr:colOff>0</xdr:colOff>
      <xdr:row>13</xdr:row>
      <xdr:rowOff>0</xdr:rowOff>
    </xdr:to>
    <xdr:sp macro="" textlink="">
      <xdr:nvSpPr>
        <xdr:cNvPr id="136242" name="Rectangle 50"/>
        <xdr:cNvSpPr>
          <a:spLocks noChangeArrowheads="1"/>
        </xdr:cNvSpPr>
      </xdr:nvSpPr>
      <xdr:spPr bwMode="auto">
        <a:xfrm>
          <a:off x="6648450" y="1657350"/>
          <a:ext cx="1828800" cy="485775"/>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ffectLst>
          <a:outerShdw dist="107763" dir="2700000" algn="ctr" rotWithShape="0">
            <a:srgbClr val="808080"/>
          </a:outerShdw>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53640926-AAD7-44D8-BBD7-CCE9431645EC}">
            <a14:shadowObscured xmlns:a14="http://schemas.microsoft.com/office/drawing/2010/main" val="1"/>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drawing" Target="../drawings/drawing10.xml"/><Relationship Id="rId1" Type="http://schemas.openxmlformats.org/officeDocument/2006/relationships/printerSettings" Target="../printerSettings/printerSettings10.bin"/><Relationship Id="rId4" Type="http://schemas.openxmlformats.org/officeDocument/2006/relationships/comments" Target="../comments9.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5.x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6.xml"/><Relationship Id="rId1" Type="http://schemas.openxmlformats.org/officeDocument/2006/relationships/printerSettings" Target="../printerSettings/printerSettings6.bin"/><Relationship Id="rId4" Type="http://schemas.openxmlformats.org/officeDocument/2006/relationships/comments" Target="../comments5.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7.xml"/><Relationship Id="rId1" Type="http://schemas.openxmlformats.org/officeDocument/2006/relationships/printerSettings" Target="../printerSettings/printerSettings7.bin"/><Relationship Id="rId4" Type="http://schemas.openxmlformats.org/officeDocument/2006/relationships/comments" Target="../comments6.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8.xml"/><Relationship Id="rId1" Type="http://schemas.openxmlformats.org/officeDocument/2006/relationships/printerSettings" Target="../printerSettings/printerSettings8.bin"/><Relationship Id="rId4" Type="http://schemas.openxmlformats.org/officeDocument/2006/relationships/comments" Target="../comments7.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9.xml"/><Relationship Id="rId1" Type="http://schemas.openxmlformats.org/officeDocument/2006/relationships/printerSettings" Target="../printerSettings/printerSettings9.bin"/><Relationship Id="rId4" Type="http://schemas.openxmlformats.org/officeDocument/2006/relationships/comments" Target="../comments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0"/>
  <sheetViews>
    <sheetView zoomScaleNormal="100" workbookViewId="0">
      <selection activeCell="A97" sqref="A97"/>
    </sheetView>
  </sheetViews>
  <sheetFormatPr defaultRowHeight="12.75" x14ac:dyDescent="0.2"/>
  <cols>
    <col min="1" max="9" width="9.140625" style="18"/>
    <col min="10" max="10" width="6.7109375" style="18" customWidth="1"/>
    <col min="11" max="16384" width="9.140625" style="18"/>
  </cols>
  <sheetData>
    <row r="1" spans="1:13" ht="15.75" x14ac:dyDescent="0.25">
      <c r="A1" s="448" t="s">
        <v>1523</v>
      </c>
      <c r="B1" s="328"/>
      <c r="C1" s="328"/>
      <c r="D1" s="328"/>
      <c r="E1" s="328"/>
      <c r="F1" s="328"/>
      <c r="G1" s="328"/>
      <c r="H1" s="328"/>
      <c r="I1" s="328"/>
      <c r="J1" s="328"/>
    </row>
    <row r="2" spans="1:13" x14ac:dyDescent="0.2">
      <c r="A2" s="449"/>
      <c r="B2" s="328"/>
      <c r="C2" s="328"/>
      <c r="D2" s="328"/>
      <c r="E2" s="328"/>
      <c r="F2" s="328"/>
      <c r="G2" s="328"/>
      <c r="H2" s="328"/>
      <c r="I2" s="328"/>
      <c r="J2" s="328"/>
    </row>
    <row r="3" spans="1:13" x14ac:dyDescent="0.2">
      <c r="A3" s="450" t="s">
        <v>1378</v>
      </c>
    </row>
    <row r="4" spans="1:13" x14ac:dyDescent="0.2">
      <c r="A4" s="451"/>
      <c r="B4" s="451"/>
      <c r="C4" s="451"/>
      <c r="D4" s="451"/>
      <c r="E4" s="451"/>
      <c r="F4" s="451"/>
      <c r="G4" s="451"/>
      <c r="H4" s="451"/>
      <c r="I4" s="451"/>
      <c r="J4" s="451"/>
    </row>
    <row r="5" spans="1:13" x14ac:dyDescent="0.2">
      <c r="A5" s="451" t="s">
        <v>1524</v>
      </c>
      <c r="B5" s="451"/>
      <c r="C5" s="451"/>
      <c r="D5" s="451"/>
      <c r="E5" s="451"/>
      <c r="F5" s="451"/>
      <c r="G5" s="451"/>
      <c r="H5" s="451"/>
      <c r="I5" s="451"/>
      <c r="J5" s="451"/>
    </row>
    <row r="6" spans="1:13" x14ac:dyDescent="0.2">
      <c r="A6" s="451" t="s">
        <v>1521</v>
      </c>
      <c r="B6" s="451"/>
      <c r="C6" s="451"/>
      <c r="D6" s="451"/>
      <c r="E6" s="451"/>
      <c r="F6" s="451"/>
      <c r="G6" s="451"/>
      <c r="H6" s="451"/>
      <c r="I6" s="451"/>
      <c r="J6" s="451"/>
    </row>
    <row r="7" spans="1:13" x14ac:dyDescent="0.2">
      <c r="A7" s="451" t="s">
        <v>1522</v>
      </c>
      <c r="B7" s="451"/>
      <c r="C7" s="451"/>
      <c r="D7" s="451"/>
      <c r="E7" s="451"/>
      <c r="F7" s="451"/>
      <c r="G7" s="451"/>
      <c r="H7" s="451"/>
      <c r="I7" s="451"/>
      <c r="J7" s="451"/>
    </row>
    <row r="9" spans="1:13" x14ac:dyDescent="0.2">
      <c r="A9" s="451" t="s">
        <v>1509</v>
      </c>
      <c r="B9" s="451"/>
      <c r="C9" s="451"/>
      <c r="D9" s="451"/>
      <c r="E9" s="451"/>
      <c r="F9" s="451"/>
      <c r="G9" s="451"/>
      <c r="H9" s="451"/>
      <c r="I9" s="451"/>
      <c r="J9" s="451"/>
    </row>
    <row r="10" spans="1:13" x14ac:dyDescent="0.2">
      <c r="A10" s="451"/>
      <c r="B10" s="451"/>
      <c r="C10" s="451"/>
      <c r="D10" s="451"/>
      <c r="E10" s="451"/>
      <c r="F10" s="451"/>
      <c r="G10" s="451"/>
      <c r="H10" s="451"/>
      <c r="I10" s="451"/>
      <c r="J10" s="451"/>
    </row>
    <row r="11" spans="1:13" x14ac:dyDescent="0.2">
      <c r="A11" s="452" t="s">
        <v>1379</v>
      </c>
      <c r="B11" s="453"/>
      <c r="C11" s="454"/>
      <c r="D11" s="455" t="s">
        <v>1380</v>
      </c>
      <c r="E11" s="453"/>
      <c r="F11" s="453"/>
      <c r="G11" s="453"/>
      <c r="H11" s="453"/>
      <c r="I11" s="453"/>
      <c r="J11" s="454"/>
    </row>
    <row r="12" spans="1:13" x14ac:dyDescent="0.2">
      <c r="A12" s="456" t="s">
        <v>1381</v>
      </c>
      <c r="B12" s="457"/>
      <c r="C12" s="458"/>
      <c r="D12" s="457" t="s">
        <v>1382</v>
      </c>
      <c r="E12" s="457"/>
      <c r="F12" s="457"/>
      <c r="G12" s="457"/>
      <c r="H12" s="457"/>
      <c r="I12" s="457"/>
      <c r="J12" s="458"/>
    </row>
    <row r="13" spans="1:13" x14ac:dyDescent="0.2">
      <c r="A13" s="459" t="s">
        <v>1468</v>
      </c>
      <c r="B13" s="460"/>
      <c r="C13" s="461"/>
      <c r="D13" s="460" t="s">
        <v>1477</v>
      </c>
      <c r="E13" s="460"/>
      <c r="F13" s="460"/>
      <c r="G13" s="460"/>
      <c r="H13" s="460"/>
      <c r="I13" s="460"/>
      <c r="J13" s="461"/>
      <c r="K13" s="491"/>
      <c r="L13" s="491"/>
      <c r="M13" s="491"/>
    </row>
    <row r="14" spans="1:13" x14ac:dyDescent="0.2">
      <c r="A14" s="459" t="s">
        <v>1470</v>
      </c>
      <c r="B14" s="460"/>
      <c r="C14" s="461"/>
      <c r="D14" s="460" t="s">
        <v>1478</v>
      </c>
      <c r="E14" s="460"/>
      <c r="F14" s="460"/>
      <c r="G14" s="460"/>
      <c r="H14" s="460"/>
      <c r="I14" s="460"/>
      <c r="J14" s="461"/>
      <c r="K14" s="491"/>
      <c r="L14" s="491"/>
      <c r="M14" s="491"/>
    </row>
    <row r="15" spans="1:13" x14ac:dyDescent="0.2">
      <c r="A15" s="459" t="s">
        <v>1471</v>
      </c>
      <c r="B15" s="460"/>
      <c r="C15" s="461"/>
      <c r="D15" s="460" t="s">
        <v>1479</v>
      </c>
      <c r="E15" s="460"/>
      <c r="F15" s="460"/>
      <c r="G15" s="460"/>
      <c r="H15" s="460"/>
      <c r="I15" s="460"/>
      <c r="J15" s="461"/>
      <c r="K15" s="491"/>
      <c r="L15" s="491"/>
      <c r="M15" s="491"/>
    </row>
    <row r="16" spans="1:13" x14ac:dyDescent="0.2">
      <c r="A16" s="459" t="s">
        <v>1472</v>
      </c>
      <c r="B16" s="460"/>
      <c r="C16" s="461"/>
      <c r="D16" s="460" t="s">
        <v>1480</v>
      </c>
      <c r="E16" s="460"/>
      <c r="F16" s="460"/>
      <c r="G16" s="460"/>
      <c r="H16" s="460"/>
      <c r="I16" s="460"/>
      <c r="J16" s="461"/>
      <c r="K16" s="491"/>
      <c r="L16" s="491"/>
      <c r="M16" s="491"/>
    </row>
    <row r="17" spans="1:13" x14ac:dyDescent="0.2">
      <c r="A17" s="459" t="s">
        <v>1473</v>
      </c>
      <c r="B17" s="460"/>
      <c r="C17" s="461"/>
      <c r="D17" s="460" t="s">
        <v>1481</v>
      </c>
      <c r="E17" s="460"/>
      <c r="F17" s="460"/>
      <c r="G17" s="460"/>
      <c r="H17" s="460"/>
      <c r="I17" s="460"/>
      <c r="J17" s="461"/>
      <c r="K17" s="491"/>
      <c r="L17" s="491"/>
      <c r="M17" s="491"/>
    </row>
    <row r="18" spans="1:13" x14ac:dyDescent="0.2">
      <c r="A18" s="459" t="s">
        <v>1474</v>
      </c>
      <c r="B18" s="460"/>
      <c r="C18" s="461"/>
      <c r="D18" s="460" t="s">
        <v>1482</v>
      </c>
      <c r="E18" s="460"/>
      <c r="F18" s="460"/>
      <c r="G18" s="460"/>
      <c r="H18" s="460"/>
      <c r="I18" s="460"/>
      <c r="J18" s="461"/>
      <c r="K18" s="491"/>
      <c r="L18" s="491"/>
      <c r="M18" s="491"/>
    </row>
    <row r="19" spans="1:13" x14ac:dyDescent="0.2">
      <c r="A19" s="459" t="s">
        <v>1475</v>
      </c>
      <c r="B19" s="460"/>
      <c r="C19" s="461"/>
      <c r="D19" s="460" t="s">
        <v>1484</v>
      </c>
      <c r="E19" s="460"/>
      <c r="F19" s="460"/>
      <c r="G19" s="460"/>
      <c r="H19" s="460"/>
      <c r="I19" s="460"/>
      <c r="J19" s="461"/>
      <c r="K19" s="491"/>
      <c r="L19" s="491"/>
      <c r="M19" s="491"/>
    </row>
    <row r="20" spans="1:13" x14ac:dyDescent="0.2">
      <c r="A20" s="459" t="s">
        <v>1476</v>
      </c>
      <c r="B20" s="460"/>
      <c r="C20" s="461"/>
      <c r="D20" s="460" t="s">
        <v>1483</v>
      </c>
      <c r="E20" s="460"/>
      <c r="F20" s="460"/>
      <c r="G20" s="460"/>
      <c r="H20" s="460"/>
      <c r="I20" s="460"/>
      <c r="J20" s="461"/>
    </row>
    <row r="21" spans="1:13" x14ac:dyDescent="0.2">
      <c r="A21" s="459" t="s">
        <v>1467</v>
      </c>
      <c r="B21" s="460"/>
      <c r="C21" s="461"/>
      <c r="D21" s="460" t="s">
        <v>1469</v>
      </c>
      <c r="E21" s="460"/>
      <c r="F21" s="460"/>
      <c r="G21" s="460"/>
      <c r="H21" s="460"/>
      <c r="I21" s="460"/>
      <c r="J21" s="461"/>
    </row>
    <row r="22" spans="1:13" x14ac:dyDescent="0.2">
      <c r="A22" s="462" t="s">
        <v>1383</v>
      </c>
      <c r="B22" s="463"/>
      <c r="C22" s="464"/>
      <c r="D22" s="463" t="s">
        <v>1384</v>
      </c>
      <c r="E22" s="463"/>
      <c r="F22" s="463"/>
      <c r="G22" s="463"/>
      <c r="H22" s="463"/>
      <c r="I22" s="463"/>
      <c r="J22" s="464"/>
    </row>
    <row r="24" spans="1:13" x14ac:dyDescent="0.2">
      <c r="A24" s="450" t="s">
        <v>1385</v>
      </c>
      <c r="B24" s="451"/>
      <c r="C24" s="451"/>
      <c r="D24" s="451"/>
      <c r="E24" s="451"/>
      <c r="F24" s="451"/>
      <c r="G24" s="451"/>
      <c r="H24" s="451"/>
      <c r="I24" s="451"/>
      <c r="J24" s="451"/>
    </row>
    <row r="25" spans="1:13" x14ac:dyDescent="0.2">
      <c r="A25" s="451"/>
      <c r="B25" s="451"/>
      <c r="C25" s="451"/>
      <c r="D25" s="451"/>
      <c r="E25" s="451"/>
      <c r="F25" s="451"/>
      <c r="G25" s="451"/>
      <c r="H25" s="451"/>
      <c r="I25" s="451"/>
      <c r="J25" s="451"/>
    </row>
    <row r="26" spans="1:13" x14ac:dyDescent="0.2">
      <c r="A26" s="451" t="s">
        <v>1505</v>
      </c>
      <c r="B26" s="451"/>
      <c r="C26" s="451"/>
      <c r="D26" s="451"/>
      <c r="E26" s="451"/>
      <c r="F26" s="451"/>
      <c r="G26" s="451"/>
      <c r="H26" s="451"/>
      <c r="I26" s="451"/>
      <c r="J26" s="451"/>
    </row>
    <row r="27" spans="1:13" x14ac:dyDescent="0.2">
      <c r="A27" s="451" t="s">
        <v>1506</v>
      </c>
      <c r="B27" s="451"/>
      <c r="C27" s="451"/>
      <c r="D27" s="451"/>
      <c r="E27" s="451"/>
      <c r="F27" s="451"/>
      <c r="G27" s="451"/>
      <c r="H27" s="451"/>
      <c r="I27" s="451"/>
      <c r="J27" s="451"/>
    </row>
    <row r="28" spans="1:13" x14ac:dyDescent="0.2">
      <c r="A28" s="451" t="s">
        <v>1507</v>
      </c>
      <c r="B28" s="451"/>
      <c r="C28" s="451"/>
      <c r="D28" s="451"/>
      <c r="E28" s="451"/>
      <c r="F28" s="451"/>
      <c r="G28" s="451"/>
      <c r="H28" s="451"/>
      <c r="I28" s="451"/>
      <c r="J28" s="451"/>
    </row>
    <row r="29" spans="1:13" x14ac:dyDescent="0.2">
      <c r="A29" s="451" t="s">
        <v>1508</v>
      </c>
      <c r="B29" s="451"/>
      <c r="C29" s="451"/>
      <c r="D29" s="451"/>
      <c r="E29" s="451"/>
      <c r="F29" s="451"/>
      <c r="G29" s="451"/>
      <c r="H29" s="451"/>
      <c r="I29" s="451"/>
      <c r="J29" s="451"/>
    </row>
    <row r="30" spans="1:13" x14ac:dyDescent="0.2">
      <c r="A30" s="451" t="s">
        <v>1510</v>
      </c>
      <c r="B30" s="451"/>
      <c r="C30" s="451"/>
      <c r="D30" s="451"/>
      <c r="E30" s="451"/>
      <c r="F30" s="451"/>
      <c r="G30" s="451"/>
      <c r="H30" s="451"/>
      <c r="I30" s="451"/>
      <c r="J30" s="451"/>
    </row>
    <row r="31" spans="1:13" x14ac:dyDescent="0.2">
      <c r="A31" s="451" t="s">
        <v>1511</v>
      </c>
      <c r="B31" s="451"/>
      <c r="C31" s="451"/>
      <c r="D31" s="451"/>
      <c r="E31" s="451"/>
      <c r="F31" s="451"/>
      <c r="G31" s="451"/>
      <c r="H31" s="451"/>
      <c r="I31" s="451"/>
      <c r="J31" s="451"/>
    </row>
    <row r="32" spans="1:13" x14ac:dyDescent="0.2">
      <c r="A32" s="451" t="s">
        <v>1512</v>
      </c>
      <c r="B32" s="451"/>
      <c r="C32" s="451"/>
      <c r="D32" s="451"/>
      <c r="E32" s="451"/>
      <c r="F32" s="451"/>
      <c r="G32" s="451"/>
      <c r="H32" s="451"/>
      <c r="I32" s="451"/>
      <c r="J32" s="451"/>
    </row>
    <row r="33" spans="1:10" x14ac:dyDescent="0.2">
      <c r="A33" s="451" t="s">
        <v>1513</v>
      </c>
      <c r="B33" s="451"/>
      <c r="C33" s="451"/>
      <c r="D33" s="451"/>
      <c r="E33" s="451"/>
      <c r="F33" s="451"/>
      <c r="G33" s="451"/>
      <c r="H33" s="451"/>
      <c r="I33" s="451"/>
      <c r="J33" s="451"/>
    </row>
    <row r="34" spans="1:10" x14ac:dyDescent="0.2">
      <c r="A34" s="451" t="s">
        <v>1491</v>
      </c>
      <c r="B34" s="451"/>
      <c r="C34" s="451"/>
      <c r="D34" s="451"/>
      <c r="E34" s="451"/>
      <c r="F34" s="451"/>
      <c r="G34" s="451"/>
      <c r="H34" s="451"/>
      <c r="I34" s="451"/>
      <c r="J34" s="451"/>
    </row>
    <row r="35" spans="1:10" x14ac:dyDescent="0.2">
      <c r="A35" s="451" t="s">
        <v>1492</v>
      </c>
      <c r="B35" s="451"/>
      <c r="C35" s="451"/>
      <c r="D35" s="451"/>
      <c r="E35" s="451"/>
      <c r="F35" s="451"/>
      <c r="G35" s="451"/>
      <c r="H35" s="451"/>
      <c r="I35" s="451"/>
      <c r="J35" s="451"/>
    </row>
    <row r="36" spans="1:10" x14ac:dyDescent="0.2">
      <c r="A36" s="451" t="s">
        <v>1493</v>
      </c>
      <c r="B36" s="451"/>
      <c r="C36" s="451"/>
      <c r="D36" s="451"/>
      <c r="E36" s="451"/>
      <c r="F36" s="451"/>
      <c r="G36" s="451"/>
      <c r="H36" s="451"/>
      <c r="I36" s="451"/>
      <c r="J36" s="451"/>
    </row>
    <row r="37" spans="1:10" x14ac:dyDescent="0.2">
      <c r="A37" s="451" t="s">
        <v>1514</v>
      </c>
      <c r="B37" s="451"/>
      <c r="C37" s="451"/>
      <c r="D37" s="451"/>
      <c r="E37" s="451"/>
      <c r="F37" s="451"/>
      <c r="G37" s="451"/>
      <c r="H37" s="451"/>
      <c r="I37" s="451"/>
      <c r="J37" s="451"/>
    </row>
    <row r="38" spans="1:10" x14ac:dyDescent="0.2">
      <c r="A38" s="451" t="s">
        <v>1494</v>
      </c>
      <c r="B38" s="451"/>
      <c r="C38" s="451"/>
      <c r="D38" s="451"/>
      <c r="E38" s="451"/>
      <c r="F38" s="451"/>
      <c r="G38" s="451"/>
      <c r="H38" s="451"/>
      <c r="I38" s="451"/>
      <c r="J38" s="451"/>
    </row>
    <row r="39" spans="1:10" x14ac:dyDescent="0.2">
      <c r="A39" s="451" t="s">
        <v>1495</v>
      </c>
      <c r="B39" s="451"/>
      <c r="C39" s="451"/>
      <c r="D39" s="451"/>
      <c r="E39" s="451"/>
      <c r="F39" s="451"/>
      <c r="G39" s="451"/>
      <c r="H39" s="451"/>
      <c r="I39" s="451"/>
      <c r="J39" s="451"/>
    </row>
    <row r="40" spans="1:10" x14ac:dyDescent="0.2">
      <c r="A40" s="352" t="s">
        <v>1386</v>
      </c>
      <c r="B40" s="451"/>
      <c r="C40" s="451"/>
      <c r="D40" s="451"/>
      <c r="E40" s="451"/>
      <c r="F40" s="451"/>
      <c r="G40" s="451"/>
      <c r="H40" s="451"/>
      <c r="I40" s="451"/>
      <c r="J40" s="451"/>
    </row>
    <row r="41" spans="1:10" x14ac:dyDescent="0.2">
      <c r="A41" s="451" t="s">
        <v>1515</v>
      </c>
      <c r="B41" s="451"/>
      <c r="C41" s="451"/>
      <c r="D41" s="451"/>
      <c r="E41" s="451"/>
      <c r="F41" s="451"/>
      <c r="G41" s="451"/>
      <c r="H41" s="451"/>
      <c r="I41" s="451"/>
      <c r="J41" s="451"/>
    </row>
    <row r="42" spans="1:10" x14ac:dyDescent="0.2">
      <c r="A42" s="451" t="s">
        <v>1496</v>
      </c>
      <c r="B42" s="451"/>
      <c r="C42" s="451"/>
      <c r="D42" s="451"/>
      <c r="E42" s="451"/>
      <c r="F42" s="451"/>
      <c r="G42" s="451"/>
      <c r="H42" s="451"/>
      <c r="I42" s="451"/>
      <c r="J42" s="451"/>
    </row>
    <row r="43" spans="1:10" x14ac:dyDescent="0.2">
      <c r="A43" s="451" t="s">
        <v>1497</v>
      </c>
      <c r="B43" s="451"/>
      <c r="C43" s="451"/>
      <c r="D43" s="451"/>
      <c r="E43" s="451"/>
      <c r="F43" s="451"/>
      <c r="G43" s="451"/>
      <c r="H43" s="451"/>
      <c r="I43" s="451"/>
      <c r="J43" s="451"/>
    </row>
    <row r="44" spans="1:10" x14ac:dyDescent="0.2">
      <c r="A44" s="451" t="s">
        <v>1516</v>
      </c>
      <c r="B44" s="451"/>
      <c r="C44" s="451"/>
      <c r="D44" s="451"/>
      <c r="E44" s="451"/>
      <c r="F44" s="451"/>
      <c r="G44" s="451"/>
      <c r="H44" s="451"/>
      <c r="I44" s="451"/>
      <c r="J44" s="451"/>
    </row>
    <row r="45" spans="1:10" x14ac:dyDescent="0.2">
      <c r="A45" s="451" t="s">
        <v>1498</v>
      </c>
      <c r="B45" s="451"/>
      <c r="C45" s="451"/>
      <c r="D45" s="451"/>
      <c r="E45" s="451"/>
      <c r="F45" s="451"/>
      <c r="G45" s="451"/>
      <c r="H45" s="451"/>
      <c r="I45" s="451"/>
      <c r="J45" s="451"/>
    </row>
    <row r="46" spans="1:10" x14ac:dyDescent="0.2">
      <c r="A46" s="451" t="s">
        <v>1499</v>
      </c>
      <c r="B46" s="451"/>
      <c r="C46" s="451"/>
      <c r="D46" s="451"/>
      <c r="E46" s="451"/>
      <c r="F46" s="451"/>
      <c r="G46" s="451"/>
      <c r="H46" s="451"/>
      <c r="I46" s="451"/>
      <c r="J46" s="451"/>
    </row>
    <row r="47" spans="1:10" x14ac:dyDescent="0.2">
      <c r="A47" s="451" t="s">
        <v>1500</v>
      </c>
      <c r="B47" s="451"/>
      <c r="C47" s="451"/>
      <c r="D47" s="451"/>
      <c r="E47" s="451"/>
      <c r="F47" s="451"/>
      <c r="G47" s="451"/>
      <c r="H47" s="451"/>
      <c r="I47" s="451"/>
      <c r="J47" s="451"/>
    </row>
    <row r="48" spans="1:10" x14ac:dyDescent="0.2">
      <c r="A48" s="451" t="s">
        <v>1517</v>
      </c>
      <c r="B48" s="451"/>
      <c r="C48" s="451"/>
      <c r="D48" s="451"/>
      <c r="E48" s="451"/>
      <c r="F48" s="451"/>
      <c r="G48" s="451"/>
      <c r="H48" s="451"/>
      <c r="I48" s="451"/>
      <c r="J48" s="451"/>
    </row>
    <row r="49" spans="1:10" x14ac:dyDescent="0.2">
      <c r="A49" s="451" t="s">
        <v>1501</v>
      </c>
      <c r="B49" s="451"/>
      <c r="C49" s="451"/>
      <c r="D49" s="451"/>
      <c r="E49" s="451"/>
      <c r="F49" s="451"/>
      <c r="G49" s="451"/>
      <c r="H49" s="451"/>
      <c r="I49" s="451"/>
      <c r="J49" s="451"/>
    </row>
    <row r="50" spans="1:10" x14ac:dyDescent="0.2">
      <c r="A50" s="451" t="s">
        <v>1502</v>
      </c>
      <c r="B50" s="451"/>
      <c r="C50" s="451"/>
      <c r="D50" s="451"/>
      <c r="E50" s="451"/>
      <c r="F50" s="451"/>
      <c r="G50" s="451"/>
      <c r="H50" s="451"/>
      <c r="I50" s="451"/>
      <c r="J50" s="451"/>
    </row>
    <row r="51" spans="1:10" x14ac:dyDescent="0.2">
      <c r="A51" s="451" t="s">
        <v>1503</v>
      </c>
      <c r="B51" s="451"/>
      <c r="C51" s="451"/>
      <c r="D51" s="451"/>
      <c r="E51" s="451"/>
      <c r="F51" s="451"/>
      <c r="G51" s="451"/>
      <c r="H51" s="451"/>
      <c r="I51" s="451"/>
      <c r="J51" s="451"/>
    </row>
    <row r="52" spans="1:10" x14ac:dyDescent="0.2">
      <c r="A52" s="451" t="s">
        <v>1518</v>
      </c>
      <c r="B52" s="451"/>
      <c r="C52" s="451"/>
      <c r="D52" s="451"/>
      <c r="E52" s="451"/>
      <c r="F52" s="451"/>
      <c r="G52" s="451"/>
      <c r="H52" s="451"/>
      <c r="I52" s="451"/>
      <c r="J52" s="451"/>
    </row>
    <row r="53" spans="1:10" x14ac:dyDescent="0.2">
      <c r="A53" s="451" t="s">
        <v>1504</v>
      </c>
      <c r="B53" s="451"/>
      <c r="C53" s="451"/>
      <c r="D53" s="451"/>
      <c r="E53" s="451"/>
      <c r="F53" s="451"/>
      <c r="G53" s="451"/>
      <c r="H53" s="451"/>
      <c r="I53" s="451"/>
      <c r="J53" s="451"/>
    </row>
    <row r="54" spans="1:10" x14ac:dyDescent="0.2">
      <c r="A54" s="451" t="s">
        <v>1308</v>
      </c>
      <c r="B54" s="451"/>
      <c r="C54" s="451"/>
      <c r="D54" s="451"/>
      <c r="E54" s="451"/>
      <c r="F54" s="451"/>
      <c r="G54" s="451"/>
      <c r="H54" s="451"/>
      <c r="I54" s="451"/>
      <c r="J54" s="451"/>
    </row>
    <row r="55" spans="1:10" x14ac:dyDescent="0.2">
      <c r="A55" s="451" t="s">
        <v>1519</v>
      </c>
      <c r="B55" s="451"/>
      <c r="C55" s="451"/>
      <c r="D55" s="451"/>
      <c r="E55" s="451"/>
      <c r="F55" s="451"/>
      <c r="G55" s="451"/>
      <c r="H55" s="451"/>
      <c r="I55" s="451"/>
      <c r="J55" s="451"/>
    </row>
    <row r="56" spans="1:10" x14ac:dyDescent="0.2">
      <c r="A56" s="451" t="s">
        <v>1387</v>
      </c>
      <c r="B56" s="451"/>
      <c r="C56" s="451"/>
      <c r="D56" s="451"/>
      <c r="E56" s="451"/>
      <c r="F56" s="451"/>
      <c r="G56" s="451"/>
      <c r="H56" s="451"/>
      <c r="I56" s="451"/>
      <c r="J56" s="451"/>
    </row>
    <row r="57" spans="1:10" x14ac:dyDescent="0.2">
      <c r="A57" s="451" t="s">
        <v>1388</v>
      </c>
      <c r="B57" s="451"/>
      <c r="C57" s="451"/>
      <c r="D57" s="451"/>
      <c r="E57" s="451"/>
      <c r="F57" s="451"/>
      <c r="G57" s="451"/>
      <c r="H57" s="451"/>
      <c r="I57" s="451"/>
      <c r="J57" s="451"/>
    </row>
    <row r="58" spans="1:10" x14ac:dyDescent="0.2">
      <c r="A58" s="451" t="s">
        <v>1389</v>
      </c>
      <c r="B58" s="451"/>
      <c r="C58" s="451"/>
      <c r="D58" s="451"/>
      <c r="E58" s="451"/>
      <c r="F58" s="451"/>
      <c r="G58" s="451"/>
      <c r="H58" s="451"/>
      <c r="I58" s="451"/>
      <c r="J58" s="451"/>
    </row>
    <row r="59" spans="1:10" x14ac:dyDescent="0.2">
      <c r="A59" s="451" t="s">
        <v>1520</v>
      </c>
      <c r="B59" s="451"/>
      <c r="C59" s="451"/>
      <c r="D59" s="451"/>
      <c r="E59" s="451"/>
      <c r="F59" s="451"/>
      <c r="G59" s="451"/>
      <c r="H59" s="451"/>
      <c r="I59" s="451"/>
      <c r="J59" s="451"/>
    </row>
    <row r="60" spans="1:10" x14ac:dyDescent="0.2">
      <c r="A60" s="451" t="s">
        <v>1390</v>
      </c>
      <c r="B60" s="451"/>
      <c r="C60" s="451"/>
      <c r="D60" s="451"/>
      <c r="E60" s="451"/>
      <c r="F60" s="451"/>
      <c r="G60" s="451"/>
      <c r="H60" s="451"/>
      <c r="I60" s="451"/>
      <c r="J60" s="451"/>
    </row>
    <row r="61" spans="1:10" x14ac:dyDescent="0.2">
      <c r="A61" s="451"/>
      <c r="B61" s="451"/>
      <c r="C61" s="451"/>
      <c r="D61" s="451"/>
      <c r="E61" s="451"/>
      <c r="F61" s="451"/>
      <c r="G61" s="451"/>
      <c r="H61" s="451"/>
      <c r="I61" s="451"/>
      <c r="J61" s="451"/>
    </row>
    <row r="62" spans="1:10" x14ac:dyDescent="0.2">
      <c r="A62" s="451"/>
      <c r="B62" s="451"/>
      <c r="C62" s="451"/>
      <c r="D62" s="451"/>
      <c r="E62" s="451"/>
      <c r="F62" s="451"/>
      <c r="G62" s="451"/>
      <c r="H62" s="451"/>
      <c r="I62" s="451"/>
      <c r="J62" s="451"/>
    </row>
    <row r="63" spans="1:10" x14ac:dyDescent="0.2">
      <c r="A63" s="465" t="s">
        <v>1485</v>
      </c>
      <c r="B63" s="451"/>
      <c r="C63" s="451"/>
      <c r="D63" s="451"/>
      <c r="E63" s="451"/>
      <c r="F63" s="451"/>
      <c r="G63" s="451"/>
      <c r="H63" s="451"/>
      <c r="I63" s="451"/>
      <c r="J63" s="451"/>
    </row>
    <row r="64" spans="1:10" x14ac:dyDescent="0.2">
      <c r="A64" s="451"/>
      <c r="B64" s="451"/>
      <c r="C64" s="451"/>
      <c r="D64" s="451"/>
      <c r="E64" s="451"/>
      <c r="F64" s="451"/>
      <c r="G64" s="451"/>
      <c r="H64" s="451"/>
      <c r="I64" s="451"/>
      <c r="J64" s="451"/>
    </row>
    <row r="65" spans="1:10" x14ac:dyDescent="0.2">
      <c r="A65" s="451" t="s">
        <v>1391</v>
      </c>
      <c r="B65" s="451"/>
      <c r="C65" s="451"/>
      <c r="D65" s="451"/>
      <c r="E65" s="451"/>
      <c r="F65" s="451"/>
      <c r="G65" s="451"/>
      <c r="H65" s="451"/>
      <c r="I65" s="451"/>
      <c r="J65" s="451"/>
    </row>
    <row r="66" spans="1:10" x14ac:dyDescent="0.2">
      <c r="A66" s="451" t="s">
        <v>1392</v>
      </c>
      <c r="B66" s="451"/>
      <c r="C66" s="451"/>
      <c r="D66" s="451"/>
      <c r="E66" s="451"/>
      <c r="F66" s="451"/>
      <c r="G66" s="451"/>
      <c r="H66" s="451"/>
      <c r="I66" s="451"/>
      <c r="J66" s="451"/>
    </row>
    <row r="67" spans="1:10" x14ac:dyDescent="0.2">
      <c r="A67" s="451" t="s">
        <v>1393</v>
      </c>
      <c r="B67" s="451"/>
      <c r="C67" s="451"/>
      <c r="D67" s="451"/>
      <c r="E67" s="451"/>
      <c r="F67" s="451"/>
      <c r="G67" s="451"/>
      <c r="H67" s="451"/>
      <c r="I67" s="451"/>
      <c r="J67" s="451"/>
    </row>
    <row r="68" spans="1:10" x14ac:dyDescent="0.2">
      <c r="A68" s="451"/>
      <c r="B68" s="451"/>
      <c r="H68" s="451"/>
      <c r="I68" s="451"/>
      <c r="J68" s="451"/>
    </row>
    <row r="69" spans="1:10" x14ac:dyDescent="0.2">
      <c r="A69" s="451"/>
      <c r="B69" s="451"/>
      <c r="C69" s="451"/>
      <c r="D69" s="466" t="s">
        <v>1240</v>
      </c>
      <c r="E69" s="449"/>
      <c r="F69" s="449"/>
      <c r="G69" s="449"/>
      <c r="H69" s="451"/>
      <c r="I69" s="451"/>
      <c r="J69" s="451"/>
    </row>
    <row r="70" spans="1:10" x14ac:dyDescent="0.2">
      <c r="A70" s="451"/>
      <c r="B70" s="451"/>
      <c r="C70" s="451"/>
      <c r="D70" s="449" t="s">
        <v>1243</v>
      </c>
      <c r="E70" s="449"/>
      <c r="F70" s="449" t="s">
        <v>1244</v>
      </c>
      <c r="G70" s="449"/>
      <c r="H70" s="451"/>
      <c r="I70" s="451"/>
      <c r="J70" s="451"/>
    </row>
    <row r="71" spans="1:10" x14ac:dyDescent="0.2">
      <c r="A71" s="451"/>
      <c r="B71" s="451"/>
      <c r="C71" s="451"/>
      <c r="D71" s="467" t="s">
        <v>1394</v>
      </c>
      <c r="E71" s="467" t="s">
        <v>1395</v>
      </c>
      <c r="F71" s="467" t="s">
        <v>1396</v>
      </c>
      <c r="G71" s="467" t="s">
        <v>1397</v>
      </c>
      <c r="H71" s="451"/>
      <c r="I71" s="451"/>
      <c r="J71" s="451"/>
    </row>
    <row r="72" spans="1:10" x14ac:dyDescent="0.2">
      <c r="A72" s="451"/>
      <c r="B72" s="451"/>
      <c r="C72" s="468" t="s">
        <v>1231</v>
      </c>
      <c r="D72" s="469">
        <v>0</v>
      </c>
      <c r="E72" s="470" t="s">
        <v>1398</v>
      </c>
      <c r="F72" s="471" t="s">
        <v>1399</v>
      </c>
      <c r="G72" s="470" t="s">
        <v>1400</v>
      </c>
      <c r="H72" s="451"/>
      <c r="I72" s="451"/>
      <c r="J72" s="451"/>
    </row>
    <row r="73" spans="1:10" x14ac:dyDescent="0.2">
      <c r="A73" s="451"/>
      <c r="B73" s="451"/>
      <c r="C73" s="468" t="s">
        <v>1232</v>
      </c>
      <c r="D73" s="472" t="s">
        <v>1399</v>
      </c>
      <c r="E73" s="473" t="s">
        <v>1400</v>
      </c>
      <c r="F73" s="474" t="s">
        <v>1401</v>
      </c>
      <c r="G73" s="473" t="s">
        <v>1402</v>
      </c>
      <c r="H73" s="451"/>
      <c r="I73" s="451"/>
      <c r="J73" s="451"/>
    </row>
    <row r="74" spans="1:10" x14ac:dyDescent="0.2">
      <c r="A74" s="451"/>
      <c r="B74" s="451"/>
      <c r="C74" s="468" t="s">
        <v>1234</v>
      </c>
      <c r="D74" s="472" t="s">
        <v>1401</v>
      </c>
      <c r="E74" s="473" t="s">
        <v>1402</v>
      </c>
      <c r="F74" s="474" t="s">
        <v>1403</v>
      </c>
      <c r="G74" s="473" t="s">
        <v>1403</v>
      </c>
      <c r="H74" s="451"/>
      <c r="I74" s="451"/>
      <c r="J74" s="451"/>
    </row>
    <row r="75" spans="1:10" x14ac:dyDescent="0.2">
      <c r="A75" s="451"/>
      <c r="B75" s="451"/>
      <c r="C75" s="468" t="s">
        <v>1235</v>
      </c>
      <c r="D75" s="472" t="s">
        <v>1403</v>
      </c>
      <c r="E75" s="473" t="s">
        <v>1403</v>
      </c>
      <c r="F75" s="474" t="s">
        <v>1402</v>
      </c>
      <c r="G75" s="473" t="s">
        <v>1401</v>
      </c>
      <c r="H75" s="451"/>
      <c r="I75" s="451"/>
      <c r="J75" s="451"/>
    </row>
    <row r="76" spans="1:10" x14ac:dyDescent="0.2">
      <c r="A76" s="451"/>
      <c r="B76" s="451"/>
      <c r="C76" s="468" t="s">
        <v>1238</v>
      </c>
      <c r="D76" s="472" t="s">
        <v>1402</v>
      </c>
      <c r="E76" s="473" t="s">
        <v>1401</v>
      </c>
      <c r="F76" s="474" t="s">
        <v>1400</v>
      </c>
      <c r="G76" s="473" t="s">
        <v>1399</v>
      </c>
      <c r="H76" s="451"/>
      <c r="I76" s="451"/>
      <c r="J76" s="451"/>
    </row>
    <row r="77" spans="1:10" x14ac:dyDescent="0.2">
      <c r="A77" s="451"/>
      <c r="B77" s="451"/>
      <c r="C77" s="468" t="s">
        <v>1241</v>
      </c>
      <c r="D77" s="472" t="s">
        <v>1400</v>
      </c>
      <c r="E77" s="473" t="s">
        <v>1399</v>
      </c>
      <c r="F77" s="474" t="s">
        <v>1398</v>
      </c>
      <c r="G77" s="473">
        <v>0</v>
      </c>
      <c r="H77" s="451"/>
      <c r="I77" s="451"/>
      <c r="J77" s="451"/>
    </row>
    <row r="78" spans="1:10" x14ac:dyDescent="0.2">
      <c r="A78" s="451"/>
      <c r="B78" s="451"/>
      <c r="C78" s="468" t="s">
        <v>1245</v>
      </c>
      <c r="D78" s="472" t="s">
        <v>1398</v>
      </c>
      <c r="E78" s="473">
        <v>0</v>
      </c>
      <c r="F78" s="474" t="s">
        <v>1404</v>
      </c>
      <c r="G78" s="473" t="s">
        <v>1399</v>
      </c>
      <c r="H78" s="451"/>
      <c r="I78" s="451"/>
      <c r="J78" s="451"/>
    </row>
    <row r="79" spans="1:10" x14ac:dyDescent="0.2">
      <c r="A79" s="451"/>
      <c r="B79" s="451"/>
      <c r="C79" s="468" t="s">
        <v>1250</v>
      </c>
      <c r="D79" s="472" t="s">
        <v>1404</v>
      </c>
      <c r="E79" s="473" t="s">
        <v>1399</v>
      </c>
      <c r="F79" s="474" t="s">
        <v>1405</v>
      </c>
      <c r="G79" s="473" t="s">
        <v>1401</v>
      </c>
      <c r="H79" s="451"/>
      <c r="I79" s="451"/>
      <c r="J79" s="451"/>
    </row>
    <row r="80" spans="1:10" x14ac:dyDescent="0.2">
      <c r="A80" s="451"/>
      <c r="B80" s="451"/>
      <c r="C80" s="468" t="s">
        <v>1251</v>
      </c>
      <c r="D80" s="472" t="s">
        <v>1405</v>
      </c>
      <c r="E80" s="473" t="s">
        <v>1401</v>
      </c>
      <c r="F80" s="474" t="s">
        <v>1406</v>
      </c>
      <c r="G80" s="473" t="s">
        <v>1403</v>
      </c>
      <c r="H80" s="451"/>
      <c r="I80" s="451"/>
      <c r="J80" s="451"/>
    </row>
    <row r="81" spans="1:10" x14ac:dyDescent="0.2">
      <c r="A81" s="451"/>
      <c r="B81" s="451"/>
      <c r="C81" s="468" t="s">
        <v>1252</v>
      </c>
      <c r="D81" s="472" t="s">
        <v>1406</v>
      </c>
      <c r="E81" s="473" t="s">
        <v>1403</v>
      </c>
      <c r="F81" s="474" t="s">
        <v>1407</v>
      </c>
      <c r="G81" s="473" t="s">
        <v>1402</v>
      </c>
      <c r="H81" s="451"/>
      <c r="I81" s="451"/>
      <c r="J81" s="451"/>
    </row>
    <row r="82" spans="1:10" x14ac:dyDescent="0.2">
      <c r="A82" s="451"/>
      <c r="B82" s="451"/>
      <c r="C82" s="468" t="s">
        <v>1253</v>
      </c>
      <c r="D82" s="472" t="s">
        <v>1407</v>
      </c>
      <c r="E82" s="473" t="s">
        <v>1402</v>
      </c>
      <c r="F82" s="474" t="s">
        <v>1408</v>
      </c>
      <c r="G82" s="473" t="s">
        <v>1400</v>
      </c>
      <c r="H82" s="451"/>
      <c r="I82" s="451"/>
      <c r="J82" s="451"/>
    </row>
    <row r="83" spans="1:10" x14ac:dyDescent="0.2">
      <c r="A83" s="451"/>
      <c r="B83" s="451"/>
      <c r="C83" s="468" t="s">
        <v>1343</v>
      </c>
      <c r="D83" s="472" t="s">
        <v>1408</v>
      </c>
      <c r="E83" s="473" t="s">
        <v>1400</v>
      </c>
      <c r="F83" s="473" t="s">
        <v>1409</v>
      </c>
      <c r="G83" s="473" t="s">
        <v>1398</v>
      </c>
      <c r="H83" s="451"/>
      <c r="I83" s="451"/>
      <c r="J83" s="451"/>
    </row>
    <row r="84" spans="1:10" x14ac:dyDescent="0.2">
      <c r="A84" s="451"/>
      <c r="B84" s="451"/>
      <c r="C84" s="468" t="s">
        <v>1257</v>
      </c>
      <c r="D84" s="472" t="s">
        <v>1409</v>
      </c>
      <c r="E84" s="473" t="s">
        <v>1398</v>
      </c>
      <c r="F84" s="474" t="s">
        <v>1408</v>
      </c>
      <c r="G84" s="473" t="s">
        <v>1404</v>
      </c>
      <c r="H84" s="451"/>
      <c r="I84" s="451"/>
      <c r="J84" s="451"/>
    </row>
    <row r="85" spans="1:10" x14ac:dyDescent="0.2">
      <c r="A85" s="451"/>
      <c r="B85" s="451"/>
      <c r="C85" s="468" t="s">
        <v>1259</v>
      </c>
      <c r="D85" s="472" t="s">
        <v>1408</v>
      </c>
      <c r="E85" s="473" t="s">
        <v>1404</v>
      </c>
      <c r="F85" s="474" t="s">
        <v>1407</v>
      </c>
      <c r="G85" s="473" t="s">
        <v>1405</v>
      </c>
      <c r="H85" s="451"/>
      <c r="I85" s="451"/>
      <c r="J85" s="451"/>
    </row>
    <row r="86" spans="1:10" x14ac:dyDescent="0.2">
      <c r="A86" s="451"/>
      <c r="B86" s="451"/>
      <c r="C86" s="468" t="s">
        <v>1261</v>
      </c>
      <c r="D86" s="472" t="s">
        <v>1407</v>
      </c>
      <c r="E86" s="473" t="s">
        <v>1405</v>
      </c>
      <c r="F86" s="474" t="s">
        <v>1406</v>
      </c>
      <c r="G86" s="473" t="s">
        <v>1406</v>
      </c>
      <c r="H86" s="451"/>
      <c r="I86" s="451"/>
      <c r="J86" s="451"/>
    </row>
    <row r="87" spans="1:10" x14ac:dyDescent="0.2">
      <c r="A87" s="451"/>
      <c r="B87" s="451"/>
      <c r="C87" s="468" t="s">
        <v>1263</v>
      </c>
      <c r="D87" s="472" t="s">
        <v>1406</v>
      </c>
      <c r="E87" s="473" t="s">
        <v>1406</v>
      </c>
      <c r="F87" s="474" t="s">
        <v>1405</v>
      </c>
      <c r="G87" s="473" t="s">
        <v>1407</v>
      </c>
      <c r="H87" s="451"/>
      <c r="I87" s="451"/>
      <c r="J87" s="451"/>
    </row>
    <row r="88" spans="1:10" x14ac:dyDescent="0.2">
      <c r="A88" s="451"/>
      <c r="B88" s="451"/>
      <c r="C88" s="468" t="s">
        <v>1265</v>
      </c>
      <c r="D88" s="473" t="s">
        <v>1405</v>
      </c>
      <c r="E88" s="473" t="s">
        <v>1407</v>
      </c>
      <c r="F88" s="473" t="s">
        <v>1404</v>
      </c>
      <c r="G88" s="473" t="s">
        <v>1408</v>
      </c>
      <c r="H88" s="451"/>
      <c r="I88" s="451"/>
      <c r="J88" s="451"/>
    </row>
    <row r="89" spans="1:10" x14ac:dyDescent="0.2">
      <c r="A89" s="451"/>
      <c r="B89" s="451"/>
      <c r="C89" s="468" t="s">
        <v>1268</v>
      </c>
      <c r="D89" s="472" t="s">
        <v>1404</v>
      </c>
      <c r="E89" s="473" t="s">
        <v>1408</v>
      </c>
      <c r="F89" s="474" t="s">
        <v>1398</v>
      </c>
      <c r="G89" s="473" t="s">
        <v>1409</v>
      </c>
      <c r="H89" s="451"/>
      <c r="I89" s="451"/>
      <c r="J89" s="451"/>
    </row>
    <row r="90" spans="1:10" x14ac:dyDescent="0.2">
      <c r="A90" s="451"/>
      <c r="C90" s="468" t="s">
        <v>1270</v>
      </c>
      <c r="D90" s="472" t="s">
        <v>1398</v>
      </c>
      <c r="E90" s="473" t="s">
        <v>1409</v>
      </c>
      <c r="F90" s="474" t="s">
        <v>1400</v>
      </c>
      <c r="G90" s="473" t="s">
        <v>1408</v>
      </c>
      <c r="J90" s="451"/>
    </row>
    <row r="91" spans="1:10" x14ac:dyDescent="0.2">
      <c r="A91" s="451"/>
      <c r="B91" s="451"/>
      <c r="C91" s="468" t="s">
        <v>1272</v>
      </c>
      <c r="D91" s="472" t="s">
        <v>1400</v>
      </c>
      <c r="E91" s="473" t="s">
        <v>1408</v>
      </c>
      <c r="F91" s="474" t="s">
        <v>1402</v>
      </c>
      <c r="G91" s="473" t="s">
        <v>1407</v>
      </c>
      <c r="H91" s="449"/>
      <c r="I91" s="475"/>
      <c r="J91" s="451"/>
    </row>
    <row r="92" spans="1:10" x14ac:dyDescent="0.2">
      <c r="A92" s="451"/>
      <c r="B92" s="451"/>
      <c r="C92" s="468" t="s">
        <v>1274</v>
      </c>
      <c r="D92" s="472" t="s">
        <v>1402</v>
      </c>
      <c r="E92" s="473" t="s">
        <v>1407</v>
      </c>
      <c r="F92" s="474" t="s">
        <v>1403</v>
      </c>
      <c r="G92" s="473" t="s">
        <v>1406</v>
      </c>
      <c r="H92" s="367"/>
      <c r="I92" s="476"/>
      <c r="J92" s="451"/>
    </row>
    <row r="93" spans="1:10" x14ac:dyDescent="0.2">
      <c r="A93" s="451"/>
      <c r="B93" s="451"/>
      <c r="C93" s="468" t="s">
        <v>1276</v>
      </c>
      <c r="D93" s="472" t="s">
        <v>1403</v>
      </c>
      <c r="E93" s="473" t="s">
        <v>1406</v>
      </c>
      <c r="F93" s="474" t="s">
        <v>1401</v>
      </c>
      <c r="G93" s="473" t="s">
        <v>1405</v>
      </c>
      <c r="H93" s="367"/>
      <c r="I93" s="476"/>
      <c r="J93" s="451"/>
    </row>
    <row r="94" spans="1:10" x14ac:dyDescent="0.2">
      <c r="A94" s="451"/>
      <c r="C94" s="468" t="s">
        <v>1278</v>
      </c>
      <c r="D94" s="472" t="s">
        <v>1401</v>
      </c>
      <c r="E94" s="473" t="s">
        <v>1405</v>
      </c>
      <c r="F94" s="474" t="s">
        <v>1399</v>
      </c>
      <c r="G94" s="473" t="s">
        <v>1404</v>
      </c>
      <c r="H94" s="367"/>
      <c r="I94" s="476"/>
      <c r="J94" s="451"/>
    </row>
    <row r="95" spans="1:10" x14ac:dyDescent="0.2">
      <c r="A95" s="451"/>
      <c r="C95" s="468" t="s">
        <v>1280</v>
      </c>
      <c r="D95" s="477" t="s">
        <v>1399</v>
      </c>
      <c r="E95" s="478" t="s">
        <v>1404</v>
      </c>
      <c r="F95" s="479">
        <v>0</v>
      </c>
      <c r="G95" s="478" t="s">
        <v>1398</v>
      </c>
      <c r="H95" s="451"/>
      <c r="I95" s="451"/>
      <c r="J95" s="451"/>
    </row>
    <row r="97" spans="1:10" x14ac:dyDescent="0.2">
      <c r="A97" s="451"/>
      <c r="B97" s="451"/>
      <c r="C97" s="451"/>
      <c r="D97" s="451"/>
      <c r="E97" s="451"/>
      <c r="F97" s="451"/>
      <c r="G97" s="451"/>
      <c r="H97" s="451"/>
      <c r="I97" s="451"/>
      <c r="J97" s="451"/>
    </row>
    <row r="98" spans="1:10" x14ac:dyDescent="0.2">
      <c r="A98" s="451"/>
      <c r="B98" s="451"/>
      <c r="C98" s="451"/>
      <c r="D98" s="451"/>
      <c r="E98" s="451"/>
      <c r="F98" s="451"/>
      <c r="G98" s="451"/>
      <c r="H98" s="451"/>
      <c r="I98" s="451"/>
      <c r="J98" s="451"/>
    </row>
    <row r="99" spans="1:10" x14ac:dyDescent="0.2">
      <c r="A99" s="451"/>
      <c r="B99" s="451"/>
      <c r="C99" s="451"/>
      <c r="D99" s="451"/>
      <c r="E99" s="451"/>
      <c r="F99" s="451"/>
      <c r="G99" s="451"/>
      <c r="H99" s="451"/>
      <c r="I99" s="451"/>
      <c r="J99" s="451"/>
    </row>
    <row r="100" spans="1:10" x14ac:dyDescent="0.2">
      <c r="A100" s="451"/>
      <c r="B100" s="451"/>
      <c r="C100" s="451"/>
      <c r="D100" s="451"/>
      <c r="E100" s="451"/>
      <c r="F100" s="451"/>
      <c r="G100" s="451"/>
      <c r="H100" s="451"/>
      <c r="I100" s="451"/>
      <c r="J100" s="451"/>
    </row>
    <row r="101" spans="1:10" x14ac:dyDescent="0.2">
      <c r="A101" s="451"/>
      <c r="B101" s="451"/>
      <c r="C101" s="451"/>
      <c r="D101" s="451"/>
      <c r="E101" s="451"/>
      <c r="F101" s="451"/>
      <c r="G101" s="451"/>
      <c r="H101" s="451"/>
      <c r="I101" s="451"/>
      <c r="J101" s="451"/>
    </row>
    <row r="102" spans="1:10" x14ac:dyDescent="0.2">
      <c r="A102" s="451"/>
      <c r="B102" s="451"/>
      <c r="C102" s="451"/>
      <c r="D102" s="451"/>
      <c r="E102" s="451"/>
      <c r="F102" s="451"/>
      <c r="G102" s="451"/>
      <c r="H102" s="451"/>
      <c r="I102" s="451"/>
      <c r="J102" s="451"/>
    </row>
    <row r="103" spans="1:10" x14ac:dyDescent="0.2">
      <c r="A103" s="451"/>
      <c r="B103" s="451"/>
      <c r="C103" s="451"/>
      <c r="D103" s="451"/>
      <c r="E103" s="451"/>
      <c r="F103" s="451"/>
      <c r="G103" s="451"/>
      <c r="H103" s="451"/>
      <c r="I103" s="451"/>
      <c r="J103" s="451"/>
    </row>
    <row r="104" spans="1:10" x14ac:dyDescent="0.2">
      <c r="A104" s="451"/>
      <c r="B104" s="451"/>
      <c r="C104" s="451"/>
      <c r="D104" s="451"/>
      <c r="E104" s="451"/>
      <c r="F104" s="451"/>
      <c r="G104" s="451"/>
      <c r="H104" s="451"/>
      <c r="I104" s="451"/>
      <c r="J104" s="451"/>
    </row>
    <row r="105" spans="1:10" x14ac:dyDescent="0.2">
      <c r="A105" s="451"/>
      <c r="B105" s="451"/>
      <c r="C105" s="451"/>
      <c r="D105" s="451"/>
      <c r="E105" s="451"/>
      <c r="F105" s="451"/>
      <c r="G105" s="451"/>
      <c r="H105" s="451"/>
      <c r="I105" s="451"/>
      <c r="J105" s="451"/>
    </row>
    <row r="106" spans="1:10" x14ac:dyDescent="0.2">
      <c r="A106" s="451"/>
      <c r="B106" s="451"/>
      <c r="C106" s="451"/>
      <c r="D106" s="451"/>
      <c r="E106" s="451"/>
      <c r="F106" s="451"/>
      <c r="G106" s="451"/>
      <c r="H106" s="451"/>
      <c r="I106" s="451"/>
      <c r="J106" s="451"/>
    </row>
    <row r="107" spans="1:10" x14ac:dyDescent="0.2">
      <c r="A107" s="451"/>
      <c r="B107" s="451"/>
      <c r="C107" s="451"/>
      <c r="D107" s="451"/>
      <c r="E107" s="451"/>
      <c r="F107" s="451"/>
      <c r="G107" s="451"/>
      <c r="H107" s="451"/>
      <c r="I107" s="451"/>
      <c r="J107" s="451"/>
    </row>
    <row r="108" spans="1:10" x14ac:dyDescent="0.2">
      <c r="A108" s="451"/>
      <c r="B108" s="451"/>
      <c r="C108" s="451"/>
      <c r="D108" s="451"/>
      <c r="E108" s="451"/>
      <c r="F108" s="451"/>
      <c r="G108" s="451"/>
      <c r="H108" s="451"/>
      <c r="I108" s="451"/>
      <c r="J108" s="451"/>
    </row>
    <row r="109" spans="1:10" x14ac:dyDescent="0.2">
      <c r="A109" s="451"/>
      <c r="B109" s="451"/>
      <c r="C109" s="451"/>
      <c r="D109" s="451"/>
      <c r="E109" s="451"/>
      <c r="F109" s="451"/>
      <c r="G109" s="451"/>
      <c r="H109" s="451"/>
      <c r="I109" s="451"/>
      <c r="J109" s="451"/>
    </row>
    <row r="110" spans="1:10" x14ac:dyDescent="0.2">
      <c r="A110" s="451"/>
      <c r="B110" s="451"/>
      <c r="C110" s="451"/>
      <c r="D110" s="451"/>
      <c r="E110" s="451"/>
      <c r="F110" s="451"/>
      <c r="G110" s="451"/>
      <c r="H110" s="451"/>
      <c r="I110" s="451"/>
      <c r="J110" s="451"/>
    </row>
  </sheetData>
  <sheetProtection sheet="1" objects="1" scenarios="1"/>
  <phoneticPr fontId="0" type="noConversion"/>
  <pageMargins left="1" right="0.5" top="1" bottom="1" header="0.5" footer="0.5"/>
  <pageSetup scale="97" orientation="portrait" r:id="rId1"/>
  <headerFooter alignWithMargins="0"/>
  <rowBreaks count="2" manualBreakCount="2">
    <brk id="50" max="9" man="1"/>
    <brk id="104" max="9" man="1"/>
  </rowBreaks>
  <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111114"/>
  <dimension ref="A1:BS370"/>
  <sheetViews>
    <sheetView zoomScaleNormal="100" workbookViewId="0">
      <selection activeCell="G62" sqref="G62"/>
    </sheetView>
  </sheetViews>
  <sheetFormatPr defaultRowHeight="12.75" x14ac:dyDescent="0.2"/>
  <cols>
    <col min="1" max="1" width="11.28515625" style="18" customWidth="1"/>
    <col min="2" max="2" width="10.7109375" style="18" customWidth="1"/>
    <col min="3" max="5" width="9.7109375" style="18" customWidth="1"/>
    <col min="6" max="8" width="9.140625" style="18"/>
    <col min="9" max="9" width="12.140625" style="18" customWidth="1"/>
    <col min="10" max="13" width="0" style="18" hidden="1" customWidth="1"/>
    <col min="14" max="14" width="9.7109375" style="18" hidden="1" customWidth="1"/>
    <col min="15" max="15" width="10.7109375" style="18" hidden="1" customWidth="1"/>
    <col min="16" max="18" width="0" style="18" hidden="1" customWidth="1"/>
    <col min="19" max="19" width="9.7109375" style="18" hidden="1" customWidth="1"/>
    <col min="20" max="27" width="0" style="18" hidden="1" customWidth="1"/>
    <col min="28" max="28" width="10.7109375" style="570" hidden="1" customWidth="1"/>
    <col min="29" max="32" width="0" style="570" hidden="1" customWidth="1"/>
    <col min="33" max="33" width="0" style="18" hidden="1" customWidth="1"/>
    <col min="34" max="34" width="10.7109375" style="570" hidden="1" customWidth="1"/>
    <col min="35" max="38" width="0" style="570" hidden="1" customWidth="1"/>
    <col min="39" max="39" width="0" style="18" hidden="1" customWidth="1"/>
    <col min="40" max="40" width="10.7109375" style="570" hidden="1" customWidth="1"/>
    <col min="41" max="44" width="0" style="570" hidden="1" customWidth="1"/>
    <col min="45" max="45" width="0" style="18" hidden="1" customWidth="1"/>
    <col min="46" max="46" width="16.7109375" style="570" hidden="1" customWidth="1"/>
    <col min="47" max="49" width="0" style="570" hidden="1" customWidth="1"/>
    <col min="50" max="50" width="0" style="18" hidden="1" customWidth="1"/>
    <col min="51" max="51" width="15.7109375" style="570" hidden="1" customWidth="1"/>
    <col min="52" max="55" width="0" style="570" hidden="1" customWidth="1"/>
    <col min="56" max="56" width="0" style="18" hidden="1" customWidth="1"/>
    <col min="57" max="57" width="13.7109375" style="570" hidden="1" customWidth="1"/>
    <col min="58" max="58" width="0" style="570" hidden="1" customWidth="1"/>
    <col min="59" max="59" width="0" style="18" hidden="1" customWidth="1"/>
    <col min="60" max="60" width="9.140625" style="18"/>
    <col min="61" max="61" width="9.140625" style="85"/>
    <col min="62" max="62" width="16.7109375" style="18" customWidth="1"/>
    <col min="63" max="16384" width="9.140625" style="18"/>
  </cols>
  <sheetData>
    <row r="1" spans="1:69" ht="15.75" x14ac:dyDescent="0.25">
      <c r="A1" s="17" t="s">
        <v>1211</v>
      </c>
      <c r="B1" s="26"/>
      <c r="C1" s="318"/>
      <c r="D1" s="318"/>
      <c r="E1" s="318"/>
      <c r="F1" s="318"/>
      <c r="G1" s="26"/>
      <c r="H1" s="26"/>
      <c r="I1" s="285"/>
      <c r="J1" s="21"/>
      <c r="K1" s="85"/>
      <c r="M1" s="319" t="s">
        <v>1181</v>
      </c>
      <c r="P1" s="319"/>
      <c r="BH1" s="320" t="s">
        <v>1266</v>
      </c>
    </row>
    <row r="2" spans="1:69" x14ac:dyDescent="0.2">
      <c r="A2" s="27" t="s">
        <v>1212</v>
      </c>
      <c r="B2" s="321"/>
      <c r="C2" s="322"/>
      <c r="D2" s="321"/>
      <c r="E2" s="321"/>
      <c r="F2" s="321"/>
      <c r="G2" s="28"/>
      <c r="H2" s="28"/>
      <c r="I2" s="292"/>
      <c r="J2" s="21"/>
      <c r="K2" s="85"/>
      <c r="AB2" s="571" t="s">
        <v>724</v>
      </c>
      <c r="AC2" s="572"/>
      <c r="AD2" s="572"/>
      <c r="AE2" s="572"/>
      <c r="AF2" s="573"/>
      <c r="AH2" s="571" t="s">
        <v>726</v>
      </c>
      <c r="AI2" s="572"/>
      <c r="AJ2" s="572"/>
      <c r="AK2" s="572"/>
      <c r="AL2" s="573"/>
      <c r="AN2" s="571" t="s">
        <v>725</v>
      </c>
      <c r="AO2" s="572"/>
      <c r="AP2" s="572"/>
      <c r="AQ2" s="572"/>
      <c r="AR2" s="573"/>
      <c r="AT2" s="571" t="s">
        <v>727</v>
      </c>
      <c r="AU2" s="572"/>
      <c r="AV2" s="572"/>
      <c r="AW2" s="573"/>
      <c r="AY2" s="571" t="s">
        <v>730</v>
      </c>
      <c r="AZ2" s="572"/>
      <c r="BA2" s="572"/>
      <c r="BB2" s="572"/>
      <c r="BC2" s="573"/>
      <c r="BE2" s="571" t="s">
        <v>729</v>
      </c>
      <c r="BF2" s="573"/>
      <c r="BJ2" s="120" t="s">
        <v>1213</v>
      </c>
      <c r="BK2" s="323"/>
    </row>
    <row r="3" spans="1:69" x14ac:dyDescent="0.2">
      <c r="A3" s="324"/>
      <c r="B3" s="325"/>
      <c r="C3" s="325"/>
      <c r="D3" s="325"/>
      <c r="E3" s="325"/>
      <c r="F3" s="325"/>
      <c r="G3" s="34"/>
      <c r="H3" s="34"/>
      <c r="I3" s="326"/>
      <c r="J3" s="21"/>
      <c r="K3" s="85">
        <v>1</v>
      </c>
      <c r="N3" s="327"/>
      <c r="O3" s="328"/>
      <c r="U3" s="327"/>
      <c r="V3" s="328"/>
      <c r="Y3" s="327" t="s">
        <v>1214</v>
      </c>
      <c r="Z3" s="111"/>
      <c r="AA3" s="86"/>
      <c r="AB3" s="574" t="s">
        <v>1549</v>
      </c>
      <c r="AC3" s="574" t="s">
        <v>1550</v>
      </c>
      <c r="AD3" s="574" t="s">
        <v>1551</v>
      </c>
      <c r="AE3" s="574" t="s">
        <v>1552</v>
      </c>
      <c r="AF3" s="574" t="s">
        <v>1553</v>
      </c>
      <c r="AG3" s="86"/>
      <c r="AH3" s="574" t="s">
        <v>1549</v>
      </c>
      <c r="AI3" s="574" t="s">
        <v>1550</v>
      </c>
      <c r="AJ3" s="574" t="s">
        <v>1551</v>
      </c>
      <c r="AK3" s="574" t="s">
        <v>1552</v>
      </c>
      <c r="AL3" s="574" t="s">
        <v>1553</v>
      </c>
      <c r="AM3" s="111"/>
      <c r="AN3" s="574" t="s">
        <v>1549</v>
      </c>
      <c r="AO3" s="574" t="s">
        <v>1550</v>
      </c>
      <c r="AP3" s="574" t="s">
        <v>1551</v>
      </c>
      <c r="AQ3" s="574" t="s">
        <v>1552</v>
      </c>
      <c r="AR3" s="574" t="s">
        <v>1553</v>
      </c>
      <c r="AS3" s="111"/>
      <c r="AT3" s="574" t="s">
        <v>1549</v>
      </c>
      <c r="AU3" s="574" t="s">
        <v>1550</v>
      </c>
      <c r="AV3" s="574" t="s">
        <v>399</v>
      </c>
      <c r="AW3" s="574" t="s">
        <v>400</v>
      </c>
      <c r="AX3" s="111"/>
      <c r="AY3" s="574" t="s">
        <v>1549</v>
      </c>
      <c r="AZ3" s="604" t="s">
        <v>528</v>
      </c>
      <c r="BA3" s="604" t="s">
        <v>399</v>
      </c>
      <c r="BB3" s="604" t="s">
        <v>732</v>
      </c>
      <c r="BC3" s="604" t="s">
        <v>728</v>
      </c>
      <c r="BD3" s="111"/>
      <c r="BE3" s="574" t="s">
        <v>1549</v>
      </c>
      <c r="BF3" s="574" t="s">
        <v>914</v>
      </c>
      <c r="BG3" s="111"/>
      <c r="BJ3" s="198" t="s">
        <v>1215</v>
      </c>
      <c r="BK3" s="329" t="s">
        <v>1216</v>
      </c>
    </row>
    <row r="4" spans="1:69" x14ac:dyDescent="0.2">
      <c r="A4" s="330" t="s">
        <v>1115</v>
      </c>
      <c r="B4" s="287"/>
      <c r="C4" s="289"/>
      <c r="D4" s="289"/>
      <c r="E4" s="289"/>
      <c r="F4" s="131" t="s">
        <v>1206</v>
      </c>
      <c r="G4" s="315"/>
      <c r="H4" s="331"/>
      <c r="I4" s="332"/>
      <c r="J4" s="40"/>
      <c r="K4" s="85">
        <v>2</v>
      </c>
      <c r="M4" s="333" t="s">
        <v>1217</v>
      </c>
      <c r="N4" s="112" t="s">
        <v>1218</v>
      </c>
      <c r="O4" s="112" t="s">
        <v>1219</v>
      </c>
      <c r="P4" s="85" t="s">
        <v>1220</v>
      </c>
      <c r="Q4" s="85" t="s">
        <v>1221</v>
      </c>
      <c r="R4" s="85" t="s">
        <v>1222</v>
      </c>
      <c r="S4" s="85" t="s">
        <v>1223</v>
      </c>
      <c r="T4" s="85" t="s">
        <v>1224</v>
      </c>
      <c r="U4" s="47" t="s">
        <v>1225</v>
      </c>
      <c r="V4" s="47" t="s">
        <v>1226</v>
      </c>
      <c r="W4" s="47" t="s">
        <v>1227</v>
      </c>
      <c r="X4" s="47" t="s">
        <v>1228</v>
      </c>
      <c r="Y4" s="47" t="s">
        <v>1229</v>
      </c>
      <c r="Z4" s="47" t="s">
        <v>1230</v>
      </c>
      <c r="AA4" s="47"/>
      <c r="AB4" s="575" t="s">
        <v>1554</v>
      </c>
      <c r="AC4" s="576">
        <v>44</v>
      </c>
      <c r="AD4" s="577">
        <v>1.03</v>
      </c>
      <c r="AE4" s="576">
        <v>15.9</v>
      </c>
      <c r="AF4" s="578">
        <v>1.77</v>
      </c>
      <c r="AG4" s="47"/>
      <c r="AH4" s="575" t="s">
        <v>13</v>
      </c>
      <c r="AI4" s="576">
        <v>15</v>
      </c>
      <c r="AJ4" s="597">
        <v>0.71599999999999997</v>
      </c>
      <c r="AK4" s="577">
        <v>3.72</v>
      </c>
      <c r="AL4" s="598">
        <v>0.65</v>
      </c>
      <c r="AM4" s="47"/>
      <c r="AN4" s="575" t="s">
        <v>83</v>
      </c>
      <c r="AO4" s="576">
        <v>22</v>
      </c>
      <c r="AP4" s="577">
        <v>1.03</v>
      </c>
      <c r="AQ4" s="576">
        <v>15.9</v>
      </c>
      <c r="AR4" s="578">
        <v>1.77</v>
      </c>
      <c r="AS4" s="47"/>
      <c r="AT4" s="575" t="s">
        <v>401</v>
      </c>
      <c r="AU4" s="577">
        <v>8</v>
      </c>
      <c r="AV4" s="577">
        <v>8</v>
      </c>
      <c r="AW4" s="601">
        <v>1.125</v>
      </c>
      <c r="AX4" s="47"/>
      <c r="AY4" s="575" t="s">
        <v>529</v>
      </c>
      <c r="AZ4" s="605">
        <v>20</v>
      </c>
      <c r="BA4" s="605">
        <v>12</v>
      </c>
      <c r="BB4" s="605">
        <v>0.625</v>
      </c>
      <c r="BC4" s="598">
        <v>0.58099999999999996</v>
      </c>
      <c r="BD4" s="47"/>
      <c r="BE4" s="575" t="s">
        <v>915</v>
      </c>
      <c r="BF4" s="601">
        <v>20</v>
      </c>
      <c r="BG4" s="47"/>
      <c r="BJ4" s="144">
        <v>10</v>
      </c>
      <c r="BK4" s="334">
        <v>12</v>
      </c>
    </row>
    <row r="5" spans="1:69" x14ac:dyDescent="0.2">
      <c r="A5" s="330" t="s">
        <v>1111</v>
      </c>
      <c r="B5" s="313"/>
      <c r="C5" s="289"/>
      <c r="D5" s="289"/>
      <c r="E5" s="290"/>
      <c r="F5" s="291" t="s">
        <v>1207</v>
      </c>
      <c r="G5" s="312"/>
      <c r="H5" s="131" t="s">
        <v>1208</v>
      </c>
      <c r="I5" s="335"/>
      <c r="J5" s="40"/>
      <c r="K5" s="85">
        <v>3</v>
      </c>
      <c r="M5" s="333" t="s">
        <v>1231</v>
      </c>
      <c r="N5" s="14">
        <f>IF($C$9&gt;=1,IF($E13&gt;=$C13+0.000001,$C13+0.000001+ABS($E13-$C13+0.000001)/2,$E13+ABS($E13-$C13+0.000001)/2),"")</f>
        <v>4.9999999999999998E-7</v>
      </c>
      <c r="O5" s="14">
        <f>IF($C$9&gt;=1,IF($D13&gt;=$B13+0.000001,$B13+0.000001+ABS($D13-$B13+0.000001)/2,$D13+ABS($D13-$B13+0.000001)/2),"")</f>
        <v>2.5000015000000002</v>
      </c>
      <c r="P5" s="55">
        <f>IF($C$9&gt;=1,(($D13-$B13+0.000001)^2+($E13-$C13+0.000001)^2)^(1/2),"")</f>
        <v>5.0000010000000996</v>
      </c>
      <c r="Q5" s="55">
        <f>IF($C$9&gt;=1,$P5*$O5,"")</f>
        <v>12.500010000001749</v>
      </c>
      <c r="R5" s="55">
        <f>IF($C$9&gt;=1,$P5*$N5,"")</f>
        <v>2.5000005000000499E-6</v>
      </c>
      <c r="S5" s="55">
        <f>IF($C$9&gt;=1,$P5*($E13-$C13+0.000001)^2/12+$P5*$N5^2,"")</f>
        <v>1.6666670000000332E-12</v>
      </c>
      <c r="T5" s="55">
        <f>IF($C$9&gt;=1,$P5*($D13-$B13+0.000001)^2/12+$P5*$O5^2,"")</f>
        <v>41.666716666687506</v>
      </c>
      <c r="U5" s="52">
        <f>IF($C$9&gt;=1,$B13+0.000001-$N$36,"")</f>
        <v>-2.4999997500000748</v>
      </c>
      <c r="V5" s="52">
        <f>IF($C$9&gt;=1,$C13-$N$37,"")</f>
        <v>-2.5000000000000249</v>
      </c>
      <c r="W5" s="52">
        <f>IF($C$9&gt;=1,$D13-$N$36,"")</f>
        <v>2.4999992499999251</v>
      </c>
      <c r="X5" s="52">
        <f>IF($C$9&gt;=1,$E13-$N$37,"")</f>
        <v>-2.5000000000000249</v>
      </c>
      <c r="Y5" s="52">
        <f>IF($C$9&gt;=1,((-$R$42/$N$31+-$R$45*$V5/$N$38+$R$46*$U5/$N$39)^2+($R$43/$N$31+$R$47*-$V5/$N$40)^2+($R$44/$N$31+$R$47*$U5/$N$40)^2)^(1/2),"")</f>
        <v>16.599998339999999</v>
      </c>
      <c r="Z5" s="52">
        <f>IF($C$9&gt;=1,((-$R$42/$N$31+-$R$45*$X5/$N$38+$R$46*$W5/$N$39)^2+($R$43/$N$31+$R$47*-$X5/$N$40)^2+($R$44/$N$31+$R$47*$W5/$N$40)^2)^(1/2),"")</f>
        <v>16.599998339999999</v>
      </c>
      <c r="AA5" s="52"/>
      <c r="AB5" s="579" t="s">
        <v>1555</v>
      </c>
      <c r="AC5" s="580">
        <v>43.6</v>
      </c>
      <c r="AD5" s="581">
        <v>0.86499999999999999</v>
      </c>
      <c r="AE5" s="580">
        <v>15.8</v>
      </c>
      <c r="AF5" s="582">
        <v>1.58</v>
      </c>
      <c r="AG5" s="52"/>
      <c r="AH5" s="579" t="s">
        <v>14</v>
      </c>
      <c r="AI5" s="580">
        <v>15</v>
      </c>
      <c r="AJ5" s="581">
        <v>0.52</v>
      </c>
      <c r="AK5" s="583">
        <v>3.52</v>
      </c>
      <c r="AL5" s="584">
        <v>0.65</v>
      </c>
      <c r="AM5" s="52"/>
      <c r="AN5" s="579" t="s">
        <v>84</v>
      </c>
      <c r="AO5" s="580">
        <v>21.8</v>
      </c>
      <c r="AP5" s="581">
        <v>0.86499999999999999</v>
      </c>
      <c r="AQ5" s="580">
        <v>15.8</v>
      </c>
      <c r="AR5" s="582">
        <v>1.58</v>
      </c>
      <c r="AS5" s="52"/>
      <c r="AT5" s="579" t="s">
        <v>402</v>
      </c>
      <c r="AU5" s="583">
        <v>8</v>
      </c>
      <c r="AV5" s="583">
        <v>8</v>
      </c>
      <c r="AW5" s="602">
        <v>1</v>
      </c>
      <c r="AX5" s="52"/>
      <c r="AY5" s="579" t="s">
        <v>530</v>
      </c>
      <c r="AZ5" s="606">
        <v>20</v>
      </c>
      <c r="BA5" s="606">
        <v>12</v>
      </c>
      <c r="BB5" s="606">
        <v>0.5</v>
      </c>
      <c r="BC5" s="584">
        <v>0.46500000000000002</v>
      </c>
      <c r="BD5" s="52"/>
      <c r="BE5" s="579" t="s">
        <v>916</v>
      </c>
      <c r="BF5" s="602">
        <v>20</v>
      </c>
      <c r="BG5" s="52"/>
    </row>
    <row r="6" spans="1:69" x14ac:dyDescent="0.2">
      <c r="A6" s="336"/>
      <c r="B6" s="121"/>
      <c r="C6" s="121"/>
      <c r="D6" s="121"/>
      <c r="E6" s="121"/>
      <c r="F6" s="121"/>
      <c r="G6" s="420"/>
      <c r="H6" s="122"/>
      <c r="I6" s="421"/>
      <c r="J6" s="21"/>
      <c r="K6" s="85">
        <v>4</v>
      </c>
      <c r="M6" s="333" t="s">
        <v>1232</v>
      </c>
      <c r="N6" s="14">
        <f>IF($C$9&gt;=2,IF($E14&gt;=$C14,$C14+ABS($E14-$C14)/2,$E14+ABS($E14-$C14)/2),"")</f>
        <v>5</v>
      </c>
      <c r="O6" s="14">
        <f>IF($C$9&gt;=2,IF($D14&gt;=$B14,$B14+ABS($D14-$B14)/2,$D14+ABS($D14-$B14)/2),"")</f>
        <v>2.5</v>
      </c>
      <c r="P6" s="55">
        <f>IF($C$9&gt;=2,(($D14-$B14)^2+($E14-$C14)^2)^(1/2),"")</f>
        <v>5</v>
      </c>
      <c r="Q6" s="55">
        <f>IF($C$9&gt;=2,$P6*$O6,"")</f>
        <v>12.5</v>
      </c>
      <c r="R6" s="55">
        <f>IF($C$9&gt;=2,$P6*$N6,"")</f>
        <v>25</v>
      </c>
      <c r="S6" s="70">
        <f>IF($C$9&gt;=2,$P6*($E14-$C14)^2/12+$P6*$N6^2,"")</f>
        <v>125</v>
      </c>
      <c r="T6" s="55">
        <f>IF($C$9&gt;=2,$P6*($D14-$B14)^2/12+$P6*$O6^2,"")</f>
        <v>41.666666666666664</v>
      </c>
      <c r="U6" s="52">
        <f>IF($C$9&gt;=2,$B14-$N$36,"")</f>
        <v>-2.5000007500000749</v>
      </c>
      <c r="V6" s="52">
        <f>IF($C$9&gt;=2,$C14-$N$37,"")</f>
        <v>2.4999999999999751</v>
      </c>
      <c r="W6" s="52">
        <f>IF($C$9&gt;=2,$D14-$N$36,"")</f>
        <v>2.4999992499999251</v>
      </c>
      <c r="X6" s="52">
        <f>IF($C$9&gt;=2,$E14-$N$37,"")</f>
        <v>2.4999999999999751</v>
      </c>
      <c r="Y6" s="52">
        <f>IF($C$9&gt;=2,((-$R$42/$N$31+-$R$45*$V6/$N$38+$R$46*$U6/$N$39)^2+($R$43/$N$31+$R$47*-$V6/$N$40)^2+($R$44/$N$31+$R$47*$U6/$N$40)^2)^(1/2),"")</f>
        <v>16.599998339999999</v>
      </c>
      <c r="Z6" s="52">
        <f>IF($C$9&gt;=2,((-$R$42/$N$31+-$R$45*$X6/$N$38+$R$46*$W6/$N$39)^2+($R$43/$N$31+$R$47*-$X6/$N$40)^2+($R$44/$N$31+$R$47*$W6/$N$40)^2)^(1/2),"")</f>
        <v>16.599998339999999</v>
      </c>
      <c r="AA6" s="52"/>
      <c r="AB6" s="579" t="s">
        <v>1556</v>
      </c>
      <c r="AC6" s="580">
        <v>43.3</v>
      </c>
      <c r="AD6" s="581">
        <v>0.78500000000000003</v>
      </c>
      <c r="AE6" s="580">
        <v>15.8</v>
      </c>
      <c r="AF6" s="582">
        <v>1.42</v>
      </c>
      <c r="AG6" s="52"/>
      <c r="AH6" s="579" t="s">
        <v>15</v>
      </c>
      <c r="AI6" s="580">
        <v>15</v>
      </c>
      <c r="AJ6" s="581">
        <v>0.4</v>
      </c>
      <c r="AK6" s="583">
        <v>3.4</v>
      </c>
      <c r="AL6" s="584">
        <v>0.65</v>
      </c>
      <c r="AM6" s="52"/>
      <c r="AN6" s="579" t="s">
        <v>85</v>
      </c>
      <c r="AO6" s="580">
        <v>21.7</v>
      </c>
      <c r="AP6" s="581">
        <v>0.78500000000000003</v>
      </c>
      <c r="AQ6" s="580">
        <v>15.8</v>
      </c>
      <c r="AR6" s="582">
        <v>1.42</v>
      </c>
      <c r="AS6" s="52"/>
      <c r="AT6" s="579" t="s">
        <v>403</v>
      </c>
      <c r="AU6" s="583">
        <v>8</v>
      </c>
      <c r="AV6" s="583">
        <v>8</v>
      </c>
      <c r="AW6" s="602">
        <v>0.875</v>
      </c>
      <c r="AX6" s="52"/>
      <c r="AY6" s="579" t="s">
        <v>531</v>
      </c>
      <c r="AZ6" s="606">
        <v>20</v>
      </c>
      <c r="BA6" s="606">
        <v>12</v>
      </c>
      <c r="BB6" s="606">
        <v>0.375</v>
      </c>
      <c r="BC6" s="584">
        <v>0.34899999999999998</v>
      </c>
      <c r="BD6" s="52"/>
      <c r="BE6" s="579" t="s">
        <v>917</v>
      </c>
      <c r="BF6" s="602">
        <v>18</v>
      </c>
      <c r="BG6" s="52"/>
      <c r="BH6" s="45" t="s">
        <v>1233</v>
      </c>
      <c r="BI6" s="43"/>
      <c r="BJ6" s="43"/>
      <c r="BK6" s="43"/>
      <c r="BL6" s="43"/>
      <c r="BM6" s="43"/>
      <c r="BN6" s="43"/>
      <c r="BO6" s="43"/>
      <c r="BP6" s="43"/>
      <c r="BQ6" s="43"/>
    </row>
    <row r="7" spans="1:69" x14ac:dyDescent="0.2">
      <c r="A7" s="22" t="s">
        <v>1112</v>
      </c>
      <c r="B7" s="121"/>
      <c r="C7" s="121"/>
      <c r="D7" s="121"/>
      <c r="E7" s="121"/>
      <c r="F7" s="121"/>
      <c r="G7" s="121"/>
      <c r="H7" s="122"/>
      <c r="I7" s="310"/>
      <c r="J7" s="21"/>
      <c r="K7" s="85">
        <v>5</v>
      </c>
      <c r="M7" s="333" t="s">
        <v>1234</v>
      </c>
      <c r="N7" s="14" t="str">
        <f>IF($C$9&gt;=3,IF($E15&gt;=$C15,$C15+ABS($E15-$C15)/2,$E15+ABS($E15-$C15)/2),"")</f>
        <v/>
      </c>
      <c r="O7" s="14" t="str">
        <f>IF($C$9&gt;=3,IF($D15&gt;=$B15,$B15+ABS($D15-$B15)/2,$D15+ABS($D15-$B15)/2),"")</f>
        <v/>
      </c>
      <c r="P7" s="55" t="str">
        <f>IF($C$9&gt;=3,(($D15-$B15)^2+($E15-$C15)^2)^(1/2),"")</f>
        <v/>
      </c>
      <c r="Q7" s="55" t="str">
        <f>IF($C$9&gt;=3,$P7*$O7,"")</f>
        <v/>
      </c>
      <c r="R7" s="55" t="str">
        <f>IF($C$9&gt;=3,$P7*$N7,"")</f>
        <v/>
      </c>
      <c r="S7" s="70" t="str">
        <f>IF($C$9&gt;=3,$P7*($E15-$C15)^2/12+$P7*$N7^2,"")</f>
        <v/>
      </c>
      <c r="T7" s="55" t="str">
        <f>IF($C$9&gt;=3,$P7*($D15-$B15)^2/12+$P7*$O7^2,"")</f>
        <v/>
      </c>
      <c r="U7" s="52" t="str">
        <f>IF($C$9&gt;=3,$B15-$N$36,"")</f>
        <v/>
      </c>
      <c r="V7" s="52" t="str">
        <f>IF($C$9&gt;=3,$C15-$N$37,"")</f>
        <v/>
      </c>
      <c r="W7" s="52" t="str">
        <f>IF($C$9&gt;=3,$D15-$N$36,"")</f>
        <v/>
      </c>
      <c r="X7" s="52" t="str">
        <f>IF($C$9&gt;=3,$E15-$N$37,"")</f>
        <v/>
      </c>
      <c r="Y7" s="52" t="str">
        <f>IF($C$9&gt;=3,((-$R$42/$N$31+-$R$45*$V7/$N$38+$R$46*$U7/$N$39)^2+($R$43/$N$31+$R$47*-$V7/$N$40)^2+($R$44/$N$31+$R$47*$U7/$N$40)^2)^(1/2),"")</f>
        <v/>
      </c>
      <c r="Z7" s="52" t="str">
        <f>IF($C$9&gt;=3,((-$R$42/$N$31+-$R$45*$X7/$N$38+$R$46*$W7/$N$39)^2+($R$43/$N$31+$R$47*-$X7/$N$40)^2+($R$44/$N$31+$R$47*$W7/$N$40)^2)^(1/2),"")</f>
        <v/>
      </c>
      <c r="AA7" s="52"/>
      <c r="AB7" s="579" t="s">
        <v>1557</v>
      </c>
      <c r="AC7" s="580">
        <v>42.9</v>
      </c>
      <c r="AD7" s="581">
        <v>0.71</v>
      </c>
      <c r="AE7" s="580">
        <v>15.8</v>
      </c>
      <c r="AF7" s="582">
        <v>1.22</v>
      </c>
      <c r="AG7" s="52"/>
      <c r="AH7" s="579" t="s">
        <v>16</v>
      </c>
      <c r="AI7" s="580">
        <v>12</v>
      </c>
      <c r="AJ7" s="581">
        <v>0.51</v>
      </c>
      <c r="AK7" s="583">
        <v>3.17</v>
      </c>
      <c r="AL7" s="584">
        <v>0.501</v>
      </c>
      <c r="AM7" s="52"/>
      <c r="AN7" s="579" t="s">
        <v>86</v>
      </c>
      <c r="AO7" s="580">
        <v>21.5</v>
      </c>
      <c r="AP7" s="581">
        <v>0.71</v>
      </c>
      <c r="AQ7" s="580">
        <v>15.8</v>
      </c>
      <c r="AR7" s="582">
        <v>1.22</v>
      </c>
      <c r="AS7" s="52"/>
      <c r="AT7" s="579" t="s">
        <v>404</v>
      </c>
      <c r="AU7" s="583">
        <v>8</v>
      </c>
      <c r="AV7" s="583">
        <v>8</v>
      </c>
      <c r="AW7" s="602">
        <v>0.75</v>
      </c>
      <c r="AX7" s="52"/>
      <c r="AY7" s="579" t="s">
        <v>532</v>
      </c>
      <c r="AZ7" s="606">
        <v>20</v>
      </c>
      <c r="BA7" s="606">
        <v>12</v>
      </c>
      <c r="BB7" s="606">
        <v>0.3125</v>
      </c>
      <c r="BC7" s="584">
        <v>0.29099999999999998</v>
      </c>
      <c r="BD7" s="52"/>
      <c r="BE7" s="579" t="s">
        <v>918</v>
      </c>
      <c r="BF7" s="602">
        <v>18</v>
      </c>
      <c r="BG7" s="52"/>
      <c r="BH7" s="337"/>
      <c r="BI7" s="337"/>
      <c r="BJ7" s="337"/>
      <c r="BK7" s="337"/>
      <c r="BL7" s="337"/>
      <c r="BM7" s="337"/>
      <c r="BN7" s="337"/>
      <c r="BO7" s="337"/>
      <c r="BP7" s="337"/>
      <c r="BQ7" s="337"/>
    </row>
    <row r="8" spans="1:69" x14ac:dyDescent="0.2">
      <c r="A8" s="30"/>
      <c r="B8" s="500"/>
      <c r="C8" s="121"/>
      <c r="D8" s="121"/>
      <c r="E8" s="121"/>
      <c r="F8" s="121"/>
      <c r="G8" s="554"/>
      <c r="H8" s="122"/>
      <c r="I8" s="310"/>
      <c r="J8" s="21"/>
      <c r="K8" s="85">
        <v>6</v>
      </c>
      <c r="M8" s="333" t="s">
        <v>1235</v>
      </c>
      <c r="N8" s="14" t="str">
        <f>IF($C$9&gt;=4,IF($E16&gt;=$C16,$C16+ABS($E16-$C16)/2,$E16+ABS($E16-$C16)/2),"")</f>
        <v/>
      </c>
      <c r="O8" s="14" t="str">
        <f>IF($C$9&gt;=4,IF($D16&gt;=$B16,$B16+ABS($D16-$B16)/2,$D16+ABS($D16-$B16)/2),"")</f>
        <v/>
      </c>
      <c r="P8" s="55" t="str">
        <f>IF($C$9&gt;=4,(($D16-$B16)^2+($E16-$C16)^2)^(1/2),"")</f>
        <v/>
      </c>
      <c r="Q8" s="55" t="str">
        <f>IF($C$9&gt;=4,$P8*$O8,"")</f>
        <v/>
      </c>
      <c r="R8" s="55" t="str">
        <f>IF($C$9&gt;=4,$P8*$N8,"")</f>
        <v/>
      </c>
      <c r="S8" s="70" t="str">
        <f>IF($C$9&gt;=4,$P8*($E16-$C16)^2/12+$P8*$N8^2,"")</f>
        <v/>
      </c>
      <c r="T8" s="55" t="str">
        <f>IF($C$9&gt;=4,$P8*($D16-$B16)^2/12+$P8*$O8^2,"")</f>
        <v/>
      </c>
      <c r="U8" s="52" t="str">
        <f>IF($C$9&gt;=4,$B16-$N$36,"")</f>
        <v/>
      </c>
      <c r="V8" s="52" t="str">
        <f>IF($C$9&gt;=4,$C16-$N$37,"")</f>
        <v/>
      </c>
      <c r="W8" s="52" t="str">
        <f>IF($C$9&gt;=4,$D16-$N$36,"")</f>
        <v/>
      </c>
      <c r="X8" s="52" t="str">
        <f>IF($C$9&gt;=4,$E16-$N$37,"")</f>
        <v/>
      </c>
      <c r="Y8" s="52" t="str">
        <f>IF($C$9&gt;=4,((-$R$42/$N$31+-$R$45*$V8/$N$38+$R$46*$U8/$N$39)^2+($R$43/$N$31+$R$47*-$V8/$N$40)^2+($R$44/$N$31+$R$47*$U8/$N$40)^2)^(1/2),"")</f>
        <v/>
      </c>
      <c r="Z8" s="52" t="str">
        <f>IF($C$9&gt;=4,((-$R$42/$N$31+-$R$45*$X8/$N$38+$R$46*$W8/$N$39)^2+($R$43/$N$31+$R$47*-$X8/$N$40)^2+($R$44/$N$31+$R$47*$W8/$N$40)^2)^(1/2),"")</f>
        <v/>
      </c>
      <c r="AA8" s="52"/>
      <c r="AB8" s="579" t="s">
        <v>1558</v>
      </c>
      <c r="AC8" s="580">
        <v>43</v>
      </c>
      <c r="AD8" s="583">
        <v>1.79</v>
      </c>
      <c r="AE8" s="580">
        <v>16.7</v>
      </c>
      <c r="AF8" s="582">
        <v>3.23</v>
      </c>
      <c r="AG8" s="52"/>
      <c r="AH8" s="579" t="s">
        <v>17</v>
      </c>
      <c r="AI8" s="580">
        <v>12</v>
      </c>
      <c r="AJ8" s="581">
        <v>0.38700000000000001</v>
      </c>
      <c r="AK8" s="583">
        <v>3.05</v>
      </c>
      <c r="AL8" s="584">
        <v>0.501</v>
      </c>
      <c r="AM8" s="52"/>
      <c r="AN8" s="579" t="s">
        <v>87</v>
      </c>
      <c r="AO8" s="580">
        <v>21.5</v>
      </c>
      <c r="AP8" s="583">
        <v>1.79</v>
      </c>
      <c r="AQ8" s="580">
        <v>16.7</v>
      </c>
      <c r="AR8" s="582">
        <v>3.23</v>
      </c>
      <c r="AS8" s="52"/>
      <c r="AT8" s="579" t="s">
        <v>405</v>
      </c>
      <c r="AU8" s="583">
        <v>8</v>
      </c>
      <c r="AV8" s="583">
        <v>8</v>
      </c>
      <c r="AW8" s="602">
        <v>0.625</v>
      </c>
      <c r="AX8" s="52"/>
      <c r="AY8" s="579" t="s">
        <v>533</v>
      </c>
      <c r="AZ8" s="606">
        <v>20</v>
      </c>
      <c r="BA8" s="606">
        <v>8</v>
      </c>
      <c r="BB8" s="606">
        <v>0.625</v>
      </c>
      <c r="BC8" s="584">
        <v>0.58099999999999996</v>
      </c>
      <c r="BD8" s="52"/>
      <c r="BE8" s="579" t="s">
        <v>919</v>
      </c>
      <c r="BF8" s="602">
        <v>16</v>
      </c>
      <c r="BG8" s="52"/>
      <c r="BH8" s="337" t="s">
        <v>1236</v>
      </c>
      <c r="BI8" s="337"/>
      <c r="BJ8" s="337"/>
      <c r="BK8" s="337"/>
      <c r="BL8" s="337"/>
      <c r="BM8" s="337"/>
      <c r="BN8" s="337"/>
      <c r="BO8" s="337"/>
      <c r="BP8" s="337"/>
      <c r="BQ8" s="337"/>
    </row>
    <row r="9" spans="1:69" x14ac:dyDescent="0.2">
      <c r="A9" s="30"/>
      <c r="B9" s="339" t="s">
        <v>1237</v>
      </c>
      <c r="C9" s="340">
        <v>2</v>
      </c>
      <c r="D9" s="21"/>
      <c r="E9" s="21"/>
      <c r="F9" s="341"/>
      <c r="G9" s="21"/>
      <c r="H9" s="21"/>
      <c r="I9" s="24"/>
      <c r="J9" s="21"/>
      <c r="K9" s="85">
        <v>7</v>
      </c>
      <c r="M9" s="333" t="s">
        <v>1238</v>
      </c>
      <c r="N9" s="14" t="str">
        <f>IF($C$9&gt;=5,IF($E17&gt;=$C17,$C17+ABS($E17-$C17)/2,$E17+ABS($E17-$C17)/2),"")</f>
        <v/>
      </c>
      <c r="O9" s="14" t="str">
        <f>IF($C$9&gt;=5,IF($D17&gt;=$B17,$B17+ABS($D17-$B17)/2,$D17+ABS($D17-$B17)/2),"")</f>
        <v/>
      </c>
      <c r="P9" s="55" t="str">
        <f>IF($C$9&gt;=5,(($D17-$B17)^2+($E17-$C17)^2)^(1/2),"")</f>
        <v/>
      </c>
      <c r="Q9" s="55" t="str">
        <f>IF($C$9&gt;=5,$P9*$O9,"")</f>
        <v/>
      </c>
      <c r="R9" s="55" t="str">
        <f>IF($C$9&gt;=5,$P9*$N9,"")</f>
        <v/>
      </c>
      <c r="S9" s="70" t="str">
        <f>IF($C$9&gt;=5,$P9*($E17-$C17)^2/12+$P9*$N9^2,"")</f>
        <v/>
      </c>
      <c r="T9" s="55" t="str">
        <f>IF($C$9&gt;=5,$P9*($D17-$B17)^2/12+$P9*$O9^2,"")</f>
        <v/>
      </c>
      <c r="U9" s="52" t="str">
        <f>IF($C$9&gt;=5,$B17-$N$36,"")</f>
        <v/>
      </c>
      <c r="V9" s="52" t="str">
        <f>IF($C$9&gt;=5,$C17-$N$37,"")</f>
        <v/>
      </c>
      <c r="W9" s="52" t="str">
        <f>IF($C$9&gt;=5,$D17-$N$36,"")</f>
        <v/>
      </c>
      <c r="X9" s="52" t="str">
        <f>IF($C$9&gt;=5,$E17-$N$37,"")</f>
        <v/>
      </c>
      <c r="Y9" s="52" t="str">
        <f>IF($C$9&gt;=5,((-$R$42/$N$31+-$R$45*$V9/$N$38+$R$46*$U9/$N$39)^2+($R$43/$N$31+$R$47*-$V9/$N$40)^2+($R$44/$N$31+$R$47*$U9/$N$40)^2)^(1/2),"")</f>
        <v/>
      </c>
      <c r="Z9" s="52" t="str">
        <f>IF($C$9&gt;=5,((-$R$42/$N$31+-$R$45*$X9/$N$38+$R$46*$W9/$N$39)^2+($R$43/$N$31+$R$47*-$X9/$N$40)^2+($R$44/$N$31+$R$47*$W9/$N$40)^2)^(1/2),"")</f>
        <v/>
      </c>
      <c r="AA9" s="52"/>
      <c r="AB9" s="579" t="s">
        <v>1559</v>
      </c>
      <c r="AC9" s="580">
        <v>42.1</v>
      </c>
      <c r="AD9" s="583">
        <v>1.54</v>
      </c>
      <c r="AE9" s="580">
        <v>16.399999999999999</v>
      </c>
      <c r="AF9" s="582">
        <v>2.76</v>
      </c>
      <c r="AG9" s="52"/>
      <c r="AH9" s="579" t="s">
        <v>18</v>
      </c>
      <c r="AI9" s="580">
        <v>12</v>
      </c>
      <c r="AJ9" s="581">
        <v>0.28199999999999997</v>
      </c>
      <c r="AK9" s="583">
        <v>2.94</v>
      </c>
      <c r="AL9" s="584">
        <v>0.501</v>
      </c>
      <c r="AM9" s="52"/>
      <c r="AN9" s="579" t="s">
        <v>88</v>
      </c>
      <c r="AO9" s="580">
        <v>21</v>
      </c>
      <c r="AP9" s="583">
        <v>1.54</v>
      </c>
      <c r="AQ9" s="580">
        <v>16.399999999999999</v>
      </c>
      <c r="AR9" s="582">
        <v>2.76</v>
      </c>
      <c r="AS9" s="52"/>
      <c r="AT9" s="579" t="s">
        <v>406</v>
      </c>
      <c r="AU9" s="583">
        <v>8</v>
      </c>
      <c r="AV9" s="583">
        <v>8</v>
      </c>
      <c r="AW9" s="602">
        <v>0.5625</v>
      </c>
      <c r="AX9" s="52"/>
      <c r="AY9" s="579" t="s">
        <v>534</v>
      </c>
      <c r="AZ9" s="606">
        <v>20</v>
      </c>
      <c r="BA9" s="606">
        <v>8</v>
      </c>
      <c r="BB9" s="606">
        <v>0.5</v>
      </c>
      <c r="BC9" s="584">
        <v>0.46500000000000002</v>
      </c>
      <c r="BD9" s="52"/>
      <c r="BE9" s="579" t="s">
        <v>920</v>
      </c>
      <c r="BF9" s="602">
        <v>16</v>
      </c>
      <c r="BG9" s="52"/>
      <c r="BH9" s="337" t="s">
        <v>1239</v>
      </c>
      <c r="BI9" s="337"/>
      <c r="BJ9" s="337"/>
      <c r="BK9" s="337"/>
      <c r="BL9" s="337"/>
      <c r="BM9" s="337"/>
      <c r="BN9" s="337"/>
      <c r="BO9" s="337"/>
      <c r="BP9" s="337"/>
      <c r="BQ9" s="337"/>
    </row>
    <row r="10" spans="1:69" x14ac:dyDescent="0.2">
      <c r="A10" s="342"/>
      <c r="B10" s="343" t="s">
        <v>1240</v>
      </c>
      <c r="C10" s="341"/>
      <c r="D10" s="341"/>
      <c r="E10" s="341"/>
      <c r="F10" s="21"/>
      <c r="G10" s="21"/>
      <c r="H10" s="344"/>
      <c r="I10" s="345"/>
      <c r="K10" s="85">
        <v>8</v>
      </c>
      <c r="M10" s="333" t="s">
        <v>1241</v>
      </c>
      <c r="N10" s="14" t="str">
        <f>IF($C$9&gt;=6,IF($E18&gt;=$C18,$C18+ABS($E18-$C18)/2,$E18+ABS($E18-$C18)/2),"")</f>
        <v/>
      </c>
      <c r="O10" s="14" t="str">
        <f>IF($C$9&gt;=6,IF($D18&gt;=$B18,$B18+ABS($D18-$B18)/2,$D18+ABS($D18-$B18)/2),"")</f>
        <v/>
      </c>
      <c r="P10" s="55" t="str">
        <f>IF($C$9&gt;=6,(($D18-$B18)^2+($E18-$C18)^2)^(1/2),"")</f>
        <v/>
      </c>
      <c r="Q10" s="55" t="str">
        <f>IF($C$9&gt;=6,$P10*$O10,"")</f>
        <v/>
      </c>
      <c r="R10" s="55" t="str">
        <f>IF($C$9&gt;=6,$P10*$N10,"")</f>
        <v/>
      </c>
      <c r="S10" s="70" t="str">
        <f>IF($C$9&gt;=6,$P10*($E18-$C18)^2/12+$P10*$N10^2,"")</f>
        <v/>
      </c>
      <c r="T10" s="55" t="str">
        <f>IF($C$9&gt;=6,$P10*($D18-$B18)^2/12+$P10*$O10^2,"")</f>
        <v/>
      </c>
      <c r="U10" s="52" t="str">
        <f>IF($C$9&gt;=6,$B18-$N$36,"")</f>
        <v/>
      </c>
      <c r="V10" s="52" t="str">
        <f>IF($C$9&gt;=6,$C18-$N$37,"")</f>
        <v/>
      </c>
      <c r="W10" s="52" t="str">
        <f>IF($C$9&gt;=6,$D18-$N$36,"")</f>
        <v/>
      </c>
      <c r="X10" s="52" t="str">
        <f>IF($C$9&gt;=6,$E18-$N$37,"")</f>
        <v/>
      </c>
      <c r="Y10" s="52" t="str">
        <f>IF($C$9&gt;=6,((-$R$42/$N$31+-$R$45*$V10/$N$38+$R$46*$U10/$N$39)^2+($R$43/$N$31+$R$47*-$V10/$N$40)^2+($R$44/$N$31+$R$47*$U10/$N$40)^2)^(1/2),"")</f>
        <v/>
      </c>
      <c r="Z10" s="52" t="str">
        <f>IF($C$9&gt;=6,((-$R$42/$N$31+-$R$45*$X10/$N$38+$R$46*$W10/$N$39)^2+($R$43/$N$31+$R$47*-$X10/$N$40)^2+($R$44/$N$31+$R$47*$W10/$N$40)^2)^(1/2),"")</f>
        <v/>
      </c>
      <c r="AA10" s="52"/>
      <c r="AB10" s="579" t="s">
        <v>1560</v>
      </c>
      <c r="AC10" s="580">
        <v>41.3</v>
      </c>
      <c r="AD10" s="583">
        <v>1.34</v>
      </c>
      <c r="AE10" s="580">
        <v>16.2</v>
      </c>
      <c r="AF10" s="582">
        <v>2.36</v>
      </c>
      <c r="AG10" s="52"/>
      <c r="AH10" s="579" t="s">
        <v>19</v>
      </c>
      <c r="AI10" s="580">
        <v>10</v>
      </c>
      <c r="AJ10" s="581">
        <v>0.67300000000000004</v>
      </c>
      <c r="AK10" s="583">
        <v>3.03</v>
      </c>
      <c r="AL10" s="584">
        <v>0.436</v>
      </c>
      <c r="AM10" s="52"/>
      <c r="AN10" s="579" t="s">
        <v>89</v>
      </c>
      <c r="AO10" s="580">
        <v>20.6</v>
      </c>
      <c r="AP10" s="583">
        <v>1.34</v>
      </c>
      <c r="AQ10" s="580">
        <v>16.2</v>
      </c>
      <c r="AR10" s="582">
        <v>2.36</v>
      </c>
      <c r="AS10" s="52"/>
      <c r="AT10" s="579" t="s">
        <v>407</v>
      </c>
      <c r="AU10" s="583">
        <v>8</v>
      </c>
      <c r="AV10" s="583">
        <v>8</v>
      </c>
      <c r="AW10" s="602">
        <v>0.5</v>
      </c>
      <c r="AX10" s="52"/>
      <c r="AY10" s="579" t="s">
        <v>535</v>
      </c>
      <c r="AZ10" s="606">
        <v>20</v>
      </c>
      <c r="BA10" s="606">
        <v>8</v>
      </c>
      <c r="BB10" s="606">
        <v>0.375</v>
      </c>
      <c r="BC10" s="584">
        <v>0.34899999999999998</v>
      </c>
      <c r="BD10" s="52"/>
      <c r="BE10" s="579" t="s">
        <v>921</v>
      </c>
      <c r="BF10" s="602">
        <v>16</v>
      </c>
      <c r="BG10" s="52"/>
      <c r="BH10" s="337" t="s">
        <v>1242</v>
      </c>
      <c r="BI10" s="337"/>
      <c r="BJ10" s="337"/>
      <c r="BK10" s="337"/>
      <c r="BL10" s="337"/>
      <c r="BM10" s="337"/>
      <c r="BN10" s="337"/>
      <c r="BO10" s="337"/>
      <c r="BP10" s="337"/>
      <c r="BQ10" s="337"/>
    </row>
    <row r="11" spans="1:69" x14ac:dyDescent="0.2">
      <c r="A11" s="30"/>
      <c r="B11" s="343" t="s">
        <v>1243</v>
      </c>
      <c r="C11" s="341"/>
      <c r="D11" s="343" t="s">
        <v>1244</v>
      </c>
      <c r="E11" s="341"/>
      <c r="F11" s="21"/>
      <c r="G11" s="21"/>
      <c r="H11" s="21"/>
      <c r="I11" s="24"/>
      <c r="K11" s="85">
        <v>9</v>
      </c>
      <c r="M11" s="333" t="s">
        <v>1245</v>
      </c>
      <c r="N11" s="14" t="str">
        <f>IF($C$9&gt;=7,IF($E19&gt;=$C19,$C19+ABS($E19-$C19)/2,$E19+ABS($E19-$C19)/2),"")</f>
        <v/>
      </c>
      <c r="O11" s="14" t="str">
        <f>IF($C$9&gt;=7,IF($D19&gt;=$B19,$B19+ABS($D19-$B19)/2,$D19+ABS($D19-$B19)/2),"")</f>
        <v/>
      </c>
      <c r="P11" s="55" t="str">
        <f>IF($C$9&gt;=7,(($D19-$B19)^2+($E19-$C19)^2)^(1/2),"")</f>
        <v/>
      </c>
      <c r="Q11" s="55" t="str">
        <f>IF($C$9&gt;=7,$P11*$O11,"")</f>
        <v/>
      </c>
      <c r="R11" s="55" t="str">
        <f>IF($C$9&gt;=7,$P11*$N11,"")</f>
        <v/>
      </c>
      <c r="S11" s="70" t="str">
        <f>IF($C$9&gt;=7,$P11*($E19-$C19)^2/12+$P11*$N11^2,"")</f>
        <v/>
      </c>
      <c r="T11" s="55" t="str">
        <f>IF($C$9&gt;=7,$P11*($D19-$B19)^2/12+$P11*$O11^2,"")</f>
        <v/>
      </c>
      <c r="U11" s="52" t="str">
        <f>IF($C$9&gt;=7,$B19-$N$36,"")</f>
        <v/>
      </c>
      <c r="V11" s="52" t="str">
        <f>IF($C$9&gt;=7,$C19-$N$37,"")</f>
        <v/>
      </c>
      <c r="W11" s="52" t="str">
        <f>IF($C$9&gt;=7,$D19-$N$36,"")</f>
        <v/>
      </c>
      <c r="X11" s="52" t="str">
        <f>IF($C$9&gt;=7,$E19-$N$37,"")</f>
        <v/>
      </c>
      <c r="Y11" s="52" t="str">
        <f>IF($C$9&gt;=7,((-$R$42/$N$31+-$R$45*$V11/$N$38+$R$46*$U11/$N$39)^2+($R$43/$N$31+$R$47*-$V11/$N$40)^2+($R$44/$N$31+$R$47*$U11/$N$40)^2)^(1/2),"")</f>
        <v/>
      </c>
      <c r="Z11" s="52" t="str">
        <f>IF($C$9&gt;=7,((-$R$42/$N$31+-$R$45*$X11/$N$38+$R$46*$W11/$N$39)^2+($R$43/$N$31+$R$47*-$X11/$N$40)^2+($R$44/$N$31+$R$47*$W11/$N$40)^2)^(1/2),"")</f>
        <v/>
      </c>
      <c r="AA11" s="52"/>
      <c r="AB11" s="579" t="s">
        <v>1561</v>
      </c>
      <c r="AC11" s="580">
        <v>41</v>
      </c>
      <c r="AD11" s="583">
        <v>1.22</v>
      </c>
      <c r="AE11" s="580">
        <v>16.100000000000001</v>
      </c>
      <c r="AF11" s="582">
        <v>2.2000000000000002</v>
      </c>
      <c r="AG11" s="52"/>
      <c r="AH11" s="579" t="s">
        <v>20</v>
      </c>
      <c r="AI11" s="580">
        <v>10</v>
      </c>
      <c r="AJ11" s="581">
        <v>0.52600000000000002</v>
      </c>
      <c r="AK11" s="583">
        <v>2.89</v>
      </c>
      <c r="AL11" s="584">
        <v>0.436</v>
      </c>
      <c r="AM11" s="52"/>
      <c r="AN11" s="579" t="s">
        <v>90</v>
      </c>
      <c r="AO11" s="580">
        <v>20.5</v>
      </c>
      <c r="AP11" s="583">
        <v>1.22</v>
      </c>
      <c r="AQ11" s="580">
        <v>16.100000000000001</v>
      </c>
      <c r="AR11" s="582">
        <v>2.2000000000000002</v>
      </c>
      <c r="AS11" s="52"/>
      <c r="AT11" s="579" t="s">
        <v>408</v>
      </c>
      <c r="AU11" s="583">
        <v>8</v>
      </c>
      <c r="AV11" s="583">
        <v>6</v>
      </c>
      <c r="AW11" s="602">
        <v>1</v>
      </c>
      <c r="AX11" s="52"/>
      <c r="AY11" s="579" t="s">
        <v>536</v>
      </c>
      <c r="AZ11" s="606">
        <v>20</v>
      </c>
      <c r="BA11" s="606">
        <v>8</v>
      </c>
      <c r="BB11" s="606">
        <v>0.3125</v>
      </c>
      <c r="BC11" s="584">
        <v>0.29099999999999998</v>
      </c>
      <c r="BD11" s="52"/>
      <c r="BE11" s="579" t="s">
        <v>922</v>
      </c>
      <c r="BF11" s="602">
        <v>16</v>
      </c>
      <c r="BG11" s="52"/>
      <c r="BH11" s="337" t="s">
        <v>1525</v>
      </c>
      <c r="BI11" s="337"/>
      <c r="BJ11" s="337"/>
      <c r="BK11" s="337"/>
      <c r="BL11" s="337"/>
      <c r="BM11" s="337"/>
      <c r="BN11" s="337"/>
      <c r="BO11" s="337"/>
      <c r="BP11" s="337"/>
      <c r="BQ11" s="337"/>
    </row>
    <row r="12" spans="1:69" x14ac:dyDescent="0.2">
      <c r="A12" s="336"/>
      <c r="B12" s="94" t="s">
        <v>1246</v>
      </c>
      <c r="C12" s="94" t="s">
        <v>1247</v>
      </c>
      <c r="D12" s="94" t="s">
        <v>1248</v>
      </c>
      <c r="E12" s="94" t="s">
        <v>1249</v>
      </c>
      <c r="F12" s="21"/>
      <c r="G12" s="21"/>
      <c r="H12" s="21"/>
      <c r="I12" s="24"/>
      <c r="K12" s="85">
        <v>10</v>
      </c>
      <c r="M12" s="333" t="s">
        <v>1250</v>
      </c>
      <c r="N12" s="14" t="str">
        <f>IF($C$9&gt;=8,IF($E20&gt;=$C20,$C20+ABS($E20-$C20)/2,$E20+ABS($E20-$C20)/2),"")</f>
        <v/>
      </c>
      <c r="O12" s="14" t="str">
        <f>IF($C$9&gt;=8,IF($D20&gt;=$B20,$B20+ABS($D20-$B20)/2,$D20+ABS($D20-$B20)/2),"")</f>
        <v/>
      </c>
      <c r="P12" s="55" t="str">
        <f>IF($C$9&gt;=8,(($D20-$B20)^2+($E20-$C20)^2)^(1/2),"")</f>
        <v/>
      </c>
      <c r="Q12" s="55" t="str">
        <f>IF($C$9&gt;=8,$P12*$O12,"")</f>
        <v/>
      </c>
      <c r="R12" s="55" t="str">
        <f>IF($C$9&gt;=8,$P12*$N12,"")</f>
        <v/>
      </c>
      <c r="S12" s="70" t="str">
        <f>IF($C$9&gt;=8,$P12*($E20-$C20)^2/12+$P12*$N12^2,"")</f>
        <v/>
      </c>
      <c r="T12" s="55" t="str">
        <f>IF($C$9&gt;=8,$P12*($D20-$B20)^2/12+$P12*$O12^2,"")</f>
        <v/>
      </c>
      <c r="U12" s="52" t="str">
        <f>IF($C$9&gt;=8,$B20-$N$36,"")</f>
        <v/>
      </c>
      <c r="V12" s="52" t="str">
        <f>IF($C$9&gt;=8,$C20-$N$37,"")</f>
        <v/>
      </c>
      <c r="W12" s="52" t="str">
        <f>IF($C$9&gt;=8,$D20-$N$36,"")</f>
        <v/>
      </c>
      <c r="X12" s="52" t="str">
        <f>IF($C$9&gt;=8,$E20-$N$37,"")</f>
        <v/>
      </c>
      <c r="Y12" s="52" t="str">
        <f>IF($C$9&gt;=8,((-$R$42/$N$31+-$R$45*$V12/$N$38+$R$46*$U12/$N$39)^2+($R$43/$N$31+$R$47*-$V12/$N$40)^2+($R$44/$N$31+$R$47*$U12/$N$40)^2)^(1/2),"")</f>
        <v/>
      </c>
      <c r="Z12" s="52" t="str">
        <f>IF($C$9&gt;=8,((-$R$42/$N$31+-$R$45*$X12/$N$38+$R$46*$W12/$N$39)^2+($R$43/$N$31+$R$47*-$X12/$N$40)^2+($R$44/$N$31+$R$47*$W12/$N$40)^2)^(1/2),"")</f>
        <v/>
      </c>
      <c r="AA12" s="52"/>
      <c r="AB12" s="579" t="s">
        <v>1562</v>
      </c>
      <c r="AC12" s="580">
        <v>40.6</v>
      </c>
      <c r="AD12" s="583">
        <v>1.1599999999999999</v>
      </c>
      <c r="AE12" s="580">
        <v>16.100000000000001</v>
      </c>
      <c r="AF12" s="582">
        <v>2.0499999999999998</v>
      </c>
      <c r="AG12" s="52"/>
      <c r="AH12" s="579" t="s">
        <v>21</v>
      </c>
      <c r="AI12" s="580">
        <v>10</v>
      </c>
      <c r="AJ12" s="581">
        <v>0.379</v>
      </c>
      <c r="AK12" s="583">
        <v>2.74</v>
      </c>
      <c r="AL12" s="584">
        <v>0.436</v>
      </c>
      <c r="AM12" s="52"/>
      <c r="AN12" s="579" t="s">
        <v>91</v>
      </c>
      <c r="AO12" s="580">
        <v>20.3</v>
      </c>
      <c r="AP12" s="583">
        <v>1.1599999999999999</v>
      </c>
      <c r="AQ12" s="580">
        <v>16.100000000000001</v>
      </c>
      <c r="AR12" s="582">
        <v>2.0499999999999998</v>
      </c>
      <c r="AS12" s="52"/>
      <c r="AT12" s="579" t="s">
        <v>409</v>
      </c>
      <c r="AU12" s="583">
        <v>8</v>
      </c>
      <c r="AV12" s="583">
        <v>6</v>
      </c>
      <c r="AW12" s="602">
        <v>0.875</v>
      </c>
      <c r="AX12" s="52"/>
      <c r="AY12" s="579" t="s">
        <v>537</v>
      </c>
      <c r="AZ12" s="606">
        <v>20</v>
      </c>
      <c r="BA12" s="606">
        <v>4</v>
      </c>
      <c r="BB12" s="606">
        <v>0.5</v>
      </c>
      <c r="BC12" s="584">
        <v>0.46500000000000002</v>
      </c>
      <c r="BD12" s="52"/>
      <c r="BE12" s="579" t="s">
        <v>923</v>
      </c>
      <c r="BF12" s="602">
        <v>16</v>
      </c>
      <c r="BG12" s="52"/>
      <c r="BH12" s="337" t="s">
        <v>1254</v>
      </c>
      <c r="BI12" s="337"/>
      <c r="BJ12" s="337"/>
      <c r="BK12" s="337"/>
      <c r="BL12" s="337"/>
      <c r="BM12" s="337"/>
      <c r="BN12" s="337"/>
      <c r="BO12" s="337"/>
      <c r="BP12" s="337"/>
      <c r="BQ12" s="337"/>
    </row>
    <row r="13" spans="1:69" x14ac:dyDescent="0.2">
      <c r="A13" s="336" t="str">
        <f>IF($C$9&gt;=1,"Weld #1","")</f>
        <v>Weld #1</v>
      </c>
      <c r="B13" s="280">
        <v>0</v>
      </c>
      <c r="C13" s="346">
        <v>0</v>
      </c>
      <c r="D13" s="280">
        <v>5</v>
      </c>
      <c r="E13" s="347">
        <v>0</v>
      </c>
      <c r="F13" s="21"/>
      <c r="G13" s="21"/>
      <c r="H13" s="21"/>
      <c r="I13" s="24"/>
      <c r="K13" s="85">
        <v>11</v>
      </c>
      <c r="M13" s="333" t="s">
        <v>1251</v>
      </c>
      <c r="N13" s="14" t="str">
        <f>IF($C$9&gt;=9,IF($E21&gt;=$C21,$C21+ABS($E21-$C21)/2,$E21+ABS($E21-$C21)/2),"")</f>
        <v/>
      </c>
      <c r="O13" s="14" t="str">
        <f>IF($C$9&gt;=9,IF($D21&gt;=$B21,$B21+ABS($D21-$B21)/2,$D21+ABS($D21-$B21)/2),"")</f>
        <v/>
      </c>
      <c r="P13" s="55" t="str">
        <f>IF($C$9&gt;=9,(($D21-$B21)^2+($E21-$C21)^2)^(1/2),"")</f>
        <v/>
      </c>
      <c r="Q13" s="55" t="str">
        <f>IF($C$9&gt;=9,$P13*$O13,"")</f>
        <v/>
      </c>
      <c r="R13" s="55" t="str">
        <f>IF($C$9&gt;=9,$P13*$N13,"")</f>
        <v/>
      </c>
      <c r="S13" s="70" t="str">
        <f>IF($C$9&gt;=9,$P13*($E21-$C21)^2/12+$P13*$N13^2,"")</f>
        <v/>
      </c>
      <c r="T13" s="55" t="str">
        <f>IF($C$9&gt;=9,$P13*($D21-$B21)^2/12+$P13*$O13^2,"")</f>
        <v/>
      </c>
      <c r="U13" s="52" t="str">
        <f>IF($C$9&gt;=9,$B21-$N$36,"")</f>
        <v/>
      </c>
      <c r="V13" s="52" t="str">
        <f>IF($C$9&gt;=9,$C21-$N$37,"")</f>
        <v/>
      </c>
      <c r="W13" s="52" t="str">
        <f>IF($C$9&gt;=9,$D21-$N$36,"")</f>
        <v/>
      </c>
      <c r="X13" s="52" t="str">
        <f>IF($C$9&gt;=9,$E21-$N$37,"")</f>
        <v/>
      </c>
      <c r="Y13" s="52" t="str">
        <f>IF($C$9&gt;=9,((-$R$42/$N$31+-$R$45*$V13/$N$38+$R$46*$U13/$N$39)^2+($R$43/$N$31+$R$47*-$V13/$N$40)^2+($R$44/$N$31+$R$47*$U13/$N$40)^2)^(1/2),"")</f>
        <v/>
      </c>
      <c r="Z13" s="52" t="str">
        <f>IF($C$9&gt;=9,((-$R$42/$N$31+-$R$45*$X13/$N$38+$R$46*$W13/$N$39)^2+($R$43/$N$31+$R$47*-$X13/$N$40)^2+($R$44/$N$31+$R$47*$W13/$N$40)^2)^(1/2),"")</f>
        <v/>
      </c>
      <c r="AA13" s="52"/>
      <c r="AB13" s="579" t="s">
        <v>1563</v>
      </c>
      <c r="AC13" s="580">
        <v>40.6</v>
      </c>
      <c r="AD13" s="583">
        <v>1.1200000000000001</v>
      </c>
      <c r="AE13" s="580">
        <v>16</v>
      </c>
      <c r="AF13" s="582">
        <v>2.0099999999999998</v>
      </c>
      <c r="AG13" s="52"/>
      <c r="AH13" s="579" t="s">
        <v>22</v>
      </c>
      <c r="AI13" s="580">
        <v>10</v>
      </c>
      <c r="AJ13" s="581">
        <v>0.24</v>
      </c>
      <c r="AK13" s="583">
        <v>2.6</v>
      </c>
      <c r="AL13" s="584">
        <v>0.436</v>
      </c>
      <c r="AM13" s="52"/>
      <c r="AN13" s="579" t="s">
        <v>92</v>
      </c>
      <c r="AO13" s="580">
        <v>20.3</v>
      </c>
      <c r="AP13" s="583">
        <v>1.1200000000000001</v>
      </c>
      <c r="AQ13" s="580">
        <v>16</v>
      </c>
      <c r="AR13" s="582">
        <v>2.0099999999999998</v>
      </c>
      <c r="AS13" s="52"/>
      <c r="AT13" s="579" t="s">
        <v>410</v>
      </c>
      <c r="AU13" s="583">
        <v>8</v>
      </c>
      <c r="AV13" s="583">
        <v>6</v>
      </c>
      <c r="AW13" s="602">
        <v>0.75</v>
      </c>
      <c r="AX13" s="52"/>
      <c r="AY13" s="579" t="s">
        <v>538</v>
      </c>
      <c r="AZ13" s="606">
        <v>20</v>
      </c>
      <c r="BA13" s="606">
        <v>4</v>
      </c>
      <c r="BB13" s="606">
        <v>0.375</v>
      </c>
      <c r="BC13" s="584">
        <v>0.34899999999999998</v>
      </c>
      <c r="BD13" s="52"/>
      <c r="BE13" s="579" t="s">
        <v>924</v>
      </c>
      <c r="BF13" s="602">
        <v>16</v>
      </c>
      <c r="BG13" s="52"/>
      <c r="BH13" s="337" t="s">
        <v>1256</v>
      </c>
      <c r="BI13" s="337"/>
      <c r="BJ13" s="337"/>
      <c r="BK13" s="337"/>
      <c r="BL13" s="337"/>
      <c r="BM13" s="337"/>
      <c r="BN13" s="337"/>
      <c r="BO13" s="337"/>
      <c r="BP13" s="337"/>
      <c r="BQ13" s="337"/>
    </row>
    <row r="14" spans="1:69" x14ac:dyDescent="0.2">
      <c r="A14" s="336" t="str">
        <f>IF($C$9&gt;=2,"Weld #2","")</f>
        <v>Weld #2</v>
      </c>
      <c r="B14" s="281">
        <v>0</v>
      </c>
      <c r="C14" s="348">
        <v>5</v>
      </c>
      <c r="D14" s="281">
        <v>5</v>
      </c>
      <c r="E14" s="349">
        <v>5</v>
      </c>
      <c r="F14" s="21"/>
      <c r="G14" s="21"/>
      <c r="H14" s="21"/>
      <c r="I14" s="24"/>
      <c r="K14" s="85">
        <v>12</v>
      </c>
      <c r="M14" s="333" t="s">
        <v>1252</v>
      </c>
      <c r="N14" s="14" t="str">
        <f>IF($C$9&gt;=10,IF($E22&gt;=$C22,$C22+ABS($E22-$C22)/2,$E22+ABS($E22-$C22)/2),"")</f>
        <v/>
      </c>
      <c r="O14" s="14" t="str">
        <f>IF($C$9&gt;=10,IF($D22&gt;=$B22,$B22+ABS($D22-$B22)/2,$D22+ABS($D22-$B22)/2),"")</f>
        <v/>
      </c>
      <c r="P14" s="55" t="str">
        <f>IF($C$9&gt;=10,(($D22-$B22)^2+($E22-$C22)^2)^(1/2),"")</f>
        <v/>
      </c>
      <c r="Q14" s="55" t="str">
        <f>IF($C$9&gt;=10,$P14*$O14,"")</f>
        <v/>
      </c>
      <c r="R14" s="55" t="str">
        <f>IF($C$9&gt;=10,$P14*$N14,"")</f>
        <v/>
      </c>
      <c r="S14" s="70" t="str">
        <f>IF($C$9&gt;=10,$P14*($E22-$C22)^2/12+$P14*$N14^2,"")</f>
        <v/>
      </c>
      <c r="T14" s="55" t="str">
        <f>IF($C$9&gt;=10,$P14*($D22-$B22)^2/12+$P14*$O14^2,"")</f>
        <v/>
      </c>
      <c r="U14" s="52" t="str">
        <f>IF($C$9&gt;=10,$B22-$N$36,"")</f>
        <v/>
      </c>
      <c r="V14" s="52" t="str">
        <f>IF($C$9&gt;=10,$C22-$N$37,"")</f>
        <v/>
      </c>
      <c r="W14" s="52" t="str">
        <f>IF($C$9&gt;=10,$D22-$N$36,"")</f>
        <v/>
      </c>
      <c r="X14" s="52" t="str">
        <f>IF($C$9&gt;=10,$E22-$N$37,"")</f>
        <v/>
      </c>
      <c r="Y14" s="52" t="str">
        <f>IF($C$9&gt;=10,((-$R$42/$N$31+-$R$45*$V14/$N$38+$R$46*$U14/$N$39)^2+($R$43/$N$31+$R$47*-$V14/$N$40)^2+($R$44/$N$31+$R$47*$U14/$N$40)^2)^(1/2),"")</f>
        <v/>
      </c>
      <c r="Z14" s="52" t="str">
        <f>IF($C$9&gt;=10,((-$R$42/$N$31+-$R$45*$X14/$N$38+$R$46*$W14/$N$39)^2+($R$43/$N$31+$R$47*-$X14/$N$40)^2+($R$44/$N$31+$R$47*$W14/$N$40)^2)^(1/2),"")</f>
        <v/>
      </c>
      <c r="AA14" s="52"/>
      <c r="AB14" s="579" t="s">
        <v>1564</v>
      </c>
      <c r="AC14" s="580">
        <v>40.200000000000003</v>
      </c>
      <c r="AD14" s="583">
        <v>1</v>
      </c>
      <c r="AE14" s="580">
        <v>15.9</v>
      </c>
      <c r="AF14" s="582">
        <v>1.81</v>
      </c>
      <c r="AG14" s="52"/>
      <c r="AH14" s="579" t="s">
        <v>23</v>
      </c>
      <c r="AI14" s="583">
        <v>9</v>
      </c>
      <c r="AJ14" s="581">
        <v>0.44800000000000001</v>
      </c>
      <c r="AK14" s="583">
        <v>2.65</v>
      </c>
      <c r="AL14" s="584">
        <v>0.41299999999999998</v>
      </c>
      <c r="AM14" s="52"/>
      <c r="AN14" s="579" t="s">
        <v>93</v>
      </c>
      <c r="AO14" s="580">
        <v>20.100000000000001</v>
      </c>
      <c r="AP14" s="583">
        <v>1</v>
      </c>
      <c r="AQ14" s="580">
        <v>15.9</v>
      </c>
      <c r="AR14" s="582">
        <v>1.81</v>
      </c>
      <c r="AS14" s="52"/>
      <c r="AT14" s="579" t="s">
        <v>411</v>
      </c>
      <c r="AU14" s="583">
        <v>8</v>
      </c>
      <c r="AV14" s="583">
        <v>6</v>
      </c>
      <c r="AW14" s="602">
        <v>0.625</v>
      </c>
      <c r="AX14" s="52"/>
      <c r="AY14" s="579" t="s">
        <v>539</v>
      </c>
      <c r="AZ14" s="606">
        <v>20</v>
      </c>
      <c r="BA14" s="606">
        <v>4</v>
      </c>
      <c r="BB14" s="606">
        <v>0.3125</v>
      </c>
      <c r="BC14" s="584">
        <v>0.29099999999999998</v>
      </c>
      <c r="BD14" s="52"/>
      <c r="BE14" s="579" t="s">
        <v>925</v>
      </c>
      <c r="BF14" s="602">
        <v>14</v>
      </c>
      <c r="BG14" s="52"/>
      <c r="BH14" s="337" t="s">
        <v>1258</v>
      </c>
      <c r="BI14" s="337"/>
      <c r="BJ14" s="337"/>
      <c r="BK14" s="337"/>
      <c r="BL14" s="337"/>
      <c r="BM14" s="337"/>
      <c r="BN14" s="337"/>
      <c r="BO14" s="337"/>
      <c r="BP14" s="337"/>
      <c r="BQ14" s="337"/>
    </row>
    <row r="15" spans="1:69" x14ac:dyDescent="0.2">
      <c r="A15" s="336" t="str">
        <f>IF($C$9&gt;=3,"Weld #3","")</f>
        <v/>
      </c>
      <c r="B15" s="281"/>
      <c r="C15" s="348"/>
      <c r="D15" s="281"/>
      <c r="E15" s="349"/>
      <c r="F15" s="21"/>
      <c r="G15" s="21"/>
      <c r="H15" s="21"/>
      <c r="I15" s="24"/>
      <c r="K15" s="85">
        <v>13</v>
      </c>
      <c r="M15" s="69" t="s">
        <v>1253</v>
      </c>
      <c r="N15" s="14" t="str">
        <f>IF($C$9&gt;=11,IF($E23&gt;=$C23,$C23+ABS($E23-$C23)/2,$E23+ABS($E23-$C23)/2),"")</f>
        <v/>
      </c>
      <c r="O15" s="14" t="str">
        <f>IF($C$9&gt;=11,IF($D23&gt;=$B23,$B23+ABS($D23-$B23)/2,$D23+ABS($D23-$B23)/2),"")</f>
        <v/>
      </c>
      <c r="P15" s="55" t="str">
        <f>IF($C$9&gt;=11,(($D23-$B23)^2+($E23-$C23)^2)^(1/2),"")</f>
        <v/>
      </c>
      <c r="Q15" s="55" t="str">
        <f>IF($C$9&gt;=11,$P15*$O15,"")</f>
        <v/>
      </c>
      <c r="R15" s="55" t="str">
        <f>IF($C$9&gt;=11,$P15*$N15,"")</f>
        <v/>
      </c>
      <c r="S15" s="70" t="str">
        <f>IF($C$9&gt;=11,$P15*($E23-$C23)^2/12+$P15*$N15^2,"")</f>
        <v/>
      </c>
      <c r="T15" s="55" t="str">
        <f>IF($C$9&gt;=11,$P15*($D23-$B23)^2/12+$P15*$O15^2,"")</f>
        <v/>
      </c>
      <c r="U15" s="52" t="str">
        <f>IF($C$9&gt;=11,$B23-$N$36,"")</f>
        <v/>
      </c>
      <c r="V15" s="52" t="str">
        <f>IF($C$9&gt;=11,$C23-$N$37,"")</f>
        <v/>
      </c>
      <c r="W15" s="52" t="str">
        <f>IF($C$9&gt;=11,$D23-$N$36,"")</f>
        <v/>
      </c>
      <c r="X15" s="52" t="str">
        <f>IF($C$9&gt;=11,$E23-$N$37,"")</f>
        <v/>
      </c>
      <c r="Y15" s="52" t="str">
        <f>IF($C$9&gt;=11,((-$R$42/$N$31+-$R$45*$V15/$N$38+$R$46*$U15/$N$39)^2+($R$43/$N$31+$R$47*-$V15/$N$40)^2+($R$44/$N$31+$R$47*$U15/$N$40)^2)^(1/2),"")</f>
        <v/>
      </c>
      <c r="Z15" s="52" t="str">
        <f>IF($C$9&gt;=11,((-$R$42/$N$31+-$R$45*$X15/$N$38+$R$46*$W15/$N$39)^2+($R$43/$N$31+$R$47*-$X15/$N$40)^2+($R$44/$N$31+$R$47*$W15/$N$40)^2)^(1/2),"")</f>
        <v/>
      </c>
      <c r="AA15" s="52"/>
      <c r="AB15" s="579" t="s">
        <v>1565</v>
      </c>
      <c r="AC15" s="580">
        <v>39.799999999999997</v>
      </c>
      <c r="AD15" s="581">
        <v>0.93</v>
      </c>
      <c r="AE15" s="580">
        <v>15.8</v>
      </c>
      <c r="AF15" s="582">
        <v>1.65</v>
      </c>
      <c r="AG15" s="52"/>
      <c r="AH15" s="579" t="s">
        <v>24</v>
      </c>
      <c r="AI15" s="583">
        <v>9</v>
      </c>
      <c r="AJ15" s="581">
        <v>0.28499999999999998</v>
      </c>
      <c r="AK15" s="583">
        <v>2.4900000000000002</v>
      </c>
      <c r="AL15" s="584">
        <v>0.41299999999999998</v>
      </c>
      <c r="AM15" s="52"/>
      <c r="AN15" s="579" t="s">
        <v>94</v>
      </c>
      <c r="AO15" s="580">
        <v>19.899999999999999</v>
      </c>
      <c r="AP15" s="581">
        <v>0.93</v>
      </c>
      <c r="AQ15" s="580">
        <v>15.8</v>
      </c>
      <c r="AR15" s="582">
        <v>1.65</v>
      </c>
      <c r="AS15" s="52"/>
      <c r="AT15" s="579" t="s">
        <v>412</v>
      </c>
      <c r="AU15" s="583">
        <v>8</v>
      </c>
      <c r="AV15" s="583">
        <v>6</v>
      </c>
      <c r="AW15" s="602">
        <v>0.5625</v>
      </c>
      <c r="AX15" s="52"/>
      <c r="AY15" s="579" t="s">
        <v>540</v>
      </c>
      <c r="AZ15" s="606">
        <v>20</v>
      </c>
      <c r="BA15" s="606">
        <v>4</v>
      </c>
      <c r="BB15" s="606">
        <v>0.25</v>
      </c>
      <c r="BC15" s="584">
        <v>0.23300000000000001</v>
      </c>
      <c r="BD15" s="52"/>
      <c r="BE15" s="579" t="s">
        <v>926</v>
      </c>
      <c r="BF15" s="602">
        <v>14</v>
      </c>
      <c r="BG15" s="52"/>
      <c r="BH15" s="337" t="s">
        <v>1260</v>
      </c>
      <c r="BI15" s="337"/>
      <c r="BJ15" s="337"/>
      <c r="BK15" s="337"/>
      <c r="BL15" s="337"/>
      <c r="BM15" s="337"/>
      <c r="BN15" s="337"/>
      <c r="BO15" s="337"/>
      <c r="BP15" s="337"/>
      <c r="BQ15" s="337"/>
    </row>
    <row r="16" spans="1:69" x14ac:dyDescent="0.2">
      <c r="A16" s="336" t="str">
        <f>IF($C$9&gt;=4,"Weld #4","")</f>
        <v/>
      </c>
      <c r="B16" s="281"/>
      <c r="C16" s="348"/>
      <c r="D16" s="281"/>
      <c r="E16" s="349"/>
      <c r="F16" s="21"/>
      <c r="G16" s="21"/>
      <c r="H16" s="21"/>
      <c r="I16" s="24"/>
      <c r="K16" s="85">
        <v>14</v>
      </c>
      <c r="M16" s="69" t="s">
        <v>1255</v>
      </c>
      <c r="N16" s="14" t="str">
        <f>IF($C$9&gt;=12,IF($E24&gt;=$C24,$C24+ABS($E24-$C24)/2,$E24+ABS($E24-$C24)/2),"")</f>
        <v/>
      </c>
      <c r="O16" s="14" t="str">
        <f>IF($C$9&gt;=12,IF($D24&gt;=$B24,$B24+ABS($D24-$B24)/2,$D24+ABS($D24-$B24)/2),"")</f>
        <v/>
      </c>
      <c r="P16" s="55" t="str">
        <f>IF($C$9&gt;=12,(($D24-$B24)^2+($E24-$C24)^2)^(1/2),"")</f>
        <v/>
      </c>
      <c r="Q16" s="55" t="str">
        <f>IF($C$9&gt;=12,$P16*$O16,"")</f>
        <v/>
      </c>
      <c r="R16" s="55" t="str">
        <f>IF($C$9&gt;=12,$P16*$N16,"")</f>
        <v/>
      </c>
      <c r="S16" s="70" t="str">
        <f>IF($C$9&gt;=12,$P16*($E24-$C24)^2/12+$P16*$N16^2,"")</f>
        <v/>
      </c>
      <c r="T16" s="55" t="str">
        <f>IF($C$9&gt;=12,$P16*($D24-$B24)^2/12+$P16*$O16^2,"")</f>
        <v/>
      </c>
      <c r="U16" s="52" t="str">
        <f>IF($C$9&gt;=12,$B24-$N$36,"")</f>
        <v/>
      </c>
      <c r="V16" s="52" t="str">
        <f>IF($C$9&gt;=12,$C24-$N$37,"")</f>
        <v/>
      </c>
      <c r="W16" s="52" t="str">
        <f>IF($C$9&gt;=12,$D24-$N$36,"")</f>
        <v/>
      </c>
      <c r="X16" s="52" t="str">
        <f>IF($C$9&gt;=12,$E24-$N$37,"")</f>
        <v/>
      </c>
      <c r="Y16" s="52" t="str">
        <f>IF($C$9&gt;=12,((-$R$42/$N$31+-$R$45*$V16/$N$38+$R$46*$U16/$N$39)^2+($R$43/$N$31+$R$47*-$V16/$N$40)^2+($R$44/$N$31+$R$47*$U16/$N$40)^2)^(1/2),"")</f>
        <v/>
      </c>
      <c r="Z16" s="52" t="str">
        <f>IF($C$9&gt;=12,((-$R$42/$N$31+-$R$45*$X16/$N$38+$R$46*$W16/$N$39)^2+($R$43/$N$31+$R$47*-$X16/$N$40)^2+($R$44/$N$31+$R$47*$W16/$N$40)^2)^(1/2),"")</f>
        <v/>
      </c>
      <c r="AA16" s="52"/>
      <c r="AB16" s="579" t="s">
        <v>1566</v>
      </c>
      <c r="AC16" s="580">
        <v>39.700000000000003</v>
      </c>
      <c r="AD16" s="581">
        <v>0.83</v>
      </c>
      <c r="AE16" s="580">
        <v>15.8</v>
      </c>
      <c r="AF16" s="582">
        <v>1.58</v>
      </c>
      <c r="AG16" s="52"/>
      <c r="AH16" s="579" t="s">
        <v>25</v>
      </c>
      <c r="AI16" s="583">
        <v>9</v>
      </c>
      <c r="AJ16" s="581">
        <v>0.23300000000000001</v>
      </c>
      <c r="AK16" s="583">
        <v>2.4300000000000002</v>
      </c>
      <c r="AL16" s="584">
        <v>0.41299999999999998</v>
      </c>
      <c r="AM16" s="52"/>
      <c r="AN16" s="579" t="s">
        <v>95</v>
      </c>
      <c r="AO16" s="580">
        <v>19.8</v>
      </c>
      <c r="AP16" s="581">
        <v>0.83</v>
      </c>
      <c r="AQ16" s="580">
        <v>15.8</v>
      </c>
      <c r="AR16" s="582">
        <v>1.58</v>
      </c>
      <c r="AS16" s="52"/>
      <c r="AT16" s="579" t="s">
        <v>413</v>
      </c>
      <c r="AU16" s="583">
        <v>8</v>
      </c>
      <c r="AV16" s="583">
        <v>6</v>
      </c>
      <c r="AW16" s="602">
        <v>0.5</v>
      </c>
      <c r="AX16" s="52"/>
      <c r="AY16" s="579" t="s">
        <v>541</v>
      </c>
      <c r="AZ16" s="606">
        <v>18</v>
      </c>
      <c r="BA16" s="606">
        <v>6</v>
      </c>
      <c r="BB16" s="606">
        <v>0.625</v>
      </c>
      <c r="BC16" s="584">
        <v>0.58099999999999996</v>
      </c>
      <c r="BD16" s="52"/>
      <c r="BE16" s="579" t="s">
        <v>927</v>
      </c>
      <c r="BF16" s="602">
        <v>14</v>
      </c>
      <c r="BG16" s="52"/>
      <c r="BH16" s="337" t="s">
        <v>1262</v>
      </c>
      <c r="BI16" s="43"/>
      <c r="BJ16" s="43"/>
      <c r="BK16" s="43"/>
      <c r="BL16" s="43"/>
      <c r="BM16" s="43"/>
      <c r="BN16" s="43"/>
      <c r="BO16" s="43"/>
      <c r="BP16" s="43"/>
      <c r="BQ16" s="43"/>
    </row>
    <row r="17" spans="1:69" x14ac:dyDescent="0.2">
      <c r="A17" s="336" t="str">
        <f>IF($C$9&gt;=5,"Weld #5","")</f>
        <v/>
      </c>
      <c r="B17" s="281"/>
      <c r="C17" s="348"/>
      <c r="D17" s="281"/>
      <c r="E17" s="349"/>
      <c r="F17" s="21"/>
      <c r="G17" s="21"/>
      <c r="H17" s="21"/>
      <c r="I17" s="24"/>
      <c r="K17" s="85">
        <v>15</v>
      </c>
      <c r="M17" s="69" t="s">
        <v>1257</v>
      </c>
      <c r="N17" s="14" t="str">
        <f>IF($C$9&gt;=13,IF($E25&gt;=$C25,$C25+ABS($E25-$C25)/2,$E25+ABS($E25-$C25)/2),"")</f>
        <v/>
      </c>
      <c r="O17" s="14" t="str">
        <f>IF($C$9&gt;=13,IF($D25&gt;=$B25,$B25+ABS($D25-$B25)/2,$D25+ABS($D25-$B25)/2),"")</f>
        <v/>
      </c>
      <c r="P17" s="55" t="str">
        <f>IF($C$9&gt;=13,(($D25-$B25)^2+($E25-$C25)^2)^(1/2),"")</f>
        <v/>
      </c>
      <c r="Q17" s="55" t="str">
        <f>IF($C$9&gt;=13,$P17*$O17,"")</f>
        <v/>
      </c>
      <c r="R17" s="55" t="str">
        <f>IF($C$9&gt;=13,$P17*$N17,"")</f>
        <v/>
      </c>
      <c r="S17" s="70" t="str">
        <f>IF($C$9&gt;=13,$P17*($E25-$C25)^2/12+$P17*$N17^2,"")</f>
        <v/>
      </c>
      <c r="T17" s="55" t="str">
        <f>IF($C$9&gt;=13,$P17*($D25-$B25)^2/12+$P17*$O17^2,"")</f>
        <v/>
      </c>
      <c r="U17" s="52" t="str">
        <f>IF($C$9&gt;=13,$B25-$N$36,"")</f>
        <v/>
      </c>
      <c r="V17" s="52" t="str">
        <f>IF($C$9&gt;=13,$C25-$N$37,"")</f>
        <v/>
      </c>
      <c r="W17" s="52" t="str">
        <f>IF($C$9&gt;=13,$D25-$N$36,"")</f>
        <v/>
      </c>
      <c r="X17" s="52" t="str">
        <f>IF($C$9&gt;=13,$E25-$N$37,"")</f>
        <v/>
      </c>
      <c r="Y17" s="52" t="str">
        <f>IF($C$9&gt;=13,((-$R$42/$N$31+-$R$45*$V17/$N$38+$R$46*$U17/$N$39)^2+($R$43/$N$31+$R$47*-$V17/$N$40)^2+($R$44/$N$31+$R$47*$U17/$N$40)^2)^(1/2),"")</f>
        <v/>
      </c>
      <c r="Z17" s="52" t="str">
        <f>IF($C$9&gt;=13,((-$R$42/$N$31+-$R$45*$X17/$N$38+$R$46*$W17/$N$39)^2+($R$43/$N$31+$R$47*-$X17/$N$40)^2+($R$44/$N$31+$R$47*$W17/$N$40)^2)^(1/2),"")</f>
        <v/>
      </c>
      <c r="AA17" s="52"/>
      <c r="AB17" s="579" t="s">
        <v>1567</v>
      </c>
      <c r="AC17" s="580">
        <v>39.4</v>
      </c>
      <c r="AD17" s="581">
        <v>0.75</v>
      </c>
      <c r="AE17" s="580">
        <v>15.8</v>
      </c>
      <c r="AF17" s="582">
        <v>1.42</v>
      </c>
      <c r="AG17" s="52"/>
      <c r="AH17" s="579" t="s">
        <v>26</v>
      </c>
      <c r="AI17" s="583">
        <v>8</v>
      </c>
      <c r="AJ17" s="581">
        <v>0.48699999999999999</v>
      </c>
      <c r="AK17" s="583">
        <v>2.5299999999999998</v>
      </c>
      <c r="AL17" s="584">
        <v>0.39</v>
      </c>
      <c r="AM17" s="52"/>
      <c r="AN17" s="579" t="s">
        <v>96</v>
      </c>
      <c r="AO17" s="580">
        <v>19.7</v>
      </c>
      <c r="AP17" s="581">
        <v>0.75</v>
      </c>
      <c r="AQ17" s="580">
        <v>15.8</v>
      </c>
      <c r="AR17" s="582">
        <v>1.42</v>
      </c>
      <c r="AS17" s="52"/>
      <c r="AT17" s="579" t="s">
        <v>414</v>
      </c>
      <c r="AU17" s="583">
        <v>8</v>
      </c>
      <c r="AV17" s="583">
        <v>6</v>
      </c>
      <c r="AW17" s="602">
        <v>0.4375</v>
      </c>
      <c r="AX17" s="52"/>
      <c r="AY17" s="579" t="s">
        <v>542</v>
      </c>
      <c r="AZ17" s="606">
        <v>18</v>
      </c>
      <c r="BA17" s="606">
        <v>6</v>
      </c>
      <c r="BB17" s="606">
        <v>0.5</v>
      </c>
      <c r="BC17" s="584">
        <v>0.46500000000000002</v>
      </c>
      <c r="BD17" s="52"/>
      <c r="BE17" s="579" t="s">
        <v>928</v>
      </c>
      <c r="BF17" s="602">
        <v>14</v>
      </c>
      <c r="BG17" s="52"/>
      <c r="BH17" s="337" t="s">
        <v>1264</v>
      </c>
      <c r="BI17" s="43"/>
      <c r="BJ17" s="43"/>
      <c r="BK17" s="43"/>
      <c r="BL17" s="43"/>
      <c r="BM17" s="43"/>
      <c r="BN17" s="43"/>
      <c r="BO17" s="43"/>
      <c r="BP17" s="43"/>
      <c r="BQ17" s="43"/>
    </row>
    <row r="18" spans="1:69" x14ac:dyDescent="0.2">
      <c r="A18" s="336" t="str">
        <f>IF($C$9&gt;=6,"Weld #6","")</f>
        <v/>
      </c>
      <c r="B18" s="281"/>
      <c r="C18" s="348"/>
      <c r="D18" s="281"/>
      <c r="E18" s="349"/>
      <c r="F18" s="21"/>
      <c r="G18" s="21"/>
      <c r="H18" s="21"/>
      <c r="I18" s="24"/>
      <c r="K18" s="85">
        <v>16</v>
      </c>
      <c r="M18" s="69" t="s">
        <v>1259</v>
      </c>
      <c r="N18" s="14" t="str">
        <f>IF($C$9&gt;=14,IF($E26&gt;=$C26,$C26+ABS($E26-$C26)/2,$E26+ABS($E26-$C26)/2),"")</f>
        <v/>
      </c>
      <c r="O18" s="14" t="str">
        <f>IF($C$9&gt;=14,IF($D26&gt;=$B26,$B26+ABS($D26-$B26)/2,$D26+ABS($D26-$B26)/2),"")</f>
        <v/>
      </c>
      <c r="P18" s="55" t="str">
        <f>IF($C$9&gt;=14,(($D26-$B26)^2+($E26-$C26)^2)^(1/2),"")</f>
        <v/>
      </c>
      <c r="Q18" s="55" t="str">
        <f>IF($C$9&gt;=14,$P18*$O18,"")</f>
        <v/>
      </c>
      <c r="R18" s="55" t="str">
        <f>IF($C$9&gt;=14,$P18*$N18,"")</f>
        <v/>
      </c>
      <c r="S18" s="70" t="str">
        <f>IF($C$9&gt;=14,$P18*($E26-$C26)^2/12+$P18*$N18^2,"")</f>
        <v/>
      </c>
      <c r="T18" s="55" t="str">
        <f>IF($C$9&gt;=14,$P18*($D26-$B26)^2/12+$P18*$O18^2,"")</f>
        <v/>
      </c>
      <c r="U18" s="52" t="str">
        <f>IF($C$9&gt;=14,$B26-$N$36,"")</f>
        <v/>
      </c>
      <c r="V18" s="52" t="str">
        <f>IF($C$9&gt;=14,$C26-$N$37,"")</f>
        <v/>
      </c>
      <c r="W18" s="52" t="str">
        <f>IF($C$9&gt;=14,$D26-$N$36,"")</f>
        <v/>
      </c>
      <c r="X18" s="52" t="str">
        <f>IF($C$9&gt;=14,$E26-$N$37,"")</f>
        <v/>
      </c>
      <c r="Y18" s="52" t="str">
        <f>IF($C$9&gt;=14,((-$R$42/$N$31+-$R$45*$V18/$N$38+$R$46*$U18/$N$39)^2+($R$43/$N$31+$R$47*-$V18/$N$40)^2+($R$44/$N$31+$R$47*$U18/$N$40)^2)^(1/2),"")</f>
        <v/>
      </c>
      <c r="Z18" s="52" t="str">
        <f>IF($C$9&gt;=14,((-$R$42/$N$31+-$R$45*$X18/$N$38+$R$46*$W18/$N$39)^2+($R$43/$N$31+$R$47*-$X18/$N$40)^2+($R$44/$N$31+$R$47*$W18/$N$40)^2)^(1/2),"")</f>
        <v/>
      </c>
      <c r="AA18" s="52"/>
      <c r="AB18" s="579" t="s">
        <v>1568</v>
      </c>
      <c r="AC18" s="580">
        <v>39</v>
      </c>
      <c r="AD18" s="581">
        <v>0.65</v>
      </c>
      <c r="AE18" s="580">
        <v>15.8</v>
      </c>
      <c r="AF18" s="582">
        <v>1.22</v>
      </c>
      <c r="AG18" s="52"/>
      <c r="AH18" s="579" t="s">
        <v>27</v>
      </c>
      <c r="AI18" s="583">
        <v>8</v>
      </c>
      <c r="AJ18" s="581">
        <v>0.30299999999999999</v>
      </c>
      <c r="AK18" s="583">
        <v>2.34</v>
      </c>
      <c r="AL18" s="584">
        <v>0.39</v>
      </c>
      <c r="AM18" s="52"/>
      <c r="AN18" s="579" t="s">
        <v>97</v>
      </c>
      <c r="AO18" s="580">
        <v>19.5</v>
      </c>
      <c r="AP18" s="581">
        <v>0.65</v>
      </c>
      <c r="AQ18" s="580">
        <v>15.8</v>
      </c>
      <c r="AR18" s="582">
        <v>1.22</v>
      </c>
      <c r="AS18" s="52"/>
      <c r="AT18" s="579" t="s">
        <v>415</v>
      </c>
      <c r="AU18" s="583">
        <v>8</v>
      </c>
      <c r="AV18" s="583">
        <v>4</v>
      </c>
      <c r="AW18" s="602">
        <v>1</v>
      </c>
      <c r="AX18" s="52"/>
      <c r="AY18" s="579" t="s">
        <v>543</v>
      </c>
      <c r="AZ18" s="606">
        <v>18</v>
      </c>
      <c r="BA18" s="606">
        <v>6</v>
      </c>
      <c r="BB18" s="606">
        <v>0.375</v>
      </c>
      <c r="BC18" s="584">
        <v>0.34899999999999998</v>
      </c>
      <c r="BD18" s="52"/>
      <c r="BE18" s="579" t="s">
        <v>929</v>
      </c>
      <c r="BF18" s="602">
        <v>14</v>
      </c>
      <c r="BG18" s="52"/>
      <c r="BH18" s="350" t="s">
        <v>1267</v>
      </c>
      <c r="BI18" s="337"/>
      <c r="BJ18" s="337"/>
      <c r="BK18" s="337"/>
      <c r="BL18" s="337"/>
      <c r="BM18" s="337"/>
      <c r="BN18" s="337"/>
      <c r="BO18" s="337"/>
      <c r="BP18" s="337"/>
      <c r="BQ18" s="337"/>
    </row>
    <row r="19" spans="1:69" x14ac:dyDescent="0.2">
      <c r="A19" s="336" t="str">
        <f>IF($C$9&gt;=7,"Weld #7","")</f>
        <v/>
      </c>
      <c r="B19" s="281"/>
      <c r="C19" s="348"/>
      <c r="D19" s="281"/>
      <c r="E19" s="349"/>
      <c r="F19" s="21"/>
      <c r="G19" s="21"/>
      <c r="H19" s="21"/>
      <c r="I19" s="24"/>
      <c r="K19" s="85">
        <v>17</v>
      </c>
      <c r="M19" s="69" t="s">
        <v>1261</v>
      </c>
      <c r="N19" s="14" t="str">
        <f>IF($C$9&gt;=15,IF($E27&gt;=$C27,$C27+ABS($E27-$C27)/2,$E27+ABS($E27-$C27)/2),"")</f>
        <v/>
      </c>
      <c r="O19" s="14" t="str">
        <f>IF($C$9&gt;=15,IF($D27&gt;=$B27,$B27+ABS($D27-$B27)/2,$D27+ABS($D27-$B27)/2),"")</f>
        <v/>
      </c>
      <c r="P19" s="55" t="str">
        <f>IF($C$9&gt;=15,(($D27-$B27)^2+($E27-$C27)^2)^(1/2),"")</f>
        <v/>
      </c>
      <c r="Q19" s="55" t="str">
        <f>IF($C$9&gt;=15,$P19*$O19,"")</f>
        <v/>
      </c>
      <c r="R19" s="55" t="str">
        <f>IF($C$9&gt;=15,$P19*$N19,"")</f>
        <v/>
      </c>
      <c r="S19" s="70" t="str">
        <f>IF($C$9&gt;=15,$P19*($E27-$C27)^2/12+$P19*$N19^2,"")</f>
        <v/>
      </c>
      <c r="T19" s="55" t="str">
        <f>IF($C$9&gt;=15,$P19*($D27-$B27)^2/12+$P19*$O19^2,"")</f>
        <v/>
      </c>
      <c r="U19" s="52" t="str">
        <f>IF($C$9&gt;=15,$B27-$N$36,"")</f>
        <v/>
      </c>
      <c r="V19" s="52" t="str">
        <f>IF($C$9&gt;=15,$C27-$N$37,"")</f>
        <v/>
      </c>
      <c r="W19" s="52" t="str">
        <f>IF($C$9&gt;=15,$D27-$N$36,"")</f>
        <v/>
      </c>
      <c r="X19" s="52" t="str">
        <f>IF($C$9&gt;=15,$E27-$N$37,"")</f>
        <v/>
      </c>
      <c r="Y19" s="52" t="str">
        <f>IF($C$9&gt;=15,((-$R$42/$N$31+-$R$45*$V19/$N$38+$R$46*$U19/$N$39)^2+($R$43/$N$31+$R$47*-$V19/$N$40)^2+($R$44/$N$31+$R$47*$U19/$N$40)^2)^(1/2),"")</f>
        <v/>
      </c>
      <c r="Z19" s="52" t="str">
        <f>IF($C$9&gt;=15,((-$R$42/$N$31+-$R$45*$X19/$N$38+$R$46*$W19/$N$39)^2+($R$43/$N$31+$R$47*-$X19/$N$40)^2+($R$44/$N$31+$R$47*$W19/$N$40)^2)^(1/2),"")</f>
        <v/>
      </c>
      <c r="AA19" s="52"/>
      <c r="AB19" s="579" t="s">
        <v>1569</v>
      </c>
      <c r="AC19" s="580">
        <v>38.700000000000003</v>
      </c>
      <c r="AD19" s="581">
        <v>0.65</v>
      </c>
      <c r="AE19" s="580">
        <v>15.8</v>
      </c>
      <c r="AF19" s="582">
        <v>1.07</v>
      </c>
      <c r="AG19" s="52"/>
      <c r="AH19" s="579" t="s">
        <v>28</v>
      </c>
      <c r="AI19" s="583">
        <v>8</v>
      </c>
      <c r="AJ19" s="581">
        <v>0.22</v>
      </c>
      <c r="AK19" s="583">
        <v>2.2599999999999998</v>
      </c>
      <c r="AL19" s="584">
        <v>0.39</v>
      </c>
      <c r="AM19" s="52"/>
      <c r="AN19" s="579" t="s">
        <v>98</v>
      </c>
      <c r="AO19" s="580">
        <v>19.3</v>
      </c>
      <c r="AP19" s="581">
        <v>0.65</v>
      </c>
      <c r="AQ19" s="580">
        <v>15.8</v>
      </c>
      <c r="AR19" s="582">
        <v>1.07</v>
      </c>
      <c r="AS19" s="52"/>
      <c r="AT19" s="579" t="s">
        <v>416</v>
      </c>
      <c r="AU19" s="583">
        <v>8</v>
      </c>
      <c r="AV19" s="583">
        <v>4</v>
      </c>
      <c r="AW19" s="602">
        <v>0.875</v>
      </c>
      <c r="AX19" s="52"/>
      <c r="AY19" s="579" t="s">
        <v>544</v>
      </c>
      <c r="AZ19" s="606">
        <v>18</v>
      </c>
      <c r="BA19" s="606">
        <v>6</v>
      </c>
      <c r="BB19" s="606">
        <v>0.3125</v>
      </c>
      <c r="BC19" s="584">
        <v>0.29099999999999998</v>
      </c>
      <c r="BD19" s="52"/>
      <c r="BE19" s="579" t="s">
        <v>930</v>
      </c>
      <c r="BF19" s="602">
        <v>12.75</v>
      </c>
      <c r="BG19" s="52"/>
      <c r="BH19" s="337" t="s">
        <v>1269</v>
      </c>
      <c r="BI19" s="43"/>
      <c r="BJ19" s="43"/>
      <c r="BK19" s="43"/>
      <c r="BL19" s="43"/>
      <c r="BM19" s="43"/>
      <c r="BN19" s="43"/>
      <c r="BO19" s="43"/>
      <c r="BP19" s="43"/>
      <c r="BQ19" s="43"/>
    </row>
    <row r="20" spans="1:69" x14ac:dyDescent="0.2">
      <c r="A20" s="336" t="str">
        <f>IF($C$9&gt;=8,"Weld #8","")</f>
        <v/>
      </c>
      <c r="B20" s="281"/>
      <c r="C20" s="348"/>
      <c r="D20" s="281"/>
      <c r="E20" s="349"/>
      <c r="F20" s="21"/>
      <c r="G20" s="21"/>
      <c r="H20" s="21"/>
      <c r="I20" s="24"/>
      <c r="K20" s="85">
        <v>18</v>
      </c>
      <c r="M20" s="69" t="s">
        <v>1263</v>
      </c>
      <c r="N20" s="14" t="str">
        <f>IF($C$9&gt;=16,IF($E28&gt;=$C28,$C28+ABS($E28-$C28)/2,$E28+ABS($E28-$C28)/2),"")</f>
        <v/>
      </c>
      <c r="O20" s="14" t="str">
        <f>IF($C$9&gt;=16,IF($D28&gt;=$B28,$B28+ABS($D28-$B28)/2,$D28+ABS($D28-$B28)/2),"")</f>
        <v/>
      </c>
      <c r="P20" s="55" t="str">
        <f>IF($C$9&gt;=16,(($D28-$B28)^2+($E28-$C28)^2)^(1/2),"")</f>
        <v/>
      </c>
      <c r="Q20" s="55" t="str">
        <f>IF($C$9&gt;=16,$P20*$O20,"")</f>
        <v/>
      </c>
      <c r="R20" s="55" t="str">
        <f>IF($C$9&gt;=16,$P20*$N20,"")</f>
        <v/>
      </c>
      <c r="S20" s="70" t="str">
        <f>IF($C$9&gt;=16,$P20*($E28-$C28)^2/12+$P20*$N20^2,"")</f>
        <v/>
      </c>
      <c r="T20" s="55" t="str">
        <f>IF($C$9&gt;=16,$P20*($D28-$B28)^2/12+$P20*$O20^2,"")</f>
        <v/>
      </c>
      <c r="U20" s="52" t="str">
        <f>IF($C$9&gt;=16,$B28-$N$36,"")</f>
        <v/>
      </c>
      <c r="V20" s="52" t="str">
        <f>IF($C$9&gt;=16,$C28-$N$37,"")</f>
        <v/>
      </c>
      <c r="W20" s="52" t="str">
        <f>IF($C$9&gt;=16,$D28-$N$36,"")</f>
        <v/>
      </c>
      <c r="X20" s="52" t="str">
        <f>IF($C$9&gt;=16,$E28-$N$37,"")</f>
        <v/>
      </c>
      <c r="Y20" s="52" t="str">
        <f>IF($C$9&gt;=16,((-$R$42/$N$31+-$R$45*$V20/$N$38+$R$46*$U20/$N$39)^2+($R$43/$N$31+$R$47*-$V20/$N$40)^2+($R$44/$N$31+$R$47*$U20/$N$40)^2)^(1/2),"")</f>
        <v/>
      </c>
      <c r="Z20" s="52" t="str">
        <f>IF($C$9&gt;=16,((-$R$42/$N$31+-$R$45*$X20/$N$38+$R$46*$W20/$N$39)^2+($R$43/$N$31+$R$47*-$X20/$N$40)^2+($R$44/$N$31+$R$47*$W20/$N$40)^2)^(1/2),"")</f>
        <v/>
      </c>
      <c r="AA20" s="52"/>
      <c r="AB20" s="579" t="s">
        <v>1570</v>
      </c>
      <c r="AC20" s="580">
        <v>41.6</v>
      </c>
      <c r="AD20" s="583">
        <v>1.42</v>
      </c>
      <c r="AE20" s="580">
        <v>12.4</v>
      </c>
      <c r="AF20" s="582">
        <v>2.52</v>
      </c>
      <c r="AG20" s="52"/>
      <c r="AH20" s="579" t="s">
        <v>29</v>
      </c>
      <c r="AI20" s="583">
        <v>7</v>
      </c>
      <c r="AJ20" s="581">
        <v>0.41899999999999998</v>
      </c>
      <c r="AK20" s="583">
        <v>2.2999999999999998</v>
      </c>
      <c r="AL20" s="584">
        <v>0.36599999999999999</v>
      </c>
      <c r="AM20" s="52"/>
      <c r="AN20" s="579" t="s">
        <v>99</v>
      </c>
      <c r="AO20" s="580">
        <v>20.8</v>
      </c>
      <c r="AP20" s="583">
        <v>1.42</v>
      </c>
      <c r="AQ20" s="580">
        <v>12.4</v>
      </c>
      <c r="AR20" s="582">
        <v>2.52</v>
      </c>
      <c r="AS20" s="52"/>
      <c r="AT20" s="579" t="s">
        <v>417</v>
      </c>
      <c r="AU20" s="583">
        <v>8</v>
      </c>
      <c r="AV20" s="583">
        <v>4</v>
      </c>
      <c r="AW20" s="602">
        <v>0.75</v>
      </c>
      <c r="AX20" s="52"/>
      <c r="AY20" s="579" t="s">
        <v>545</v>
      </c>
      <c r="AZ20" s="606">
        <v>18</v>
      </c>
      <c r="BA20" s="606">
        <v>6</v>
      </c>
      <c r="BB20" s="606">
        <v>0.25</v>
      </c>
      <c r="BC20" s="584">
        <v>0.23300000000000001</v>
      </c>
      <c r="BD20" s="52"/>
      <c r="BE20" s="579" t="s">
        <v>931</v>
      </c>
      <c r="BF20" s="602">
        <v>12.75</v>
      </c>
      <c r="BG20" s="52"/>
      <c r="BH20" s="337" t="s">
        <v>1271</v>
      </c>
      <c r="BI20" s="43"/>
      <c r="BJ20" s="43"/>
      <c r="BK20" s="43"/>
      <c r="BL20" s="43"/>
      <c r="BM20" s="43"/>
      <c r="BN20" s="43"/>
      <c r="BO20" s="43"/>
      <c r="BP20" s="43"/>
      <c r="BQ20" s="43"/>
    </row>
    <row r="21" spans="1:69" x14ac:dyDescent="0.2">
      <c r="A21" s="336" t="str">
        <f>IF($C$9&gt;=9,"Weld #9","")</f>
        <v/>
      </c>
      <c r="B21" s="281"/>
      <c r="C21" s="348"/>
      <c r="D21" s="281"/>
      <c r="E21" s="349"/>
      <c r="F21" s="21"/>
      <c r="G21" s="21"/>
      <c r="H21" s="21"/>
      <c r="I21" s="24"/>
      <c r="K21" s="85">
        <v>19</v>
      </c>
      <c r="M21" s="69" t="s">
        <v>1265</v>
      </c>
      <c r="N21" s="14" t="str">
        <f>IF($C$9&gt;=17,IF($E29&gt;=$C29,$C29+ABS($E29-$C29)/2,$E29+ABS($E29-$C29)/2),"")</f>
        <v/>
      </c>
      <c r="O21" s="14" t="str">
        <f>IF($C$9&gt;=17,IF($D29&gt;=$B29,$B29+ABS($D29-$B29)/2,$D29+ABS($D29-$B29)/2),"")</f>
        <v/>
      </c>
      <c r="P21" s="55" t="str">
        <f>IF($C$9&gt;=17,(($D29-$B29)^2+($E29-$C29)^2)^(1/2),"")</f>
        <v/>
      </c>
      <c r="Q21" s="55" t="str">
        <f>IF($C$9&gt;=17,$P21*$O21,"")</f>
        <v/>
      </c>
      <c r="R21" s="55" t="str">
        <f>IF($C$9&gt;=17,$P21*$N21,"")</f>
        <v/>
      </c>
      <c r="S21" s="70" t="str">
        <f>IF($C$9&gt;=17,$P21*($E29-$C29)^2/12+$P21*$N21^2,"")</f>
        <v/>
      </c>
      <c r="T21" s="55" t="str">
        <f>IF($C$9&gt;=17,$P21*($D29-$B29)^2/12+$P21*$O21^2,"")</f>
        <v/>
      </c>
      <c r="U21" s="52" t="str">
        <f>IF($C$9&gt;=17,$B29-$N$36,"")</f>
        <v/>
      </c>
      <c r="V21" s="52" t="str">
        <f>IF($C$9&gt;=17,$C29-$N$37,"")</f>
        <v/>
      </c>
      <c r="W21" s="52" t="str">
        <f>IF($C$9&gt;=17,$D29-$N$36,"")</f>
        <v/>
      </c>
      <c r="X21" s="52" t="str">
        <f>IF($C$9&gt;=17,$E29-$N$37,"")</f>
        <v/>
      </c>
      <c r="Y21" s="52" t="str">
        <f>IF($C$9&gt;=17,((-$R$42/$N$31+-$R$45*$V21/$N$38+$R$46*$U21/$N$39)^2+($R$43/$N$31+$R$47*-$V21/$N$40)^2+($R$44/$N$31+$R$47*$U21/$N$40)^2)^(1/2),"")</f>
        <v/>
      </c>
      <c r="Z21" s="52" t="str">
        <f>IF($C$9&gt;=17,((-$R$42/$N$31+-$R$45*$X21/$N$38+$R$46*$W21/$N$39)^2+($R$43/$N$31+$R$47*-$X21/$N$40)^2+($R$44/$N$31+$R$47*$W21/$N$40)^2)^(1/2),"")</f>
        <v/>
      </c>
      <c r="AA21" s="52"/>
      <c r="AB21" s="579" t="s">
        <v>1571</v>
      </c>
      <c r="AC21" s="580">
        <v>40.799999999999997</v>
      </c>
      <c r="AD21" s="583">
        <v>1.22</v>
      </c>
      <c r="AE21" s="580">
        <v>12.2</v>
      </c>
      <c r="AF21" s="582">
        <v>2.13</v>
      </c>
      <c r="AG21" s="52"/>
      <c r="AH21" s="579" t="s">
        <v>30</v>
      </c>
      <c r="AI21" s="583">
        <v>7</v>
      </c>
      <c r="AJ21" s="581">
        <v>0.314</v>
      </c>
      <c r="AK21" s="583">
        <v>2.19</v>
      </c>
      <c r="AL21" s="584">
        <v>0.36599999999999999</v>
      </c>
      <c r="AM21" s="52"/>
      <c r="AN21" s="579" t="s">
        <v>100</v>
      </c>
      <c r="AO21" s="580">
        <v>20.399999999999999</v>
      </c>
      <c r="AP21" s="583">
        <v>1.22</v>
      </c>
      <c r="AQ21" s="580">
        <v>12.2</v>
      </c>
      <c r="AR21" s="582">
        <v>2.13</v>
      </c>
      <c r="AS21" s="52"/>
      <c r="AT21" s="579" t="s">
        <v>418</v>
      </c>
      <c r="AU21" s="583">
        <v>8</v>
      </c>
      <c r="AV21" s="583">
        <v>4</v>
      </c>
      <c r="AW21" s="602">
        <v>0.625</v>
      </c>
      <c r="AX21" s="52"/>
      <c r="AY21" s="579" t="s">
        <v>546</v>
      </c>
      <c r="AZ21" s="606">
        <v>16</v>
      </c>
      <c r="BA21" s="606">
        <v>16</v>
      </c>
      <c r="BB21" s="606">
        <v>0.625</v>
      </c>
      <c r="BC21" s="584">
        <v>0.58099999999999996</v>
      </c>
      <c r="BD21" s="52"/>
      <c r="BE21" s="579" t="s">
        <v>932</v>
      </c>
      <c r="BF21" s="602">
        <v>12.75</v>
      </c>
      <c r="BG21" s="52"/>
      <c r="BH21" s="337" t="s">
        <v>1273</v>
      </c>
      <c r="BI21" s="43"/>
      <c r="BJ21" s="43"/>
      <c r="BK21" s="43"/>
      <c r="BL21" s="43"/>
      <c r="BM21" s="43"/>
      <c r="BN21" s="43"/>
      <c r="BO21" s="43"/>
      <c r="BP21" s="43"/>
      <c r="BQ21" s="43"/>
    </row>
    <row r="22" spans="1:69" x14ac:dyDescent="0.2">
      <c r="A22" s="336" t="str">
        <f>IF($C$9&gt;=10,"Weld #10","")</f>
        <v/>
      </c>
      <c r="B22" s="281"/>
      <c r="C22" s="348"/>
      <c r="D22" s="281"/>
      <c r="E22" s="349"/>
      <c r="F22" s="21"/>
      <c r="G22" s="21"/>
      <c r="H22" s="21"/>
      <c r="I22" s="24"/>
      <c r="K22" s="85">
        <v>20</v>
      </c>
      <c r="M22" s="69" t="s">
        <v>1268</v>
      </c>
      <c r="N22" s="14" t="str">
        <f>IF($C$9&gt;=18,IF($E30&gt;=$C30,$C30+ABS($E30-$C30)/2,$E30+ABS($E30-$C30)/2),"")</f>
        <v/>
      </c>
      <c r="O22" s="14" t="str">
        <f>IF($C$9&gt;=18,IF($D30&gt;=$B30,$B30+ABS($D30-$B30)/2,$D30+ABS($D30-$B30)/2),"")</f>
        <v/>
      </c>
      <c r="P22" s="55" t="str">
        <f>IF($C$9&gt;=18,(($D30-$B30)^2+($E30-$C30)^2)^(1/2),"")</f>
        <v/>
      </c>
      <c r="Q22" s="55" t="str">
        <f>IF($C$9&gt;=18,$P22*$O22,"")</f>
        <v/>
      </c>
      <c r="R22" s="55" t="str">
        <f>IF($C$9&gt;=18,$P22*$N22,"")</f>
        <v/>
      </c>
      <c r="S22" s="70" t="str">
        <f>IF($C$9&gt;=18,$P22*($E30-$C30)^2/12+$P22*$N22^2,"")</f>
        <v/>
      </c>
      <c r="T22" s="55" t="str">
        <f>IF($C$9&gt;=18,$P22*($D30-$B30)^2/12+$P22*$O22^2,"")</f>
        <v/>
      </c>
      <c r="U22" s="52" t="str">
        <f>IF($C$9&gt;=18,$B30-$N$36,"")</f>
        <v/>
      </c>
      <c r="V22" s="52" t="str">
        <f>IF($C$9&gt;=18,$C30-$N$37,"")</f>
        <v/>
      </c>
      <c r="W22" s="52" t="str">
        <f>IF($C$9&gt;=18,$D30-$N$36,"")</f>
        <v/>
      </c>
      <c r="X22" s="52" t="str">
        <f>IF($C$9&gt;=18,$E30-$N$37,"")</f>
        <v/>
      </c>
      <c r="Y22" s="52" t="str">
        <f>IF($C$9&gt;=18,((-$R$42/$N$31+-$R$45*$V22/$N$38+$R$46*$U22/$N$39)^2+($R$43/$N$31+$R$47*-$V22/$N$40)^2+($R$44/$N$31+$R$47*$U22/$N$40)^2)^(1/2),"")</f>
        <v/>
      </c>
      <c r="Z22" s="52" t="str">
        <f>IF($C$9&gt;=18,((-$R$42/$N$31+-$R$45*$X22/$N$38+$R$46*$W22/$N$39)^2+($R$43/$N$31+$R$47*-$X22/$N$40)^2+($R$44/$N$31+$R$47*$W22/$N$40)^2)^(1/2),"")</f>
        <v/>
      </c>
      <c r="AA22" s="52"/>
      <c r="AB22" s="579" t="s">
        <v>1572</v>
      </c>
      <c r="AC22" s="580">
        <v>40.799999999999997</v>
      </c>
      <c r="AD22" s="583">
        <v>1.18</v>
      </c>
      <c r="AE22" s="580">
        <v>12.1</v>
      </c>
      <c r="AF22" s="582">
        <v>2.13</v>
      </c>
      <c r="AG22" s="52"/>
      <c r="AH22" s="579" t="s">
        <v>31</v>
      </c>
      <c r="AI22" s="583">
        <v>7</v>
      </c>
      <c r="AJ22" s="581">
        <v>0.21</v>
      </c>
      <c r="AK22" s="583">
        <v>2.09</v>
      </c>
      <c r="AL22" s="584">
        <v>0.36599999999999999</v>
      </c>
      <c r="AM22" s="52"/>
      <c r="AN22" s="579" t="s">
        <v>101</v>
      </c>
      <c r="AO22" s="580">
        <v>20.399999999999999</v>
      </c>
      <c r="AP22" s="583">
        <v>1.18</v>
      </c>
      <c r="AQ22" s="580">
        <v>12.1</v>
      </c>
      <c r="AR22" s="582">
        <v>2.13</v>
      </c>
      <c r="AS22" s="52"/>
      <c r="AT22" s="579" t="s">
        <v>419</v>
      </c>
      <c r="AU22" s="583">
        <v>8</v>
      </c>
      <c r="AV22" s="583">
        <v>4</v>
      </c>
      <c r="AW22" s="602">
        <v>0.5625</v>
      </c>
      <c r="AX22" s="52"/>
      <c r="AY22" s="579" t="s">
        <v>547</v>
      </c>
      <c r="AZ22" s="606">
        <v>16</v>
      </c>
      <c r="BA22" s="606">
        <v>16</v>
      </c>
      <c r="BB22" s="606">
        <v>0.5</v>
      </c>
      <c r="BC22" s="584">
        <v>0.46500000000000002</v>
      </c>
      <c r="BD22" s="52"/>
      <c r="BE22" s="579" t="s">
        <v>933</v>
      </c>
      <c r="BF22" s="602">
        <v>10.75</v>
      </c>
      <c r="BG22" s="52"/>
      <c r="BH22" s="352" t="s">
        <v>1275</v>
      </c>
      <c r="BI22" s="337"/>
      <c r="BJ22" s="337"/>
      <c r="BK22" s="337"/>
      <c r="BL22" s="337"/>
      <c r="BM22" s="337"/>
      <c r="BN22" s="337"/>
      <c r="BO22" s="337"/>
      <c r="BP22" s="337"/>
      <c r="BQ22" s="337"/>
    </row>
    <row r="23" spans="1:69" x14ac:dyDescent="0.2">
      <c r="A23" s="336" t="str">
        <f>IF($C$9&gt;=11,"Weld #11","")</f>
        <v/>
      </c>
      <c r="B23" s="281"/>
      <c r="C23" s="348"/>
      <c r="D23" s="281"/>
      <c r="E23" s="349"/>
      <c r="F23" s="21"/>
      <c r="G23" s="21"/>
      <c r="H23" s="21"/>
      <c r="I23" s="24"/>
      <c r="K23" s="85">
        <v>21</v>
      </c>
      <c r="M23" s="69" t="s">
        <v>1270</v>
      </c>
      <c r="N23" s="14" t="str">
        <f>IF($C$9&gt;=19,IF($E31&gt;=$C31,$C31+ABS($E31-$C31)/2,$E31+ABS($E31-$C31)/2),"")</f>
        <v/>
      </c>
      <c r="O23" s="14" t="str">
        <f>IF($C$9&gt;=19,IF($D31&gt;=$B31,$B31+ABS($D31-$B31)/2,$D31+ABS($D31-$B31)/2),"")</f>
        <v/>
      </c>
      <c r="P23" s="55" t="str">
        <f>IF($C$9&gt;=19,(($D31-$B31)^2+($E31-$C31)^2)^(1/2),"")</f>
        <v/>
      </c>
      <c r="Q23" s="55" t="str">
        <f>IF($C$9&gt;=19,$P23*$O23,"")</f>
        <v/>
      </c>
      <c r="R23" s="55" t="str">
        <f>IF($C$9&gt;=19,$P23*$N23,"")</f>
        <v/>
      </c>
      <c r="S23" s="70" t="str">
        <f>IF($C$9&gt;=19,$P23*($E31-$C31)^2/12+$P23*$N23^2,"")</f>
        <v/>
      </c>
      <c r="T23" s="55" t="str">
        <f>IF($C$9&gt;=19,$P23*($D31-$B31)^2/12+$P23*$O23^2,"")</f>
        <v/>
      </c>
      <c r="U23" s="52" t="str">
        <f>IF($C$9&gt;=19,$B31-$N$36,"")</f>
        <v/>
      </c>
      <c r="V23" s="52" t="str">
        <f>IF($C$9&gt;=19,$C31-$N$37,"")</f>
        <v/>
      </c>
      <c r="W23" s="52" t="str">
        <f>IF($C$9&gt;=19,$D31-$N$36,"")</f>
        <v/>
      </c>
      <c r="X23" s="52" t="str">
        <f>IF($C$9&gt;=19,$E31-$N$37,"")</f>
        <v/>
      </c>
      <c r="Y23" s="52" t="str">
        <f>IF($C$9&gt;=19,((-$R$42/$N$31+-$R$45*$V23/$N$38+$R$46*$U23/$N$39)^2+($R$43/$N$31+$R$47*-$V23/$N$40)^2+($R$44/$N$31+$R$47*$U23/$N$40)^2)^(1/2),"")</f>
        <v/>
      </c>
      <c r="Z23" s="52" t="str">
        <f>IF($C$9&gt;=19,((-$R$42/$N$31+-$R$45*$X23/$N$38+$R$46*$W23/$N$39)^2+($R$43/$N$31+$R$47*-$X23/$N$40)^2+($R$44/$N$31+$R$47*$W23/$N$40)^2)^(1/2),"")</f>
        <v/>
      </c>
      <c r="AA23" s="52"/>
      <c r="AB23" s="579" t="s">
        <v>1573</v>
      </c>
      <c r="AC23" s="580">
        <v>40.4</v>
      </c>
      <c r="AD23" s="583">
        <v>1.06</v>
      </c>
      <c r="AE23" s="580">
        <v>12</v>
      </c>
      <c r="AF23" s="582">
        <v>1.93</v>
      </c>
      <c r="AG23" s="52"/>
      <c r="AH23" s="579" t="s">
        <v>32</v>
      </c>
      <c r="AI23" s="583">
        <v>6</v>
      </c>
      <c r="AJ23" s="581">
        <v>0.437</v>
      </c>
      <c r="AK23" s="583">
        <v>2.16</v>
      </c>
      <c r="AL23" s="584">
        <v>0.34300000000000003</v>
      </c>
      <c r="AM23" s="52"/>
      <c r="AN23" s="579" t="s">
        <v>102</v>
      </c>
      <c r="AO23" s="580">
        <v>20.2</v>
      </c>
      <c r="AP23" s="583">
        <v>1.06</v>
      </c>
      <c r="AQ23" s="580">
        <v>12</v>
      </c>
      <c r="AR23" s="582">
        <v>1.93</v>
      </c>
      <c r="AS23" s="52"/>
      <c r="AT23" s="579" t="s">
        <v>420</v>
      </c>
      <c r="AU23" s="583">
        <v>8</v>
      </c>
      <c r="AV23" s="583">
        <v>4</v>
      </c>
      <c r="AW23" s="602">
        <v>0.5</v>
      </c>
      <c r="AX23" s="52"/>
      <c r="AY23" s="579" t="s">
        <v>548</v>
      </c>
      <c r="AZ23" s="606">
        <v>16</v>
      </c>
      <c r="BA23" s="606">
        <v>16</v>
      </c>
      <c r="BB23" s="606">
        <v>0.375</v>
      </c>
      <c r="BC23" s="584">
        <v>0.34899999999999998</v>
      </c>
      <c r="BD23" s="52"/>
      <c r="BE23" s="579" t="s">
        <v>934</v>
      </c>
      <c r="BF23" s="602">
        <v>10.75</v>
      </c>
      <c r="BG23" s="52"/>
      <c r="BH23" s="352" t="s">
        <v>1277</v>
      </c>
      <c r="BI23" s="337"/>
      <c r="BJ23" s="337"/>
      <c r="BK23" s="337"/>
      <c r="BL23" s="337"/>
      <c r="BM23" s="337"/>
      <c r="BN23" s="337"/>
      <c r="BO23" s="337"/>
      <c r="BP23" s="337"/>
      <c r="BQ23" s="337"/>
    </row>
    <row r="24" spans="1:69" x14ac:dyDescent="0.2">
      <c r="A24" s="336" t="str">
        <f>IF($C$9&gt;=12,"Weld #12","")</f>
        <v/>
      </c>
      <c r="B24" s="281"/>
      <c r="C24" s="348"/>
      <c r="D24" s="281"/>
      <c r="E24" s="349"/>
      <c r="F24" s="21"/>
      <c r="G24" s="21"/>
      <c r="H24" s="56"/>
      <c r="I24" s="351"/>
      <c r="K24" s="85">
        <v>22</v>
      </c>
      <c r="M24" s="69" t="s">
        <v>1272</v>
      </c>
      <c r="N24" s="14" t="str">
        <f>IF($C$9&gt;=20,IF($E32&gt;=$C32,$C32+ABS($E32-$C32)/2,$E32+ABS($E32-$C32)/2),"")</f>
        <v/>
      </c>
      <c r="O24" s="14" t="str">
        <f>IF($C$9&gt;=20,IF($D32&gt;=$B32,$B32+ABS($D32-$B32)/2,$D32+ABS($D32-$B32)/2),"")</f>
        <v/>
      </c>
      <c r="P24" s="55" t="str">
        <f>IF($C$9&gt;=20,(($D32-$B32)^2+($E32-$C32)^2)^(1/2),"")</f>
        <v/>
      </c>
      <c r="Q24" s="55" t="str">
        <f>IF($C$9&gt;=20,$P24*$O24,"")</f>
        <v/>
      </c>
      <c r="R24" s="55" t="str">
        <f>IF($C$9&gt;=20,$P24*$N24,"")</f>
        <v/>
      </c>
      <c r="S24" s="70" t="str">
        <f>IF($C$9&gt;=20,$P24*($E32-$C32)^2/12+$P24*$N24^2,"")</f>
        <v/>
      </c>
      <c r="T24" s="55" t="str">
        <f>IF($C$9&gt;=20,$P24*($D32-$B32)^2/12+$P24*$O24^2,"")</f>
        <v/>
      </c>
      <c r="U24" s="52" t="str">
        <f>IF($C$9&gt;=20,$B32-$N$36,"")</f>
        <v/>
      </c>
      <c r="V24" s="52" t="str">
        <f>IF($C$9&gt;=20,$C32-$N$37,"")</f>
        <v/>
      </c>
      <c r="W24" s="52" t="str">
        <f>IF($C$9&gt;=20,$D32-$N$36,"")</f>
        <v/>
      </c>
      <c r="X24" s="52" t="str">
        <f>IF($C$9&gt;=20,$E32-$N$37,"")</f>
        <v/>
      </c>
      <c r="Y24" s="52" t="str">
        <f>IF($C$9&gt;=20,((-$R$42/$N$31+-$R$45*$V24/$N$38+$R$46*$U24/$N$39)^2+($R$43/$N$31+$R$47*-$V24/$N$40)^2+($R$44/$N$31+$R$47*$U24/$N$40)^2)^(1/2),"")</f>
        <v/>
      </c>
      <c r="Z24" s="52" t="str">
        <f>IF($C$9&gt;=20,((-$R$42/$N$31+-$R$45*$X24/$N$38+$R$46*$W24/$N$39)^2+($R$43/$N$31+$R$47*-$X24/$N$40)^2+($R$44/$N$31+$R$47*$W24/$N$40)^2)^(1/2),"")</f>
        <v/>
      </c>
      <c r="AA24" s="52"/>
      <c r="AB24" s="579" t="s">
        <v>1574</v>
      </c>
      <c r="AC24" s="580">
        <v>40.200000000000003</v>
      </c>
      <c r="AD24" s="583">
        <v>1.03</v>
      </c>
      <c r="AE24" s="580">
        <v>12</v>
      </c>
      <c r="AF24" s="582">
        <v>1.81</v>
      </c>
      <c r="AG24" s="52"/>
      <c r="AH24" s="579" t="s">
        <v>33</v>
      </c>
      <c r="AI24" s="583">
        <v>6</v>
      </c>
      <c r="AJ24" s="581">
        <v>0.314</v>
      </c>
      <c r="AK24" s="583">
        <v>2.0299999999999998</v>
      </c>
      <c r="AL24" s="584">
        <v>0.34300000000000003</v>
      </c>
      <c r="AM24" s="52"/>
      <c r="AN24" s="579" t="s">
        <v>103</v>
      </c>
      <c r="AO24" s="580">
        <v>20.100000000000001</v>
      </c>
      <c r="AP24" s="583">
        <v>1.03</v>
      </c>
      <c r="AQ24" s="580">
        <v>12</v>
      </c>
      <c r="AR24" s="582">
        <v>1.81</v>
      </c>
      <c r="AS24" s="52"/>
      <c r="AT24" s="579" t="s">
        <v>421</v>
      </c>
      <c r="AU24" s="583">
        <v>8</v>
      </c>
      <c r="AV24" s="583">
        <v>4</v>
      </c>
      <c r="AW24" s="602">
        <v>0.4375</v>
      </c>
      <c r="AX24" s="52"/>
      <c r="AY24" s="579" t="s">
        <v>549</v>
      </c>
      <c r="AZ24" s="606">
        <v>16</v>
      </c>
      <c r="BA24" s="606">
        <v>16</v>
      </c>
      <c r="BB24" s="606">
        <v>0.3125</v>
      </c>
      <c r="BC24" s="584">
        <v>0.29099999999999998</v>
      </c>
      <c r="BD24" s="52"/>
      <c r="BE24" s="579" t="s">
        <v>935</v>
      </c>
      <c r="BF24" s="602">
        <v>10.75</v>
      </c>
      <c r="BG24" s="52"/>
      <c r="BH24" s="352" t="s">
        <v>1279</v>
      </c>
      <c r="BI24" s="337"/>
      <c r="BJ24" s="337"/>
      <c r="BK24" s="337"/>
      <c r="BL24" s="337"/>
      <c r="BM24" s="337"/>
      <c r="BN24" s="337"/>
      <c r="BO24" s="337"/>
      <c r="BP24" s="337"/>
      <c r="BQ24" s="337"/>
    </row>
    <row r="25" spans="1:69" x14ac:dyDescent="0.2">
      <c r="A25" s="336" t="str">
        <f>IF($C$9&gt;=13,"Weld #13","")</f>
        <v/>
      </c>
      <c r="B25" s="281"/>
      <c r="C25" s="348"/>
      <c r="D25" s="281"/>
      <c r="E25" s="349"/>
      <c r="F25" s="21"/>
      <c r="G25" s="21"/>
      <c r="H25" s="56"/>
      <c r="I25" s="351"/>
      <c r="K25" s="85">
        <v>23</v>
      </c>
      <c r="M25" s="69" t="s">
        <v>1274</v>
      </c>
      <c r="N25" s="14" t="str">
        <f>IF($C$9&gt;=21,IF($E33&gt;=$C33,$C33+ABS($E33-$C33)/2,$E33+ABS($E33-$C33)/2),"")</f>
        <v/>
      </c>
      <c r="O25" s="14" t="str">
        <f>IF($C$9&gt;=21,IF($D33&gt;=$B33,$B33+ABS($D33-$B33)/2,$D33+ABS($D33-$B33)/2),"")</f>
        <v/>
      </c>
      <c r="P25" s="55" t="str">
        <f>IF($C$9&gt;=21,(($D33-$B33)^2+($E33-$C33)^2)^(1/2),"")</f>
        <v/>
      </c>
      <c r="Q25" s="55" t="str">
        <f>IF($C$9&gt;=21,$P25*$O25,"")</f>
        <v/>
      </c>
      <c r="R25" s="55" t="str">
        <f>IF($C$9&gt;=21,$P25*$N25,"")</f>
        <v/>
      </c>
      <c r="S25" s="70" t="str">
        <f>IF($C$9&gt;=21,$P25*($E33-$C33)^2/12+$P25*$N25^2,"")</f>
        <v/>
      </c>
      <c r="T25" s="55" t="str">
        <f>IF($C$9&gt;=21,$P25*($D33-$B33)^2/12+$P25*$O25^2,"")</f>
        <v/>
      </c>
      <c r="U25" s="52" t="str">
        <f>IF($C$9&gt;=21,$B33-$N$36,"")</f>
        <v/>
      </c>
      <c r="V25" s="52" t="str">
        <f>IF($C$9&gt;=21,$C33-$N$37,"")</f>
        <v/>
      </c>
      <c r="W25" s="52" t="str">
        <f>IF($C$9&gt;=21,$D33-$N$36,"")</f>
        <v/>
      </c>
      <c r="X25" s="52" t="str">
        <f>IF($C$9&gt;=21,$E33-$N$37,"")</f>
        <v/>
      </c>
      <c r="Y25" s="52" t="str">
        <f>IF($C$9&gt;=21,((-$R$42/$N$31+-$R$45*$V25/$N$38+$R$46*$U25/$N$39)^2+($R$43/$N$31+$R$47*-$V25/$N$40)^2+($R$44/$N$31+$R$47*$U25/$N$40)^2)^(1/2),"")</f>
        <v/>
      </c>
      <c r="Z25" s="52" t="str">
        <f>IF($C$9&gt;=21,((-$R$42/$N$31+-$R$45*$X25/$N$38+$R$46*$W25/$N$39)^2+($R$43/$N$31+$R$47*-$X25/$N$40)^2+($R$44/$N$31+$R$47*$W25/$N$40)^2)^(1/2),"")</f>
        <v/>
      </c>
      <c r="AA25" s="52"/>
      <c r="AB25" s="579" t="s">
        <v>1575</v>
      </c>
      <c r="AC25" s="580">
        <v>40</v>
      </c>
      <c r="AD25" s="581">
        <v>0.96</v>
      </c>
      <c r="AE25" s="580">
        <v>11.9</v>
      </c>
      <c r="AF25" s="582">
        <v>1.73</v>
      </c>
      <c r="AG25" s="52"/>
      <c r="AH25" s="579" t="s">
        <v>34</v>
      </c>
      <c r="AI25" s="583">
        <v>6</v>
      </c>
      <c r="AJ25" s="581">
        <v>0.2</v>
      </c>
      <c r="AK25" s="583">
        <v>1.92</v>
      </c>
      <c r="AL25" s="584">
        <v>0.34300000000000003</v>
      </c>
      <c r="AM25" s="52"/>
      <c r="AN25" s="579" t="s">
        <v>104</v>
      </c>
      <c r="AO25" s="580">
        <v>20</v>
      </c>
      <c r="AP25" s="581">
        <v>0.96</v>
      </c>
      <c r="AQ25" s="580">
        <v>11.9</v>
      </c>
      <c r="AR25" s="582">
        <v>1.73</v>
      </c>
      <c r="AS25" s="52"/>
      <c r="AT25" s="579" t="s">
        <v>422</v>
      </c>
      <c r="AU25" s="583">
        <v>7</v>
      </c>
      <c r="AV25" s="583">
        <v>4</v>
      </c>
      <c r="AW25" s="602">
        <v>0.75</v>
      </c>
      <c r="AX25" s="52"/>
      <c r="AY25" s="579" t="s">
        <v>550</v>
      </c>
      <c r="AZ25" s="606">
        <v>16</v>
      </c>
      <c r="BA25" s="606">
        <v>12</v>
      </c>
      <c r="BB25" s="606">
        <v>0.625</v>
      </c>
      <c r="BC25" s="584">
        <v>0.58099999999999996</v>
      </c>
      <c r="BD25" s="52"/>
      <c r="BE25" s="579" t="s">
        <v>936</v>
      </c>
      <c r="BF25" s="602">
        <v>10</v>
      </c>
      <c r="BG25" s="52"/>
      <c r="BH25" s="352" t="s">
        <v>1281</v>
      </c>
      <c r="BI25" s="43"/>
      <c r="BJ25" s="43"/>
      <c r="BK25" s="43"/>
      <c r="BL25" s="43"/>
      <c r="BM25" s="43"/>
      <c r="BN25" s="43"/>
      <c r="BO25" s="43"/>
      <c r="BP25" s="43"/>
      <c r="BQ25" s="43"/>
    </row>
    <row r="26" spans="1:69" x14ac:dyDescent="0.2">
      <c r="A26" s="336" t="str">
        <f>IF($C$9&gt;=14,"Weld #14","")</f>
        <v/>
      </c>
      <c r="B26" s="281"/>
      <c r="C26" s="348"/>
      <c r="D26" s="281"/>
      <c r="E26" s="349"/>
      <c r="F26" s="21"/>
      <c r="G26" s="21"/>
      <c r="H26" s="56"/>
      <c r="I26" s="351"/>
      <c r="K26" s="85">
        <v>24</v>
      </c>
      <c r="M26" s="69" t="s">
        <v>1276</v>
      </c>
      <c r="N26" s="14" t="str">
        <f>IF($C$9&gt;=22,IF($E34&gt;=$C34,$C34+ABS($E34-$C34)/2,$E34+ABS($E34-$C34)/2),"")</f>
        <v/>
      </c>
      <c r="O26" s="14" t="str">
        <f>IF($C$9&gt;=22,IF($D34&gt;=$B34,$B34+ABS($D34-$B34)/2,$D34+ABS($D34-$B34)/2),"")</f>
        <v/>
      </c>
      <c r="P26" s="55" t="str">
        <f>IF($C$9&gt;=22,(($D34-$B34)^2+($E34-$C34)^2)^(1/2),"")</f>
        <v/>
      </c>
      <c r="Q26" s="55" t="str">
        <f>IF($C$9&gt;=22,$P26*$O26,"")</f>
        <v/>
      </c>
      <c r="R26" s="55" t="str">
        <f>IF($C$9&gt;=22,$P26*$N26,"")</f>
        <v/>
      </c>
      <c r="S26" s="70" t="str">
        <f>IF($C$9&gt;=22,$P26*($E34-$C34)^2/12+$P26*$N26^2,"")</f>
        <v/>
      </c>
      <c r="T26" s="55" t="str">
        <f>IF($C$9&gt;=22,$P26*($D34-$B34)^2/12+$P26*$O26^2,"")</f>
        <v/>
      </c>
      <c r="U26" s="52" t="str">
        <f>IF($C$9&gt;=22,$B34-$N$36,"")</f>
        <v/>
      </c>
      <c r="V26" s="52" t="str">
        <f>IF($C$9&gt;=22,$C34-$N$37,"")</f>
        <v/>
      </c>
      <c r="W26" s="52" t="str">
        <f>IF($C$9&gt;=22,$D34-$N$36,"")</f>
        <v/>
      </c>
      <c r="X26" s="52" t="str">
        <f>IF($C$9&gt;=22,$E34-$N$37,"")</f>
        <v/>
      </c>
      <c r="Y26" s="52" t="str">
        <f>IF($C$9&gt;=22,((-$R$42/$N$31+-$R$45*$V26/$N$38+$R$46*$U26/$N$39)^2+($R$43/$N$31+$R$47*-$V26/$N$40)^2+($R$44/$N$31+$R$47*$U26/$N$40)^2)^(1/2),"")</f>
        <v/>
      </c>
      <c r="Z26" s="52" t="str">
        <f>IF($C$9&gt;=22,((-$R$42/$N$31+-$R$45*$X26/$N$38+$R$46*$W26/$N$39)^2+($R$43/$N$31+$R$47*-$X26/$N$40)^2+($R$44/$N$31+$R$47*$W26/$N$40)^2)^(1/2),"")</f>
        <v/>
      </c>
      <c r="AA26" s="52"/>
      <c r="AB26" s="579" t="s">
        <v>1576</v>
      </c>
      <c r="AC26" s="580">
        <v>39.700000000000003</v>
      </c>
      <c r="AD26" s="581">
        <v>0.83</v>
      </c>
      <c r="AE26" s="580">
        <v>11.9</v>
      </c>
      <c r="AF26" s="582">
        <v>1.58</v>
      </c>
      <c r="AG26" s="52"/>
      <c r="AH26" s="579" t="s">
        <v>35</v>
      </c>
      <c r="AI26" s="583">
        <v>5</v>
      </c>
      <c r="AJ26" s="581">
        <v>0.32500000000000001</v>
      </c>
      <c r="AK26" s="583">
        <v>1.89</v>
      </c>
      <c r="AL26" s="584">
        <v>0.32</v>
      </c>
      <c r="AM26" s="52"/>
      <c r="AN26" s="579" t="s">
        <v>105</v>
      </c>
      <c r="AO26" s="580">
        <v>19.8</v>
      </c>
      <c r="AP26" s="581">
        <v>0.83</v>
      </c>
      <c r="AQ26" s="580">
        <v>11.9</v>
      </c>
      <c r="AR26" s="582">
        <v>1.58</v>
      </c>
      <c r="AS26" s="52"/>
      <c r="AT26" s="579" t="s">
        <v>423</v>
      </c>
      <c r="AU26" s="583">
        <v>7</v>
      </c>
      <c r="AV26" s="583">
        <v>4</v>
      </c>
      <c r="AW26" s="602">
        <v>0.625</v>
      </c>
      <c r="AX26" s="52"/>
      <c r="AY26" s="579" t="s">
        <v>551</v>
      </c>
      <c r="AZ26" s="606">
        <v>16</v>
      </c>
      <c r="BA26" s="606">
        <v>12</v>
      </c>
      <c r="BB26" s="606">
        <v>0.5</v>
      </c>
      <c r="BC26" s="584">
        <v>0.46500000000000002</v>
      </c>
      <c r="BD26" s="52"/>
      <c r="BE26" s="579" t="s">
        <v>937</v>
      </c>
      <c r="BF26" s="602">
        <v>10</v>
      </c>
      <c r="BG26" s="52"/>
      <c r="BH26" s="337" t="s">
        <v>1284</v>
      </c>
      <c r="BI26" s="337"/>
      <c r="BJ26" s="337"/>
      <c r="BK26" s="337"/>
      <c r="BL26" s="337"/>
      <c r="BM26" s="337"/>
      <c r="BN26" s="337"/>
      <c r="BO26" s="337"/>
      <c r="BP26" s="337"/>
      <c r="BQ26" s="337"/>
    </row>
    <row r="27" spans="1:69" x14ac:dyDescent="0.2">
      <c r="A27" s="336" t="str">
        <f>IF($C$9&gt;=15,"Weld #15","")</f>
        <v/>
      </c>
      <c r="B27" s="281"/>
      <c r="C27" s="348"/>
      <c r="D27" s="281"/>
      <c r="E27" s="349"/>
      <c r="F27" s="21"/>
      <c r="G27" s="21"/>
      <c r="H27" s="56"/>
      <c r="I27" s="351"/>
      <c r="K27" s="85"/>
      <c r="M27" s="69" t="s">
        <v>1278</v>
      </c>
      <c r="N27" s="14" t="str">
        <f>IF($C$9&gt;=23,IF($E35&gt;=$C35,$C35+ABS($E35-$C35)/2,$E35+ABS($E35-$C35)/2),"")</f>
        <v/>
      </c>
      <c r="O27" s="14" t="str">
        <f>IF($C$9&gt;=23,IF($D35&gt;=$B35,$B35+ABS($D35-$B35)/2,$D35+ABS($D35-$B35)/2),"")</f>
        <v/>
      </c>
      <c r="P27" s="55" t="str">
        <f>IF($C$9&gt;=23,(($D35-$B35)^2+($E35-$C35)^2)^(1/2),"")</f>
        <v/>
      </c>
      <c r="Q27" s="55" t="str">
        <f>IF($C$9&gt;=23,$P27*$O27,"")</f>
        <v/>
      </c>
      <c r="R27" s="55" t="str">
        <f>IF($C$9&gt;=23,$P27*$N27,"")</f>
        <v/>
      </c>
      <c r="S27" s="70" t="str">
        <f>IF($C$9&gt;=23,$P27*($E35-$C35)^2/12+$P27*$N27^2,"")</f>
        <v/>
      </c>
      <c r="T27" s="55" t="str">
        <f>IF($C$9&gt;=23,$P27*($D35-$B35)^2/12+$P27*$O27^2,"")</f>
        <v/>
      </c>
      <c r="U27" s="52" t="str">
        <f>IF($C$9&gt;=23,$B35-$N$36,"")</f>
        <v/>
      </c>
      <c r="V27" s="52" t="str">
        <f>IF($C$9&gt;=23,$C35-$N$37,"")</f>
        <v/>
      </c>
      <c r="W27" s="52" t="str">
        <f>IF($C$9&gt;=23,$D35-$N$36,"")</f>
        <v/>
      </c>
      <c r="X27" s="52" t="str">
        <f>IF($C$9&gt;=23,$E35-$N$37,"")</f>
        <v/>
      </c>
      <c r="Y27" s="52" t="str">
        <f>IF($C$9&gt;=23,((-$R$42/$N$31+-$R$45*$V27/$N$38+$R$46*$U27/$N$39)^2+($R$43/$N$31+$R$47*-$V27/$N$40)^2+($R$44/$N$31+$R$47*$U27/$N$40)^2)^(1/2),"")</f>
        <v/>
      </c>
      <c r="Z27" s="52" t="str">
        <f>IF($C$9&gt;=23,((-$R$42/$N$31+-$R$45*$X27/$N$38+$R$46*$W27/$N$39)^2+($R$43/$N$31+$R$47*-$X27/$N$40)^2+($R$44/$N$31+$R$47*$W27/$N$40)^2)^(1/2),"")</f>
        <v/>
      </c>
      <c r="AA27" s="52"/>
      <c r="AB27" s="579" t="s">
        <v>1577</v>
      </c>
      <c r="AC27" s="580">
        <v>39.4</v>
      </c>
      <c r="AD27" s="581">
        <v>0.75</v>
      </c>
      <c r="AE27" s="580">
        <v>11.8</v>
      </c>
      <c r="AF27" s="582">
        <v>1.42</v>
      </c>
      <c r="AG27" s="52"/>
      <c r="AH27" s="579" t="s">
        <v>36</v>
      </c>
      <c r="AI27" s="583">
        <v>5</v>
      </c>
      <c r="AJ27" s="581">
        <v>0.19</v>
      </c>
      <c r="AK27" s="583">
        <v>1.75</v>
      </c>
      <c r="AL27" s="584">
        <v>0.32</v>
      </c>
      <c r="AM27" s="52"/>
      <c r="AN27" s="579" t="s">
        <v>106</v>
      </c>
      <c r="AO27" s="580">
        <v>19.7</v>
      </c>
      <c r="AP27" s="581">
        <v>0.75</v>
      </c>
      <c r="AQ27" s="580">
        <v>11.8</v>
      </c>
      <c r="AR27" s="582">
        <v>1.42</v>
      </c>
      <c r="AS27" s="52"/>
      <c r="AT27" s="579" t="s">
        <v>424</v>
      </c>
      <c r="AU27" s="583">
        <v>7</v>
      </c>
      <c r="AV27" s="583">
        <v>4</v>
      </c>
      <c r="AW27" s="602">
        <v>0.5</v>
      </c>
      <c r="AX27" s="52"/>
      <c r="AY27" s="579" t="s">
        <v>552</v>
      </c>
      <c r="AZ27" s="606">
        <v>16</v>
      </c>
      <c r="BA27" s="606">
        <v>12</v>
      </c>
      <c r="BB27" s="606">
        <v>0.375</v>
      </c>
      <c r="BC27" s="584">
        <v>0.34899999999999998</v>
      </c>
      <c r="BD27" s="52"/>
      <c r="BE27" s="579" t="s">
        <v>938</v>
      </c>
      <c r="BF27" s="602">
        <v>10</v>
      </c>
      <c r="BG27" s="52"/>
      <c r="BH27" s="337" t="s">
        <v>1288</v>
      </c>
      <c r="BI27" s="337"/>
      <c r="BJ27" s="337"/>
      <c r="BK27" s="337"/>
      <c r="BL27" s="337"/>
      <c r="BM27" s="337"/>
      <c r="BN27" s="337"/>
      <c r="BO27" s="337"/>
      <c r="BP27" s="337"/>
      <c r="BQ27" s="337"/>
    </row>
    <row r="28" spans="1:69" x14ac:dyDescent="0.2">
      <c r="A28" s="336" t="str">
        <f>IF($C$9&gt;=16,"Weld #16","")</f>
        <v/>
      </c>
      <c r="B28" s="281"/>
      <c r="C28" s="348"/>
      <c r="D28" s="281"/>
      <c r="E28" s="349"/>
      <c r="F28" s="418" t="s">
        <v>1361</v>
      </c>
      <c r="G28" s="418"/>
      <c r="H28" s="418"/>
      <c r="I28" s="419"/>
      <c r="K28" s="85"/>
      <c r="M28" s="69" t="s">
        <v>1280</v>
      </c>
      <c r="N28" s="14" t="str">
        <f>IF($C$9=24,IF($E36&gt;=$C36,$C36+ABS($E36-$C36)/2,$E36+ABS($E36-$C36)/2),"")</f>
        <v/>
      </c>
      <c r="O28" s="14" t="str">
        <f>IF($C$9=24,IF($D36&gt;=$B36,$B36+ABS($D36-$B36)/2,$D36+ABS($D36-$B36)/2),"")</f>
        <v/>
      </c>
      <c r="P28" s="55" t="str">
        <f>IF($C$9=24,(($D36-$B36)^2+($E36-$C36)^2)^(1/2),"")</f>
        <v/>
      </c>
      <c r="Q28" s="55" t="str">
        <f>IF($C$9=24,$P28*$O28,"")</f>
        <v/>
      </c>
      <c r="R28" s="55" t="str">
        <f>IF($C$9=24,$P28*$N28,"")</f>
        <v/>
      </c>
      <c r="S28" s="70" t="str">
        <f>IF($C$9=24,$P28*($E36-$C36)^2/12+$P28*$N28^2,"")</f>
        <v/>
      </c>
      <c r="T28" s="55" t="str">
        <f>IF($C$9=24,$P28*($D36-$B36)^2/12+$P28*$O28^2,"")</f>
        <v/>
      </c>
      <c r="U28" s="52" t="str">
        <f>IF($C$9=24,$B36-$N$36,"")</f>
        <v/>
      </c>
      <c r="V28" s="52" t="str">
        <f>IF($C$9=24,$C36-$N$37,"")</f>
        <v/>
      </c>
      <c r="W28" s="52" t="str">
        <f>IF($C$9=24,$D36-$N$36,"")</f>
        <v/>
      </c>
      <c r="X28" s="52" t="str">
        <f>IF($C$9=24,$E36-$N$37,"")</f>
        <v/>
      </c>
      <c r="Y28" s="52" t="str">
        <f>IF($C$9=24,((-$R$42/$N$31+-$R$45*$V28/$N$38+$R$46*$U28/$N$39)^2+($R$43/$N$31+$R$47*-$V28/$N$40)^2+($R$44/$N$31+$R$47*$U28/$N$40)^2)^(1/2),"")</f>
        <v/>
      </c>
      <c r="Z28" s="52" t="str">
        <f>IF($C$9=24,((-$R$42/$N$31+-$R$45*$X28/$N$38+$R$46*$W28/$N$39)^2+($R$43/$N$31+$R$47*-$X28/$N$40)^2+($R$44/$N$31+$R$47*$W28/$N$40)^2)^(1/2),"")</f>
        <v/>
      </c>
      <c r="AA28" s="52"/>
      <c r="AB28" s="579" t="s">
        <v>1578</v>
      </c>
      <c r="AC28" s="580">
        <v>39</v>
      </c>
      <c r="AD28" s="581">
        <v>0.65</v>
      </c>
      <c r="AE28" s="580">
        <v>11.8</v>
      </c>
      <c r="AF28" s="582">
        <v>1.2</v>
      </c>
      <c r="AG28" s="52"/>
      <c r="AH28" s="579" t="s">
        <v>37</v>
      </c>
      <c r="AI28" s="583">
        <v>4</v>
      </c>
      <c r="AJ28" s="581">
        <v>0.32100000000000001</v>
      </c>
      <c r="AK28" s="583">
        <v>1.72</v>
      </c>
      <c r="AL28" s="584">
        <v>0.29599999999999999</v>
      </c>
      <c r="AM28" s="52"/>
      <c r="AN28" s="579" t="s">
        <v>107</v>
      </c>
      <c r="AO28" s="580">
        <v>19.5</v>
      </c>
      <c r="AP28" s="581">
        <v>0.65</v>
      </c>
      <c r="AQ28" s="580">
        <v>11.8</v>
      </c>
      <c r="AR28" s="582">
        <v>1.2</v>
      </c>
      <c r="AS28" s="52"/>
      <c r="AT28" s="579" t="s">
        <v>425</v>
      </c>
      <c r="AU28" s="583">
        <v>7</v>
      </c>
      <c r="AV28" s="583">
        <v>4</v>
      </c>
      <c r="AW28" s="602">
        <v>0.4375</v>
      </c>
      <c r="AX28" s="52"/>
      <c r="AY28" s="579" t="s">
        <v>553</v>
      </c>
      <c r="AZ28" s="606">
        <v>16</v>
      </c>
      <c r="BA28" s="606">
        <v>12</v>
      </c>
      <c r="BB28" s="606">
        <v>0.3125</v>
      </c>
      <c r="BC28" s="584">
        <v>0.29099999999999998</v>
      </c>
      <c r="BD28" s="52"/>
      <c r="BE28" s="579" t="s">
        <v>939</v>
      </c>
      <c r="BF28" s="602">
        <v>10</v>
      </c>
      <c r="BG28" s="52"/>
      <c r="BH28" s="337" t="s">
        <v>1295</v>
      </c>
      <c r="BI28" s="337"/>
      <c r="BJ28" s="337"/>
      <c r="BK28" s="337"/>
      <c r="BL28" s="337"/>
      <c r="BM28" s="337"/>
      <c r="BN28" s="337"/>
      <c r="BO28" s="337"/>
      <c r="BP28" s="337"/>
      <c r="BQ28" s="337"/>
    </row>
    <row r="29" spans="1:69" x14ac:dyDescent="0.2">
      <c r="A29" s="336" t="str">
        <f>IF($C$9&gt;=17,"Weld #17","")</f>
        <v/>
      </c>
      <c r="B29" s="281"/>
      <c r="C29" s="348"/>
      <c r="D29" s="281"/>
      <c r="E29" s="349"/>
      <c r="F29" s="21"/>
      <c r="G29" s="21"/>
      <c r="H29" s="56"/>
      <c r="I29" s="351"/>
      <c r="K29" s="85"/>
      <c r="M29" s="69"/>
      <c r="N29" s="14"/>
      <c r="O29" s="14"/>
      <c r="P29" s="55"/>
      <c r="Q29" s="55"/>
      <c r="R29" s="55"/>
      <c r="S29" s="55"/>
      <c r="T29" s="55"/>
      <c r="U29" s="52"/>
      <c r="V29" s="52"/>
      <c r="W29" s="52"/>
      <c r="X29" s="52"/>
      <c r="Y29" s="52"/>
      <c r="Z29" s="52"/>
      <c r="AA29" s="52"/>
      <c r="AB29" s="579" t="s">
        <v>1579</v>
      </c>
      <c r="AC29" s="580">
        <v>38.6</v>
      </c>
      <c r="AD29" s="581">
        <v>0.65</v>
      </c>
      <c r="AE29" s="580">
        <v>11.8</v>
      </c>
      <c r="AF29" s="582">
        <v>1.03</v>
      </c>
      <c r="AG29" s="52"/>
      <c r="AH29" s="579" t="s">
        <v>38</v>
      </c>
      <c r="AI29" s="583">
        <v>4</v>
      </c>
      <c r="AJ29" s="581">
        <v>0.184</v>
      </c>
      <c r="AK29" s="583">
        <v>1.58</v>
      </c>
      <c r="AL29" s="584">
        <v>0.29599999999999999</v>
      </c>
      <c r="AM29" s="52"/>
      <c r="AN29" s="579" t="s">
        <v>108</v>
      </c>
      <c r="AO29" s="580">
        <v>19.3</v>
      </c>
      <c r="AP29" s="581">
        <v>0.65</v>
      </c>
      <c r="AQ29" s="580">
        <v>11.8</v>
      </c>
      <c r="AR29" s="582">
        <v>1.03</v>
      </c>
      <c r="AS29" s="52"/>
      <c r="AT29" s="579" t="s">
        <v>426</v>
      </c>
      <c r="AU29" s="583">
        <v>7</v>
      </c>
      <c r="AV29" s="583">
        <v>4</v>
      </c>
      <c r="AW29" s="602">
        <v>0.375</v>
      </c>
      <c r="AX29" s="52"/>
      <c r="AY29" s="579" t="s">
        <v>554</v>
      </c>
      <c r="AZ29" s="606">
        <v>16</v>
      </c>
      <c r="BA29" s="606">
        <v>8</v>
      </c>
      <c r="BB29" s="606">
        <v>0.3125</v>
      </c>
      <c r="BC29" s="584">
        <v>0.58099999999999996</v>
      </c>
      <c r="BD29" s="52"/>
      <c r="BE29" s="579" t="s">
        <v>940</v>
      </c>
      <c r="BF29" s="602">
        <v>10</v>
      </c>
      <c r="BG29" s="52"/>
      <c r="BH29" s="337" t="s">
        <v>1299</v>
      </c>
      <c r="BI29" s="43"/>
      <c r="BJ29" s="43"/>
      <c r="BK29" s="43"/>
      <c r="BL29" s="43"/>
      <c r="BM29" s="43"/>
      <c r="BN29" s="43"/>
      <c r="BO29" s="43"/>
      <c r="BP29" s="43"/>
      <c r="BQ29" s="43"/>
    </row>
    <row r="30" spans="1:69" x14ac:dyDescent="0.2">
      <c r="A30" s="336" t="str">
        <f>IF($C$9&gt;=18,"Weld #18","")</f>
        <v/>
      </c>
      <c r="B30" s="281"/>
      <c r="C30" s="348"/>
      <c r="D30" s="281"/>
      <c r="E30" s="349"/>
      <c r="F30" s="21"/>
      <c r="G30" s="21"/>
      <c r="H30" s="56"/>
      <c r="I30" s="351"/>
      <c r="K30" s="85"/>
      <c r="M30" s="82" t="s">
        <v>1286</v>
      </c>
      <c r="N30" s="66"/>
      <c r="Q30" s="82" t="s">
        <v>1287</v>
      </c>
      <c r="V30" s="54"/>
      <c r="AB30" s="579" t="s">
        <v>1580</v>
      </c>
      <c r="AC30" s="580">
        <v>38.200000000000003</v>
      </c>
      <c r="AD30" s="581">
        <v>0.63</v>
      </c>
      <c r="AE30" s="580">
        <v>11.8</v>
      </c>
      <c r="AF30" s="584">
        <v>0.83</v>
      </c>
      <c r="AH30" s="579" t="s">
        <v>39</v>
      </c>
      <c r="AI30" s="583">
        <v>4</v>
      </c>
      <c r="AJ30" s="581">
        <v>0.125</v>
      </c>
      <c r="AK30" s="583">
        <v>1.58</v>
      </c>
      <c r="AL30" s="584">
        <v>0.29599999999999999</v>
      </c>
      <c r="AN30" s="579" t="s">
        <v>109</v>
      </c>
      <c r="AO30" s="580">
        <v>19.100000000000001</v>
      </c>
      <c r="AP30" s="581">
        <v>0.63</v>
      </c>
      <c r="AQ30" s="580">
        <v>11.8</v>
      </c>
      <c r="AR30" s="584">
        <v>0.83</v>
      </c>
      <c r="AT30" s="579" t="s">
        <v>427</v>
      </c>
      <c r="AU30" s="583">
        <v>6</v>
      </c>
      <c r="AV30" s="583">
        <v>6</v>
      </c>
      <c r="AW30" s="602">
        <v>1</v>
      </c>
      <c r="AY30" s="579" t="s">
        <v>555</v>
      </c>
      <c r="AZ30" s="606">
        <v>16</v>
      </c>
      <c r="BA30" s="606">
        <v>8</v>
      </c>
      <c r="BB30" s="606">
        <v>0.5</v>
      </c>
      <c r="BC30" s="584">
        <v>0.46500000000000002</v>
      </c>
      <c r="BE30" s="579" t="s">
        <v>941</v>
      </c>
      <c r="BF30" s="602">
        <v>10</v>
      </c>
      <c r="BH30" s="337" t="s">
        <v>1302</v>
      </c>
      <c r="BI30" s="337"/>
      <c r="BJ30" s="337"/>
      <c r="BK30" s="337"/>
      <c r="BL30" s="337"/>
      <c r="BM30" s="337"/>
      <c r="BN30" s="337"/>
      <c r="BO30" s="337"/>
      <c r="BP30" s="337"/>
      <c r="BQ30" s="337"/>
    </row>
    <row r="31" spans="1:69" x14ac:dyDescent="0.2">
      <c r="A31" s="336" t="str">
        <f>IF($C$9&gt;=19,"Weld #19","")</f>
        <v/>
      </c>
      <c r="B31" s="281"/>
      <c r="C31" s="348"/>
      <c r="D31" s="281"/>
      <c r="E31" s="349"/>
      <c r="F31" s="21"/>
      <c r="G31" s="21"/>
      <c r="H31" s="21"/>
      <c r="I31" s="24"/>
      <c r="J31" s="21"/>
      <c r="K31" s="85"/>
      <c r="M31" s="61" t="s">
        <v>1290</v>
      </c>
      <c r="N31" s="55">
        <f>SUM($P$5:$P$28)</f>
        <v>10.000001000000101</v>
      </c>
      <c r="Q31" s="66"/>
      <c r="R31" s="41" t="s">
        <v>1291</v>
      </c>
      <c r="S31" s="41" t="s">
        <v>1292</v>
      </c>
      <c r="T31" s="41" t="s">
        <v>1293</v>
      </c>
      <c r="U31" s="41" t="s">
        <v>1294</v>
      </c>
      <c r="V31" s="54"/>
      <c r="AB31" s="579" t="s">
        <v>1581</v>
      </c>
      <c r="AC31" s="580">
        <v>42.6</v>
      </c>
      <c r="AD31" s="583">
        <v>2.38</v>
      </c>
      <c r="AE31" s="580">
        <v>18</v>
      </c>
      <c r="AF31" s="582">
        <v>4.29</v>
      </c>
      <c r="AH31" s="579" t="s">
        <v>40</v>
      </c>
      <c r="AI31" s="583">
        <v>3</v>
      </c>
      <c r="AJ31" s="581">
        <v>0.35599999999999998</v>
      </c>
      <c r="AK31" s="583">
        <v>1.6</v>
      </c>
      <c r="AL31" s="584">
        <v>0.27300000000000002</v>
      </c>
      <c r="AN31" s="579" t="s">
        <v>110</v>
      </c>
      <c r="AO31" s="580">
        <v>21</v>
      </c>
      <c r="AP31" s="583">
        <v>2.38</v>
      </c>
      <c r="AQ31" s="580">
        <v>18</v>
      </c>
      <c r="AR31" s="582">
        <v>4.29</v>
      </c>
      <c r="AT31" s="579" t="s">
        <v>428</v>
      </c>
      <c r="AU31" s="583">
        <v>6</v>
      </c>
      <c r="AV31" s="583">
        <v>6</v>
      </c>
      <c r="AW31" s="602">
        <v>0.875</v>
      </c>
      <c r="AY31" s="579" t="s">
        <v>556</v>
      </c>
      <c r="AZ31" s="606">
        <v>16</v>
      </c>
      <c r="BA31" s="606">
        <v>8</v>
      </c>
      <c r="BB31" s="606">
        <v>0.375</v>
      </c>
      <c r="BC31" s="584">
        <v>0.34899999999999998</v>
      </c>
      <c r="BE31" s="579" t="s">
        <v>942</v>
      </c>
      <c r="BF31" s="602">
        <v>9.625</v>
      </c>
      <c r="BH31" s="337" t="s">
        <v>1305</v>
      </c>
      <c r="BI31" s="337"/>
      <c r="BJ31" s="337"/>
      <c r="BK31" s="337"/>
      <c r="BL31" s="337"/>
      <c r="BM31" s="337"/>
      <c r="BN31" s="337"/>
      <c r="BO31" s="337"/>
      <c r="BP31" s="337"/>
      <c r="BQ31" s="337"/>
    </row>
    <row r="32" spans="1:69" x14ac:dyDescent="0.2">
      <c r="A32" s="336" t="str">
        <f>IF($C$9&gt;=20,"Weld #20","")</f>
        <v/>
      </c>
      <c r="B32" s="281"/>
      <c r="C32" s="348"/>
      <c r="D32" s="281"/>
      <c r="E32" s="349"/>
      <c r="F32" s="21"/>
      <c r="G32" s="353" t="s">
        <v>1282</v>
      </c>
      <c r="H32" s="21"/>
      <c r="I32" s="354" t="s">
        <v>1283</v>
      </c>
      <c r="K32" s="85"/>
      <c r="M32" s="114" t="s">
        <v>1297</v>
      </c>
      <c r="N32" s="55">
        <f>SUM($Q$5:$Q$28)</f>
        <v>25.000010000001751</v>
      </c>
      <c r="Q32" s="11" t="s">
        <v>1298</v>
      </c>
      <c r="R32" s="8">
        <f>IF($C$38&gt;=1,$C$41-$N$36,"")</f>
        <v>-7.5000007493386533E-7</v>
      </c>
      <c r="S32" s="8" t="str">
        <f>IF($C$38&gt;=2,$D$41-$N$36,"")</f>
        <v/>
      </c>
      <c r="T32" s="8" t="str">
        <f>IF($C$38&gt;=3,$E$41-$N$36,"")</f>
        <v/>
      </c>
      <c r="U32" s="8" t="str">
        <f>IF($C$38=4,$F$41-$N$36,"")</f>
        <v/>
      </c>
      <c r="V32" s="54"/>
      <c r="AB32" s="579" t="s">
        <v>1582</v>
      </c>
      <c r="AC32" s="580">
        <v>41.1</v>
      </c>
      <c r="AD32" s="583">
        <v>1.97</v>
      </c>
      <c r="AE32" s="580">
        <v>17.600000000000001</v>
      </c>
      <c r="AF32" s="582">
        <v>3.54</v>
      </c>
      <c r="AH32" s="579" t="s">
        <v>41</v>
      </c>
      <c r="AI32" s="583">
        <v>3</v>
      </c>
      <c r="AJ32" s="581">
        <v>0.25800000000000001</v>
      </c>
      <c r="AK32" s="583">
        <v>1.5</v>
      </c>
      <c r="AL32" s="584">
        <v>0.27300000000000002</v>
      </c>
      <c r="AN32" s="579" t="s">
        <v>111</v>
      </c>
      <c r="AO32" s="580">
        <v>20.2</v>
      </c>
      <c r="AP32" s="583">
        <v>1.97</v>
      </c>
      <c r="AQ32" s="580">
        <v>17.600000000000001</v>
      </c>
      <c r="AR32" s="582">
        <v>3.54</v>
      </c>
      <c r="AT32" s="579" t="s">
        <v>429</v>
      </c>
      <c r="AU32" s="583">
        <v>6</v>
      </c>
      <c r="AV32" s="583">
        <v>6</v>
      </c>
      <c r="AW32" s="602">
        <v>0.75</v>
      </c>
      <c r="AY32" s="579" t="s">
        <v>557</v>
      </c>
      <c r="AZ32" s="606">
        <v>16</v>
      </c>
      <c r="BA32" s="606">
        <v>8</v>
      </c>
      <c r="BB32" s="606">
        <v>0.3125</v>
      </c>
      <c r="BC32" s="584">
        <v>0.29099999999999998</v>
      </c>
      <c r="BE32" s="579" t="s">
        <v>943</v>
      </c>
      <c r="BF32" s="602">
        <v>9.625</v>
      </c>
      <c r="BH32" s="337" t="s">
        <v>1308</v>
      </c>
      <c r="BI32" s="337"/>
      <c r="BJ32" s="337"/>
      <c r="BK32" s="337"/>
      <c r="BL32" s="337"/>
      <c r="BM32" s="337"/>
      <c r="BN32" s="337"/>
      <c r="BO32" s="337"/>
      <c r="BP32" s="337"/>
      <c r="BQ32" s="337"/>
    </row>
    <row r="33" spans="1:71" x14ac:dyDescent="0.2">
      <c r="A33" s="336" t="str">
        <f>IF($C$9&gt;=21,"Weld #21","")</f>
        <v/>
      </c>
      <c r="B33" s="281"/>
      <c r="C33" s="348"/>
      <c r="D33" s="281"/>
      <c r="E33" s="349"/>
      <c r="F33" s="21"/>
      <c r="G33" s="21"/>
      <c r="H33" s="56"/>
      <c r="I33" s="355" t="s">
        <v>1285</v>
      </c>
      <c r="K33" s="85"/>
      <c r="M33" s="114" t="s">
        <v>1300</v>
      </c>
      <c r="N33" s="55">
        <f>SUM($R$5:$R$28)</f>
        <v>25.000002500000502</v>
      </c>
      <c r="Q33" s="11" t="s">
        <v>1301</v>
      </c>
      <c r="R33" s="8">
        <f>IF($C$38&gt;=1,$C$42-$N$37,"")</f>
        <v>-2.4868995751603507E-14</v>
      </c>
      <c r="S33" s="8" t="str">
        <f>IF($C$38&gt;=2,$D$42-$N$37,"")</f>
        <v/>
      </c>
      <c r="T33" s="8" t="str">
        <f>IF($C$38&gt;=3,$E$42-$N$37,"")</f>
        <v/>
      </c>
      <c r="U33" s="8" t="str">
        <f>IF($C$38=4,$F$42-$N$37,"")</f>
        <v/>
      </c>
      <c r="V33" s="54"/>
      <c r="AB33" s="579" t="s">
        <v>1583</v>
      </c>
      <c r="AC33" s="580">
        <v>39.799999999999997</v>
      </c>
      <c r="AD33" s="583">
        <v>1.61</v>
      </c>
      <c r="AE33" s="580">
        <v>17.2</v>
      </c>
      <c r="AF33" s="582">
        <v>2.91</v>
      </c>
      <c r="AH33" s="579" t="s">
        <v>42</v>
      </c>
      <c r="AI33" s="583">
        <v>3</v>
      </c>
      <c r="AJ33" s="581">
        <v>0.17</v>
      </c>
      <c r="AK33" s="583">
        <v>1.41</v>
      </c>
      <c r="AL33" s="584">
        <v>0.27300000000000002</v>
      </c>
      <c r="AN33" s="579" t="s">
        <v>112</v>
      </c>
      <c r="AO33" s="580">
        <v>19.600000000000001</v>
      </c>
      <c r="AP33" s="583">
        <v>1.61</v>
      </c>
      <c r="AQ33" s="580">
        <v>17.2</v>
      </c>
      <c r="AR33" s="582">
        <v>2.91</v>
      </c>
      <c r="AT33" s="579" t="s">
        <v>430</v>
      </c>
      <c r="AU33" s="583">
        <v>6</v>
      </c>
      <c r="AV33" s="583">
        <v>6</v>
      </c>
      <c r="AW33" s="602">
        <v>0.625</v>
      </c>
      <c r="AY33" s="579" t="s">
        <v>558</v>
      </c>
      <c r="AZ33" s="606">
        <v>16</v>
      </c>
      <c r="BA33" s="606">
        <v>8</v>
      </c>
      <c r="BB33" s="606">
        <v>0.25</v>
      </c>
      <c r="BC33" s="584">
        <v>0.23300000000000001</v>
      </c>
      <c r="BE33" s="579" t="s">
        <v>944</v>
      </c>
      <c r="BF33" s="602">
        <v>9.625</v>
      </c>
      <c r="BH33" s="43"/>
      <c r="BI33" s="43"/>
      <c r="BJ33" s="43"/>
      <c r="BK33" s="43"/>
      <c r="BL33" s="43"/>
      <c r="BM33" s="43"/>
      <c r="BN33" s="43"/>
      <c r="BO33" s="43"/>
      <c r="BP33" s="43"/>
      <c r="BQ33" s="43"/>
    </row>
    <row r="34" spans="1:71" x14ac:dyDescent="0.2">
      <c r="A34" s="336" t="str">
        <f>IF($C$9&gt;=22,"Weld #22","")</f>
        <v/>
      </c>
      <c r="B34" s="281"/>
      <c r="C34" s="348"/>
      <c r="D34" s="281"/>
      <c r="E34" s="349"/>
      <c r="F34" s="21"/>
      <c r="G34" s="21"/>
      <c r="H34" s="356" t="s">
        <v>1289</v>
      </c>
      <c r="I34" s="351"/>
      <c r="K34" s="85"/>
      <c r="M34" s="114" t="s">
        <v>1303</v>
      </c>
      <c r="N34" s="70">
        <f>SUM($S$5:$S$28)</f>
        <v>125.00000000000166</v>
      </c>
      <c r="Q34" s="41" t="s">
        <v>1304</v>
      </c>
      <c r="R34" s="8">
        <f>IF($C$38&gt;=1,$C$44*$R$33,"")</f>
        <v>0</v>
      </c>
      <c r="S34" s="8" t="str">
        <f>IF($C$38&gt;=2,$D$44*$S$33,"")</f>
        <v/>
      </c>
      <c r="T34" s="8" t="str">
        <f>IF($C$38&gt;=3,$E$44*$T$33,"")</f>
        <v/>
      </c>
      <c r="U34" s="8" t="str">
        <f>IF($C$38=4,$F$44*$U$33,"")</f>
        <v/>
      </c>
      <c r="V34" s="54"/>
      <c r="AB34" s="579" t="s">
        <v>1584</v>
      </c>
      <c r="AC34" s="580">
        <v>39.299999999999997</v>
      </c>
      <c r="AD34" s="583">
        <v>1.5</v>
      </c>
      <c r="AE34" s="580">
        <v>17.100000000000001</v>
      </c>
      <c r="AF34" s="582">
        <v>2.68</v>
      </c>
      <c r="AH34" s="585" t="s">
        <v>43</v>
      </c>
      <c r="AI34" s="586">
        <v>3</v>
      </c>
      <c r="AJ34" s="587">
        <v>0.13200000000000001</v>
      </c>
      <c r="AK34" s="586">
        <v>1.37</v>
      </c>
      <c r="AL34" s="588">
        <v>0.27300000000000002</v>
      </c>
      <c r="AN34" s="579" t="s">
        <v>113</v>
      </c>
      <c r="AO34" s="580">
        <v>19.7</v>
      </c>
      <c r="AP34" s="583">
        <v>1.5</v>
      </c>
      <c r="AQ34" s="580">
        <v>17.100000000000001</v>
      </c>
      <c r="AR34" s="582">
        <v>2.68</v>
      </c>
      <c r="AT34" s="579" t="s">
        <v>431</v>
      </c>
      <c r="AU34" s="583">
        <v>6</v>
      </c>
      <c r="AV34" s="583">
        <v>6</v>
      </c>
      <c r="AW34" s="602">
        <v>0.5625</v>
      </c>
      <c r="AY34" s="579" t="s">
        <v>559</v>
      </c>
      <c r="AZ34" s="606">
        <v>16</v>
      </c>
      <c r="BA34" s="606">
        <v>4</v>
      </c>
      <c r="BB34" s="606">
        <v>0.625</v>
      </c>
      <c r="BC34" s="584">
        <v>0.58099999999999996</v>
      </c>
      <c r="BE34" s="579" t="s">
        <v>945</v>
      </c>
      <c r="BF34" s="602">
        <v>9.625</v>
      </c>
      <c r="BH34" s="556" t="s">
        <v>1543</v>
      </c>
      <c r="BI34" s="337"/>
      <c r="BJ34" s="337"/>
      <c r="BK34" s="337"/>
      <c r="BL34" s="337"/>
      <c r="BM34" s="337"/>
      <c r="BN34" s="337"/>
      <c r="BO34" s="337"/>
      <c r="BP34" s="337"/>
      <c r="BQ34" s="337"/>
    </row>
    <row r="35" spans="1:71" x14ac:dyDescent="0.2">
      <c r="A35" s="336" t="str">
        <f>IF($C$9&gt;=23,"Weld #23","")</f>
        <v/>
      </c>
      <c r="B35" s="281"/>
      <c r="C35" s="348"/>
      <c r="D35" s="281"/>
      <c r="E35" s="349"/>
      <c r="F35" s="21"/>
      <c r="G35" s="21"/>
      <c r="H35" s="356" t="s">
        <v>1296</v>
      </c>
      <c r="I35" s="351"/>
      <c r="K35" s="85"/>
      <c r="L35" s="358"/>
      <c r="M35" s="114" t="s">
        <v>1306</v>
      </c>
      <c r="N35" s="55">
        <f>SUM($T$5:$T$28)</f>
        <v>83.333383333354163</v>
      </c>
      <c r="Q35" s="41" t="s">
        <v>1307</v>
      </c>
      <c r="R35" s="8">
        <f>IF($C$38&gt;=1,$C$44*-$R$32,"")</f>
        <v>0</v>
      </c>
      <c r="S35" s="8" t="str">
        <f>IF($C$38&gt;=2,$D$44*-$S$32,"")</f>
        <v/>
      </c>
      <c r="T35" s="8" t="str">
        <f>IF($C$38&gt;=3,$E$44*-$T$32,"")</f>
        <v/>
      </c>
      <c r="U35" s="8" t="str">
        <f>IF($C$38=4,$F$44*-$U$32,"")</f>
        <v/>
      </c>
      <c r="V35" s="54"/>
      <c r="AB35" s="579" t="s">
        <v>1585</v>
      </c>
      <c r="AC35" s="580">
        <v>38.9</v>
      </c>
      <c r="AD35" s="583">
        <v>1.36</v>
      </c>
      <c r="AE35" s="580">
        <v>17</v>
      </c>
      <c r="AF35" s="582">
        <v>2.44</v>
      </c>
      <c r="AH35" s="589" t="s">
        <v>44</v>
      </c>
      <c r="AI35" s="590">
        <v>18</v>
      </c>
      <c r="AJ35" s="591">
        <v>0.7</v>
      </c>
      <c r="AK35" s="592">
        <v>4.2</v>
      </c>
      <c r="AL35" s="593">
        <v>0.625</v>
      </c>
      <c r="AN35" s="579" t="s">
        <v>114</v>
      </c>
      <c r="AO35" s="580">
        <v>19.100000000000001</v>
      </c>
      <c r="AP35" s="583">
        <v>1.36</v>
      </c>
      <c r="AQ35" s="580">
        <v>17</v>
      </c>
      <c r="AR35" s="582">
        <v>2.44</v>
      </c>
      <c r="AT35" s="579" t="s">
        <v>432</v>
      </c>
      <c r="AU35" s="583">
        <v>6</v>
      </c>
      <c r="AV35" s="583">
        <v>6</v>
      </c>
      <c r="AW35" s="602">
        <v>0.5</v>
      </c>
      <c r="AY35" s="579" t="s">
        <v>560</v>
      </c>
      <c r="AZ35" s="606">
        <v>16</v>
      </c>
      <c r="BA35" s="606">
        <v>4</v>
      </c>
      <c r="BB35" s="606">
        <v>0.5</v>
      </c>
      <c r="BC35" s="584">
        <v>0.46500000000000002</v>
      </c>
      <c r="BE35" s="579" t="s">
        <v>946</v>
      </c>
      <c r="BF35" s="602">
        <v>9.625</v>
      </c>
      <c r="BH35" s="337"/>
      <c r="BI35" s="42"/>
      <c r="BJ35" s="42"/>
      <c r="BK35" s="42"/>
      <c r="BL35" s="42"/>
      <c r="BM35" s="42"/>
      <c r="BN35" s="42"/>
      <c r="BO35" s="42"/>
      <c r="BP35" s="42"/>
      <c r="BQ35" s="42"/>
      <c r="BR35" s="21"/>
    </row>
    <row r="36" spans="1:71" x14ac:dyDescent="0.2">
      <c r="A36" s="336" t="str">
        <f>IF($C$9=24,"Weld #24","")</f>
        <v/>
      </c>
      <c r="B36" s="284"/>
      <c r="C36" s="359"/>
      <c r="D36" s="284"/>
      <c r="E36" s="360"/>
      <c r="F36" s="21"/>
      <c r="G36" s="21"/>
      <c r="H36" s="56"/>
      <c r="I36" s="357" t="s">
        <v>1234</v>
      </c>
      <c r="K36" s="85"/>
      <c r="M36" s="333" t="s">
        <v>1310</v>
      </c>
      <c r="N36" s="14">
        <f>$N$32/$N$31</f>
        <v>2.5000007500000749</v>
      </c>
      <c r="Q36" s="41" t="s">
        <v>1311</v>
      </c>
      <c r="R36" s="8">
        <f>IF($C$38&gt;=1,$C$43*-$C$46,"")</f>
        <v>0</v>
      </c>
      <c r="S36" s="8" t="str">
        <f>IF($C$38&gt;=2,$D$43*-$D$46,"")</f>
        <v/>
      </c>
      <c r="T36" s="8" t="str">
        <f>IF($C$38&gt;=3,$E$43*-$E$46,"")</f>
        <v/>
      </c>
      <c r="U36" s="8" t="str">
        <f>IF($C$38=4,$F$43*-$F$46,"")</f>
        <v/>
      </c>
      <c r="V36" s="54"/>
      <c r="AB36" s="579" t="s">
        <v>1586</v>
      </c>
      <c r="AC36" s="580">
        <v>38.4</v>
      </c>
      <c r="AD36" s="583">
        <v>1.22</v>
      </c>
      <c r="AE36" s="580">
        <v>16.8</v>
      </c>
      <c r="AF36" s="582">
        <v>2.2000000000000002</v>
      </c>
      <c r="AH36" s="579" t="s">
        <v>45</v>
      </c>
      <c r="AI36" s="580">
        <v>18</v>
      </c>
      <c r="AJ36" s="581">
        <v>0.6</v>
      </c>
      <c r="AK36" s="583">
        <v>4.0999999999999996</v>
      </c>
      <c r="AL36" s="584">
        <v>0.625</v>
      </c>
      <c r="AN36" s="579" t="s">
        <v>115</v>
      </c>
      <c r="AO36" s="580">
        <v>18.899999999999999</v>
      </c>
      <c r="AP36" s="583">
        <v>1.22</v>
      </c>
      <c r="AQ36" s="580">
        <v>16.8</v>
      </c>
      <c r="AR36" s="582">
        <v>2.2000000000000002</v>
      </c>
      <c r="AT36" s="579" t="s">
        <v>433</v>
      </c>
      <c r="AU36" s="583">
        <v>6</v>
      </c>
      <c r="AV36" s="583">
        <v>6</v>
      </c>
      <c r="AW36" s="602">
        <v>0.4375</v>
      </c>
      <c r="AY36" s="579" t="s">
        <v>561</v>
      </c>
      <c r="AZ36" s="606">
        <v>16</v>
      </c>
      <c r="BA36" s="606">
        <v>4</v>
      </c>
      <c r="BB36" s="606">
        <v>0.375</v>
      </c>
      <c r="BC36" s="584">
        <v>0.34899999999999998</v>
      </c>
      <c r="BE36" s="579" t="s">
        <v>947</v>
      </c>
      <c r="BF36" s="602">
        <v>8.625</v>
      </c>
      <c r="BH36" s="337"/>
      <c r="BI36" s="567" t="s">
        <v>1352</v>
      </c>
      <c r="BJ36" s="37"/>
      <c r="BK36" s="37"/>
      <c r="BL36" s="37"/>
      <c r="BM36" s="37"/>
      <c r="BN36" s="37"/>
      <c r="BO36" s="37"/>
      <c r="BP36" s="37"/>
      <c r="BQ36" s="37"/>
      <c r="BR36" s="341"/>
    </row>
    <row r="37" spans="1:71" x14ac:dyDescent="0.2">
      <c r="A37" s="30"/>
      <c r="B37" s="21"/>
      <c r="C37" s="21"/>
      <c r="D37" s="21"/>
      <c r="E37" s="21"/>
      <c r="F37" s="21"/>
      <c r="G37" s="21"/>
      <c r="H37" s="56"/>
      <c r="I37" s="357" t="s">
        <v>1232</v>
      </c>
      <c r="K37" s="85"/>
      <c r="M37" s="333" t="s">
        <v>1313</v>
      </c>
      <c r="N37" s="14">
        <f>$N$33/$N$31</f>
        <v>2.5000000000000249</v>
      </c>
      <c r="Q37" s="41" t="s">
        <v>1314</v>
      </c>
      <c r="R37" s="8">
        <f>IF($C$38&gt;=1,$C$43*$C$45,"")</f>
        <v>0</v>
      </c>
      <c r="S37" s="8" t="str">
        <f>IF($C$38&gt;=2,$D$43*$D$45,"")</f>
        <v/>
      </c>
      <c r="T37" s="8" t="str">
        <f>IF($C$38&gt;=3,$E$43*$E$45,"")</f>
        <v/>
      </c>
      <c r="U37" s="8" t="str">
        <f>IF($C$38=4,$F$43*$F$45,"")</f>
        <v/>
      </c>
      <c r="V37" s="54"/>
      <c r="AB37" s="579" t="s">
        <v>1587</v>
      </c>
      <c r="AC37" s="580">
        <v>38</v>
      </c>
      <c r="AD37" s="583">
        <v>1.1200000000000001</v>
      </c>
      <c r="AE37" s="580">
        <v>16.7</v>
      </c>
      <c r="AF37" s="582">
        <v>2.0099999999999998</v>
      </c>
      <c r="AH37" s="579" t="s">
        <v>46</v>
      </c>
      <c r="AI37" s="580">
        <v>18</v>
      </c>
      <c r="AJ37" s="581">
        <v>0.5</v>
      </c>
      <c r="AK37" s="583">
        <v>4</v>
      </c>
      <c r="AL37" s="584">
        <v>0.625</v>
      </c>
      <c r="AN37" s="579" t="s">
        <v>116</v>
      </c>
      <c r="AO37" s="580">
        <v>18.7</v>
      </c>
      <c r="AP37" s="583">
        <v>1.1200000000000001</v>
      </c>
      <c r="AQ37" s="580">
        <v>16.7</v>
      </c>
      <c r="AR37" s="582">
        <v>2.0099999999999998</v>
      </c>
      <c r="AT37" s="579" t="s">
        <v>434</v>
      </c>
      <c r="AU37" s="583">
        <v>6</v>
      </c>
      <c r="AV37" s="583">
        <v>6</v>
      </c>
      <c r="AW37" s="602">
        <v>0.375</v>
      </c>
      <c r="AY37" s="579" t="s">
        <v>562</v>
      </c>
      <c r="AZ37" s="606">
        <v>16</v>
      </c>
      <c r="BA37" s="606">
        <v>4</v>
      </c>
      <c r="BB37" s="606">
        <v>0.3125</v>
      </c>
      <c r="BC37" s="584">
        <v>0.29099999999999998</v>
      </c>
      <c r="BE37" s="579" t="s">
        <v>948</v>
      </c>
      <c r="BF37" s="602">
        <v>8.625</v>
      </c>
      <c r="BH37" s="337"/>
      <c r="BO37" s="40"/>
      <c r="BP37" s="40"/>
      <c r="BQ37" s="40"/>
      <c r="BR37" s="21"/>
    </row>
    <row r="38" spans="1:71" x14ac:dyDescent="0.2">
      <c r="A38" s="30"/>
      <c r="B38" s="361" t="s">
        <v>1315</v>
      </c>
      <c r="C38" s="340">
        <v>1</v>
      </c>
      <c r="D38" s="83"/>
      <c r="E38" s="21"/>
      <c r="F38" s="21"/>
      <c r="G38" s="21"/>
      <c r="H38" s="56"/>
      <c r="I38" s="357" t="s">
        <v>1231</v>
      </c>
      <c r="K38" s="85"/>
      <c r="M38" s="364" t="s">
        <v>1318</v>
      </c>
      <c r="N38" s="11">
        <f>$N$34-$N$31*$N$37^2</f>
        <v>62.499993749999788</v>
      </c>
      <c r="Q38" s="85" t="s">
        <v>1319</v>
      </c>
      <c r="R38" s="70">
        <f>IF($C$38&gt;=1,$C$45*-$R$33,"")</f>
        <v>4.1282532947661821E-12</v>
      </c>
      <c r="S38" s="8" t="str">
        <f>IF($C$38&gt;=2,$D$45*-$S$33,"")</f>
        <v/>
      </c>
      <c r="T38" s="70" t="str">
        <f>IF($C$38&gt;=3,$E$45*-$T$33,"")</f>
        <v/>
      </c>
      <c r="U38" s="70" t="str">
        <f>IF($C$38=4,$F$45*-$U$33,"")</f>
        <v/>
      </c>
      <c r="V38" s="54"/>
      <c r="AB38" s="579" t="s">
        <v>1588</v>
      </c>
      <c r="AC38" s="580">
        <v>37.700000000000003</v>
      </c>
      <c r="AD38" s="583">
        <v>1.02</v>
      </c>
      <c r="AE38" s="580">
        <v>16.600000000000001</v>
      </c>
      <c r="AF38" s="582">
        <v>1.85</v>
      </c>
      <c r="AH38" s="579" t="s">
        <v>47</v>
      </c>
      <c r="AI38" s="580">
        <v>18</v>
      </c>
      <c r="AJ38" s="581">
        <v>0.45</v>
      </c>
      <c r="AK38" s="583">
        <v>3.95</v>
      </c>
      <c r="AL38" s="584">
        <v>0.625</v>
      </c>
      <c r="AN38" s="579" t="s">
        <v>117</v>
      </c>
      <c r="AO38" s="580">
        <v>18.5</v>
      </c>
      <c r="AP38" s="583">
        <v>1.02</v>
      </c>
      <c r="AQ38" s="580">
        <v>16.600000000000001</v>
      </c>
      <c r="AR38" s="582">
        <v>1.85</v>
      </c>
      <c r="AT38" s="579" t="s">
        <v>435</v>
      </c>
      <c r="AU38" s="583">
        <v>6</v>
      </c>
      <c r="AV38" s="583">
        <v>6</v>
      </c>
      <c r="AW38" s="602">
        <v>0.3125</v>
      </c>
      <c r="AY38" s="579" t="s">
        <v>563</v>
      </c>
      <c r="AZ38" s="606">
        <v>16</v>
      </c>
      <c r="BA38" s="606">
        <v>4</v>
      </c>
      <c r="BB38" s="606">
        <v>0.25</v>
      </c>
      <c r="BC38" s="584">
        <v>0.23300000000000001</v>
      </c>
      <c r="BE38" s="579" t="s">
        <v>949</v>
      </c>
      <c r="BF38" s="602">
        <v>8.625</v>
      </c>
      <c r="BH38" s="337"/>
      <c r="BI38" s="69" t="s">
        <v>731</v>
      </c>
      <c r="BJ38" s="610" t="s">
        <v>1055</v>
      </c>
      <c r="BK38" s="40"/>
      <c r="BO38" s="40"/>
      <c r="BP38" s="40"/>
      <c r="BQ38" s="21"/>
      <c r="BR38" s="21"/>
    </row>
    <row r="39" spans="1:71" x14ac:dyDescent="0.2">
      <c r="A39" s="30"/>
      <c r="B39" s="21"/>
      <c r="C39" s="343" t="s">
        <v>1287</v>
      </c>
      <c r="D39" s="341"/>
      <c r="E39" s="341"/>
      <c r="F39" s="341"/>
      <c r="G39" s="21"/>
      <c r="H39" s="356" t="s">
        <v>1309</v>
      </c>
      <c r="I39" s="351"/>
      <c r="K39" s="85"/>
      <c r="M39" s="364" t="s">
        <v>1321</v>
      </c>
      <c r="N39" s="8">
        <f>$N$35-$N$31*$N$36^2</f>
        <v>20.833339583340411</v>
      </c>
      <c r="Q39" s="85" t="s">
        <v>1322</v>
      </c>
      <c r="R39" s="70">
        <f>IF($C$38&gt;=1,$C$46*$R$32,"")</f>
        <v>0</v>
      </c>
      <c r="S39" s="8" t="str">
        <f>IF($C$38&gt;=2,$D$46*$S$32,"")</f>
        <v/>
      </c>
      <c r="T39" s="70" t="str">
        <f>IF($C$38&gt;=3,$E$46*$T$32,"")</f>
        <v/>
      </c>
      <c r="U39" s="70" t="str">
        <f>IF($C$38=4,$F$46*$U$32,"")</f>
        <v/>
      </c>
      <c r="V39" s="54"/>
      <c r="AB39" s="579" t="s">
        <v>1589</v>
      </c>
      <c r="AC39" s="580">
        <v>37.299999999999997</v>
      </c>
      <c r="AD39" s="581">
        <v>0.94499999999999995</v>
      </c>
      <c r="AE39" s="580">
        <v>16.7</v>
      </c>
      <c r="AF39" s="582">
        <v>1.68</v>
      </c>
      <c r="AH39" s="579" t="s">
        <v>48</v>
      </c>
      <c r="AI39" s="580">
        <v>13</v>
      </c>
      <c r="AJ39" s="581">
        <v>0.78700000000000003</v>
      </c>
      <c r="AK39" s="583">
        <v>4.41</v>
      </c>
      <c r="AL39" s="584">
        <v>0.61</v>
      </c>
      <c r="AN39" s="579" t="s">
        <v>118</v>
      </c>
      <c r="AO39" s="580">
        <v>18.399999999999999</v>
      </c>
      <c r="AP39" s="581">
        <v>0.94499999999999995</v>
      </c>
      <c r="AQ39" s="580">
        <v>16.7</v>
      </c>
      <c r="AR39" s="582">
        <v>1.68</v>
      </c>
      <c r="AT39" s="579" t="s">
        <v>436</v>
      </c>
      <c r="AU39" s="583">
        <v>6</v>
      </c>
      <c r="AV39" s="583">
        <v>4</v>
      </c>
      <c r="AW39" s="602">
        <v>0.875</v>
      </c>
      <c r="AY39" s="579" t="s">
        <v>564</v>
      </c>
      <c r="AZ39" s="606">
        <v>14</v>
      </c>
      <c r="BA39" s="606">
        <v>4</v>
      </c>
      <c r="BB39" s="606">
        <v>0.1875</v>
      </c>
      <c r="BC39" s="584">
        <v>0.17399999999999999</v>
      </c>
      <c r="BE39" s="579" t="s">
        <v>950</v>
      </c>
      <c r="BF39" s="602">
        <v>8.625</v>
      </c>
      <c r="BH39" s="337"/>
      <c r="BI39" s="232" t="s">
        <v>737</v>
      </c>
      <c r="BJ39" s="609">
        <f>VLOOKUP($BJ$38,$BE$4:$BF$168,2,FALSE)</f>
        <v>8.625</v>
      </c>
      <c r="BK39" s="237" t="s">
        <v>1172</v>
      </c>
      <c r="BL39" s="40"/>
      <c r="BM39" s="40"/>
      <c r="BN39" s="40"/>
      <c r="BO39" s="40"/>
      <c r="BP39" s="40"/>
      <c r="BQ39" s="21"/>
      <c r="BR39" s="21"/>
      <c r="BS39" s="21"/>
    </row>
    <row r="40" spans="1:71" x14ac:dyDescent="0.2">
      <c r="A40" s="30"/>
      <c r="B40" s="56"/>
      <c r="C40" s="94" t="str">
        <f>IF($C$38&gt;=1,"Point #1","")</f>
        <v>Point #1</v>
      </c>
      <c r="D40" s="94" t="str">
        <f>IF($C$38&gt;=2,"Point #2","")</f>
        <v/>
      </c>
      <c r="E40" s="94" t="str">
        <f>IF($C$38&gt;=3,"Point #3","")</f>
        <v/>
      </c>
      <c r="F40" s="94" t="str">
        <f>IF($C$38=4,"Point #4","")</f>
        <v/>
      </c>
      <c r="G40" s="21"/>
      <c r="H40" s="356" t="s">
        <v>1312</v>
      </c>
      <c r="I40" s="351"/>
      <c r="K40" s="85"/>
      <c r="M40" s="364" t="s">
        <v>1324</v>
      </c>
      <c r="N40" s="8">
        <f>$N$38+$N$39</f>
        <v>83.333333333340192</v>
      </c>
      <c r="Q40" s="43"/>
      <c r="R40" s="43"/>
      <c r="S40" s="43"/>
      <c r="T40" s="43"/>
      <c r="U40" s="43"/>
      <c r="V40" s="54"/>
      <c r="AB40" s="579" t="s">
        <v>1590</v>
      </c>
      <c r="AC40" s="580">
        <v>37.1</v>
      </c>
      <c r="AD40" s="581">
        <v>0.88500000000000001</v>
      </c>
      <c r="AE40" s="580">
        <v>16.600000000000001</v>
      </c>
      <c r="AF40" s="582">
        <v>1.57</v>
      </c>
      <c r="AH40" s="579" t="s">
        <v>49</v>
      </c>
      <c r="AI40" s="580">
        <v>13</v>
      </c>
      <c r="AJ40" s="581">
        <v>0.56000000000000005</v>
      </c>
      <c r="AK40" s="583">
        <v>4.1900000000000004</v>
      </c>
      <c r="AL40" s="584">
        <v>0.61</v>
      </c>
      <c r="AN40" s="579" t="s">
        <v>119</v>
      </c>
      <c r="AO40" s="580">
        <v>18.3</v>
      </c>
      <c r="AP40" s="581">
        <v>0.88500000000000001</v>
      </c>
      <c r="AQ40" s="580">
        <v>16.600000000000001</v>
      </c>
      <c r="AR40" s="582">
        <v>1.57</v>
      </c>
      <c r="AT40" s="579" t="s">
        <v>437</v>
      </c>
      <c r="AU40" s="583">
        <v>6</v>
      </c>
      <c r="AV40" s="583">
        <v>4</v>
      </c>
      <c r="AW40" s="602">
        <v>0.75</v>
      </c>
      <c r="AY40" s="579" t="s">
        <v>565</v>
      </c>
      <c r="AZ40" s="606">
        <v>14</v>
      </c>
      <c r="BA40" s="606">
        <v>14</v>
      </c>
      <c r="BB40" s="606">
        <v>0.625</v>
      </c>
      <c r="BC40" s="584">
        <v>0.58099999999999996</v>
      </c>
      <c r="BE40" s="579" t="s">
        <v>951</v>
      </c>
      <c r="BF40" s="602">
        <v>8.625</v>
      </c>
      <c r="BH40" s="337"/>
      <c r="BI40" s="41"/>
      <c r="BJ40" s="40"/>
      <c r="BK40" s="137" t="s">
        <v>1240</v>
      </c>
      <c r="BL40" s="37"/>
      <c r="BM40" s="37"/>
      <c r="BN40" s="37"/>
      <c r="BO40" s="40"/>
      <c r="BP40" s="40"/>
      <c r="BQ40" s="21"/>
      <c r="BR40" s="21"/>
      <c r="BS40" s="21"/>
    </row>
    <row r="41" spans="1:71" x14ac:dyDescent="0.2">
      <c r="A41" s="30"/>
      <c r="B41" s="56" t="s">
        <v>1325</v>
      </c>
      <c r="C41" s="280">
        <v>2.5</v>
      </c>
      <c r="D41" s="346"/>
      <c r="E41" s="280"/>
      <c r="F41" s="347"/>
      <c r="G41" s="362" t="s">
        <v>1316</v>
      </c>
      <c r="H41" s="56"/>
      <c r="I41" s="363" t="s">
        <v>1317</v>
      </c>
      <c r="K41" s="85"/>
      <c r="M41" s="114"/>
      <c r="N41" s="11"/>
      <c r="Q41" s="366" t="s">
        <v>1353</v>
      </c>
      <c r="S41" s="43"/>
      <c r="T41" s="43"/>
      <c r="U41" s="43"/>
      <c r="V41" s="54"/>
      <c r="AB41" s="579" t="s">
        <v>1591</v>
      </c>
      <c r="AC41" s="580">
        <v>36.9</v>
      </c>
      <c r="AD41" s="581">
        <v>0.84</v>
      </c>
      <c r="AE41" s="580">
        <v>16.600000000000001</v>
      </c>
      <c r="AF41" s="582">
        <v>1.44</v>
      </c>
      <c r="AH41" s="579" t="s">
        <v>50</v>
      </c>
      <c r="AI41" s="580">
        <v>13</v>
      </c>
      <c r="AJ41" s="581">
        <v>0.44700000000000001</v>
      </c>
      <c r="AK41" s="583">
        <v>4.07</v>
      </c>
      <c r="AL41" s="584">
        <v>0.61</v>
      </c>
      <c r="AN41" s="579" t="s">
        <v>120</v>
      </c>
      <c r="AO41" s="580">
        <v>18.100000000000001</v>
      </c>
      <c r="AP41" s="581">
        <v>0.84</v>
      </c>
      <c r="AQ41" s="580">
        <v>16.600000000000001</v>
      </c>
      <c r="AR41" s="582">
        <v>1.44</v>
      </c>
      <c r="AT41" s="579" t="s">
        <v>438</v>
      </c>
      <c r="AU41" s="583">
        <v>6</v>
      </c>
      <c r="AV41" s="583">
        <v>4</v>
      </c>
      <c r="AW41" s="602">
        <v>0.625</v>
      </c>
      <c r="AY41" s="579" t="s">
        <v>566</v>
      </c>
      <c r="AZ41" s="606">
        <v>14</v>
      </c>
      <c r="BA41" s="606">
        <v>14</v>
      </c>
      <c r="BB41" s="606">
        <v>0.5</v>
      </c>
      <c r="BC41" s="584">
        <v>0.46500000000000002</v>
      </c>
      <c r="BE41" s="579" t="s">
        <v>952</v>
      </c>
      <c r="BF41" s="602">
        <v>8.625</v>
      </c>
      <c r="BH41" s="337"/>
      <c r="BI41" s="41"/>
      <c r="BJ41" s="42"/>
      <c r="BK41" s="137" t="s">
        <v>1243</v>
      </c>
      <c r="BL41" s="37"/>
      <c r="BM41" s="137" t="s">
        <v>1244</v>
      </c>
      <c r="BN41" s="37"/>
      <c r="BO41" s="40"/>
      <c r="BP41" s="40"/>
      <c r="BQ41" s="21"/>
      <c r="BR41" s="51" t="str">
        <f>"OD="&amp;$BJ$39</f>
        <v>OD=8.625</v>
      </c>
    </row>
    <row r="42" spans="1:71" x14ac:dyDescent="0.2">
      <c r="A42" s="30"/>
      <c r="B42" s="56" t="s">
        <v>1327</v>
      </c>
      <c r="C42" s="281">
        <v>2.5</v>
      </c>
      <c r="D42" s="348"/>
      <c r="E42" s="281"/>
      <c r="F42" s="349"/>
      <c r="G42" s="21"/>
      <c r="H42" s="143" t="s">
        <v>1320</v>
      </c>
      <c r="I42" s="351"/>
      <c r="K42" s="85"/>
      <c r="Q42" s="114" t="s">
        <v>1328</v>
      </c>
      <c r="R42" s="8">
        <f>SUM($C$44:$F$44)</f>
        <v>0</v>
      </c>
      <c r="S42" s="43" t="s">
        <v>1148</v>
      </c>
      <c r="T42" s="43"/>
      <c r="U42" s="43"/>
      <c r="V42" s="54"/>
      <c r="AB42" s="579" t="s">
        <v>1592</v>
      </c>
      <c r="AC42" s="580">
        <v>36.700000000000003</v>
      </c>
      <c r="AD42" s="581">
        <v>0.8</v>
      </c>
      <c r="AE42" s="580">
        <v>16.5</v>
      </c>
      <c r="AF42" s="582">
        <v>1.35</v>
      </c>
      <c r="AH42" s="579" t="s">
        <v>51</v>
      </c>
      <c r="AI42" s="580">
        <v>13</v>
      </c>
      <c r="AJ42" s="581">
        <v>0.375</v>
      </c>
      <c r="AK42" s="583">
        <v>4</v>
      </c>
      <c r="AL42" s="584">
        <v>0.61</v>
      </c>
      <c r="AN42" s="579" t="s">
        <v>121</v>
      </c>
      <c r="AO42" s="580">
        <v>18</v>
      </c>
      <c r="AP42" s="581">
        <v>0.8</v>
      </c>
      <c r="AQ42" s="580">
        <v>16.5</v>
      </c>
      <c r="AR42" s="582">
        <v>1.35</v>
      </c>
      <c r="AT42" s="579" t="s">
        <v>439</v>
      </c>
      <c r="AU42" s="583">
        <v>6</v>
      </c>
      <c r="AV42" s="583">
        <v>4</v>
      </c>
      <c r="AW42" s="602">
        <v>0.5625</v>
      </c>
      <c r="AY42" s="579" t="s">
        <v>567</v>
      </c>
      <c r="AZ42" s="606">
        <v>14</v>
      </c>
      <c r="BA42" s="606">
        <v>14</v>
      </c>
      <c r="BB42" s="606">
        <v>0.375</v>
      </c>
      <c r="BC42" s="584">
        <v>0.34899999999999998</v>
      </c>
      <c r="BE42" s="579" t="s">
        <v>953</v>
      </c>
      <c r="BF42" s="602">
        <v>8.625</v>
      </c>
      <c r="BH42" s="337"/>
      <c r="BI42" s="41"/>
      <c r="BJ42" s="42"/>
      <c r="BK42" s="41" t="s">
        <v>1246</v>
      </c>
      <c r="BL42" s="41" t="s">
        <v>1247</v>
      </c>
      <c r="BM42" s="41" t="s">
        <v>1248</v>
      </c>
      <c r="BN42" s="41" t="s">
        <v>1249</v>
      </c>
      <c r="BO42" s="40"/>
      <c r="BP42" s="40"/>
      <c r="BQ42" s="21"/>
      <c r="BR42" s="21"/>
    </row>
    <row r="43" spans="1:71" x14ac:dyDescent="0.2">
      <c r="A43" s="30"/>
      <c r="B43" s="56" t="s">
        <v>1329</v>
      </c>
      <c r="C43" s="281">
        <v>0</v>
      </c>
      <c r="D43" s="348"/>
      <c r="E43" s="281"/>
      <c r="F43" s="349"/>
      <c r="G43" s="353" t="s">
        <v>1323</v>
      </c>
      <c r="H43" s="56"/>
      <c r="I43" s="351"/>
      <c r="J43" s="344"/>
      <c r="K43" s="85"/>
      <c r="Q43" s="114" t="s">
        <v>1330</v>
      </c>
      <c r="R43" s="8">
        <f>SUM($C$45:$F$45)</f>
        <v>166</v>
      </c>
      <c r="S43" s="43" t="s">
        <v>1148</v>
      </c>
      <c r="T43" s="43"/>
      <c r="U43" s="43"/>
      <c r="V43" s="54"/>
      <c r="AB43" s="579" t="s">
        <v>1593</v>
      </c>
      <c r="AC43" s="580">
        <v>36.5</v>
      </c>
      <c r="AD43" s="581">
        <v>0.76</v>
      </c>
      <c r="AE43" s="580">
        <v>16.5</v>
      </c>
      <c r="AF43" s="582">
        <v>1.26</v>
      </c>
      <c r="AH43" s="579" t="s">
        <v>52</v>
      </c>
      <c r="AI43" s="580">
        <v>12</v>
      </c>
      <c r="AJ43" s="581">
        <v>0.83499999999999996</v>
      </c>
      <c r="AK43" s="583">
        <v>4.1399999999999997</v>
      </c>
      <c r="AL43" s="584">
        <v>0.7</v>
      </c>
      <c r="AN43" s="579" t="s">
        <v>122</v>
      </c>
      <c r="AO43" s="580">
        <v>18.600000000000001</v>
      </c>
      <c r="AP43" s="581">
        <v>0.87</v>
      </c>
      <c r="AQ43" s="580">
        <v>12.1</v>
      </c>
      <c r="AR43" s="582">
        <v>1.57</v>
      </c>
      <c r="AT43" s="579" t="s">
        <v>440</v>
      </c>
      <c r="AU43" s="583">
        <v>6</v>
      </c>
      <c r="AV43" s="583">
        <v>4</v>
      </c>
      <c r="AW43" s="602">
        <v>0.5</v>
      </c>
      <c r="AY43" s="579" t="s">
        <v>568</v>
      </c>
      <c r="AZ43" s="606">
        <v>14</v>
      </c>
      <c r="BA43" s="606">
        <v>14</v>
      </c>
      <c r="BB43" s="606">
        <v>0.3125</v>
      </c>
      <c r="BC43" s="584">
        <v>0.29099999999999998</v>
      </c>
      <c r="BE43" s="579" t="s">
        <v>954</v>
      </c>
      <c r="BF43" s="602">
        <v>8.625</v>
      </c>
      <c r="BH43" s="337"/>
      <c r="BI43" s="41"/>
      <c r="BJ43" s="232" t="s">
        <v>1231</v>
      </c>
      <c r="BK43" s="557">
        <f>0*$BJ$39</f>
        <v>0</v>
      </c>
      <c r="BL43" s="558">
        <f>0.5*$BJ$39</f>
        <v>4.3125</v>
      </c>
      <c r="BM43" s="557">
        <f>0.017*$BJ$39</f>
        <v>0.14662500000000001</v>
      </c>
      <c r="BN43" s="559">
        <f>0.3706*$BJ$39</f>
        <v>3.1964250000000001</v>
      </c>
      <c r="BO43" s="40"/>
      <c r="BP43" s="40"/>
      <c r="BQ43" s="21"/>
    </row>
    <row r="44" spans="1:71" x14ac:dyDescent="0.2">
      <c r="A44" s="30"/>
      <c r="B44" s="56" t="s">
        <v>1331</v>
      </c>
      <c r="C44" s="283">
        <v>0</v>
      </c>
      <c r="D44" s="368"/>
      <c r="E44" s="283"/>
      <c r="F44" s="369"/>
      <c r="G44" s="21"/>
      <c r="H44" s="365" t="s">
        <v>1326</v>
      </c>
      <c r="I44" s="351"/>
      <c r="K44" s="85"/>
      <c r="Q44" s="114" t="s">
        <v>1332</v>
      </c>
      <c r="R44" s="8">
        <f>SUM($C$46:$F$46)</f>
        <v>0</v>
      </c>
      <c r="S44" s="43" t="s">
        <v>1148</v>
      </c>
      <c r="T44" s="43"/>
      <c r="U44" s="43"/>
      <c r="V44" s="54"/>
      <c r="AB44" s="579" t="s">
        <v>1594</v>
      </c>
      <c r="AC44" s="580">
        <v>37.4</v>
      </c>
      <c r="AD44" s="581">
        <v>0.96</v>
      </c>
      <c r="AE44" s="580">
        <v>12.2</v>
      </c>
      <c r="AF44" s="582">
        <v>1.73</v>
      </c>
      <c r="AH44" s="579" t="s">
        <v>53</v>
      </c>
      <c r="AI44" s="580">
        <v>12</v>
      </c>
      <c r="AJ44" s="581">
        <v>0.71</v>
      </c>
      <c r="AK44" s="583">
        <v>4.01</v>
      </c>
      <c r="AL44" s="584">
        <v>0.7</v>
      </c>
      <c r="AN44" s="579" t="s">
        <v>123</v>
      </c>
      <c r="AO44" s="580">
        <v>18.7</v>
      </c>
      <c r="AP44" s="581">
        <v>0.96</v>
      </c>
      <c r="AQ44" s="580">
        <v>12.2</v>
      </c>
      <c r="AR44" s="582">
        <v>1.73</v>
      </c>
      <c r="AT44" s="579" t="s">
        <v>441</v>
      </c>
      <c r="AU44" s="583">
        <v>6</v>
      </c>
      <c r="AV44" s="583">
        <v>4</v>
      </c>
      <c r="AW44" s="602">
        <v>0.4375</v>
      </c>
      <c r="AY44" s="579" t="s">
        <v>569</v>
      </c>
      <c r="AZ44" s="606">
        <v>14</v>
      </c>
      <c r="BA44" s="606">
        <v>10</v>
      </c>
      <c r="BB44" s="606">
        <v>0.625</v>
      </c>
      <c r="BC44" s="584">
        <v>0.58099999999999996</v>
      </c>
      <c r="BE44" s="579" t="s">
        <v>955</v>
      </c>
      <c r="BF44" s="602">
        <v>7.5</v>
      </c>
      <c r="BH44" s="337"/>
      <c r="BI44" s="41"/>
      <c r="BJ44" s="232" t="s">
        <v>1232</v>
      </c>
      <c r="BK44" s="560">
        <f>0.017*$BJ$39</f>
        <v>0.14662500000000001</v>
      </c>
      <c r="BL44" s="561">
        <f>0.3706*$BJ$39</f>
        <v>3.1964250000000001</v>
      </c>
      <c r="BM44" s="560">
        <f>0.067*$BJ$39</f>
        <v>0.57787500000000003</v>
      </c>
      <c r="BN44" s="562">
        <f>0.25*$BJ$39</f>
        <v>2.15625</v>
      </c>
      <c r="BO44" s="40"/>
      <c r="BP44" s="40"/>
      <c r="BQ44" s="21"/>
    </row>
    <row r="45" spans="1:71" x14ac:dyDescent="0.2">
      <c r="A45" s="30"/>
      <c r="B45" s="56" t="s">
        <v>1333</v>
      </c>
      <c r="C45" s="283">
        <v>166</v>
      </c>
      <c r="D45" s="368"/>
      <c r="E45" s="283"/>
      <c r="F45" s="369"/>
      <c r="G45" s="370"/>
      <c r="H45" s="370"/>
      <c r="I45" s="371"/>
      <c r="J45" s="21"/>
      <c r="K45" s="85"/>
      <c r="Q45" s="114" t="s">
        <v>1334</v>
      </c>
      <c r="R45" s="54">
        <f>ROUND(SUM($C$47:$F$47)+SUM($R$34:$U$34)+SUM($R$36:$U$36),2)</f>
        <v>0</v>
      </c>
      <c r="S45" s="43" t="s">
        <v>1335</v>
      </c>
      <c r="T45" s="43"/>
      <c r="U45" s="43"/>
      <c r="V45" s="54"/>
      <c r="AB45" s="579" t="s">
        <v>1595</v>
      </c>
      <c r="AC45" s="580">
        <v>37.1</v>
      </c>
      <c r="AD45" s="581">
        <v>0.87</v>
      </c>
      <c r="AE45" s="580">
        <v>12.1</v>
      </c>
      <c r="AF45" s="582">
        <v>1.57</v>
      </c>
      <c r="AH45" s="579" t="s">
        <v>54</v>
      </c>
      <c r="AI45" s="580">
        <v>12</v>
      </c>
      <c r="AJ45" s="581">
        <v>0.59</v>
      </c>
      <c r="AK45" s="583">
        <v>3.89</v>
      </c>
      <c r="AL45" s="584">
        <v>0.7</v>
      </c>
      <c r="AN45" s="579" t="s">
        <v>124</v>
      </c>
      <c r="AO45" s="580">
        <v>18.600000000000001</v>
      </c>
      <c r="AP45" s="581">
        <v>0.87</v>
      </c>
      <c r="AQ45" s="580">
        <v>12.1</v>
      </c>
      <c r="AR45" s="582">
        <v>1.57</v>
      </c>
      <c r="AT45" s="579" t="s">
        <v>442</v>
      </c>
      <c r="AU45" s="583">
        <v>6</v>
      </c>
      <c r="AV45" s="583">
        <v>4</v>
      </c>
      <c r="AW45" s="602">
        <v>0.375</v>
      </c>
      <c r="AY45" s="579" t="s">
        <v>570</v>
      </c>
      <c r="AZ45" s="606">
        <v>14</v>
      </c>
      <c r="BA45" s="606">
        <v>10</v>
      </c>
      <c r="BB45" s="606">
        <v>0.5</v>
      </c>
      <c r="BC45" s="584">
        <v>0.46500000000000002</v>
      </c>
      <c r="BE45" s="579" t="s">
        <v>956</v>
      </c>
      <c r="BF45" s="602">
        <v>7.5</v>
      </c>
      <c r="BH45" s="337"/>
      <c r="BI45" s="41"/>
      <c r="BJ45" s="232" t="s">
        <v>1234</v>
      </c>
      <c r="BK45" s="560">
        <f>0.067*$BJ$39</f>
        <v>0.57787500000000003</v>
      </c>
      <c r="BL45" s="561">
        <f>0.25*$BJ$39</f>
        <v>2.15625</v>
      </c>
      <c r="BM45" s="560">
        <f>0.1464*$BJ$39</f>
        <v>1.2626999999999999</v>
      </c>
      <c r="BN45" s="562">
        <f>0.1464*$BJ$39</f>
        <v>1.2626999999999999</v>
      </c>
      <c r="BO45" s="40"/>
    </row>
    <row r="46" spans="1:71" x14ac:dyDescent="0.2">
      <c r="A46" s="30"/>
      <c r="B46" s="56" t="s">
        <v>1336</v>
      </c>
      <c r="C46" s="283">
        <v>0</v>
      </c>
      <c r="D46" s="368"/>
      <c r="E46" s="283"/>
      <c r="F46" s="369"/>
      <c r="G46" s="370"/>
      <c r="H46" s="370"/>
      <c r="I46" s="371"/>
      <c r="J46" s="21"/>
      <c r="K46" s="85"/>
      <c r="Q46" s="114" t="s">
        <v>1337</v>
      </c>
      <c r="R46" s="54">
        <f>ROUND(SUM($C$48:$F$48)+SUM($R$35:$U$35)+SUM($R$37:$U$37),2)</f>
        <v>0</v>
      </c>
      <c r="S46" s="43" t="s">
        <v>1335</v>
      </c>
      <c r="T46" s="43"/>
      <c r="U46" s="43"/>
      <c r="V46" s="54"/>
      <c r="AB46" s="579" t="s">
        <v>1596</v>
      </c>
      <c r="AC46" s="580">
        <v>36.700000000000003</v>
      </c>
      <c r="AD46" s="581">
        <v>0.83</v>
      </c>
      <c r="AE46" s="580">
        <v>12.2</v>
      </c>
      <c r="AF46" s="582">
        <v>1.36</v>
      </c>
      <c r="AH46" s="579" t="s">
        <v>55</v>
      </c>
      <c r="AI46" s="580">
        <v>12</v>
      </c>
      <c r="AJ46" s="581">
        <v>0.46500000000000002</v>
      </c>
      <c r="AK46" s="583">
        <v>3.77</v>
      </c>
      <c r="AL46" s="584">
        <v>0.7</v>
      </c>
      <c r="AN46" s="579" t="s">
        <v>125</v>
      </c>
      <c r="AO46" s="580">
        <v>18.3</v>
      </c>
      <c r="AP46" s="581">
        <v>0.83</v>
      </c>
      <c r="AQ46" s="580">
        <v>12.2</v>
      </c>
      <c r="AR46" s="582">
        <v>1.36</v>
      </c>
      <c r="AT46" s="579" t="s">
        <v>443</v>
      </c>
      <c r="AU46" s="583">
        <v>6</v>
      </c>
      <c r="AV46" s="583">
        <v>4</v>
      </c>
      <c r="AW46" s="602">
        <v>0.3125</v>
      </c>
      <c r="AY46" s="579" t="s">
        <v>571</v>
      </c>
      <c r="AZ46" s="606">
        <v>14</v>
      </c>
      <c r="BA46" s="606">
        <v>10</v>
      </c>
      <c r="BB46" s="606">
        <v>0.375</v>
      </c>
      <c r="BC46" s="584">
        <v>0.34899999999999998</v>
      </c>
      <c r="BE46" s="579" t="s">
        <v>957</v>
      </c>
      <c r="BF46" s="602">
        <v>7.5</v>
      </c>
      <c r="BH46" s="337"/>
      <c r="BI46" s="41"/>
      <c r="BJ46" s="232" t="s">
        <v>1235</v>
      </c>
      <c r="BK46" s="560">
        <f>0.1464*$BJ$39</f>
        <v>1.2626999999999999</v>
      </c>
      <c r="BL46" s="561">
        <f>0.1464*$BJ$39</f>
        <v>1.2626999999999999</v>
      </c>
      <c r="BM46" s="560">
        <f>0.25*$BJ$39</f>
        <v>2.15625</v>
      </c>
      <c r="BN46" s="562">
        <f>0.067*$BJ$39</f>
        <v>0.57787500000000003</v>
      </c>
      <c r="BO46" s="40"/>
    </row>
    <row r="47" spans="1:71" x14ac:dyDescent="0.2">
      <c r="A47" s="30"/>
      <c r="B47" s="56" t="s">
        <v>1338</v>
      </c>
      <c r="C47" s="283">
        <v>0</v>
      </c>
      <c r="D47" s="368"/>
      <c r="E47" s="283"/>
      <c r="F47" s="369"/>
      <c r="G47" s="370"/>
      <c r="H47" s="370"/>
      <c r="I47" s="371"/>
      <c r="J47" s="21"/>
      <c r="K47" s="85"/>
      <c r="M47" s="69"/>
      <c r="N47" s="14"/>
      <c r="O47" s="14"/>
      <c r="P47" s="14"/>
      <c r="Q47" s="114" t="s">
        <v>1339</v>
      </c>
      <c r="R47" s="13">
        <f>ROUND(SUM($C$49:$F$49)+SUM($R$38:$U$38)+SUM($R$39:$U$39),2)</f>
        <v>0</v>
      </c>
      <c r="S47" s="43" t="s">
        <v>1335</v>
      </c>
      <c r="T47" s="43"/>
      <c r="U47" s="43"/>
      <c r="V47" s="54"/>
      <c r="AB47" s="579" t="s">
        <v>1597</v>
      </c>
      <c r="AC47" s="580">
        <v>36.5</v>
      </c>
      <c r="AD47" s="581">
        <v>0.76500000000000001</v>
      </c>
      <c r="AE47" s="580">
        <v>12.1</v>
      </c>
      <c r="AF47" s="582">
        <v>1.26</v>
      </c>
      <c r="AH47" s="579" t="s">
        <v>56</v>
      </c>
      <c r="AI47" s="580">
        <v>12</v>
      </c>
      <c r="AJ47" s="581">
        <v>0.37</v>
      </c>
      <c r="AK47" s="583">
        <v>3.67</v>
      </c>
      <c r="AL47" s="584">
        <v>0.7</v>
      </c>
      <c r="AN47" s="579" t="s">
        <v>126</v>
      </c>
      <c r="AO47" s="580">
        <v>18.2</v>
      </c>
      <c r="AP47" s="581">
        <v>0.76500000000000001</v>
      </c>
      <c r="AQ47" s="580">
        <v>12.1</v>
      </c>
      <c r="AR47" s="582">
        <v>1.26</v>
      </c>
      <c r="AT47" s="579" t="s">
        <v>444</v>
      </c>
      <c r="AU47" s="583">
        <v>6</v>
      </c>
      <c r="AV47" s="583">
        <v>3.5</v>
      </c>
      <c r="AW47" s="602">
        <v>0.5</v>
      </c>
      <c r="AY47" s="579" t="s">
        <v>572</v>
      </c>
      <c r="AZ47" s="606">
        <v>14</v>
      </c>
      <c r="BA47" s="606">
        <v>10</v>
      </c>
      <c r="BB47" s="606">
        <v>0.3125</v>
      </c>
      <c r="BC47" s="584">
        <v>0.29099999999999998</v>
      </c>
      <c r="BE47" s="579" t="s">
        <v>958</v>
      </c>
      <c r="BF47" s="602">
        <v>7.5</v>
      </c>
      <c r="BH47" s="337"/>
      <c r="BI47" s="41"/>
      <c r="BJ47" s="232" t="s">
        <v>1238</v>
      </c>
      <c r="BK47" s="560">
        <f>0.25*$BJ$39</f>
        <v>2.15625</v>
      </c>
      <c r="BL47" s="561">
        <f>0.067*$BJ$39</f>
        <v>0.57787500000000003</v>
      </c>
      <c r="BM47" s="560">
        <f>0.3706*$BJ$39</f>
        <v>3.1964250000000001</v>
      </c>
      <c r="BN47" s="562">
        <f>0.017*$BJ$39</f>
        <v>0.14662500000000001</v>
      </c>
      <c r="BO47" s="40"/>
    </row>
    <row r="48" spans="1:71" x14ac:dyDescent="0.2">
      <c r="A48" s="30"/>
      <c r="B48" s="56" t="s">
        <v>1340</v>
      </c>
      <c r="C48" s="283">
        <v>0</v>
      </c>
      <c r="D48" s="368"/>
      <c r="E48" s="283"/>
      <c r="F48" s="369"/>
      <c r="G48" s="370"/>
      <c r="H48" s="370"/>
      <c r="I48" s="371"/>
      <c r="J48" s="21"/>
      <c r="K48" s="85"/>
      <c r="N48" s="69"/>
      <c r="O48" s="14"/>
      <c r="P48" s="14"/>
      <c r="Q48" s="14"/>
      <c r="R48" s="14"/>
      <c r="S48" s="14"/>
      <c r="T48" s="52"/>
      <c r="U48" s="52"/>
      <c r="V48" s="54"/>
      <c r="W48" s="54"/>
      <c r="AB48" s="579" t="s">
        <v>1598</v>
      </c>
      <c r="AC48" s="580">
        <v>36.299999999999997</v>
      </c>
      <c r="AD48" s="581">
        <v>0.72499999999999998</v>
      </c>
      <c r="AE48" s="580">
        <v>12.1</v>
      </c>
      <c r="AF48" s="582">
        <v>1.18</v>
      </c>
      <c r="AH48" s="579" t="s">
        <v>57</v>
      </c>
      <c r="AI48" s="580">
        <v>12</v>
      </c>
      <c r="AJ48" s="581">
        <v>0.19</v>
      </c>
      <c r="AK48" s="583">
        <v>1.5</v>
      </c>
      <c r="AL48" s="584">
        <v>0.309</v>
      </c>
      <c r="AN48" s="579" t="s">
        <v>127</v>
      </c>
      <c r="AO48" s="580">
        <v>18.2</v>
      </c>
      <c r="AP48" s="581">
        <v>0.72499999999999998</v>
      </c>
      <c r="AQ48" s="580">
        <v>12.1</v>
      </c>
      <c r="AR48" s="582">
        <v>1.18</v>
      </c>
      <c r="AT48" s="579" t="s">
        <v>445</v>
      </c>
      <c r="AU48" s="583">
        <v>6</v>
      </c>
      <c r="AV48" s="583">
        <v>3.5</v>
      </c>
      <c r="AW48" s="602">
        <v>0.375</v>
      </c>
      <c r="AY48" s="579" t="s">
        <v>573</v>
      </c>
      <c r="AZ48" s="606">
        <v>14</v>
      </c>
      <c r="BA48" s="606">
        <v>10</v>
      </c>
      <c r="BB48" s="606">
        <v>0.25</v>
      </c>
      <c r="BC48" s="584">
        <v>0.23300000000000001</v>
      </c>
      <c r="BE48" s="579" t="s">
        <v>959</v>
      </c>
      <c r="BF48" s="602">
        <v>7.5</v>
      </c>
      <c r="BH48" s="337"/>
      <c r="BI48" s="41"/>
      <c r="BJ48" s="232" t="s">
        <v>1241</v>
      </c>
      <c r="BK48" s="560">
        <f>0.3706*$BJ$39</f>
        <v>3.1964250000000001</v>
      </c>
      <c r="BL48" s="561">
        <f>0.017*$BJ$39</f>
        <v>0.14662500000000001</v>
      </c>
      <c r="BM48" s="560">
        <f>0.5*$BJ$39</f>
        <v>4.3125</v>
      </c>
      <c r="BN48" s="562">
        <f>0*$BJ$39</f>
        <v>0</v>
      </c>
      <c r="BO48" s="40"/>
      <c r="BP48" s="40"/>
      <c r="BQ48" s="40"/>
      <c r="BR48" s="21"/>
    </row>
    <row r="49" spans="1:70" x14ac:dyDescent="0.2">
      <c r="A49" s="30"/>
      <c r="B49" s="56" t="s">
        <v>1341</v>
      </c>
      <c r="C49" s="376">
        <v>0</v>
      </c>
      <c r="D49" s="377"/>
      <c r="E49" s="376"/>
      <c r="F49" s="378"/>
      <c r="G49" s="370"/>
      <c r="H49" s="370"/>
      <c r="I49" s="24"/>
      <c r="K49" s="85"/>
      <c r="AB49" s="579" t="s">
        <v>1599</v>
      </c>
      <c r="AC49" s="580">
        <v>36.200000000000003</v>
      </c>
      <c r="AD49" s="581">
        <v>0.68</v>
      </c>
      <c r="AE49" s="580">
        <v>12</v>
      </c>
      <c r="AF49" s="582">
        <v>1.1000000000000001</v>
      </c>
      <c r="AH49" s="579" t="s">
        <v>58</v>
      </c>
      <c r="AI49" s="580">
        <v>10</v>
      </c>
      <c r="AJ49" s="581">
        <v>0.79600000000000004</v>
      </c>
      <c r="AK49" s="583">
        <v>4.32</v>
      </c>
      <c r="AL49" s="584">
        <v>0.57499999999999996</v>
      </c>
      <c r="AN49" s="579" t="s">
        <v>128</v>
      </c>
      <c r="AO49" s="580">
        <v>18.100000000000001</v>
      </c>
      <c r="AP49" s="581">
        <v>0.68</v>
      </c>
      <c r="AQ49" s="580">
        <v>12</v>
      </c>
      <c r="AR49" s="582">
        <v>1.1000000000000001</v>
      </c>
      <c r="AT49" s="579" t="s">
        <v>446</v>
      </c>
      <c r="AU49" s="583">
        <v>6</v>
      </c>
      <c r="AV49" s="583">
        <v>3.5</v>
      </c>
      <c r="AW49" s="602">
        <v>0.3125</v>
      </c>
      <c r="AY49" s="579" t="s">
        <v>574</v>
      </c>
      <c r="AZ49" s="606">
        <v>14</v>
      </c>
      <c r="BA49" s="606">
        <v>10</v>
      </c>
      <c r="BB49" s="606">
        <v>0.625</v>
      </c>
      <c r="BC49" s="584">
        <v>0.58099999999999996</v>
      </c>
      <c r="BE49" s="579" t="s">
        <v>960</v>
      </c>
      <c r="BF49" s="602">
        <v>7</v>
      </c>
      <c r="BH49" s="337"/>
      <c r="BI49" s="41"/>
      <c r="BJ49" s="232" t="s">
        <v>1245</v>
      </c>
      <c r="BK49" s="560">
        <f>0.5*$BJ$39</f>
        <v>4.3125</v>
      </c>
      <c r="BL49" s="561">
        <f>0*$BJ$39</f>
        <v>0</v>
      </c>
      <c r="BM49" s="560">
        <f>0.6294*$BJ$39</f>
        <v>5.4285749999999995</v>
      </c>
      <c r="BN49" s="562">
        <f>0.017*$BJ$39</f>
        <v>0.14662500000000001</v>
      </c>
      <c r="BO49" s="40"/>
      <c r="BP49" s="40"/>
      <c r="BQ49" s="40"/>
      <c r="BR49" s="21"/>
    </row>
    <row r="50" spans="1:70" x14ac:dyDescent="0.2">
      <c r="A50" s="31"/>
      <c r="B50" s="32"/>
      <c r="C50" s="32"/>
      <c r="D50" s="32"/>
      <c r="E50" s="32"/>
      <c r="F50" s="32"/>
      <c r="G50" s="32"/>
      <c r="H50" s="32"/>
      <c r="I50" s="379" t="s">
        <v>1342</v>
      </c>
      <c r="K50" s="85"/>
      <c r="AB50" s="579" t="s">
        <v>1600</v>
      </c>
      <c r="AC50" s="580">
        <v>36</v>
      </c>
      <c r="AD50" s="581">
        <v>0.65</v>
      </c>
      <c r="AE50" s="580">
        <v>12</v>
      </c>
      <c r="AF50" s="582">
        <v>1.02</v>
      </c>
      <c r="AH50" s="579" t="s">
        <v>59</v>
      </c>
      <c r="AI50" s="580">
        <v>10</v>
      </c>
      <c r="AJ50" s="581">
        <v>0.57499999999999996</v>
      </c>
      <c r="AK50" s="583">
        <v>4.0999999999999996</v>
      </c>
      <c r="AL50" s="584">
        <v>0.57499999999999996</v>
      </c>
      <c r="AN50" s="579" t="s">
        <v>129</v>
      </c>
      <c r="AO50" s="580">
        <v>18</v>
      </c>
      <c r="AP50" s="581">
        <v>0.65</v>
      </c>
      <c r="AQ50" s="580">
        <v>12</v>
      </c>
      <c r="AR50" s="582">
        <v>1.02</v>
      </c>
      <c r="AT50" s="579" t="s">
        <v>447</v>
      </c>
      <c r="AU50" s="583">
        <v>5</v>
      </c>
      <c r="AV50" s="583">
        <v>5</v>
      </c>
      <c r="AW50" s="602">
        <v>0.875</v>
      </c>
      <c r="AY50" s="579" t="s">
        <v>575</v>
      </c>
      <c r="AZ50" s="606">
        <v>14</v>
      </c>
      <c r="BA50" s="606">
        <v>6</v>
      </c>
      <c r="BB50" s="606">
        <v>0.5</v>
      </c>
      <c r="BC50" s="584">
        <v>0.46500000000000002</v>
      </c>
      <c r="BE50" s="579" t="s">
        <v>961</v>
      </c>
      <c r="BF50" s="602">
        <v>7</v>
      </c>
      <c r="BH50" s="337"/>
      <c r="BI50" s="41"/>
      <c r="BJ50" s="232" t="s">
        <v>1250</v>
      </c>
      <c r="BK50" s="560">
        <f>0.6294*$BJ$39</f>
        <v>5.4285749999999995</v>
      </c>
      <c r="BL50" s="561">
        <f>0.017*$BJ$39</f>
        <v>0.14662500000000001</v>
      </c>
      <c r="BM50" s="560">
        <f>0.75*$BJ$39</f>
        <v>6.46875</v>
      </c>
      <c r="BN50" s="562">
        <f>0.067*$BJ$39</f>
        <v>0.57787500000000003</v>
      </c>
      <c r="BO50" s="40"/>
      <c r="BP50" s="66"/>
      <c r="BQ50" s="40"/>
      <c r="BR50" s="21"/>
    </row>
    <row r="51" spans="1:70" x14ac:dyDescent="0.2">
      <c r="A51" s="380"/>
      <c r="B51" s="381"/>
      <c r="C51" s="381"/>
      <c r="D51" s="381"/>
      <c r="E51" s="381"/>
      <c r="F51" s="381"/>
      <c r="G51" s="381"/>
      <c r="H51" s="382"/>
      <c r="I51" s="383"/>
      <c r="N51" s="69"/>
      <c r="O51" s="14"/>
      <c r="P51" s="14"/>
      <c r="Q51" s="14"/>
      <c r="R51" s="14"/>
      <c r="S51" s="14"/>
      <c r="T51" s="52"/>
      <c r="U51" s="52"/>
      <c r="V51" s="54"/>
      <c r="W51" s="54"/>
      <c r="AB51" s="579" t="s">
        <v>1601</v>
      </c>
      <c r="AC51" s="580">
        <v>35.9</v>
      </c>
      <c r="AD51" s="581">
        <v>0.625</v>
      </c>
      <c r="AE51" s="580">
        <v>12</v>
      </c>
      <c r="AF51" s="584">
        <v>0.94</v>
      </c>
      <c r="AH51" s="579" t="s">
        <v>60</v>
      </c>
      <c r="AI51" s="580">
        <v>10</v>
      </c>
      <c r="AJ51" s="581">
        <v>0.42499999999999999</v>
      </c>
      <c r="AK51" s="583">
        <v>3.95</v>
      </c>
      <c r="AL51" s="584">
        <v>0.57499999999999996</v>
      </c>
      <c r="AN51" s="579" t="s">
        <v>130</v>
      </c>
      <c r="AO51" s="580">
        <v>17.899999999999999</v>
      </c>
      <c r="AP51" s="581">
        <v>0.625</v>
      </c>
      <c r="AQ51" s="580">
        <v>12</v>
      </c>
      <c r="AR51" s="584">
        <v>0.94</v>
      </c>
      <c r="AT51" s="579" t="s">
        <v>448</v>
      </c>
      <c r="AU51" s="583">
        <v>5</v>
      </c>
      <c r="AV51" s="583">
        <v>5</v>
      </c>
      <c r="AW51" s="602">
        <v>0.75</v>
      </c>
      <c r="AY51" s="579" t="s">
        <v>576</v>
      </c>
      <c r="AZ51" s="606">
        <v>14</v>
      </c>
      <c r="BA51" s="606">
        <v>6</v>
      </c>
      <c r="BB51" s="606">
        <v>0.375</v>
      </c>
      <c r="BC51" s="584">
        <v>0.34899999999999998</v>
      </c>
      <c r="BE51" s="579" t="s">
        <v>962</v>
      </c>
      <c r="BF51" s="602">
        <v>7</v>
      </c>
      <c r="BH51" s="337"/>
      <c r="BI51" s="41"/>
      <c r="BJ51" s="232" t="s">
        <v>1251</v>
      </c>
      <c r="BK51" s="560">
        <f>0.75*$BJ$39</f>
        <v>6.46875</v>
      </c>
      <c r="BL51" s="561">
        <f>0.067*$BJ$39</f>
        <v>0.57787500000000003</v>
      </c>
      <c r="BM51" s="560">
        <f>0.8536*$BJ$39</f>
        <v>7.3623000000000003</v>
      </c>
      <c r="BN51" s="562">
        <f>0.1464*$BJ$39</f>
        <v>1.2626999999999999</v>
      </c>
      <c r="BO51" s="40"/>
      <c r="BP51" s="66"/>
      <c r="BQ51" s="40"/>
      <c r="BR51" s="21"/>
    </row>
    <row r="52" spans="1:70" x14ac:dyDescent="0.2">
      <c r="A52" s="115" t="s">
        <v>1113</v>
      </c>
      <c r="B52" s="8"/>
      <c r="C52" s="60"/>
      <c r="D52" s="60"/>
      <c r="E52" s="21"/>
      <c r="F52" s="21"/>
      <c r="G52" s="21"/>
      <c r="H52" s="94"/>
      <c r="I52" s="384"/>
      <c r="N52" s="69"/>
      <c r="O52" s="14"/>
      <c r="P52" s="14"/>
      <c r="Q52" s="14"/>
      <c r="R52" s="14"/>
      <c r="S52" s="14"/>
      <c r="T52" s="52"/>
      <c r="U52" s="52"/>
      <c r="V52" s="54"/>
      <c r="W52" s="54"/>
      <c r="AB52" s="579" t="s">
        <v>1602</v>
      </c>
      <c r="AC52" s="580">
        <v>35.6</v>
      </c>
      <c r="AD52" s="581">
        <v>0.6</v>
      </c>
      <c r="AE52" s="580">
        <v>12</v>
      </c>
      <c r="AF52" s="584">
        <v>0.79</v>
      </c>
      <c r="AH52" s="579" t="s">
        <v>61</v>
      </c>
      <c r="AI52" s="580">
        <v>10</v>
      </c>
      <c r="AJ52" s="581">
        <v>0.38</v>
      </c>
      <c r="AK52" s="583">
        <v>3.41</v>
      </c>
      <c r="AL52" s="584">
        <v>0.57499999999999996</v>
      </c>
      <c r="AN52" s="579" t="s">
        <v>131</v>
      </c>
      <c r="AO52" s="580">
        <v>17.8</v>
      </c>
      <c r="AP52" s="581">
        <v>0.6</v>
      </c>
      <c r="AQ52" s="580">
        <v>12</v>
      </c>
      <c r="AR52" s="584">
        <v>0.79</v>
      </c>
      <c r="AT52" s="579" t="s">
        <v>449</v>
      </c>
      <c r="AU52" s="583">
        <v>5</v>
      </c>
      <c r="AV52" s="583">
        <v>5</v>
      </c>
      <c r="AW52" s="602">
        <v>0.625</v>
      </c>
      <c r="AY52" s="579" t="s">
        <v>577</v>
      </c>
      <c r="AZ52" s="606">
        <v>14</v>
      </c>
      <c r="BA52" s="606">
        <v>6</v>
      </c>
      <c r="BB52" s="606">
        <v>0.3125</v>
      </c>
      <c r="BC52" s="584">
        <v>0.29099999999999998</v>
      </c>
      <c r="BE52" s="579" t="s">
        <v>963</v>
      </c>
      <c r="BF52" s="602">
        <v>7</v>
      </c>
      <c r="BH52" s="337"/>
      <c r="BI52" s="41"/>
      <c r="BJ52" s="232" t="s">
        <v>1252</v>
      </c>
      <c r="BK52" s="560">
        <f>0.8536*$BJ$39</f>
        <v>7.3623000000000003</v>
      </c>
      <c r="BL52" s="561">
        <f>0.1464*$BJ$39</f>
        <v>1.2626999999999999</v>
      </c>
      <c r="BM52" s="560">
        <f>0.933*$BJ$39</f>
        <v>8.0471250000000012</v>
      </c>
      <c r="BN52" s="562">
        <f>0.25*$BJ$39</f>
        <v>2.15625</v>
      </c>
      <c r="BO52" s="40"/>
      <c r="BP52" s="40"/>
      <c r="BQ52" s="40"/>
      <c r="BR52" s="21"/>
    </row>
    <row r="53" spans="1:70" x14ac:dyDescent="0.2">
      <c r="A53" s="385"/>
      <c r="B53" s="21"/>
      <c r="C53" s="21"/>
      <c r="D53" s="21"/>
      <c r="E53" s="21"/>
      <c r="F53" s="21"/>
      <c r="G53" s="21"/>
      <c r="H53" s="94"/>
      <c r="I53" s="338"/>
      <c r="N53" s="69"/>
      <c r="O53" s="14"/>
      <c r="P53" s="14"/>
      <c r="Q53" s="14"/>
      <c r="R53" s="14"/>
      <c r="S53" s="14"/>
      <c r="T53" s="52"/>
      <c r="U53" s="52"/>
      <c r="V53" s="54"/>
      <c r="W53" s="54"/>
      <c r="AB53" s="579" t="s">
        <v>1603</v>
      </c>
      <c r="AC53" s="580">
        <v>36</v>
      </c>
      <c r="AD53" s="583">
        <v>1.26</v>
      </c>
      <c r="AE53" s="580">
        <v>16.2</v>
      </c>
      <c r="AF53" s="582">
        <v>2.2799999999999998</v>
      </c>
      <c r="AH53" s="579" t="s">
        <v>62</v>
      </c>
      <c r="AI53" s="580">
        <v>10</v>
      </c>
      <c r="AJ53" s="581">
        <v>0.28999999999999998</v>
      </c>
      <c r="AK53" s="583">
        <v>3.32</v>
      </c>
      <c r="AL53" s="584">
        <v>0.57499999999999996</v>
      </c>
      <c r="AN53" s="579" t="s">
        <v>132</v>
      </c>
      <c r="AO53" s="580">
        <v>18</v>
      </c>
      <c r="AP53" s="583">
        <v>1.26</v>
      </c>
      <c r="AQ53" s="580">
        <v>16.2</v>
      </c>
      <c r="AR53" s="582">
        <v>2.2799999999999998</v>
      </c>
      <c r="AT53" s="579" t="s">
        <v>450</v>
      </c>
      <c r="AU53" s="583">
        <v>5</v>
      </c>
      <c r="AV53" s="583">
        <v>5</v>
      </c>
      <c r="AW53" s="602">
        <v>0.5</v>
      </c>
      <c r="AY53" s="579" t="s">
        <v>578</v>
      </c>
      <c r="AZ53" s="606">
        <v>14</v>
      </c>
      <c r="BA53" s="606">
        <v>6</v>
      </c>
      <c r="BB53" s="606">
        <v>0.25</v>
      </c>
      <c r="BC53" s="584">
        <v>0.23300000000000001</v>
      </c>
      <c r="BE53" s="579" t="s">
        <v>964</v>
      </c>
      <c r="BF53" s="602">
        <v>7</v>
      </c>
      <c r="BH53" s="337"/>
      <c r="BI53" s="41"/>
      <c r="BJ53" s="232" t="s">
        <v>1253</v>
      </c>
      <c r="BK53" s="560">
        <f>0.933*$BJ$39</f>
        <v>8.0471250000000012</v>
      </c>
      <c r="BL53" s="561">
        <f>0.25*$BJ$39</f>
        <v>2.15625</v>
      </c>
      <c r="BM53" s="560">
        <f>0.983*$BJ$39</f>
        <v>8.4783749999999998</v>
      </c>
      <c r="BN53" s="562">
        <f>0.3706*$BJ$39</f>
        <v>3.1964250000000001</v>
      </c>
      <c r="BO53" s="40"/>
      <c r="BP53" s="40"/>
      <c r="BQ53" s="40"/>
      <c r="BR53" s="21"/>
    </row>
    <row r="54" spans="1:70" x14ac:dyDescent="0.2">
      <c r="A54" s="386" t="s">
        <v>1286</v>
      </c>
      <c r="B54" s="341"/>
      <c r="C54" s="341"/>
      <c r="D54" s="387" t="s">
        <v>1354</v>
      </c>
      <c r="E54" s="341"/>
      <c r="F54" s="341"/>
      <c r="G54" s="21"/>
      <c r="H54" s="21"/>
      <c r="I54" s="24"/>
      <c r="N54" s="69"/>
      <c r="O54" s="14"/>
      <c r="P54" s="14"/>
      <c r="Q54" s="14"/>
      <c r="R54" s="14"/>
      <c r="S54" s="14"/>
      <c r="T54" s="52"/>
      <c r="U54" s="52"/>
      <c r="V54" s="54"/>
      <c r="W54" s="54"/>
      <c r="AB54" s="579" t="s">
        <v>1604</v>
      </c>
      <c r="AC54" s="580">
        <v>35.6</v>
      </c>
      <c r="AD54" s="583">
        <v>1.1599999999999999</v>
      </c>
      <c r="AE54" s="580">
        <v>16.100000000000001</v>
      </c>
      <c r="AF54" s="582">
        <v>2.09</v>
      </c>
      <c r="AH54" s="579" t="s">
        <v>63</v>
      </c>
      <c r="AI54" s="580">
        <v>10</v>
      </c>
      <c r="AJ54" s="581">
        <v>0.17</v>
      </c>
      <c r="AK54" s="583">
        <v>1.5</v>
      </c>
      <c r="AL54" s="584">
        <v>0.28000000000000003</v>
      </c>
      <c r="AN54" s="579" t="s">
        <v>133</v>
      </c>
      <c r="AO54" s="580">
        <v>17.8</v>
      </c>
      <c r="AP54" s="583">
        <v>1.1599999999999999</v>
      </c>
      <c r="AQ54" s="580">
        <v>16.100000000000001</v>
      </c>
      <c r="AR54" s="582">
        <v>2.09</v>
      </c>
      <c r="AT54" s="579" t="s">
        <v>451</v>
      </c>
      <c r="AU54" s="583">
        <v>5</v>
      </c>
      <c r="AV54" s="583">
        <v>5</v>
      </c>
      <c r="AW54" s="602">
        <v>0.4375</v>
      </c>
      <c r="AY54" s="579" t="s">
        <v>579</v>
      </c>
      <c r="AZ54" s="606">
        <v>14</v>
      </c>
      <c r="BA54" s="606">
        <v>6</v>
      </c>
      <c r="BB54" s="606">
        <v>0.1875</v>
      </c>
      <c r="BC54" s="584">
        <v>0.17399999999999999</v>
      </c>
      <c r="BE54" s="579" t="s">
        <v>965</v>
      </c>
      <c r="BF54" s="602">
        <v>7</v>
      </c>
      <c r="BH54" s="337"/>
      <c r="BI54" s="41"/>
      <c r="BJ54" s="232" t="s">
        <v>1343</v>
      </c>
      <c r="BK54" s="560">
        <f>0.983*$BJ$39</f>
        <v>8.4783749999999998</v>
      </c>
      <c r="BL54" s="561">
        <f>0.3706*$BJ$39</f>
        <v>3.1964250000000001</v>
      </c>
      <c r="BM54" s="560">
        <f>1*$BJ$39</f>
        <v>8.625</v>
      </c>
      <c r="BN54" s="562">
        <f>0.5*$BJ$39</f>
        <v>4.3125</v>
      </c>
      <c r="BO54" s="40"/>
      <c r="BP54" s="40" t="s">
        <v>1344</v>
      </c>
      <c r="BQ54" s="40"/>
      <c r="BR54" s="21"/>
    </row>
    <row r="55" spans="1:70" x14ac:dyDescent="0.2">
      <c r="A55" s="336" t="s">
        <v>1290</v>
      </c>
      <c r="B55" s="276">
        <f>$N$31</f>
        <v>10.000001000000101</v>
      </c>
      <c r="C55" s="138" t="s">
        <v>1172</v>
      </c>
      <c r="D55" s="100" t="s">
        <v>1355</v>
      </c>
      <c r="E55" s="388">
        <f t="shared" ref="E55:E60" si="0">$R42</f>
        <v>0</v>
      </c>
      <c r="F55" s="193" t="s">
        <v>1114</v>
      </c>
      <c r="G55" s="21"/>
      <c r="H55" s="21"/>
      <c r="I55" s="389"/>
      <c r="N55" s="69"/>
      <c r="O55" s="14"/>
      <c r="P55" s="14"/>
      <c r="Q55" s="14"/>
      <c r="R55" s="14"/>
      <c r="S55" s="14"/>
      <c r="T55" s="52"/>
      <c r="U55" s="52"/>
      <c r="V55" s="54"/>
      <c r="W55" s="54"/>
      <c r="AB55" s="579" t="s">
        <v>1605</v>
      </c>
      <c r="AC55" s="580">
        <v>35.200000000000003</v>
      </c>
      <c r="AD55" s="583">
        <v>1.04</v>
      </c>
      <c r="AE55" s="580">
        <v>16</v>
      </c>
      <c r="AF55" s="582">
        <v>1.89</v>
      </c>
      <c r="AH55" s="579" t="s">
        <v>64</v>
      </c>
      <c r="AI55" s="580">
        <v>10</v>
      </c>
      <c r="AJ55" s="581">
        <v>0.152</v>
      </c>
      <c r="AK55" s="583">
        <v>1.17</v>
      </c>
      <c r="AL55" s="584">
        <v>0.20200000000000001</v>
      </c>
      <c r="AN55" s="579" t="s">
        <v>134</v>
      </c>
      <c r="AO55" s="580">
        <v>17.600000000000001</v>
      </c>
      <c r="AP55" s="583">
        <v>1.04</v>
      </c>
      <c r="AQ55" s="580">
        <v>16</v>
      </c>
      <c r="AR55" s="582">
        <v>1.89</v>
      </c>
      <c r="AT55" s="579" t="s">
        <v>452</v>
      </c>
      <c r="AU55" s="583">
        <v>5</v>
      </c>
      <c r="AV55" s="583">
        <v>5</v>
      </c>
      <c r="AW55" s="602">
        <v>0.375</v>
      </c>
      <c r="AY55" s="579" t="s">
        <v>580</v>
      </c>
      <c r="AZ55" s="606">
        <v>14</v>
      </c>
      <c r="BA55" s="606">
        <v>4</v>
      </c>
      <c r="BB55" s="606">
        <v>0.625</v>
      </c>
      <c r="BC55" s="584">
        <v>0.58099999999999996</v>
      </c>
      <c r="BE55" s="579" t="s">
        <v>966</v>
      </c>
      <c r="BF55" s="602">
        <v>6.875</v>
      </c>
      <c r="BH55" s="337"/>
      <c r="BI55" s="41"/>
      <c r="BJ55" s="232" t="s">
        <v>1257</v>
      </c>
      <c r="BK55" s="560">
        <f>1*$BJ$39</f>
        <v>8.625</v>
      </c>
      <c r="BL55" s="561">
        <f>0.5*$BJ$39</f>
        <v>4.3125</v>
      </c>
      <c r="BM55" s="560">
        <f>0.983*$BJ$39</f>
        <v>8.4783749999999998</v>
      </c>
      <c r="BN55" s="562">
        <f>0.6294*$BJ$39</f>
        <v>5.4285749999999995</v>
      </c>
      <c r="BO55" s="40"/>
      <c r="BP55" s="40" t="s">
        <v>1345</v>
      </c>
      <c r="BQ55" s="40"/>
      <c r="BR55" s="21"/>
    </row>
    <row r="56" spans="1:70" x14ac:dyDescent="0.2">
      <c r="A56" s="390" t="s">
        <v>1310</v>
      </c>
      <c r="B56" s="391">
        <f>$N36</f>
        <v>2.5000007500000749</v>
      </c>
      <c r="C56" s="138" t="s">
        <v>1172</v>
      </c>
      <c r="D56" s="100" t="s">
        <v>1356</v>
      </c>
      <c r="E56" s="392">
        <f t="shared" si="0"/>
        <v>166</v>
      </c>
      <c r="F56" s="193" t="s">
        <v>1114</v>
      </c>
      <c r="G56" s="344"/>
      <c r="H56" s="344"/>
      <c r="I56" s="389"/>
      <c r="N56" s="69"/>
      <c r="O56" s="14"/>
      <c r="P56" s="14"/>
      <c r="Q56" s="14"/>
      <c r="R56" s="14"/>
      <c r="S56" s="14"/>
      <c r="T56" s="52"/>
      <c r="U56" s="52"/>
      <c r="V56" s="54"/>
      <c r="W56" s="54"/>
      <c r="AB56" s="579" t="s">
        <v>1606</v>
      </c>
      <c r="AC56" s="580">
        <v>34.799999999999997</v>
      </c>
      <c r="AD56" s="581">
        <v>0.96</v>
      </c>
      <c r="AE56" s="580">
        <v>15.9</v>
      </c>
      <c r="AF56" s="582">
        <v>1.73</v>
      </c>
      <c r="AH56" s="579" t="s">
        <v>65</v>
      </c>
      <c r="AI56" s="583">
        <v>9</v>
      </c>
      <c r="AJ56" s="581">
        <v>0.45</v>
      </c>
      <c r="AK56" s="583">
        <v>3.5</v>
      </c>
      <c r="AL56" s="584">
        <v>0.55000000000000004</v>
      </c>
      <c r="AN56" s="579" t="s">
        <v>135</v>
      </c>
      <c r="AO56" s="580">
        <v>17.399999999999999</v>
      </c>
      <c r="AP56" s="581">
        <v>0.96</v>
      </c>
      <c r="AQ56" s="580">
        <v>15.9</v>
      </c>
      <c r="AR56" s="582">
        <v>1.73</v>
      </c>
      <c r="AT56" s="579" t="s">
        <v>453</v>
      </c>
      <c r="AU56" s="583">
        <v>5</v>
      </c>
      <c r="AV56" s="583">
        <v>5</v>
      </c>
      <c r="AW56" s="602">
        <v>0.3125</v>
      </c>
      <c r="AY56" s="579" t="s">
        <v>581</v>
      </c>
      <c r="AZ56" s="606">
        <v>14</v>
      </c>
      <c r="BA56" s="606">
        <v>4</v>
      </c>
      <c r="BB56" s="606">
        <v>0.5</v>
      </c>
      <c r="BC56" s="584">
        <v>0.46500000000000002</v>
      </c>
      <c r="BE56" s="579" t="s">
        <v>967</v>
      </c>
      <c r="BF56" s="602">
        <v>6.875</v>
      </c>
      <c r="BH56" s="337"/>
      <c r="BI56" s="41"/>
      <c r="BJ56" s="232" t="s">
        <v>1259</v>
      </c>
      <c r="BK56" s="560">
        <f>0.983*$BJ$39</f>
        <v>8.4783749999999998</v>
      </c>
      <c r="BL56" s="561">
        <f>0.6294*$BJ$39</f>
        <v>5.4285749999999995</v>
      </c>
      <c r="BM56" s="560">
        <f>0.933*$BJ$39</f>
        <v>8.0471250000000012</v>
      </c>
      <c r="BN56" s="562">
        <f>0.75*$BJ$39</f>
        <v>6.46875</v>
      </c>
      <c r="BO56" s="40"/>
      <c r="BP56" s="40"/>
      <c r="BQ56" s="40"/>
      <c r="BR56" s="21"/>
    </row>
    <row r="57" spans="1:70" x14ac:dyDescent="0.2">
      <c r="A57" s="390" t="s">
        <v>1313</v>
      </c>
      <c r="B57" s="391">
        <f>$N37</f>
        <v>2.5000000000000249</v>
      </c>
      <c r="C57" s="138" t="s">
        <v>1172</v>
      </c>
      <c r="D57" s="100" t="s">
        <v>1357</v>
      </c>
      <c r="E57" s="392">
        <f t="shared" si="0"/>
        <v>0</v>
      </c>
      <c r="F57" s="193" t="s">
        <v>1114</v>
      </c>
      <c r="G57" s="344"/>
      <c r="H57" s="344"/>
      <c r="I57" s="24"/>
      <c r="N57" s="69"/>
      <c r="O57" s="14"/>
      <c r="P57" s="14"/>
      <c r="Q57" s="14"/>
      <c r="R57" s="14"/>
      <c r="S57" s="14"/>
      <c r="T57" s="52"/>
      <c r="U57" s="52"/>
      <c r="V57" s="54"/>
      <c r="W57" s="54"/>
      <c r="AB57" s="579" t="s">
        <v>1607</v>
      </c>
      <c r="AC57" s="580">
        <v>34.5</v>
      </c>
      <c r="AD57" s="581">
        <v>0.87</v>
      </c>
      <c r="AE57" s="580">
        <v>15.8</v>
      </c>
      <c r="AF57" s="582">
        <v>1.57</v>
      </c>
      <c r="AH57" s="579" t="s">
        <v>66</v>
      </c>
      <c r="AI57" s="583">
        <v>9</v>
      </c>
      <c r="AJ57" s="581">
        <v>0.4</v>
      </c>
      <c r="AK57" s="583">
        <v>3.45</v>
      </c>
      <c r="AL57" s="584">
        <v>0.55000000000000004</v>
      </c>
      <c r="AN57" s="579" t="s">
        <v>136</v>
      </c>
      <c r="AO57" s="580">
        <v>17.3</v>
      </c>
      <c r="AP57" s="581">
        <v>0.87</v>
      </c>
      <c r="AQ57" s="580">
        <v>15.8</v>
      </c>
      <c r="AR57" s="582">
        <v>1.57</v>
      </c>
      <c r="AT57" s="579" t="s">
        <v>454</v>
      </c>
      <c r="AU57" s="583">
        <v>5</v>
      </c>
      <c r="AV57" s="583">
        <v>3.5</v>
      </c>
      <c r="AW57" s="602">
        <v>0.75</v>
      </c>
      <c r="AY57" s="579" t="s">
        <v>582</v>
      </c>
      <c r="AZ57" s="606">
        <v>14</v>
      </c>
      <c r="BA57" s="606">
        <v>4</v>
      </c>
      <c r="BB57" s="606">
        <v>0.375</v>
      </c>
      <c r="BC57" s="584">
        <v>0.34899999999999998</v>
      </c>
      <c r="BE57" s="579" t="s">
        <v>968</v>
      </c>
      <c r="BF57" s="602">
        <v>6.875</v>
      </c>
      <c r="BH57" s="337"/>
      <c r="BI57" s="41"/>
      <c r="BJ57" s="232" t="s">
        <v>1261</v>
      </c>
      <c r="BK57" s="560">
        <f>0.933*$BJ$39</f>
        <v>8.0471250000000012</v>
      </c>
      <c r="BL57" s="561">
        <f>0.75*$BJ$39</f>
        <v>6.46875</v>
      </c>
      <c r="BM57" s="560">
        <f>0.8536*$BJ$39</f>
        <v>7.3623000000000003</v>
      </c>
      <c r="BN57" s="562">
        <f>0.8536*$BJ$39</f>
        <v>7.3623000000000003</v>
      </c>
      <c r="BO57" s="40"/>
      <c r="BP57" s="40"/>
      <c r="BQ57" s="40"/>
      <c r="BR57" s="21"/>
    </row>
    <row r="58" spans="1:70" x14ac:dyDescent="0.2">
      <c r="A58" s="393" t="s">
        <v>1318</v>
      </c>
      <c r="B58" s="394">
        <f>$N38</f>
        <v>62.499993749999788</v>
      </c>
      <c r="C58" s="193" t="s">
        <v>1534</v>
      </c>
      <c r="D58" s="100" t="s">
        <v>1358</v>
      </c>
      <c r="E58" s="392">
        <f t="shared" si="0"/>
        <v>0</v>
      </c>
      <c r="F58" s="193" t="s">
        <v>1335</v>
      </c>
      <c r="G58" s="344"/>
      <c r="H58" s="21"/>
      <c r="I58" s="24"/>
      <c r="N58" s="69"/>
      <c r="O58" s="14"/>
      <c r="P58" s="14"/>
      <c r="Q58" s="14"/>
      <c r="R58" s="14"/>
      <c r="S58" s="14"/>
      <c r="T58" s="52"/>
      <c r="U58" s="52"/>
      <c r="V58" s="54"/>
      <c r="W58" s="54"/>
      <c r="AB58" s="579" t="s">
        <v>1608</v>
      </c>
      <c r="AC58" s="580">
        <v>34.200000000000003</v>
      </c>
      <c r="AD58" s="581">
        <v>0.83</v>
      </c>
      <c r="AE58" s="580">
        <v>15.9</v>
      </c>
      <c r="AF58" s="582">
        <v>1.4</v>
      </c>
      <c r="AH58" s="579" t="s">
        <v>67</v>
      </c>
      <c r="AI58" s="583">
        <v>8</v>
      </c>
      <c r="AJ58" s="581">
        <v>0.42699999999999999</v>
      </c>
      <c r="AK58" s="583">
        <v>3.5</v>
      </c>
      <c r="AL58" s="584">
        <v>0.52500000000000002</v>
      </c>
      <c r="AN58" s="579" t="s">
        <v>137</v>
      </c>
      <c r="AO58" s="580">
        <v>17.100000000000001</v>
      </c>
      <c r="AP58" s="581">
        <v>0.83</v>
      </c>
      <c r="AQ58" s="580">
        <v>15.9</v>
      </c>
      <c r="AR58" s="582">
        <v>1.4</v>
      </c>
      <c r="AT58" s="579" t="s">
        <v>455</v>
      </c>
      <c r="AU58" s="583">
        <v>5</v>
      </c>
      <c r="AV58" s="583">
        <v>3.5</v>
      </c>
      <c r="AW58" s="602">
        <v>0.625</v>
      </c>
      <c r="AY58" s="579" t="s">
        <v>583</v>
      </c>
      <c r="AZ58" s="606">
        <v>14</v>
      </c>
      <c r="BA58" s="606">
        <v>4</v>
      </c>
      <c r="BB58" s="606">
        <v>0.3125</v>
      </c>
      <c r="BC58" s="584">
        <v>0.29099999999999998</v>
      </c>
      <c r="BE58" s="579" t="s">
        <v>969</v>
      </c>
      <c r="BF58" s="602">
        <v>6.875</v>
      </c>
      <c r="BH58" s="337"/>
      <c r="BI58" s="41"/>
      <c r="BJ58" s="232" t="s">
        <v>1263</v>
      </c>
      <c r="BK58" s="560">
        <f>0.8536*$BJ$39</f>
        <v>7.3623000000000003</v>
      </c>
      <c r="BL58" s="561">
        <f>0.8536*$BJ$39</f>
        <v>7.3623000000000003</v>
      </c>
      <c r="BM58" s="560">
        <f>0.75*$BJ$39</f>
        <v>6.46875</v>
      </c>
      <c r="BN58" s="562">
        <f>0.933*$BJ$39</f>
        <v>8.0471250000000012</v>
      </c>
      <c r="BO58" s="40"/>
      <c r="BP58" s="40"/>
      <c r="BQ58" s="40"/>
      <c r="BR58" s="21"/>
    </row>
    <row r="59" spans="1:70" x14ac:dyDescent="0.2">
      <c r="A59" s="393" t="s">
        <v>1321</v>
      </c>
      <c r="B59" s="394">
        <f>$N39</f>
        <v>20.833339583340411</v>
      </c>
      <c r="C59" s="193" t="s">
        <v>1534</v>
      </c>
      <c r="D59" s="100" t="s">
        <v>1359</v>
      </c>
      <c r="E59" s="392">
        <f t="shared" si="0"/>
        <v>0</v>
      </c>
      <c r="F59" s="193" t="s">
        <v>1335</v>
      </c>
      <c r="G59" s="21"/>
      <c r="H59" s="21"/>
      <c r="I59" s="24"/>
      <c r="N59" s="69"/>
      <c r="O59" s="14"/>
      <c r="P59" s="14"/>
      <c r="Q59" s="14"/>
      <c r="R59" s="14"/>
      <c r="S59" s="14"/>
      <c r="T59" s="52"/>
      <c r="U59" s="52"/>
      <c r="V59" s="54"/>
      <c r="W59" s="54"/>
      <c r="AB59" s="579" t="s">
        <v>1609</v>
      </c>
      <c r="AC59" s="580">
        <v>33.9</v>
      </c>
      <c r="AD59" s="581">
        <v>0.77500000000000002</v>
      </c>
      <c r="AE59" s="580">
        <v>15.8</v>
      </c>
      <c r="AF59" s="582">
        <v>1.28</v>
      </c>
      <c r="AH59" s="579" t="s">
        <v>68</v>
      </c>
      <c r="AI59" s="583">
        <v>8</v>
      </c>
      <c r="AJ59" s="581">
        <v>0.375</v>
      </c>
      <c r="AK59" s="583">
        <v>3.45</v>
      </c>
      <c r="AL59" s="584">
        <v>0.52500000000000002</v>
      </c>
      <c r="AN59" s="579" t="s">
        <v>138</v>
      </c>
      <c r="AO59" s="580">
        <v>17</v>
      </c>
      <c r="AP59" s="581">
        <v>0.77500000000000002</v>
      </c>
      <c r="AQ59" s="580">
        <v>15.8</v>
      </c>
      <c r="AR59" s="582">
        <v>1.28</v>
      </c>
      <c r="AT59" s="579" t="s">
        <v>456</v>
      </c>
      <c r="AU59" s="583">
        <v>5</v>
      </c>
      <c r="AV59" s="583">
        <v>3.5</v>
      </c>
      <c r="AW59" s="602">
        <v>0.5</v>
      </c>
      <c r="AY59" s="579" t="s">
        <v>584</v>
      </c>
      <c r="AZ59" s="606">
        <v>14</v>
      </c>
      <c r="BA59" s="606">
        <v>4</v>
      </c>
      <c r="BB59" s="606">
        <v>0.25</v>
      </c>
      <c r="BC59" s="584">
        <v>0.23300000000000001</v>
      </c>
      <c r="BE59" s="579" t="s">
        <v>970</v>
      </c>
      <c r="BF59" s="602">
        <v>6.875</v>
      </c>
      <c r="BH59" s="337"/>
      <c r="BI59" s="41"/>
      <c r="BJ59" s="232" t="s">
        <v>1265</v>
      </c>
      <c r="BK59" s="560">
        <f>0.75*$BJ$39</f>
        <v>6.46875</v>
      </c>
      <c r="BL59" s="561">
        <f>0.933*$BJ$39</f>
        <v>8.0471250000000012</v>
      </c>
      <c r="BM59" s="560">
        <f>0.6294*$BJ$39</f>
        <v>5.4285749999999995</v>
      </c>
      <c r="BN59" s="562">
        <f>0.983*$BJ$39</f>
        <v>8.4783749999999998</v>
      </c>
      <c r="BO59" s="40"/>
      <c r="BP59" s="40"/>
      <c r="BQ59" s="40"/>
      <c r="BR59" s="21"/>
    </row>
    <row r="60" spans="1:70" x14ac:dyDescent="0.2">
      <c r="A60" s="393" t="s">
        <v>1324</v>
      </c>
      <c r="B60" s="395">
        <f>$N40</f>
        <v>83.333333333340192</v>
      </c>
      <c r="C60" s="193" t="s">
        <v>1534</v>
      </c>
      <c r="D60" s="100" t="s">
        <v>1360</v>
      </c>
      <c r="E60" s="396">
        <f t="shared" si="0"/>
        <v>0</v>
      </c>
      <c r="F60" s="193" t="s">
        <v>1335</v>
      </c>
      <c r="G60" s="21"/>
      <c r="H60" s="21"/>
      <c r="I60" s="24"/>
      <c r="N60" s="69"/>
      <c r="O60" s="14"/>
      <c r="P60" s="14"/>
      <c r="Q60" s="14"/>
      <c r="R60" s="14"/>
      <c r="S60" s="14"/>
      <c r="T60" s="52"/>
      <c r="U60" s="52"/>
      <c r="V60" s="54"/>
      <c r="W60" s="54"/>
      <c r="AB60" s="579" t="s">
        <v>1610</v>
      </c>
      <c r="AC60" s="580">
        <v>33.700000000000003</v>
      </c>
      <c r="AD60" s="581">
        <v>0.71499999999999997</v>
      </c>
      <c r="AE60" s="580">
        <v>15.7</v>
      </c>
      <c r="AF60" s="582">
        <v>1.1499999999999999</v>
      </c>
      <c r="AH60" s="579" t="s">
        <v>69</v>
      </c>
      <c r="AI60" s="583">
        <v>8</v>
      </c>
      <c r="AJ60" s="581">
        <v>0.4</v>
      </c>
      <c r="AK60" s="583">
        <v>3.03</v>
      </c>
      <c r="AL60" s="584">
        <v>0.5</v>
      </c>
      <c r="AN60" s="579" t="s">
        <v>139</v>
      </c>
      <c r="AO60" s="580">
        <v>16.8</v>
      </c>
      <c r="AP60" s="581">
        <v>0.71499999999999997</v>
      </c>
      <c r="AQ60" s="580">
        <v>15.7</v>
      </c>
      <c r="AR60" s="582">
        <v>1.1499999999999999</v>
      </c>
      <c r="AT60" s="579" t="s">
        <v>457</v>
      </c>
      <c r="AU60" s="583">
        <v>5</v>
      </c>
      <c r="AV60" s="583">
        <v>3.5</v>
      </c>
      <c r="AW60" s="602">
        <v>0.375</v>
      </c>
      <c r="AY60" s="579" t="s">
        <v>585</v>
      </c>
      <c r="AZ60" s="606">
        <v>14</v>
      </c>
      <c r="BA60" s="606">
        <v>4</v>
      </c>
      <c r="BB60" s="606">
        <v>0.1875</v>
      </c>
      <c r="BC60" s="584">
        <v>0.17399999999999999</v>
      </c>
      <c r="BE60" s="579" t="s">
        <v>971</v>
      </c>
      <c r="BF60" s="602">
        <v>6.625</v>
      </c>
      <c r="BH60" s="337"/>
      <c r="BJ60" s="232" t="s">
        <v>1268</v>
      </c>
      <c r="BK60" s="560">
        <f>0.6294*$BJ$39</f>
        <v>5.4285749999999995</v>
      </c>
      <c r="BL60" s="561">
        <f>0.983*$BJ$39</f>
        <v>8.4783749999999998</v>
      </c>
      <c r="BM60" s="560">
        <f>0.5*$BJ$39</f>
        <v>4.3125</v>
      </c>
      <c r="BN60" s="562">
        <f>1*$BJ$39</f>
        <v>8.625</v>
      </c>
      <c r="BO60" s="66"/>
      <c r="BP60" s="66"/>
      <c r="BQ60" s="66"/>
    </row>
    <row r="61" spans="1:70" x14ac:dyDescent="0.2">
      <c r="A61" s="397"/>
      <c r="B61" s="16"/>
      <c r="C61" s="64"/>
      <c r="D61" s="21"/>
      <c r="E61" s="21"/>
      <c r="F61" s="21"/>
      <c r="G61" s="21"/>
      <c r="H61" s="21"/>
      <c r="I61" s="24"/>
      <c r="N61" s="69"/>
      <c r="O61" s="14"/>
      <c r="P61" s="14"/>
      <c r="Q61" s="14"/>
      <c r="R61" s="14"/>
      <c r="S61" s="14"/>
      <c r="T61" s="52"/>
      <c r="U61" s="52"/>
      <c r="V61" s="54"/>
      <c r="W61" s="54"/>
      <c r="AB61" s="579" t="s">
        <v>1611</v>
      </c>
      <c r="AC61" s="580">
        <v>33.799999999999997</v>
      </c>
      <c r="AD61" s="581">
        <v>0.67</v>
      </c>
      <c r="AE61" s="580">
        <v>11.5</v>
      </c>
      <c r="AF61" s="582">
        <v>1.22</v>
      </c>
      <c r="AH61" s="579" t="s">
        <v>70</v>
      </c>
      <c r="AI61" s="583">
        <v>8</v>
      </c>
      <c r="AJ61" s="581">
        <v>0.35299999999999998</v>
      </c>
      <c r="AK61" s="583">
        <v>2.98</v>
      </c>
      <c r="AL61" s="584">
        <v>0.5</v>
      </c>
      <c r="AN61" s="579" t="s">
        <v>140</v>
      </c>
      <c r="AO61" s="580">
        <v>16.899999999999999</v>
      </c>
      <c r="AP61" s="581">
        <v>0.67</v>
      </c>
      <c r="AQ61" s="580">
        <v>11.5</v>
      </c>
      <c r="AR61" s="582">
        <v>1.22</v>
      </c>
      <c r="AT61" s="579" t="s">
        <v>458</v>
      </c>
      <c r="AU61" s="583">
        <v>5</v>
      </c>
      <c r="AV61" s="583">
        <v>3.5</v>
      </c>
      <c r="AW61" s="602">
        <v>0.3125</v>
      </c>
      <c r="AY61" s="579" t="s">
        <v>586</v>
      </c>
      <c r="AZ61" s="606">
        <v>12</v>
      </c>
      <c r="BA61" s="606">
        <v>12</v>
      </c>
      <c r="BB61" s="606">
        <v>0.625</v>
      </c>
      <c r="BC61" s="584">
        <v>0.58099999999999996</v>
      </c>
      <c r="BE61" s="579" t="s">
        <v>972</v>
      </c>
      <c r="BF61" s="602">
        <v>6.625</v>
      </c>
      <c r="BH61" s="337"/>
      <c r="BJ61" s="232" t="s">
        <v>1270</v>
      </c>
      <c r="BK61" s="560">
        <f>0.5*$BJ$39</f>
        <v>4.3125</v>
      </c>
      <c r="BL61" s="561">
        <f>1*$BJ$39</f>
        <v>8.625</v>
      </c>
      <c r="BM61" s="560">
        <f>0.3706*$BJ$39</f>
        <v>3.1964250000000001</v>
      </c>
      <c r="BN61" s="562">
        <f>0.983*$BJ$39</f>
        <v>8.4783749999999998</v>
      </c>
      <c r="BO61" s="66"/>
      <c r="BP61" s="66"/>
      <c r="BQ61" s="66"/>
    </row>
    <row r="62" spans="1:70" x14ac:dyDescent="0.2">
      <c r="A62" s="30"/>
      <c r="B62" s="21"/>
      <c r="C62" s="21"/>
      <c r="D62" s="344"/>
      <c r="E62" s="398"/>
      <c r="F62" s="344"/>
      <c r="G62" s="344"/>
      <c r="H62" s="344"/>
      <c r="I62" s="389"/>
      <c r="N62" s="69"/>
      <c r="O62" s="14"/>
      <c r="P62" s="14"/>
      <c r="Q62" s="14"/>
      <c r="R62" s="14"/>
      <c r="S62" s="14"/>
      <c r="T62" s="52"/>
      <c r="U62" s="52"/>
      <c r="V62" s="54"/>
      <c r="W62" s="54"/>
      <c r="AB62" s="579" t="s">
        <v>1612</v>
      </c>
      <c r="AC62" s="580">
        <v>33.5</v>
      </c>
      <c r="AD62" s="581">
        <v>0.63500000000000001</v>
      </c>
      <c r="AE62" s="580">
        <v>11.6</v>
      </c>
      <c r="AF62" s="582">
        <v>1.06</v>
      </c>
      <c r="AH62" s="579" t="s">
        <v>71</v>
      </c>
      <c r="AI62" s="583">
        <v>8</v>
      </c>
      <c r="AJ62" s="581">
        <v>0.17899999999999999</v>
      </c>
      <c r="AK62" s="583">
        <v>1.87</v>
      </c>
      <c r="AL62" s="584">
        <v>0.311</v>
      </c>
      <c r="AN62" s="579" t="s">
        <v>141</v>
      </c>
      <c r="AO62" s="580">
        <v>16.7</v>
      </c>
      <c r="AP62" s="581">
        <v>0.63500000000000001</v>
      </c>
      <c r="AQ62" s="580">
        <v>11.6</v>
      </c>
      <c r="AR62" s="582">
        <v>1.06</v>
      </c>
      <c r="AT62" s="579" t="s">
        <v>459</v>
      </c>
      <c r="AU62" s="583">
        <v>5</v>
      </c>
      <c r="AV62" s="583">
        <v>3.5</v>
      </c>
      <c r="AW62" s="602">
        <v>0.25</v>
      </c>
      <c r="AY62" s="579" t="s">
        <v>587</v>
      </c>
      <c r="AZ62" s="606">
        <v>12</v>
      </c>
      <c r="BA62" s="606">
        <v>12</v>
      </c>
      <c r="BB62" s="606">
        <v>0.5</v>
      </c>
      <c r="BC62" s="584">
        <v>0.46500000000000002</v>
      </c>
      <c r="BE62" s="579" t="s">
        <v>973</v>
      </c>
      <c r="BF62" s="602">
        <v>6.625</v>
      </c>
      <c r="BH62" s="337"/>
      <c r="BJ62" s="232" t="s">
        <v>1272</v>
      </c>
      <c r="BK62" s="560">
        <f>0.3706*$BJ$39</f>
        <v>3.1964250000000001</v>
      </c>
      <c r="BL62" s="561">
        <f>0.983*$BJ$39</f>
        <v>8.4783749999999998</v>
      </c>
      <c r="BM62" s="560">
        <f>0.25*$BJ$39</f>
        <v>2.15625</v>
      </c>
      <c r="BN62" s="562">
        <f>0.933*$BJ$39</f>
        <v>8.0471250000000012</v>
      </c>
      <c r="BO62" s="66"/>
      <c r="BP62" s="66"/>
      <c r="BQ62" s="66"/>
    </row>
    <row r="63" spans="1:70" x14ac:dyDescent="0.2">
      <c r="A63" s="30"/>
      <c r="B63" s="21"/>
      <c r="C63" s="399" t="s">
        <v>1346</v>
      </c>
      <c r="D63" s="323"/>
      <c r="E63" s="344"/>
      <c r="F63" s="341"/>
      <c r="G63" s="21"/>
      <c r="H63" s="341"/>
      <c r="I63" s="345"/>
      <c r="N63" s="69"/>
      <c r="O63" s="14"/>
      <c r="P63" s="14"/>
      <c r="Q63" s="14"/>
      <c r="R63" s="14"/>
      <c r="S63" s="14"/>
      <c r="T63" s="52"/>
      <c r="U63" s="52"/>
      <c r="V63" s="54"/>
      <c r="W63" s="54"/>
      <c r="AB63" s="579" t="s">
        <v>1613</v>
      </c>
      <c r="AC63" s="580">
        <v>33.299999999999997</v>
      </c>
      <c r="AD63" s="581">
        <v>0.60499999999999998</v>
      </c>
      <c r="AE63" s="580">
        <v>11.5</v>
      </c>
      <c r="AF63" s="584">
        <v>0.96</v>
      </c>
      <c r="AH63" s="579" t="s">
        <v>72</v>
      </c>
      <c r="AI63" s="583">
        <v>7</v>
      </c>
      <c r="AJ63" s="581">
        <v>0.503</v>
      </c>
      <c r="AK63" s="583">
        <v>3.6</v>
      </c>
      <c r="AL63" s="584">
        <v>0.5</v>
      </c>
      <c r="AN63" s="579" t="s">
        <v>142</v>
      </c>
      <c r="AO63" s="580">
        <v>16.7</v>
      </c>
      <c r="AP63" s="581">
        <v>0.60499999999999998</v>
      </c>
      <c r="AQ63" s="580">
        <v>11.5</v>
      </c>
      <c r="AR63" s="584">
        <v>0.96</v>
      </c>
      <c r="AT63" s="579" t="s">
        <v>460</v>
      </c>
      <c r="AU63" s="583">
        <v>5</v>
      </c>
      <c r="AV63" s="583">
        <v>3</v>
      </c>
      <c r="AW63" s="602">
        <v>0.5</v>
      </c>
      <c r="AY63" s="579" t="s">
        <v>588</v>
      </c>
      <c r="AZ63" s="606">
        <v>12</v>
      </c>
      <c r="BA63" s="606">
        <v>12</v>
      </c>
      <c r="BB63" s="606">
        <v>0.375</v>
      </c>
      <c r="BC63" s="584">
        <v>0.34899999999999998</v>
      </c>
      <c r="BE63" s="579" t="s">
        <v>974</v>
      </c>
      <c r="BF63" s="602">
        <v>6.625</v>
      </c>
      <c r="BH63" s="337"/>
      <c r="BI63" s="42"/>
      <c r="BJ63" s="232" t="s">
        <v>1274</v>
      </c>
      <c r="BK63" s="560">
        <f>0.25*$BJ$39</f>
        <v>2.15625</v>
      </c>
      <c r="BL63" s="561">
        <f>0.933*$BJ$39</f>
        <v>8.0471250000000012</v>
      </c>
      <c r="BM63" s="560">
        <f>0.1464*$BJ$39</f>
        <v>1.2626999999999999</v>
      </c>
      <c r="BN63" s="562">
        <f>0.8536*$BJ$39</f>
        <v>7.3623000000000003</v>
      </c>
      <c r="BO63" s="59"/>
      <c r="BP63" s="406"/>
      <c r="BQ63" s="42"/>
      <c r="BR63" s="21"/>
    </row>
    <row r="64" spans="1:70" x14ac:dyDescent="0.2">
      <c r="A64" s="30"/>
      <c r="B64" s="21"/>
      <c r="C64" s="400" t="s">
        <v>1229</v>
      </c>
      <c r="D64" s="401" t="s">
        <v>1230</v>
      </c>
      <c r="E64" s="94"/>
      <c r="F64" s="94"/>
      <c r="G64" s="21"/>
      <c r="H64" s="94"/>
      <c r="I64" s="402"/>
      <c r="N64" s="69"/>
      <c r="O64" s="14"/>
      <c r="P64" s="14"/>
      <c r="Q64" s="14"/>
      <c r="R64" s="14"/>
      <c r="S64" s="14"/>
      <c r="T64" s="52"/>
      <c r="U64" s="52"/>
      <c r="V64" s="54"/>
      <c r="W64" s="54"/>
      <c r="AB64" s="579" t="s">
        <v>1614</v>
      </c>
      <c r="AC64" s="580">
        <v>33.1</v>
      </c>
      <c r="AD64" s="581">
        <v>0.57999999999999996</v>
      </c>
      <c r="AE64" s="580">
        <v>11.5</v>
      </c>
      <c r="AF64" s="584">
        <v>0.85499999999999998</v>
      </c>
      <c r="AH64" s="579" t="s">
        <v>73</v>
      </c>
      <c r="AI64" s="583">
        <v>7</v>
      </c>
      <c r="AJ64" s="581">
        <v>0.35199999999999998</v>
      </c>
      <c r="AK64" s="583">
        <v>3.45</v>
      </c>
      <c r="AL64" s="584">
        <v>0.5</v>
      </c>
      <c r="AN64" s="579" t="s">
        <v>143</v>
      </c>
      <c r="AO64" s="580">
        <v>16.5</v>
      </c>
      <c r="AP64" s="581">
        <v>0.57999999999999996</v>
      </c>
      <c r="AQ64" s="580">
        <v>11.5</v>
      </c>
      <c r="AR64" s="584">
        <v>0.85499999999999998</v>
      </c>
      <c r="AT64" s="579" t="s">
        <v>461</v>
      </c>
      <c r="AU64" s="583">
        <v>5</v>
      </c>
      <c r="AV64" s="583">
        <v>3</v>
      </c>
      <c r="AW64" s="602">
        <v>0.4375</v>
      </c>
      <c r="AY64" s="579" t="s">
        <v>589</v>
      </c>
      <c r="AZ64" s="606">
        <v>12</v>
      </c>
      <c r="BA64" s="606">
        <v>12</v>
      </c>
      <c r="BB64" s="606">
        <v>0.3125</v>
      </c>
      <c r="BC64" s="584">
        <v>0.29099999999999998</v>
      </c>
      <c r="BE64" s="579" t="s">
        <v>975</v>
      </c>
      <c r="BF64" s="602">
        <v>6.625</v>
      </c>
      <c r="BH64" s="337"/>
      <c r="BI64" s="337"/>
      <c r="BJ64" s="232" t="s">
        <v>1276</v>
      </c>
      <c r="BK64" s="560">
        <f>0.1464*$BJ$39</f>
        <v>1.2626999999999999</v>
      </c>
      <c r="BL64" s="561">
        <f>0.8536*$BJ$39</f>
        <v>7.3623000000000003</v>
      </c>
      <c r="BM64" s="560">
        <f>0.067*$BJ$39</f>
        <v>0.57787500000000003</v>
      </c>
      <c r="BN64" s="562">
        <f>0.75*$BJ$39</f>
        <v>6.46875</v>
      </c>
      <c r="BO64" s="555"/>
      <c r="BP64" s="407"/>
      <c r="BQ64" s="337"/>
    </row>
    <row r="65" spans="1:71" x14ac:dyDescent="0.2">
      <c r="A65" s="30"/>
      <c r="B65" s="56" t="str">
        <f>IF($C$9&gt;=1,"Weld #1","")</f>
        <v>Weld #1</v>
      </c>
      <c r="C65" s="276">
        <f t="shared" ref="C65:C88" si="1">$Y5</f>
        <v>16.599998339999999</v>
      </c>
      <c r="D65" s="403">
        <f t="shared" ref="D65:D88" si="2">$Z5</f>
        <v>16.599998339999999</v>
      </c>
      <c r="E65" s="8"/>
      <c r="F65" s="8"/>
      <c r="G65" s="21"/>
      <c r="H65" s="8"/>
      <c r="I65" s="404"/>
      <c r="N65" s="69"/>
      <c r="O65" s="14"/>
      <c r="P65" s="14"/>
      <c r="Q65" s="14"/>
      <c r="R65" s="14"/>
      <c r="S65" s="14"/>
      <c r="T65" s="52"/>
      <c r="U65" s="52"/>
      <c r="V65" s="54"/>
      <c r="W65" s="54"/>
      <c r="AB65" s="579" t="s">
        <v>1615</v>
      </c>
      <c r="AC65" s="580">
        <v>32.9</v>
      </c>
      <c r="AD65" s="581">
        <v>0.55000000000000004</v>
      </c>
      <c r="AE65" s="580">
        <v>11.5</v>
      </c>
      <c r="AF65" s="584">
        <v>0.74</v>
      </c>
      <c r="AH65" s="579" t="s">
        <v>74</v>
      </c>
      <c r="AI65" s="583">
        <v>6</v>
      </c>
      <c r="AJ65" s="581">
        <v>0.379</v>
      </c>
      <c r="AK65" s="583">
        <v>3.5</v>
      </c>
      <c r="AL65" s="584">
        <v>0.47499999999999998</v>
      </c>
      <c r="AN65" s="579" t="s">
        <v>144</v>
      </c>
      <c r="AO65" s="580">
        <v>16.399999999999999</v>
      </c>
      <c r="AP65" s="581">
        <v>0.55000000000000004</v>
      </c>
      <c r="AQ65" s="580">
        <v>11.5</v>
      </c>
      <c r="AR65" s="584">
        <v>0.74</v>
      </c>
      <c r="AT65" s="579" t="s">
        <v>462</v>
      </c>
      <c r="AU65" s="583">
        <v>5</v>
      </c>
      <c r="AV65" s="583">
        <v>3</v>
      </c>
      <c r="AW65" s="602">
        <v>0.375</v>
      </c>
      <c r="AY65" s="579" t="s">
        <v>590</v>
      </c>
      <c r="AZ65" s="606">
        <v>12</v>
      </c>
      <c r="BA65" s="606">
        <v>12</v>
      </c>
      <c r="BB65" s="606">
        <v>0.25</v>
      </c>
      <c r="BC65" s="584">
        <v>0.23300000000000001</v>
      </c>
      <c r="BE65" s="579" t="s">
        <v>976</v>
      </c>
      <c r="BF65" s="602">
        <v>6.625</v>
      </c>
      <c r="BH65" s="337"/>
      <c r="BI65" s="66"/>
      <c r="BJ65" s="232" t="s">
        <v>1278</v>
      </c>
      <c r="BK65" s="560">
        <f>0.067*$BJ$39</f>
        <v>0.57787500000000003</v>
      </c>
      <c r="BL65" s="561">
        <f>0.75*$BJ$39</f>
        <v>6.46875</v>
      </c>
      <c r="BM65" s="560">
        <f>0.017*$BJ$39</f>
        <v>0.14662500000000001</v>
      </c>
      <c r="BN65" s="562">
        <f>0.6294*$BJ$39</f>
        <v>5.4285749999999995</v>
      </c>
      <c r="BO65" s="555"/>
      <c r="BP65" s="407"/>
      <c r="BQ65" s="337"/>
    </row>
    <row r="66" spans="1:71" x14ac:dyDescent="0.2">
      <c r="A66" s="30"/>
      <c r="B66" s="56" t="str">
        <f>IF($C$9&gt;=2,"Weld #2","")</f>
        <v>Weld #2</v>
      </c>
      <c r="C66" s="277">
        <f t="shared" si="1"/>
        <v>16.599998339999999</v>
      </c>
      <c r="D66" s="405">
        <f t="shared" si="2"/>
        <v>16.599998339999999</v>
      </c>
      <c r="E66" s="341"/>
      <c r="F66" s="341"/>
      <c r="G66" s="21"/>
      <c r="H66" s="341"/>
      <c r="I66" s="345"/>
      <c r="N66" s="69"/>
      <c r="O66" s="14"/>
      <c r="P66" s="14"/>
      <c r="Q66" s="14"/>
      <c r="R66" s="14"/>
      <c r="S66" s="14"/>
      <c r="T66" s="52"/>
      <c r="U66" s="52"/>
      <c r="V66" s="54"/>
      <c r="W66" s="54"/>
      <c r="AB66" s="579" t="s">
        <v>1616</v>
      </c>
      <c r="AC66" s="580">
        <v>33.200000000000003</v>
      </c>
      <c r="AD66" s="583">
        <v>1.36</v>
      </c>
      <c r="AE66" s="580">
        <v>15.6</v>
      </c>
      <c r="AF66" s="582">
        <v>2.44</v>
      </c>
      <c r="AH66" s="579" t="s">
        <v>75</v>
      </c>
      <c r="AI66" s="583">
        <v>6</v>
      </c>
      <c r="AJ66" s="581">
        <v>0.34</v>
      </c>
      <c r="AK66" s="583">
        <v>3.5</v>
      </c>
      <c r="AL66" s="584">
        <v>0.38500000000000001</v>
      </c>
      <c r="AN66" s="579" t="s">
        <v>145</v>
      </c>
      <c r="AO66" s="580">
        <v>16.600000000000001</v>
      </c>
      <c r="AP66" s="583">
        <v>1.36</v>
      </c>
      <c r="AQ66" s="580">
        <v>15.6</v>
      </c>
      <c r="AR66" s="582">
        <v>2.44</v>
      </c>
      <c r="AT66" s="579" t="s">
        <v>463</v>
      </c>
      <c r="AU66" s="583">
        <v>5</v>
      </c>
      <c r="AV66" s="583">
        <v>3</v>
      </c>
      <c r="AW66" s="602">
        <v>0.3125</v>
      </c>
      <c r="AY66" s="579" t="s">
        <v>591</v>
      </c>
      <c r="AZ66" s="606">
        <v>12</v>
      </c>
      <c r="BA66" s="606">
        <v>12</v>
      </c>
      <c r="BB66" s="606">
        <v>0.1875</v>
      </c>
      <c r="BC66" s="584">
        <v>0.17399999999999999</v>
      </c>
      <c r="BE66" s="579" t="s">
        <v>977</v>
      </c>
      <c r="BF66" s="602">
        <v>6.625</v>
      </c>
      <c r="BH66" s="66"/>
      <c r="BJ66" s="232" t="s">
        <v>1280</v>
      </c>
      <c r="BK66" s="563">
        <f>0.017*$BJ$39</f>
        <v>0.14662500000000001</v>
      </c>
      <c r="BL66" s="564">
        <f>0.6294*$BJ$39</f>
        <v>5.4285749999999995</v>
      </c>
      <c r="BM66" s="563">
        <f>0*$BJ$39</f>
        <v>0</v>
      </c>
      <c r="BN66" s="565">
        <f>0.5*$BJ$39</f>
        <v>4.3125</v>
      </c>
      <c r="BO66" s="66"/>
      <c r="BP66" s="66"/>
      <c r="BQ66" s="66"/>
    </row>
    <row r="67" spans="1:71" x14ac:dyDescent="0.2">
      <c r="A67" s="30"/>
      <c r="B67" s="56" t="str">
        <f>IF($C$9&gt;=3,"Weld #3","")</f>
        <v/>
      </c>
      <c r="C67" s="277" t="str">
        <f t="shared" si="1"/>
        <v/>
      </c>
      <c r="D67" s="405" t="str">
        <f t="shared" si="2"/>
        <v/>
      </c>
      <c r="E67" s="94"/>
      <c r="F67" s="94"/>
      <c r="G67" s="21"/>
      <c r="H67" s="94"/>
      <c r="I67" s="402"/>
      <c r="N67" s="69"/>
      <c r="O67" s="14"/>
      <c r="P67" s="14"/>
      <c r="Q67" s="14"/>
      <c r="R67" s="14"/>
      <c r="S67" s="14"/>
      <c r="T67" s="52"/>
      <c r="U67" s="52"/>
      <c r="V67" s="54"/>
      <c r="W67" s="54"/>
      <c r="AB67" s="579" t="s">
        <v>1617</v>
      </c>
      <c r="AC67" s="580">
        <v>32.799999999999997</v>
      </c>
      <c r="AD67" s="583">
        <v>1.24</v>
      </c>
      <c r="AE67" s="580">
        <v>15.5</v>
      </c>
      <c r="AF67" s="582">
        <v>2.2400000000000002</v>
      </c>
      <c r="AH67" s="579" t="s">
        <v>76</v>
      </c>
      <c r="AI67" s="583">
        <v>6</v>
      </c>
      <c r="AJ67" s="581">
        <v>0.375</v>
      </c>
      <c r="AK67" s="583">
        <v>3</v>
      </c>
      <c r="AL67" s="584">
        <v>0.47499999999999998</v>
      </c>
      <c r="AN67" s="579" t="s">
        <v>146</v>
      </c>
      <c r="AO67" s="580">
        <v>16.399999999999999</v>
      </c>
      <c r="AP67" s="583">
        <v>1.24</v>
      </c>
      <c r="AQ67" s="580">
        <v>15.5</v>
      </c>
      <c r="AR67" s="582">
        <v>2.2400000000000002</v>
      </c>
      <c r="AT67" s="579" t="s">
        <v>464</v>
      </c>
      <c r="AU67" s="583">
        <v>5</v>
      </c>
      <c r="AV67" s="583">
        <v>3</v>
      </c>
      <c r="AW67" s="602">
        <v>0.25</v>
      </c>
      <c r="AY67" s="579" t="s">
        <v>592</v>
      </c>
      <c r="AZ67" s="606">
        <v>12</v>
      </c>
      <c r="BA67" s="606">
        <v>10</v>
      </c>
      <c r="BB67" s="606">
        <v>0.5</v>
      </c>
      <c r="BC67" s="584">
        <v>0.46500000000000002</v>
      </c>
      <c r="BE67" s="579" t="s">
        <v>978</v>
      </c>
      <c r="BF67" s="602">
        <v>6.625</v>
      </c>
      <c r="BH67" s="66"/>
      <c r="BJ67" s="66"/>
      <c r="BK67" s="66"/>
      <c r="BL67" s="66"/>
      <c r="BM67" s="66"/>
      <c r="BN67" s="66"/>
      <c r="BO67" s="66"/>
      <c r="BP67" s="66"/>
      <c r="BQ67" s="66"/>
    </row>
    <row r="68" spans="1:71" x14ac:dyDescent="0.2">
      <c r="A68" s="30"/>
      <c r="B68" s="56" t="str">
        <f>IF($C$9&gt;=4,"Weld #4","")</f>
        <v/>
      </c>
      <c r="C68" s="277" t="str">
        <f t="shared" si="1"/>
        <v/>
      </c>
      <c r="D68" s="405" t="str">
        <f t="shared" si="2"/>
        <v/>
      </c>
      <c r="E68" s="8"/>
      <c r="F68" s="8"/>
      <c r="G68" s="56"/>
      <c r="H68" s="8"/>
      <c r="I68" s="404"/>
      <c r="N68" s="69"/>
      <c r="O68" s="14"/>
      <c r="P68" s="14"/>
      <c r="Q68" s="14"/>
      <c r="R68" s="14"/>
      <c r="S68" s="14"/>
      <c r="T68" s="52"/>
      <c r="U68" s="52"/>
      <c r="V68" s="54"/>
      <c r="W68" s="54"/>
      <c r="AB68" s="579" t="s">
        <v>1618</v>
      </c>
      <c r="AC68" s="580">
        <v>32.4</v>
      </c>
      <c r="AD68" s="583">
        <v>1.1399999999999999</v>
      </c>
      <c r="AE68" s="580">
        <v>15.4</v>
      </c>
      <c r="AF68" s="582">
        <v>2.0499999999999998</v>
      </c>
      <c r="AH68" s="579" t="s">
        <v>77</v>
      </c>
      <c r="AI68" s="583">
        <v>6</v>
      </c>
      <c r="AJ68" s="581">
        <v>0.316</v>
      </c>
      <c r="AK68" s="583">
        <v>2.94</v>
      </c>
      <c r="AL68" s="584">
        <v>0.47499999999999998</v>
      </c>
      <c r="AN68" s="579" t="s">
        <v>147</v>
      </c>
      <c r="AO68" s="580">
        <v>16.2</v>
      </c>
      <c r="AP68" s="583">
        <v>1.1399999999999999</v>
      </c>
      <c r="AQ68" s="580">
        <v>15.4</v>
      </c>
      <c r="AR68" s="582">
        <v>2.0499999999999998</v>
      </c>
      <c r="AT68" s="579" t="s">
        <v>465</v>
      </c>
      <c r="AU68" s="583">
        <v>4</v>
      </c>
      <c r="AV68" s="583">
        <v>4</v>
      </c>
      <c r="AW68" s="602">
        <v>0.75</v>
      </c>
      <c r="AY68" s="579" t="s">
        <v>593</v>
      </c>
      <c r="AZ68" s="606">
        <v>12</v>
      </c>
      <c r="BA68" s="606">
        <v>10</v>
      </c>
      <c r="BB68" s="606">
        <v>0.375</v>
      </c>
      <c r="BC68" s="584">
        <v>0.34899999999999998</v>
      </c>
      <c r="BE68" s="579" t="s">
        <v>979</v>
      </c>
      <c r="BF68" s="602">
        <v>6</v>
      </c>
      <c r="BH68" s="66"/>
      <c r="BI68" s="410" t="s">
        <v>1527</v>
      </c>
      <c r="BJ68" s="40"/>
      <c r="BK68" s="40"/>
      <c r="BL68" s="40"/>
      <c r="BM68" s="40"/>
      <c r="BN68" s="40"/>
      <c r="BO68" s="40"/>
      <c r="BP68" s="40"/>
      <c r="BQ68" s="40"/>
      <c r="BR68" s="21"/>
    </row>
    <row r="69" spans="1:71" x14ac:dyDescent="0.2">
      <c r="A69" s="30"/>
      <c r="B69" s="56" t="str">
        <f>IF($C$9&gt;=5,"Weld #5","")</f>
        <v/>
      </c>
      <c r="C69" s="277" t="str">
        <f t="shared" si="1"/>
        <v/>
      </c>
      <c r="D69" s="405" t="str">
        <f t="shared" si="2"/>
        <v/>
      </c>
      <c r="E69" s="8"/>
      <c r="F69" s="8"/>
      <c r="G69" s="56"/>
      <c r="H69" s="8"/>
      <c r="I69" s="404"/>
      <c r="N69" s="69"/>
      <c r="O69" s="14"/>
      <c r="P69" s="14"/>
      <c r="Q69" s="14"/>
      <c r="R69" s="14"/>
      <c r="S69" s="14"/>
      <c r="T69" s="52"/>
      <c r="U69" s="52"/>
      <c r="V69" s="54"/>
      <c r="W69" s="54"/>
      <c r="AB69" s="579" t="s">
        <v>1619</v>
      </c>
      <c r="AC69" s="580">
        <v>32</v>
      </c>
      <c r="AD69" s="583">
        <v>1.02</v>
      </c>
      <c r="AE69" s="580">
        <v>15.3</v>
      </c>
      <c r="AF69" s="582">
        <v>1.85</v>
      </c>
      <c r="AH69" s="579" t="s">
        <v>78</v>
      </c>
      <c r="AI69" s="583">
        <v>6</v>
      </c>
      <c r="AJ69" s="581">
        <v>0.31</v>
      </c>
      <c r="AK69" s="583">
        <v>2.5</v>
      </c>
      <c r="AL69" s="584">
        <v>0.375</v>
      </c>
      <c r="AN69" s="579" t="s">
        <v>148</v>
      </c>
      <c r="AO69" s="580">
        <v>16</v>
      </c>
      <c r="AP69" s="583">
        <v>1.02</v>
      </c>
      <c r="AQ69" s="580">
        <v>15.3</v>
      </c>
      <c r="AR69" s="582">
        <v>1.85</v>
      </c>
      <c r="AT69" s="579" t="s">
        <v>466</v>
      </c>
      <c r="AU69" s="583">
        <v>4</v>
      </c>
      <c r="AV69" s="583">
        <v>4</v>
      </c>
      <c r="AW69" s="602">
        <v>0.625</v>
      </c>
      <c r="AY69" s="579" t="s">
        <v>594</v>
      </c>
      <c r="AZ69" s="606">
        <v>12</v>
      </c>
      <c r="BA69" s="606">
        <v>10</v>
      </c>
      <c r="BB69" s="606">
        <v>0.3125</v>
      </c>
      <c r="BC69" s="584">
        <v>0.29099999999999998</v>
      </c>
      <c r="BE69" s="579" t="s">
        <v>980</v>
      </c>
      <c r="BF69" s="602">
        <v>6</v>
      </c>
      <c r="BH69" s="66"/>
      <c r="BI69" s="59" t="s">
        <v>1526</v>
      </c>
      <c r="BJ69" s="40"/>
      <c r="BK69" s="40"/>
      <c r="BL69" s="40"/>
      <c r="BM69" s="40"/>
      <c r="BN69" s="40"/>
      <c r="BO69" s="40"/>
      <c r="BP69" s="40"/>
      <c r="BQ69" s="40"/>
      <c r="BR69" s="21"/>
    </row>
    <row r="70" spans="1:71" x14ac:dyDescent="0.2">
      <c r="A70" s="30"/>
      <c r="B70" s="56" t="str">
        <f>IF($C$9&gt;=6,"Weld #6","")</f>
        <v/>
      </c>
      <c r="C70" s="277" t="str">
        <f t="shared" si="1"/>
        <v/>
      </c>
      <c r="D70" s="405" t="str">
        <f t="shared" si="2"/>
        <v/>
      </c>
      <c r="E70" s="8"/>
      <c r="F70" s="8"/>
      <c r="G70" s="56"/>
      <c r="H70" s="8"/>
      <c r="I70" s="404"/>
      <c r="N70" s="69"/>
      <c r="O70" s="14"/>
      <c r="P70" s="14"/>
      <c r="Q70" s="14"/>
      <c r="R70" s="14"/>
      <c r="S70" s="14"/>
      <c r="T70" s="52"/>
      <c r="U70" s="52"/>
      <c r="V70" s="54"/>
      <c r="W70" s="54"/>
      <c r="AB70" s="579" t="s">
        <v>1620</v>
      </c>
      <c r="AC70" s="580">
        <v>31.6</v>
      </c>
      <c r="AD70" s="581">
        <v>0.93</v>
      </c>
      <c r="AE70" s="580">
        <v>15.2</v>
      </c>
      <c r="AF70" s="582">
        <v>1.65</v>
      </c>
      <c r="AH70" s="579" t="s">
        <v>79</v>
      </c>
      <c r="AI70" s="583">
        <v>6</v>
      </c>
      <c r="AJ70" s="581">
        <v>0.17899999999999999</v>
      </c>
      <c r="AK70" s="583">
        <v>1.88</v>
      </c>
      <c r="AL70" s="584">
        <v>0.29099999999999998</v>
      </c>
      <c r="AN70" s="579" t="s">
        <v>149</v>
      </c>
      <c r="AO70" s="580">
        <v>15.8</v>
      </c>
      <c r="AP70" s="581">
        <v>0.93</v>
      </c>
      <c r="AQ70" s="580">
        <v>15.2</v>
      </c>
      <c r="AR70" s="582">
        <v>1.65</v>
      </c>
      <c r="AT70" s="579" t="s">
        <v>467</v>
      </c>
      <c r="AU70" s="583">
        <v>4</v>
      </c>
      <c r="AV70" s="583">
        <v>4</v>
      </c>
      <c r="AW70" s="602">
        <v>0.5</v>
      </c>
      <c r="AY70" s="579" t="s">
        <v>595</v>
      </c>
      <c r="AZ70" s="606">
        <v>12</v>
      </c>
      <c r="BA70" s="606">
        <v>10</v>
      </c>
      <c r="BB70" s="606">
        <v>0.25</v>
      </c>
      <c r="BC70" s="584">
        <v>0.23300000000000001</v>
      </c>
      <c r="BE70" s="579" t="s">
        <v>981</v>
      </c>
      <c r="BF70" s="602">
        <v>6</v>
      </c>
      <c r="BH70" s="66"/>
      <c r="BI70" s="59" t="s">
        <v>1533</v>
      </c>
      <c r="BJ70" s="40"/>
      <c r="BK70" s="40"/>
      <c r="BL70" s="40"/>
      <c r="BM70" s="40"/>
      <c r="BN70" s="40"/>
      <c r="BO70" s="40"/>
      <c r="BP70" s="40"/>
      <c r="BQ70" s="40"/>
      <c r="BR70" s="21"/>
    </row>
    <row r="71" spans="1:71" x14ac:dyDescent="0.2">
      <c r="A71" s="30"/>
      <c r="B71" s="56" t="str">
        <f>IF($C$9&gt;=7,"Weld #7","")</f>
        <v/>
      </c>
      <c r="C71" s="277" t="str">
        <f t="shared" si="1"/>
        <v/>
      </c>
      <c r="D71" s="405" t="str">
        <f t="shared" si="2"/>
        <v/>
      </c>
      <c r="E71" s="8"/>
      <c r="F71" s="8"/>
      <c r="G71" s="56"/>
      <c r="H71" s="8"/>
      <c r="I71" s="404"/>
      <c r="N71" s="69"/>
      <c r="O71" s="14"/>
      <c r="P71" s="14"/>
      <c r="Q71" s="14"/>
      <c r="R71" s="14"/>
      <c r="S71" s="14"/>
      <c r="T71" s="52"/>
      <c r="U71" s="52"/>
      <c r="V71" s="54"/>
      <c r="W71" s="54"/>
      <c r="AB71" s="579" t="s">
        <v>1621</v>
      </c>
      <c r="AC71" s="580">
        <v>31.3</v>
      </c>
      <c r="AD71" s="581">
        <v>0.83</v>
      </c>
      <c r="AE71" s="580">
        <v>15.1</v>
      </c>
      <c r="AF71" s="582">
        <v>1.5</v>
      </c>
      <c r="AH71" s="579" t="s">
        <v>80</v>
      </c>
      <c r="AI71" s="583">
        <v>6</v>
      </c>
      <c r="AJ71" s="581">
        <v>0.155</v>
      </c>
      <c r="AK71" s="583">
        <v>1.85</v>
      </c>
      <c r="AL71" s="584">
        <v>0.29099999999999998</v>
      </c>
      <c r="AN71" s="579" t="s">
        <v>150</v>
      </c>
      <c r="AO71" s="580">
        <v>15.7</v>
      </c>
      <c r="AP71" s="581">
        <v>0.83</v>
      </c>
      <c r="AQ71" s="580">
        <v>15.1</v>
      </c>
      <c r="AR71" s="582">
        <v>1.5</v>
      </c>
      <c r="AT71" s="579" t="s">
        <v>468</v>
      </c>
      <c r="AU71" s="583">
        <v>4</v>
      </c>
      <c r="AV71" s="583">
        <v>4</v>
      </c>
      <c r="AW71" s="602">
        <v>0.4375</v>
      </c>
      <c r="AY71" s="579" t="s">
        <v>596</v>
      </c>
      <c r="AZ71" s="606">
        <v>12</v>
      </c>
      <c r="BA71" s="606">
        <v>8</v>
      </c>
      <c r="BB71" s="606">
        <v>0.625</v>
      </c>
      <c r="BC71" s="584">
        <v>0.58099999999999996</v>
      </c>
      <c r="BE71" s="579" t="s">
        <v>982</v>
      </c>
      <c r="BF71" s="602">
        <v>6</v>
      </c>
    </row>
    <row r="72" spans="1:71" x14ac:dyDescent="0.2">
      <c r="A72" s="30"/>
      <c r="B72" s="56" t="str">
        <f>IF($C$9&gt;=8,"Weld #8","")</f>
        <v/>
      </c>
      <c r="C72" s="277" t="str">
        <f t="shared" si="1"/>
        <v/>
      </c>
      <c r="D72" s="405" t="str">
        <f t="shared" si="2"/>
        <v/>
      </c>
      <c r="E72" s="8"/>
      <c r="F72" s="8"/>
      <c r="G72" s="56"/>
      <c r="H72" s="8"/>
      <c r="I72" s="404"/>
      <c r="N72" s="69"/>
      <c r="O72" s="14"/>
      <c r="P72" s="14"/>
      <c r="Q72" s="14"/>
      <c r="R72" s="14"/>
      <c r="S72" s="14"/>
      <c r="T72" s="52"/>
      <c r="U72" s="52"/>
      <c r="V72" s="54"/>
      <c r="W72" s="54"/>
      <c r="AB72" s="579" t="s">
        <v>1622</v>
      </c>
      <c r="AC72" s="580">
        <v>30.9</v>
      </c>
      <c r="AD72" s="581">
        <v>0.77500000000000002</v>
      </c>
      <c r="AE72" s="580">
        <v>15.1</v>
      </c>
      <c r="AF72" s="582">
        <v>1.32</v>
      </c>
      <c r="AH72" s="579" t="s">
        <v>81</v>
      </c>
      <c r="AI72" s="583">
        <v>4</v>
      </c>
      <c r="AJ72" s="581">
        <v>0.5</v>
      </c>
      <c r="AK72" s="583">
        <v>2.5</v>
      </c>
      <c r="AL72" s="584">
        <v>0.5</v>
      </c>
      <c r="AN72" s="579" t="s">
        <v>151</v>
      </c>
      <c r="AO72" s="580">
        <v>15.5</v>
      </c>
      <c r="AP72" s="581">
        <v>0.77500000000000002</v>
      </c>
      <c r="AQ72" s="580">
        <v>15.1</v>
      </c>
      <c r="AR72" s="582">
        <v>1.32</v>
      </c>
      <c r="AT72" s="579" t="s">
        <v>469</v>
      </c>
      <c r="AU72" s="583">
        <v>4</v>
      </c>
      <c r="AV72" s="583">
        <v>4</v>
      </c>
      <c r="AW72" s="602">
        <v>0.375</v>
      </c>
      <c r="AY72" s="579" t="s">
        <v>597</v>
      </c>
      <c r="AZ72" s="606">
        <v>12</v>
      </c>
      <c r="BA72" s="606">
        <v>8</v>
      </c>
      <c r="BB72" s="606">
        <v>0.5</v>
      </c>
      <c r="BC72" s="584">
        <v>0.46500000000000002</v>
      </c>
      <c r="BE72" s="579" t="s">
        <v>983</v>
      </c>
      <c r="BF72" s="602">
        <v>6</v>
      </c>
    </row>
    <row r="73" spans="1:71" x14ac:dyDescent="0.2">
      <c r="A73" s="30"/>
      <c r="B73" s="56" t="str">
        <f>IF($C$9&gt;=9,"Weld #9","")</f>
        <v/>
      </c>
      <c r="C73" s="277" t="str">
        <f t="shared" si="1"/>
        <v/>
      </c>
      <c r="D73" s="405" t="str">
        <f t="shared" si="2"/>
        <v/>
      </c>
      <c r="E73" s="8"/>
      <c r="F73" s="8"/>
      <c r="G73" s="56"/>
      <c r="H73" s="8"/>
      <c r="I73" s="404"/>
      <c r="N73" s="69"/>
      <c r="O73" s="14"/>
      <c r="P73" s="14"/>
      <c r="Q73" s="14"/>
      <c r="R73" s="14"/>
      <c r="S73" s="14"/>
      <c r="T73" s="52"/>
      <c r="U73" s="52"/>
      <c r="V73" s="54"/>
      <c r="W73" s="54"/>
      <c r="AB73" s="579" t="s">
        <v>1623</v>
      </c>
      <c r="AC73" s="580">
        <v>30.7</v>
      </c>
      <c r="AD73" s="581">
        <v>0.71</v>
      </c>
      <c r="AE73" s="580">
        <v>15</v>
      </c>
      <c r="AF73" s="582">
        <v>1.19</v>
      </c>
      <c r="AH73" s="585" t="s">
        <v>82</v>
      </c>
      <c r="AI73" s="586">
        <v>3</v>
      </c>
      <c r="AJ73" s="587">
        <v>0.312</v>
      </c>
      <c r="AK73" s="586">
        <v>1.94</v>
      </c>
      <c r="AL73" s="588">
        <v>0.35099999999999998</v>
      </c>
      <c r="AN73" s="579" t="s">
        <v>152</v>
      </c>
      <c r="AO73" s="580">
        <v>15.3</v>
      </c>
      <c r="AP73" s="581">
        <v>0.71</v>
      </c>
      <c r="AQ73" s="580">
        <v>15</v>
      </c>
      <c r="AR73" s="582">
        <v>1.19</v>
      </c>
      <c r="AT73" s="579" t="s">
        <v>470</v>
      </c>
      <c r="AU73" s="583">
        <v>4</v>
      </c>
      <c r="AV73" s="583">
        <v>4</v>
      </c>
      <c r="AW73" s="602">
        <v>0.3125</v>
      </c>
      <c r="AY73" s="579" t="s">
        <v>598</v>
      </c>
      <c r="AZ73" s="606">
        <v>12</v>
      </c>
      <c r="BA73" s="606">
        <v>8</v>
      </c>
      <c r="BB73" s="606">
        <v>0.375</v>
      </c>
      <c r="BC73" s="584">
        <v>0.34899999999999998</v>
      </c>
      <c r="BE73" s="579" t="s">
        <v>984</v>
      </c>
      <c r="BF73" s="602">
        <v>6</v>
      </c>
      <c r="BH73" s="45" t="s">
        <v>1535</v>
      </c>
      <c r="BI73" s="337"/>
      <c r="BJ73" s="337"/>
      <c r="BK73" s="337"/>
      <c r="BL73" s="337"/>
      <c r="BM73" s="337"/>
      <c r="BN73" s="337"/>
      <c r="BO73" s="337"/>
      <c r="BP73" s="337"/>
      <c r="BQ73" s="337"/>
    </row>
    <row r="74" spans="1:71" x14ac:dyDescent="0.2">
      <c r="A74" s="30"/>
      <c r="B74" s="56" t="str">
        <f>IF($C$9&gt;=10,"Weld #10","")</f>
        <v/>
      </c>
      <c r="C74" s="277" t="str">
        <f t="shared" si="1"/>
        <v/>
      </c>
      <c r="D74" s="405" t="str">
        <f t="shared" si="2"/>
        <v/>
      </c>
      <c r="E74" s="8"/>
      <c r="F74" s="8"/>
      <c r="G74" s="56"/>
      <c r="H74" s="8"/>
      <c r="I74" s="404"/>
      <c r="N74" s="69"/>
      <c r="O74" s="14"/>
      <c r="P74" s="14"/>
      <c r="Q74" s="14"/>
      <c r="R74" s="14"/>
      <c r="S74" s="14"/>
      <c r="T74" s="52"/>
      <c r="U74" s="52"/>
      <c r="V74" s="54"/>
      <c r="W74" s="54"/>
      <c r="AB74" s="579" t="s">
        <v>1624</v>
      </c>
      <c r="AC74" s="580">
        <v>30.4</v>
      </c>
      <c r="AD74" s="581">
        <v>0.65500000000000003</v>
      </c>
      <c r="AE74" s="580">
        <v>15</v>
      </c>
      <c r="AF74" s="582">
        <v>1.07</v>
      </c>
      <c r="AN74" s="579" t="s">
        <v>153</v>
      </c>
      <c r="AO74" s="580">
        <v>15.2</v>
      </c>
      <c r="AP74" s="581">
        <v>0.65500000000000003</v>
      </c>
      <c r="AQ74" s="580">
        <v>15</v>
      </c>
      <c r="AR74" s="582">
        <v>1.07</v>
      </c>
      <c r="AT74" s="579" t="s">
        <v>471</v>
      </c>
      <c r="AU74" s="583">
        <v>4</v>
      </c>
      <c r="AV74" s="583">
        <v>4</v>
      </c>
      <c r="AW74" s="602">
        <v>0.25</v>
      </c>
      <c r="AY74" s="579" t="s">
        <v>599</v>
      </c>
      <c r="AZ74" s="606">
        <v>12</v>
      </c>
      <c r="BA74" s="606">
        <v>8</v>
      </c>
      <c r="BB74" s="606">
        <v>0.3125</v>
      </c>
      <c r="BC74" s="584">
        <v>0.29099999999999998</v>
      </c>
      <c r="BE74" s="579" t="s">
        <v>985</v>
      </c>
      <c r="BF74" s="602">
        <v>6</v>
      </c>
      <c r="BH74" s="337"/>
      <c r="BI74" s="42"/>
      <c r="BJ74" s="42"/>
      <c r="BK74" s="42"/>
      <c r="BL74" s="42"/>
      <c r="BM74" s="42"/>
      <c r="BN74" s="42"/>
      <c r="BO74" s="42"/>
      <c r="BP74" s="42"/>
      <c r="BQ74" s="42"/>
      <c r="BR74" s="21"/>
    </row>
    <row r="75" spans="1:71" x14ac:dyDescent="0.2">
      <c r="A75" s="30"/>
      <c r="B75" s="56" t="str">
        <f>IF($C$9&gt;=11,"Weld #11","")</f>
        <v/>
      </c>
      <c r="C75" s="277" t="str">
        <f t="shared" si="1"/>
        <v/>
      </c>
      <c r="D75" s="405" t="str">
        <f t="shared" si="2"/>
        <v/>
      </c>
      <c r="E75" s="8"/>
      <c r="F75" s="8"/>
      <c r="G75" s="56"/>
      <c r="H75" s="8"/>
      <c r="I75" s="404"/>
      <c r="N75" s="69"/>
      <c r="O75" s="14"/>
      <c r="P75" s="14"/>
      <c r="Q75" s="14"/>
      <c r="R75" s="14"/>
      <c r="S75" s="14"/>
      <c r="T75" s="52"/>
      <c r="U75" s="52"/>
      <c r="V75" s="54"/>
      <c r="W75" s="54"/>
      <c r="AB75" s="579" t="s">
        <v>1625</v>
      </c>
      <c r="AC75" s="580">
        <v>30.7</v>
      </c>
      <c r="AD75" s="581">
        <v>0.65</v>
      </c>
      <c r="AE75" s="580">
        <v>10.5</v>
      </c>
      <c r="AF75" s="582">
        <v>1.18</v>
      </c>
      <c r="AN75" s="579" t="s">
        <v>154</v>
      </c>
      <c r="AO75" s="580">
        <v>15.3</v>
      </c>
      <c r="AP75" s="581">
        <v>0.65</v>
      </c>
      <c r="AQ75" s="580">
        <v>10.5</v>
      </c>
      <c r="AR75" s="582">
        <v>1.18</v>
      </c>
      <c r="AT75" s="579" t="s">
        <v>472</v>
      </c>
      <c r="AU75" s="583">
        <v>4</v>
      </c>
      <c r="AV75" s="583">
        <v>3.5</v>
      </c>
      <c r="AW75" s="602">
        <v>0.5</v>
      </c>
      <c r="AY75" s="579" t="s">
        <v>600</v>
      </c>
      <c r="AZ75" s="606">
        <v>12</v>
      </c>
      <c r="BA75" s="606">
        <v>8</v>
      </c>
      <c r="BB75" s="606">
        <v>0.25</v>
      </c>
      <c r="BC75" s="584">
        <v>0.23300000000000001</v>
      </c>
      <c r="BE75" s="579" t="s">
        <v>986</v>
      </c>
      <c r="BF75" s="602">
        <v>5.5629999999999997</v>
      </c>
      <c r="BH75" s="337"/>
      <c r="BI75" s="567" t="s">
        <v>1538</v>
      </c>
      <c r="BJ75" s="37"/>
      <c r="BK75" s="37"/>
      <c r="BL75" s="37"/>
      <c r="BM75" s="37"/>
      <c r="BN75" s="37"/>
      <c r="BO75" s="37"/>
      <c r="BP75" s="37"/>
      <c r="BQ75" s="37"/>
      <c r="BR75" s="341"/>
    </row>
    <row r="76" spans="1:71" x14ac:dyDescent="0.2">
      <c r="A76" s="30"/>
      <c r="B76" s="56" t="str">
        <f>IF($C$9&gt;=12,"Weld #12","")</f>
        <v/>
      </c>
      <c r="C76" s="277" t="str">
        <f t="shared" si="1"/>
        <v/>
      </c>
      <c r="D76" s="405" t="str">
        <f t="shared" si="2"/>
        <v/>
      </c>
      <c r="E76" s="8"/>
      <c r="F76" s="8"/>
      <c r="G76" s="56"/>
      <c r="H76" s="8"/>
      <c r="I76" s="404"/>
      <c r="N76" s="69"/>
      <c r="O76" s="14"/>
      <c r="P76" s="14"/>
      <c r="Q76" s="14"/>
      <c r="R76" s="14"/>
      <c r="S76" s="14"/>
      <c r="T76" s="52"/>
      <c r="U76" s="52"/>
      <c r="V76" s="54"/>
      <c r="W76" s="54"/>
      <c r="AB76" s="579" t="s">
        <v>1626</v>
      </c>
      <c r="AC76" s="580">
        <v>30.3</v>
      </c>
      <c r="AD76" s="581">
        <v>0.61499999999999999</v>
      </c>
      <c r="AE76" s="580">
        <v>10.5</v>
      </c>
      <c r="AF76" s="582">
        <v>1</v>
      </c>
      <c r="AN76" s="579" t="s">
        <v>155</v>
      </c>
      <c r="AO76" s="580">
        <v>15.2</v>
      </c>
      <c r="AP76" s="581">
        <v>0.61499999999999999</v>
      </c>
      <c r="AQ76" s="580">
        <v>10.5</v>
      </c>
      <c r="AR76" s="582">
        <v>1</v>
      </c>
      <c r="AT76" s="579" t="s">
        <v>473</v>
      </c>
      <c r="AU76" s="583">
        <v>4</v>
      </c>
      <c r="AV76" s="583">
        <v>3.5</v>
      </c>
      <c r="AW76" s="602">
        <v>0.375</v>
      </c>
      <c r="AY76" s="579" t="s">
        <v>601</v>
      </c>
      <c r="AZ76" s="606">
        <v>12</v>
      </c>
      <c r="BA76" s="606">
        <v>8</v>
      </c>
      <c r="BB76" s="606">
        <v>0.18779999999999999</v>
      </c>
      <c r="BC76" s="584">
        <v>0.17399999999999999</v>
      </c>
      <c r="BE76" s="579" t="s">
        <v>987</v>
      </c>
      <c r="BF76" s="602">
        <v>5.5629999999999997</v>
      </c>
      <c r="BH76" s="337"/>
      <c r="BO76" s="40"/>
      <c r="BP76" s="40"/>
      <c r="BQ76" s="40"/>
      <c r="BR76" s="21"/>
    </row>
    <row r="77" spans="1:71" x14ac:dyDescent="0.2">
      <c r="A77" s="30"/>
      <c r="B77" s="56" t="str">
        <f>IF($C$9&gt;=13,"Weld #13","")</f>
        <v/>
      </c>
      <c r="C77" s="277" t="str">
        <f t="shared" si="1"/>
        <v/>
      </c>
      <c r="D77" s="405" t="str">
        <f t="shared" si="2"/>
        <v/>
      </c>
      <c r="E77" s="8"/>
      <c r="F77" s="8"/>
      <c r="G77" s="56"/>
      <c r="H77" s="8"/>
      <c r="I77" s="404"/>
      <c r="N77" s="69"/>
      <c r="O77" s="14"/>
      <c r="P77" s="14"/>
      <c r="Q77" s="14"/>
      <c r="R77" s="14"/>
      <c r="S77" s="14"/>
      <c r="T77" s="52"/>
      <c r="U77" s="52"/>
      <c r="V77" s="54"/>
      <c r="W77" s="54"/>
      <c r="AB77" s="579" t="s">
        <v>1627</v>
      </c>
      <c r="AC77" s="580">
        <v>30.2</v>
      </c>
      <c r="AD77" s="581">
        <v>0.58499999999999996</v>
      </c>
      <c r="AE77" s="580">
        <v>10.5</v>
      </c>
      <c r="AF77" s="584">
        <v>0.93</v>
      </c>
      <c r="AN77" s="579" t="s">
        <v>156</v>
      </c>
      <c r="AO77" s="580">
        <v>15.1</v>
      </c>
      <c r="AP77" s="581">
        <v>0.58499999999999996</v>
      </c>
      <c r="AQ77" s="580">
        <v>10.5</v>
      </c>
      <c r="AR77" s="584">
        <v>0.93</v>
      </c>
      <c r="AT77" s="579" t="s">
        <v>474</v>
      </c>
      <c r="AU77" s="583">
        <v>4</v>
      </c>
      <c r="AV77" s="583">
        <v>3.5</v>
      </c>
      <c r="AW77" s="602">
        <v>0.3125</v>
      </c>
      <c r="AY77" s="579" t="s">
        <v>602</v>
      </c>
      <c r="AZ77" s="606">
        <v>12</v>
      </c>
      <c r="BA77" s="606">
        <v>6</v>
      </c>
      <c r="BB77" s="606">
        <v>0.625</v>
      </c>
      <c r="BC77" s="584">
        <v>0.58099999999999996</v>
      </c>
      <c r="BE77" s="579" t="s">
        <v>988</v>
      </c>
      <c r="BF77" s="602">
        <v>5.5629999999999997</v>
      </c>
      <c r="BH77" s="337"/>
      <c r="BI77" s="69" t="s">
        <v>731</v>
      </c>
      <c r="BJ77" s="610" t="s">
        <v>1745</v>
      </c>
      <c r="BK77" s="40"/>
      <c r="BO77" s="40"/>
      <c r="BS77" s="566" t="str">
        <f>"tf="&amp;$BJ$81</f>
        <v>tf=0.71</v>
      </c>
    </row>
    <row r="78" spans="1:71" x14ac:dyDescent="0.2">
      <c r="A78" s="30"/>
      <c r="B78" s="56" t="str">
        <f>IF($C$9&gt;=14,"Weld #14","")</f>
        <v/>
      </c>
      <c r="C78" s="277" t="str">
        <f t="shared" si="1"/>
        <v/>
      </c>
      <c r="D78" s="405" t="str">
        <f t="shared" si="2"/>
        <v/>
      </c>
      <c r="E78" s="8"/>
      <c r="F78" s="8"/>
      <c r="G78" s="56"/>
      <c r="H78" s="8"/>
      <c r="I78" s="404"/>
      <c r="N78" s="69"/>
      <c r="O78" s="14"/>
      <c r="P78" s="14"/>
      <c r="Q78" s="14"/>
      <c r="R78" s="14"/>
      <c r="S78" s="14"/>
      <c r="T78" s="52"/>
      <c r="U78" s="52"/>
      <c r="V78" s="54"/>
      <c r="W78" s="54"/>
      <c r="AB78" s="579" t="s">
        <v>1628</v>
      </c>
      <c r="AC78" s="580">
        <v>30</v>
      </c>
      <c r="AD78" s="581">
        <v>0.56499999999999995</v>
      </c>
      <c r="AE78" s="580">
        <v>10.5</v>
      </c>
      <c r="AF78" s="584">
        <v>0.85</v>
      </c>
      <c r="AN78" s="579" t="s">
        <v>157</v>
      </c>
      <c r="AO78" s="580">
        <v>15</v>
      </c>
      <c r="AP78" s="581">
        <v>0.56499999999999995</v>
      </c>
      <c r="AQ78" s="580">
        <v>10.5</v>
      </c>
      <c r="AR78" s="584">
        <v>0.85</v>
      </c>
      <c r="AT78" s="579" t="s">
        <v>475</v>
      </c>
      <c r="AU78" s="583">
        <v>4</v>
      </c>
      <c r="AV78" s="583">
        <v>3.5</v>
      </c>
      <c r="AW78" s="602">
        <v>0.25</v>
      </c>
      <c r="AY78" s="579" t="s">
        <v>603</v>
      </c>
      <c r="AZ78" s="606">
        <v>12</v>
      </c>
      <c r="BA78" s="606">
        <v>6</v>
      </c>
      <c r="BB78" s="606">
        <v>0.5</v>
      </c>
      <c r="BC78" s="584">
        <v>0.46500000000000002</v>
      </c>
      <c r="BE78" s="579" t="s">
        <v>989</v>
      </c>
      <c r="BF78" s="602">
        <v>5.5629999999999997</v>
      </c>
      <c r="BH78" s="337"/>
      <c r="BI78" s="232" t="s">
        <v>733</v>
      </c>
      <c r="BJ78" s="611">
        <f>VLOOKUP($BJ$77,$AB$4:$AF$334,2,FALSE)</f>
        <v>14</v>
      </c>
      <c r="BK78" s="237" t="s">
        <v>1172</v>
      </c>
      <c r="BO78" s="40"/>
      <c r="BP78" s="40"/>
      <c r="BQ78" s="40"/>
      <c r="BR78" s="21"/>
    </row>
    <row r="79" spans="1:71" x14ac:dyDescent="0.2">
      <c r="A79" s="30"/>
      <c r="B79" s="56" t="str">
        <f>IF($C$9&gt;=15,"Weld #15","")</f>
        <v/>
      </c>
      <c r="C79" s="277" t="str">
        <f t="shared" si="1"/>
        <v/>
      </c>
      <c r="D79" s="405" t="str">
        <f t="shared" si="2"/>
        <v/>
      </c>
      <c r="E79" s="8"/>
      <c r="F79" s="8"/>
      <c r="G79" s="56"/>
      <c r="H79" s="8"/>
      <c r="I79" s="404"/>
      <c r="N79" s="69"/>
      <c r="O79" s="14"/>
      <c r="P79" s="14"/>
      <c r="Q79" s="14"/>
      <c r="R79" s="14"/>
      <c r="S79" s="14"/>
      <c r="T79" s="52"/>
      <c r="U79" s="52"/>
      <c r="V79" s="54"/>
      <c r="W79" s="54"/>
      <c r="AB79" s="579" t="s">
        <v>1629</v>
      </c>
      <c r="AC79" s="580">
        <v>29.8</v>
      </c>
      <c r="AD79" s="581">
        <v>0.54500000000000004</v>
      </c>
      <c r="AE79" s="580">
        <v>10.5</v>
      </c>
      <c r="AF79" s="584">
        <v>0.76</v>
      </c>
      <c r="AN79" s="579" t="s">
        <v>158</v>
      </c>
      <c r="AO79" s="580">
        <v>14.9</v>
      </c>
      <c r="AP79" s="581">
        <v>0.54500000000000004</v>
      </c>
      <c r="AQ79" s="580">
        <v>10.5</v>
      </c>
      <c r="AR79" s="584">
        <v>0.76</v>
      </c>
      <c r="AT79" s="579" t="s">
        <v>476</v>
      </c>
      <c r="AU79" s="583">
        <v>4</v>
      </c>
      <c r="AV79" s="583">
        <v>3</v>
      </c>
      <c r="AW79" s="602">
        <v>0.625</v>
      </c>
      <c r="AY79" s="579" t="s">
        <v>604</v>
      </c>
      <c r="AZ79" s="606">
        <v>12</v>
      </c>
      <c r="BA79" s="606">
        <v>6</v>
      </c>
      <c r="BB79" s="606">
        <v>0.375</v>
      </c>
      <c r="BC79" s="584">
        <v>0.34899999999999998</v>
      </c>
      <c r="BE79" s="579" t="s">
        <v>990</v>
      </c>
      <c r="BF79" s="602">
        <v>5.5629999999999997</v>
      </c>
      <c r="BH79" s="337"/>
      <c r="BI79" s="232" t="s">
        <v>734</v>
      </c>
      <c r="BJ79" s="612">
        <f>VLOOKUP($BJ$77,$AB$4:$AF$334,3,FALSE)</f>
        <v>0.44</v>
      </c>
      <c r="BK79" s="237" t="s">
        <v>1172</v>
      </c>
    </row>
    <row r="80" spans="1:71" x14ac:dyDescent="0.2">
      <c r="A80" s="30"/>
      <c r="B80" s="56" t="str">
        <f>IF($C$9&gt;=16,"Weld #16","")</f>
        <v/>
      </c>
      <c r="C80" s="277" t="str">
        <f t="shared" si="1"/>
        <v/>
      </c>
      <c r="D80" s="405" t="str">
        <f t="shared" si="2"/>
        <v/>
      </c>
      <c r="E80" s="8"/>
      <c r="F80" s="8"/>
      <c r="G80" s="56"/>
      <c r="H80" s="8"/>
      <c r="I80" s="404"/>
      <c r="AB80" s="579" t="s">
        <v>1630</v>
      </c>
      <c r="AC80" s="580">
        <v>29.7</v>
      </c>
      <c r="AD80" s="581">
        <v>0.52</v>
      </c>
      <c r="AE80" s="580">
        <v>10.5</v>
      </c>
      <c r="AF80" s="584">
        <v>0.67</v>
      </c>
      <c r="AN80" s="579" t="s">
        <v>159</v>
      </c>
      <c r="AO80" s="580">
        <v>14.8</v>
      </c>
      <c r="AP80" s="581">
        <v>0.52</v>
      </c>
      <c r="AQ80" s="580">
        <v>10.5</v>
      </c>
      <c r="AR80" s="584">
        <v>0.67</v>
      </c>
      <c r="AT80" s="579" t="s">
        <v>477</v>
      </c>
      <c r="AU80" s="583">
        <v>4</v>
      </c>
      <c r="AV80" s="583">
        <v>3</v>
      </c>
      <c r="AW80" s="602">
        <v>0.5</v>
      </c>
      <c r="AY80" s="579" t="s">
        <v>605</v>
      </c>
      <c r="AZ80" s="606">
        <v>12</v>
      </c>
      <c r="BA80" s="606">
        <v>6</v>
      </c>
      <c r="BB80" s="606">
        <v>0.3125</v>
      </c>
      <c r="BC80" s="584">
        <v>0.29099999999999998</v>
      </c>
      <c r="BE80" s="579" t="s">
        <v>991</v>
      </c>
      <c r="BF80" s="602">
        <v>5.5</v>
      </c>
      <c r="BH80" s="337"/>
      <c r="BI80" s="232" t="s">
        <v>735</v>
      </c>
      <c r="BJ80" s="612">
        <f>VLOOKUP($BJ$77,$AB$4:$AF$334,4,FALSE)</f>
        <v>14.5</v>
      </c>
      <c r="BK80" s="237" t="s">
        <v>1172</v>
      </c>
    </row>
    <row r="81" spans="1:71" x14ac:dyDescent="0.2">
      <c r="A81" s="30"/>
      <c r="B81" s="56" t="str">
        <f>IF($C$9&gt;=17,"Weld #17","")</f>
        <v/>
      </c>
      <c r="C81" s="277" t="str">
        <f t="shared" si="1"/>
        <v/>
      </c>
      <c r="D81" s="405" t="str">
        <f t="shared" si="2"/>
        <v/>
      </c>
      <c r="E81" s="8"/>
      <c r="F81" s="8"/>
      <c r="G81" s="56"/>
      <c r="H81" s="8"/>
      <c r="I81" s="404"/>
      <c r="W81" s="43"/>
      <c r="AB81" s="579" t="s">
        <v>1631</v>
      </c>
      <c r="AC81" s="580">
        <v>29.5</v>
      </c>
      <c r="AD81" s="581">
        <v>0.47</v>
      </c>
      <c r="AE81" s="580">
        <v>10.4</v>
      </c>
      <c r="AF81" s="584">
        <v>0.61</v>
      </c>
      <c r="AN81" s="579" t="s">
        <v>160</v>
      </c>
      <c r="AO81" s="580">
        <v>14.8</v>
      </c>
      <c r="AP81" s="581">
        <v>0.47</v>
      </c>
      <c r="AQ81" s="580">
        <v>10.4</v>
      </c>
      <c r="AR81" s="584">
        <v>0.61</v>
      </c>
      <c r="AT81" s="579" t="s">
        <v>478</v>
      </c>
      <c r="AU81" s="583">
        <v>4</v>
      </c>
      <c r="AV81" s="583">
        <v>3</v>
      </c>
      <c r="AW81" s="602">
        <v>0.375</v>
      </c>
      <c r="AY81" s="579" t="s">
        <v>606</v>
      </c>
      <c r="AZ81" s="606">
        <v>12</v>
      </c>
      <c r="BA81" s="606">
        <v>6</v>
      </c>
      <c r="BB81" s="606">
        <v>0.25</v>
      </c>
      <c r="BC81" s="584">
        <v>0.23300000000000001</v>
      </c>
      <c r="BE81" s="579" t="s">
        <v>992</v>
      </c>
      <c r="BF81" s="602">
        <v>5.5</v>
      </c>
      <c r="BH81" s="337"/>
      <c r="BI81" s="232" t="s">
        <v>736</v>
      </c>
      <c r="BJ81" s="613">
        <f>VLOOKUP($BJ$77,$AB$4:$AF$334,5,FALSE)</f>
        <v>0.71</v>
      </c>
      <c r="BK81" s="237" t="s">
        <v>1172</v>
      </c>
      <c r="BP81" s="566" t="str">
        <f>" tw="&amp;$BJ$79</f>
        <v xml:space="preserve"> tw=0.44</v>
      </c>
      <c r="BR81" s="566" t="str">
        <f>"         d="&amp;$BJ$78</f>
        <v xml:space="preserve">         d=14</v>
      </c>
    </row>
    <row r="82" spans="1:71" x14ac:dyDescent="0.2">
      <c r="A82" s="30"/>
      <c r="B82" s="56" t="str">
        <f>IF($C$9&gt;=18,"Weld #18","")</f>
        <v/>
      </c>
      <c r="C82" s="277" t="str">
        <f t="shared" si="1"/>
        <v/>
      </c>
      <c r="D82" s="405" t="str">
        <f t="shared" si="2"/>
        <v/>
      </c>
      <c r="E82" s="8"/>
      <c r="F82" s="8"/>
      <c r="G82" s="56"/>
      <c r="H82" s="8"/>
      <c r="I82" s="404"/>
      <c r="W82" s="41"/>
      <c r="X82" s="41"/>
      <c r="Y82" s="41"/>
      <c r="Z82" s="41"/>
      <c r="AA82" s="41"/>
      <c r="AB82" s="579" t="s">
        <v>1632</v>
      </c>
      <c r="AC82" s="580">
        <v>32.5</v>
      </c>
      <c r="AD82" s="583">
        <v>1.97</v>
      </c>
      <c r="AE82" s="580">
        <v>15.3</v>
      </c>
      <c r="AF82" s="582">
        <v>3.54</v>
      </c>
      <c r="AG82" s="41"/>
      <c r="AH82" s="245"/>
      <c r="AI82" s="245"/>
      <c r="AJ82" s="245"/>
      <c r="AK82" s="245"/>
      <c r="AL82" s="245"/>
      <c r="AM82" s="41"/>
      <c r="AN82" s="579" t="s">
        <v>161</v>
      </c>
      <c r="AO82" s="580">
        <v>16.3</v>
      </c>
      <c r="AP82" s="583">
        <v>1.97</v>
      </c>
      <c r="AQ82" s="580">
        <v>15.3</v>
      </c>
      <c r="AR82" s="582">
        <v>3.54</v>
      </c>
      <c r="AS82" s="41"/>
      <c r="AT82" s="579" t="s">
        <v>479</v>
      </c>
      <c r="AU82" s="583">
        <v>4</v>
      </c>
      <c r="AV82" s="583">
        <v>3</v>
      </c>
      <c r="AW82" s="602">
        <v>0.3125</v>
      </c>
      <c r="AX82" s="41"/>
      <c r="AY82" s="579" t="s">
        <v>607</v>
      </c>
      <c r="AZ82" s="606">
        <v>12</v>
      </c>
      <c r="BA82" s="606">
        <v>6</v>
      </c>
      <c r="BB82" s="606">
        <v>0.1875</v>
      </c>
      <c r="BC82" s="584">
        <v>0.17399999999999999</v>
      </c>
      <c r="BD82" s="41"/>
      <c r="BE82" s="579" t="s">
        <v>993</v>
      </c>
      <c r="BF82" s="602">
        <v>5.5</v>
      </c>
      <c r="BG82" s="41"/>
      <c r="BH82" s="337"/>
      <c r="BI82" s="41"/>
      <c r="BJ82" s="40"/>
      <c r="BK82" s="137" t="s">
        <v>1240</v>
      </c>
      <c r="BL82" s="37"/>
      <c r="BM82" s="37"/>
      <c r="BN82" s="37"/>
      <c r="BO82" s="40"/>
      <c r="BP82" s="40"/>
      <c r="BQ82" s="40"/>
      <c r="BR82" s="21"/>
    </row>
    <row r="83" spans="1:71" x14ac:dyDescent="0.2">
      <c r="A83" s="30"/>
      <c r="B83" s="56" t="str">
        <f>IF($C$9&gt;=19,"Weld #19","")</f>
        <v/>
      </c>
      <c r="C83" s="277" t="str">
        <f t="shared" si="1"/>
        <v/>
      </c>
      <c r="D83" s="405" t="str">
        <f t="shared" si="2"/>
        <v/>
      </c>
      <c r="E83" s="8"/>
      <c r="F83" s="8"/>
      <c r="G83" s="56"/>
      <c r="H83" s="8"/>
      <c r="I83" s="404"/>
      <c r="W83" s="8" t="str">
        <f>IF($C$38&gt;=5,$G$42-$N$36,"")</f>
        <v/>
      </c>
      <c r="X83" s="8" t="str">
        <f>IF($C$38&gt;=6,$H$42-$N$36,"")</f>
        <v/>
      </c>
      <c r="Y83" s="8" t="str">
        <f>IF($C$38&gt;=7,$I$42-$N$36,"")</f>
        <v/>
      </c>
      <c r="Z83" s="8" t="str">
        <f>IF($C$38&gt;=8,#REF!-$N$36,"")</f>
        <v/>
      </c>
      <c r="AA83" s="8"/>
      <c r="AB83" s="579" t="s">
        <v>1633</v>
      </c>
      <c r="AC83" s="580">
        <v>30.4</v>
      </c>
      <c r="AD83" s="583">
        <v>1.38</v>
      </c>
      <c r="AE83" s="580">
        <v>14.7</v>
      </c>
      <c r="AF83" s="582">
        <v>2.48</v>
      </c>
      <c r="AG83" s="8"/>
      <c r="AH83" s="599"/>
      <c r="AI83" s="599"/>
      <c r="AJ83" s="599"/>
      <c r="AK83" s="599"/>
      <c r="AL83" s="599"/>
      <c r="AM83" s="8"/>
      <c r="AN83" s="579" t="s">
        <v>162</v>
      </c>
      <c r="AO83" s="580">
        <v>15.2</v>
      </c>
      <c r="AP83" s="583">
        <v>1.38</v>
      </c>
      <c r="AQ83" s="580">
        <v>14.7</v>
      </c>
      <c r="AR83" s="582">
        <v>2.48</v>
      </c>
      <c r="AS83" s="8"/>
      <c r="AT83" s="579" t="s">
        <v>480</v>
      </c>
      <c r="AU83" s="583">
        <v>4</v>
      </c>
      <c r="AV83" s="583">
        <v>3</v>
      </c>
      <c r="AW83" s="602">
        <v>0.25</v>
      </c>
      <c r="AX83" s="8"/>
      <c r="AY83" s="579" t="s">
        <v>608</v>
      </c>
      <c r="AZ83" s="606">
        <v>12</v>
      </c>
      <c r="BA83" s="606">
        <v>4</v>
      </c>
      <c r="BB83" s="606">
        <v>0.625</v>
      </c>
      <c r="BC83" s="584">
        <v>0.58099999999999996</v>
      </c>
      <c r="BD83" s="8"/>
      <c r="BE83" s="579" t="s">
        <v>994</v>
      </c>
      <c r="BF83" s="602">
        <v>5</v>
      </c>
      <c r="BG83" s="8"/>
      <c r="BH83" s="337"/>
      <c r="BI83" s="41"/>
      <c r="BJ83" s="42"/>
      <c r="BK83" s="137" t="s">
        <v>1243</v>
      </c>
      <c r="BL83" s="37"/>
      <c r="BM83" s="137" t="s">
        <v>1244</v>
      </c>
      <c r="BN83" s="37"/>
      <c r="BO83" s="40"/>
      <c r="BP83" s="40"/>
      <c r="BQ83" s="40"/>
      <c r="BR83" s="21"/>
    </row>
    <row r="84" spans="1:71" x14ac:dyDescent="0.2">
      <c r="A84" s="30"/>
      <c r="B84" s="56" t="str">
        <f>IF($C$9&gt;=20,"Weld #20","")</f>
        <v/>
      </c>
      <c r="C84" s="277" t="str">
        <f t="shared" si="1"/>
        <v/>
      </c>
      <c r="D84" s="405" t="str">
        <f t="shared" si="2"/>
        <v/>
      </c>
      <c r="E84" s="8"/>
      <c r="F84" s="8"/>
      <c r="G84" s="56"/>
      <c r="H84" s="8"/>
      <c r="I84" s="404"/>
      <c r="W84" s="8" t="str">
        <f>IF($C$38&gt;=5,$G$43-$N$37,"")</f>
        <v/>
      </c>
      <c r="X84" s="8" t="str">
        <f>IF($C$38&gt;=6,$H$43-$N$37,"")</f>
        <v/>
      </c>
      <c r="Y84" s="8" t="str">
        <f>IF($C$38&gt;=7,$I$43-$N$37,"")</f>
        <v/>
      </c>
      <c r="Z84" s="8" t="str">
        <f>IF($C$38&gt;=8,#REF!-$N$37,"")</f>
        <v/>
      </c>
      <c r="AA84" s="8"/>
      <c r="AB84" s="579" t="s">
        <v>1634</v>
      </c>
      <c r="AC84" s="580">
        <v>30</v>
      </c>
      <c r="AD84" s="583">
        <v>1.26</v>
      </c>
      <c r="AE84" s="580">
        <v>14.6</v>
      </c>
      <c r="AF84" s="582">
        <v>2.2799999999999998</v>
      </c>
      <c r="AG84" s="8"/>
      <c r="AH84" s="599"/>
      <c r="AI84" s="599"/>
      <c r="AJ84" s="599"/>
      <c r="AK84" s="599"/>
      <c r="AL84" s="599"/>
      <c r="AM84" s="8"/>
      <c r="AN84" s="579" t="s">
        <v>163</v>
      </c>
      <c r="AO84" s="580">
        <v>15</v>
      </c>
      <c r="AP84" s="583">
        <v>1.26</v>
      </c>
      <c r="AQ84" s="580">
        <v>14.6</v>
      </c>
      <c r="AR84" s="582">
        <v>2.2799999999999998</v>
      </c>
      <c r="AS84" s="8"/>
      <c r="AT84" s="579" t="s">
        <v>481</v>
      </c>
      <c r="AU84" s="583">
        <v>3.5</v>
      </c>
      <c r="AV84" s="583">
        <v>3.5</v>
      </c>
      <c r="AW84" s="602">
        <v>0.5</v>
      </c>
      <c r="AX84" s="8"/>
      <c r="AY84" s="579" t="s">
        <v>609</v>
      </c>
      <c r="AZ84" s="606">
        <v>12</v>
      </c>
      <c r="BA84" s="606">
        <v>4</v>
      </c>
      <c r="BB84" s="606">
        <v>0.5</v>
      </c>
      <c r="BC84" s="584">
        <v>0.46500000000000002</v>
      </c>
      <c r="BD84" s="8"/>
      <c r="BE84" s="579" t="s">
        <v>995</v>
      </c>
      <c r="BF84" s="602">
        <v>5</v>
      </c>
      <c r="BG84" s="8"/>
      <c r="BH84" s="337"/>
      <c r="BI84" s="41"/>
      <c r="BJ84" s="42"/>
      <c r="BK84" s="41" t="s">
        <v>1246</v>
      </c>
      <c r="BL84" s="41" t="s">
        <v>1247</v>
      </c>
      <c r="BM84" s="41" t="s">
        <v>1248</v>
      </c>
      <c r="BN84" s="41" t="s">
        <v>1249</v>
      </c>
      <c r="BO84" s="40"/>
      <c r="BP84" s="40"/>
      <c r="BQ84" s="40"/>
      <c r="BR84" s="21"/>
    </row>
    <row r="85" spans="1:71" x14ac:dyDescent="0.2">
      <c r="A85" s="30"/>
      <c r="B85" s="56" t="str">
        <f>IF($C$9&gt;=21,"Weld #21","")</f>
        <v/>
      </c>
      <c r="C85" s="277" t="str">
        <f t="shared" si="1"/>
        <v/>
      </c>
      <c r="D85" s="405" t="str">
        <f t="shared" si="2"/>
        <v/>
      </c>
      <c r="E85" s="8"/>
      <c r="F85" s="8"/>
      <c r="G85" s="56"/>
      <c r="H85" s="8"/>
      <c r="I85" s="404"/>
      <c r="W85" s="8" t="str">
        <f>IF($C$38&gt;=5,#REF!*$W$84,"")</f>
        <v/>
      </c>
      <c r="X85" s="8" t="str">
        <f>IF($C$38&gt;=6,#REF!*$X$84,"")</f>
        <v/>
      </c>
      <c r="Y85" s="8" t="str">
        <f>IF($C$38&gt;=7,#REF!*$Y$84,"")</f>
        <v/>
      </c>
      <c r="Z85" s="8" t="str">
        <f>IF($C$38&gt;=8,#REF!*$Z$84,"")</f>
        <v/>
      </c>
      <c r="AA85" s="8"/>
      <c r="AB85" s="579" t="s">
        <v>1635</v>
      </c>
      <c r="AC85" s="580">
        <v>29.6</v>
      </c>
      <c r="AD85" s="583">
        <v>1.1599999999999999</v>
      </c>
      <c r="AE85" s="580">
        <v>14.4</v>
      </c>
      <c r="AF85" s="582">
        <v>2.09</v>
      </c>
      <c r="AG85" s="8"/>
      <c r="AH85" s="599"/>
      <c r="AI85" s="599"/>
      <c r="AJ85" s="599"/>
      <c r="AK85" s="599"/>
      <c r="AL85" s="599"/>
      <c r="AM85" s="8"/>
      <c r="AN85" s="579" t="s">
        <v>164</v>
      </c>
      <c r="AO85" s="580">
        <v>14.8</v>
      </c>
      <c r="AP85" s="583">
        <v>1.1599999999999999</v>
      </c>
      <c r="AQ85" s="580">
        <v>14.4</v>
      </c>
      <c r="AR85" s="582">
        <v>2.09</v>
      </c>
      <c r="AS85" s="8"/>
      <c r="AT85" s="579" t="s">
        <v>482</v>
      </c>
      <c r="AU85" s="583">
        <v>3.5</v>
      </c>
      <c r="AV85" s="583">
        <v>3.5</v>
      </c>
      <c r="AW85" s="602">
        <v>0.4375</v>
      </c>
      <c r="AX85" s="8"/>
      <c r="AY85" s="579" t="s">
        <v>610</v>
      </c>
      <c r="AZ85" s="606">
        <v>12</v>
      </c>
      <c r="BA85" s="606">
        <v>4</v>
      </c>
      <c r="BB85" s="606">
        <v>0.375</v>
      </c>
      <c r="BC85" s="584">
        <v>0.34899999999999998</v>
      </c>
      <c r="BD85" s="8"/>
      <c r="BE85" s="579" t="s">
        <v>996</v>
      </c>
      <c r="BF85" s="602">
        <v>5</v>
      </c>
      <c r="BG85" s="8"/>
      <c r="BH85" s="337"/>
      <c r="BI85" s="41"/>
      <c r="BJ85" s="232" t="s">
        <v>1231</v>
      </c>
      <c r="BK85" s="372">
        <f>0</f>
        <v>0</v>
      </c>
      <c r="BL85" s="372">
        <f>0</f>
        <v>0</v>
      </c>
      <c r="BM85" s="372">
        <f>$BJ$80</f>
        <v>14.5</v>
      </c>
      <c r="BN85" s="373">
        <f>0</f>
        <v>0</v>
      </c>
      <c r="BO85" s="40"/>
      <c r="BP85" s="40"/>
      <c r="BQ85" s="40"/>
      <c r="BR85" s="21"/>
    </row>
    <row r="86" spans="1:71" x14ac:dyDescent="0.2">
      <c r="A86" s="30"/>
      <c r="B86" s="56" t="str">
        <f>IF($C$9&gt;=22,"Weld #22","")</f>
        <v/>
      </c>
      <c r="C86" s="277" t="str">
        <f t="shared" si="1"/>
        <v/>
      </c>
      <c r="D86" s="405" t="str">
        <f t="shared" si="2"/>
        <v/>
      </c>
      <c r="E86" s="8"/>
      <c r="F86" s="8"/>
      <c r="G86" s="56"/>
      <c r="H86" s="8"/>
      <c r="I86" s="404"/>
      <c r="W86" s="8" t="str">
        <f>IF($C$38&gt;=5,#REF!*-$W$83,"")</f>
        <v/>
      </c>
      <c r="X86" s="8" t="str">
        <f>IF($C$38&gt;=6,#REF!*-$X$83,"")</f>
        <v/>
      </c>
      <c r="Y86" s="8" t="str">
        <f>IF($C$38&gt;=7,#REF!*-$Y$83,"")</f>
        <v/>
      </c>
      <c r="Z86" s="8" t="str">
        <f>IF($C$38&gt;=8,#REF!*-$Z$83,"")</f>
        <v/>
      </c>
      <c r="AA86" s="8"/>
      <c r="AB86" s="579" t="s">
        <v>1636</v>
      </c>
      <c r="AC86" s="580">
        <v>29.3</v>
      </c>
      <c r="AD86" s="583">
        <v>1.06</v>
      </c>
      <c r="AE86" s="580">
        <v>14.4</v>
      </c>
      <c r="AF86" s="582">
        <v>1.93</v>
      </c>
      <c r="AG86" s="8"/>
      <c r="AH86" s="599"/>
      <c r="AI86" s="599"/>
      <c r="AJ86" s="599"/>
      <c r="AK86" s="599"/>
      <c r="AL86" s="599"/>
      <c r="AM86" s="8"/>
      <c r="AN86" s="579" t="s">
        <v>165</v>
      </c>
      <c r="AO86" s="580">
        <v>14.6</v>
      </c>
      <c r="AP86" s="583">
        <v>1.06</v>
      </c>
      <c r="AQ86" s="580">
        <v>14.4</v>
      </c>
      <c r="AR86" s="582">
        <v>1.93</v>
      </c>
      <c r="AS86" s="8"/>
      <c r="AT86" s="579" t="s">
        <v>483</v>
      </c>
      <c r="AU86" s="583">
        <v>3.5</v>
      </c>
      <c r="AV86" s="583">
        <v>3.5</v>
      </c>
      <c r="AW86" s="602">
        <v>0.375</v>
      </c>
      <c r="AX86" s="8"/>
      <c r="AY86" s="579" t="s">
        <v>611</v>
      </c>
      <c r="AZ86" s="606">
        <v>12</v>
      </c>
      <c r="BA86" s="606">
        <v>4</v>
      </c>
      <c r="BB86" s="606">
        <v>0.3125</v>
      </c>
      <c r="BC86" s="584">
        <v>0.29099999999999998</v>
      </c>
      <c r="BD86" s="8"/>
      <c r="BE86" s="579" t="s">
        <v>997</v>
      </c>
      <c r="BF86" s="602">
        <v>5</v>
      </c>
      <c r="BG86" s="8"/>
      <c r="BH86" s="337"/>
      <c r="BI86" s="41"/>
      <c r="BJ86" s="232" t="s">
        <v>1232</v>
      </c>
      <c r="BK86" s="374">
        <f>0</f>
        <v>0</v>
      </c>
      <c r="BL86" s="374">
        <f>0</f>
        <v>0</v>
      </c>
      <c r="BM86" s="374">
        <f>0</f>
        <v>0</v>
      </c>
      <c r="BN86" s="374">
        <f>$BJ$81</f>
        <v>0.71</v>
      </c>
      <c r="BO86" s="40"/>
      <c r="BP86" s="566" t="str">
        <f>"              bf="&amp;$BJ$80</f>
        <v xml:space="preserve">              bf=14.5</v>
      </c>
      <c r="BS86" s="566" t="str">
        <f>"tf="&amp;$BJ$81</f>
        <v>tf=0.71</v>
      </c>
    </row>
    <row r="87" spans="1:71" x14ac:dyDescent="0.2">
      <c r="A87" s="30"/>
      <c r="B87" s="56" t="str">
        <f>IF($C$9&gt;=23,"Weld #23","")</f>
        <v/>
      </c>
      <c r="C87" s="277" t="str">
        <f t="shared" si="1"/>
        <v/>
      </c>
      <c r="D87" s="405" t="str">
        <f t="shared" si="2"/>
        <v/>
      </c>
      <c r="E87" s="8"/>
      <c r="F87" s="8"/>
      <c r="G87" s="56"/>
      <c r="H87" s="8"/>
      <c r="I87" s="404"/>
      <c r="W87" s="8" t="str">
        <f>IF($C$38&gt;=5,$G$44*-$G$46,"")</f>
        <v/>
      </c>
      <c r="X87" s="8" t="str">
        <f>IF($C$38&gt;=6,$H$44*-$H$46,"")</f>
        <v/>
      </c>
      <c r="Y87" s="8" t="str">
        <f>IF($C$38&gt;=7,$I$44*-$I$46,"")</f>
        <v/>
      </c>
      <c r="Z87" s="8" t="str">
        <f>IF($C$38&gt;=8,#REF!*-#REF!,"")</f>
        <v/>
      </c>
      <c r="AA87" s="8"/>
      <c r="AB87" s="579" t="s">
        <v>1637</v>
      </c>
      <c r="AC87" s="580">
        <v>29</v>
      </c>
      <c r="AD87" s="581">
        <v>0.98</v>
      </c>
      <c r="AE87" s="580">
        <v>14.3</v>
      </c>
      <c r="AF87" s="582">
        <v>1.77</v>
      </c>
      <c r="AG87" s="8"/>
      <c r="AH87" s="599"/>
      <c r="AI87" s="599"/>
      <c r="AJ87" s="599"/>
      <c r="AK87" s="599"/>
      <c r="AL87" s="599"/>
      <c r="AM87" s="8"/>
      <c r="AN87" s="579" t="s">
        <v>166</v>
      </c>
      <c r="AO87" s="580">
        <v>14.5</v>
      </c>
      <c r="AP87" s="581">
        <v>0.98</v>
      </c>
      <c r="AQ87" s="580">
        <v>14.3</v>
      </c>
      <c r="AR87" s="582">
        <v>1.77</v>
      </c>
      <c r="AS87" s="8"/>
      <c r="AT87" s="579" t="s">
        <v>484</v>
      </c>
      <c r="AU87" s="583">
        <v>3.5</v>
      </c>
      <c r="AV87" s="583">
        <v>3.5</v>
      </c>
      <c r="AW87" s="602">
        <v>0.3125</v>
      </c>
      <c r="AX87" s="8"/>
      <c r="AY87" s="579" t="s">
        <v>612</v>
      </c>
      <c r="AZ87" s="606">
        <v>12</v>
      </c>
      <c r="BA87" s="606">
        <v>4</v>
      </c>
      <c r="BB87" s="606">
        <v>0.25</v>
      </c>
      <c r="BC87" s="584">
        <v>0.23300000000000001</v>
      </c>
      <c r="BD87" s="8"/>
      <c r="BE87" s="579" t="s">
        <v>998</v>
      </c>
      <c r="BF87" s="602">
        <v>5</v>
      </c>
      <c r="BG87" s="8"/>
      <c r="BH87" s="337"/>
      <c r="BI87" s="41"/>
      <c r="BJ87" s="232" t="s">
        <v>1234</v>
      </c>
      <c r="BK87" s="374">
        <f>$BJ$80</f>
        <v>14.5</v>
      </c>
      <c r="BL87" s="374">
        <f>0</f>
        <v>0</v>
      </c>
      <c r="BM87" s="374">
        <f>$BJ$80</f>
        <v>14.5</v>
      </c>
      <c r="BN87" s="375">
        <f>$BJ$81</f>
        <v>0.71</v>
      </c>
      <c r="BO87" s="40"/>
      <c r="BP87" s="40"/>
      <c r="BQ87" s="40"/>
      <c r="BR87" s="21"/>
    </row>
    <row r="88" spans="1:71" x14ac:dyDescent="0.2">
      <c r="A88" s="30"/>
      <c r="B88" s="56" t="str">
        <f>IF($C$9&gt;=24,"Weld #24","")</f>
        <v/>
      </c>
      <c r="C88" s="279" t="str">
        <f t="shared" si="1"/>
        <v/>
      </c>
      <c r="D88" s="411" t="str">
        <f t="shared" si="2"/>
        <v/>
      </c>
      <c r="E88" s="8"/>
      <c r="F88" s="8"/>
      <c r="G88" s="56"/>
      <c r="H88" s="8"/>
      <c r="I88" s="404"/>
      <c r="W88" s="8" t="str">
        <f>IF($C$38&gt;=5,$G$44*$G$45,"")</f>
        <v/>
      </c>
      <c r="X88" s="8" t="str">
        <f>IF($C$38&gt;=6,$H$44*$H$45,"")</f>
        <v/>
      </c>
      <c r="Y88" s="8" t="str">
        <f>IF($C$38&gt;=7,$I$44*$I$45,"")</f>
        <v/>
      </c>
      <c r="Z88" s="8" t="str">
        <f>IF($C$38&gt;=8,#REF!*#REF!,"")</f>
        <v/>
      </c>
      <c r="AA88" s="8"/>
      <c r="AB88" s="579" t="s">
        <v>1638</v>
      </c>
      <c r="AC88" s="580">
        <v>28.7</v>
      </c>
      <c r="AD88" s="581">
        <v>0.91</v>
      </c>
      <c r="AE88" s="580">
        <v>14.2</v>
      </c>
      <c r="AF88" s="582">
        <v>1.61</v>
      </c>
      <c r="AG88" s="8"/>
      <c r="AH88" s="599"/>
      <c r="AI88" s="599"/>
      <c r="AJ88" s="599"/>
      <c r="AK88" s="599"/>
      <c r="AL88" s="599"/>
      <c r="AM88" s="8"/>
      <c r="AN88" s="579" t="s">
        <v>167</v>
      </c>
      <c r="AO88" s="580">
        <v>14.3</v>
      </c>
      <c r="AP88" s="581">
        <v>0.91</v>
      </c>
      <c r="AQ88" s="580">
        <v>14.2</v>
      </c>
      <c r="AR88" s="582">
        <v>1.61</v>
      </c>
      <c r="AS88" s="8"/>
      <c r="AT88" s="579" t="s">
        <v>485</v>
      </c>
      <c r="AU88" s="583">
        <v>3.5</v>
      </c>
      <c r="AV88" s="583">
        <v>3.5</v>
      </c>
      <c r="AW88" s="602">
        <v>0.25</v>
      </c>
      <c r="AX88" s="8"/>
      <c r="AY88" s="579" t="s">
        <v>613</v>
      </c>
      <c r="AZ88" s="606">
        <v>12</v>
      </c>
      <c r="BA88" s="606">
        <v>4</v>
      </c>
      <c r="BB88" s="606">
        <v>0.1875</v>
      </c>
      <c r="BC88" s="584">
        <v>0.17399999999999999</v>
      </c>
      <c r="BD88" s="8"/>
      <c r="BE88" s="579" t="s">
        <v>999</v>
      </c>
      <c r="BF88" s="602">
        <v>5</v>
      </c>
      <c r="BG88" s="8"/>
      <c r="BH88" s="337"/>
      <c r="BI88" s="41"/>
      <c r="BJ88" s="232" t="s">
        <v>1235</v>
      </c>
      <c r="BK88" s="374">
        <f>0</f>
        <v>0</v>
      </c>
      <c r="BL88" s="374">
        <f>$BJ$81</f>
        <v>0.71</v>
      </c>
      <c r="BM88" s="374">
        <f>($BJ$80-$BJ$79)/2</f>
        <v>7.03</v>
      </c>
      <c r="BN88" s="375">
        <f>$BJ$81</f>
        <v>0.71</v>
      </c>
      <c r="BO88" s="40"/>
      <c r="BP88" s="40"/>
      <c r="BQ88" s="40"/>
      <c r="BR88" s="21"/>
    </row>
    <row r="89" spans="1:71" x14ac:dyDescent="0.2">
      <c r="A89" s="30"/>
      <c r="B89" s="21"/>
      <c r="C89" s="21"/>
      <c r="D89" s="56" t="str">
        <f>IF($C$9&gt;=47,"Bolt #47","")</f>
        <v/>
      </c>
      <c r="E89" s="8"/>
      <c r="F89" s="8"/>
      <c r="G89" s="56"/>
      <c r="H89" s="8"/>
      <c r="I89" s="404"/>
      <c r="W89" s="70" t="str">
        <f>IF($C$38&gt;=5,$G$45*-$W$84,"")</f>
        <v/>
      </c>
      <c r="X89" s="8" t="str">
        <f>IF($C$38&gt;=6,$H$45*-$X$84,"")</f>
        <v/>
      </c>
      <c r="Y89" s="70" t="str">
        <f>IF($C$38&gt;=7,$I$45*-$T$33,"")</f>
        <v/>
      </c>
      <c r="Z89" s="70" t="str">
        <f>IF($C$38&gt;=8,#REF!*-$U$33,"")</f>
        <v/>
      </c>
      <c r="AA89" s="70"/>
      <c r="AB89" s="579" t="s">
        <v>1639</v>
      </c>
      <c r="AC89" s="580">
        <v>28.4</v>
      </c>
      <c r="AD89" s="581">
        <v>0.83</v>
      </c>
      <c r="AE89" s="580">
        <v>14.1</v>
      </c>
      <c r="AF89" s="582">
        <v>1.5</v>
      </c>
      <c r="AG89" s="70"/>
      <c r="AH89" s="600"/>
      <c r="AI89" s="600"/>
      <c r="AJ89" s="600"/>
      <c r="AK89" s="600"/>
      <c r="AL89" s="600"/>
      <c r="AM89" s="70"/>
      <c r="AN89" s="579" t="s">
        <v>168</v>
      </c>
      <c r="AO89" s="580">
        <v>14.2</v>
      </c>
      <c r="AP89" s="581">
        <v>0.83</v>
      </c>
      <c r="AQ89" s="580">
        <v>14.1</v>
      </c>
      <c r="AR89" s="582">
        <v>1.5</v>
      </c>
      <c r="AS89" s="70"/>
      <c r="AT89" s="579" t="s">
        <v>486</v>
      </c>
      <c r="AU89" s="583">
        <v>3.5</v>
      </c>
      <c r="AV89" s="583">
        <v>3</v>
      </c>
      <c r="AW89" s="602">
        <v>0.5</v>
      </c>
      <c r="AX89" s="70"/>
      <c r="AY89" s="579" t="s">
        <v>614</v>
      </c>
      <c r="AZ89" s="606">
        <v>12</v>
      </c>
      <c r="BA89" s="606">
        <v>3.5</v>
      </c>
      <c r="BB89" s="606">
        <v>0.375</v>
      </c>
      <c r="BC89" s="584">
        <v>0.34899999999999998</v>
      </c>
      <c r="BD89" s="70"/>
      <c r="BE89" s="579" t="s">
        <v>1000</v>
      </c>
      <c r="BF89" s="602">
        <v>5</v>
      </c>
      <c r="BG89" s="70"/>
      <c r="BH89" s="337"/>
      <c r="BI89" s="41"/>
      <c r="BJ89" s="232" t="s">
        <v>1238</v>
      </c>
      <c r="BK89" s="374">
        <f>($BJ$80+$BJ$79)/2</f>
        <v>7.47</v>
      </c>
      <c r="BL89" s="374">
        <f>$BJ$81</f>
        <v>0.71</v>
      </c>
      <c r="BM89" s="374">
        <f>$BJ$80</f>
        <v>14.5</v>
      </c>
      <c r="BN89" s="375">
        <f>$BJ$81</f>
        <v>0.71</v>
      </c>
      <c r="BO89" s="40"/>
      <c r="BP89" s="40"/>
      <c r="BQ89" s="40"/>
      <c r="BR89" s="21"/>
    </row>
    <row r="90" spans="1:71" x14ac:dyDescent="0.2">
      <c r="A90" s="30"/>
      <c r="B90" s="21"/>
      <c r="C90" s="21"/>
      <c r="D90" s="56" t="str">
        <f>IF($C$9&gt;=48,"Bolt #48","")</f>
        <v/>
      </c>
      <c r="E90" s="8"/>
      <c r="F90" s="8"/>
      <c r="G90" s="56"/>
      <c r="H90" s="8"/>
      <c r="I90" s="404"/>
      <c r="W90" s="70" t="str">
        <f>IF($C$38&gt;=5,$G$46*$W$83,"")</f>
        <v/>
      </c>
      <c r="X90" s="8" t="str">
        <f>IF($C$38&gt;=6,$H$46*$X$83,"")</f>
        <v/>
      </c>
      <c r="Y90" s="70" t="str">
        <f>IF($C$38&gt;=7,$I$46*$Y$83,"")</f>
        <v/>
      </c>
      <c r="Z90" s="70" t="str">
        <f>IF($C$38&gt;=8,#REF!*$Z$83,"")</f>
        <v/>
      </c>
      <c r="AA90" s="70"/>
      <c r="AB90" s="579" t="s">
        <v>1640</v>
      </c>
      <c r="AC90" s="580">
        <v>28.1</v>
      </c>
      <c r="AD90" s="581">
        <v>0.75</v>
      </c>
      <c r="AE90" s="580">
        <v>14</v>
      </c>
      <c r="AF90" s="582">
        <v>1.34</v>
      </c>
      <c r="AG90" s="70"/>
      <c r="AH90" s="600"/>
      <c r="AI90" s="600"/>
      <c r="AJ90" s="600"/>
      <c r="AK90" s="600"/>
      <c r="AL90" s="600"/>
      <c r="AM90" s="70"/>
      <c r="AN90" s="579" t="s">
        <v>169</v>
      </c>
      <c r="AO90" s="580">
        <v>14.1</v>
      </c>
      <c r="AP90" s="581">
        <v>0.75</v>
      </c>
      <c r="AQ90" s="580">
        <v>14</v>
      </c>
      <c r="AR90" s="582">
        <v>1.34</v>
      </c>
      <c r="AS90" s="70"/>
      <c r="AT90" s="579" t="s">
        <v>487</v>
      </c>
      <c r="AU90" s="583">
        <v>3.5</v>
      </c>
      <c r="AV90" s="583">
        <v>3</v>
      </c>
      <c r="AW90" s="602">
        <v>0.4375</v>
      </c>
      <c r="AX90" s="70"/>
      <c r="AY90" s="579" t="s">
        <v>615</v>
      </c>
      <c r="AZ90" s="606">
        <v>12</v>
      </c>
      <c r="BA90" s="606">
        <v>3.5</v>
      </c>
      <c r="BB90" s="606">
        <v>0.3125</v>
      </c>
      <c r="BC90" s="584">
        <v>0.29099999999999998</v>
      </c>
      <c r="BD90" s="70"/>
      <c r="BE90" s="579" t="s">
        <v>1001</v>
      </c>
      <c r="BF90" s="602">
        <v>4.5</v>
      </c>
      <c r="BG90" s="70"/>
      <c r="BH90" s="337"/>
      <c r="BI90" s="41"/>
      <c r="BJ90" s="232" t="s">
        <v>1241</v>
      </c>
      <c r="BK90" s="374">
        <f>($BJ$80-$BJ$79)/2</f>
        <v>7.03</v>
      </c>
      <c r="BL90" s="375">
        <f>$BJ$81</f>
        <v>0.71</v>
      </c>
      <c r="BM90" s="374">
        <f>($BJ$80-$BJ$79)/2</f>
        <v>7.03</v>
      </c>
      <c r="BN90" s="375">
        <f>$BJ$78-$BJ$81</f>
        <v>13.29</v>
      </c>
      <c r="BO90" s="40"/>
      <c r="BP90" s="40" t="s">
        <v>1344</v>
      </c>
      <c r="BQ90" s="40"/>
      <c r="BR90" s="21"/>
    </row>
    <row r="91" spans="1:71" x14ac:dyDescent="0.2">
      <c r="A91" s="30"/>
      <c r="B91" s="21"/>
      <c r="C91" s="106" t="s">
        <v>1347</v>
      </c>
      <c r="D91" s="21"/>
      <c r="E91" s="21"/>
      <c r="F91" s="8"/>
      <c r="G91" s="56"/>
      <c r="H91" s="8"/>
      <c r="I91" s="404"/>
      <c r="W91" s="43"/>
      <c r="AB91" s="579" t="s">
        <v>1641</v>
      </c>
      <c r="AC91" s="580">
        <v>27.8</v>
      </c>
      <c r="AD91" s="581">
        <v>0.72499999999999998</v>
      </c>
      <c r="AE91" s="580">
        <v>14.1</v>
      </c>
      <c r="AF91" s="582">
        <v>1.19</v>
      </c>
      <c r="AN91" s="579" t="s">
        <v>170</v>
      </c>
      <c r="AO91" s="580">
        <v>13.9</v>
      </c>
      <c r="AP91" s="581">
        <v>0.72499999999999998</v>
      </c>
      <c r="AQ91" s="580">
        <v>14.1</v>
      </c>
      <c r="AR91" s="582">
        <v>1.19</v>
      </c>
      <c r="AT91" s="579" t="s">
        <v>488</v>
      </c>
      <c r="AU91" s="583">
        <v>3.5</v>
      </c>
      <c r="AV91" s="583">
        <v>3</v>
      </c>
      <c r="AW91" s="602">
        <v>0.375</v>
      </c>
      <c r="AY91" s="579" t="s">
        <v>616</v>
      </c>
      <c r="AZ91" s="606">
        <v>12</v>
      </c>
      <c r="BA91" s="606">
        <v>3</v>
      </c>
      <c r="BB91" s="606">
        <v>0.3125</v>
      </c>
      <c r="BC91" s="584">
        <v>0.29099999999999998</v>
      </c>
      <c r="BE91" s="579" t="s">
        <v>1002</v>
      </c>
      <c r="BF91" s="602">
        <v>4.5</v>
      </c>
      <c r="BH91" s="337"/>
      <c r="BI91" s="41"/>
      <c r="BJ91" s="232" t="s">
        <v>1245</v>
      </c>
      <c r="BK91" s="374">
        <f>($BJ$80+$BJ$79)/2</f>
        <v>7.47</v>
      </c>
      <c r="BL91" s="375">
        <f>$BJ$81</f>
        <v>0.71</v>
      </c>
      <c r="BM91" s="374">
        <f>($BJ$80+$BJ$79)/2</f>
        <v>7.47</v>
      </c>
      <c r="BN91" s="375">
        <f>$BJ$78-$BJ$81</f>
        <v>13.29</v>
      </c>
      <c r="BO91" s="40"/>
      <c r="BP91" s="40" t="s">
        <v>1345</v>
      </c>
      <c r="BQ91" s="40"/>
      <c r="BR91" s="21"/>
    </row>
    <row r="92" spans="1:71" x14ac:dyDescent="0.2">
      <c r="A92" s="30"/>
      <c r="B92" s="21"/>
      <c r="C92" s="56" t="s">
        <v>1348</v>
      </c>
      <c r="D92" s="276">
        <f>MAX($Y$5:$Y$28,$Z$5:$Z$28)</f>
        <v>16.599998339999999</v>
      </c>
      <c r="E92" s="412" t="s">
        <v>1349</v>
      </c>
      <c r="F92" s="8"/>
      <c r="G92" s="56"/>
      <c r="H92" s="8"/>
      <c r="I92" s="404"/>
      <c r="W92" s="43"/>
      <c r="AB92" s="579" t="s">
        <v>1642</v>
      </c>
      <c r="AC92" s="580">
        <v>27.6</v>
      </c>
      <c r="AD92" s="581">
        <v>0.66</v>
      </c>
      <c r="AE92" s="580">
        <v>14</v>
      </c>
      <c r="AF92" s="582">
        <v>1.08</v>
      </c>
      <c r="AN92" s="579" t="s">
        <v>171</v>
      </c>
      <c r="AO92" s="580">
        <v>13.8</v>
      </c>
      <c r="AP92" s="581">
        <v>0.66</v>
      </c>
      <c r="AQ92" s="580">
        <v>14</v>
      </c>
      <c r="AR92" s="582">
        <v>1.08</v>
      </c>
      <c r="AT92" s="579" t="s">
        <v>489</v>
      </c>
      <c r="AU92" s="583">
        <v>3.5</v>
      </c>
      <c r="AV92" s="583">
        <v>3</v>
      </c>
      <c r="AW92" s="602">
        <v>0.3125</v>
      </c>
      <c r="AY92" s="579" t="s">
        <v>617</v>
      </c>
      <c r="AZ92" s="606">
        <v>12</v>
      </c>
      <c r="BA92" s="606">
        <v>3</v>
      </c>
      <c r="BB92" s="606">
        <v>0.25</v>
      </c>
      <c r="BC92" s="584">
        <v>0.23300000000000001</v>
      </c>
      <c r="BE92" s="579" t="s">
        <v>1003</v>
      </c>
      <c r="BF92" s="602">
        <v>4.5</v>
      </c>
      <c r="BH92" s="337"/>
      <c r="BI92" s="41"/>
      <c r="BJ92" s="232" t="s">
        <v>1250</v>
      </c>
      <c r="BK92" s="374">
        <f>0</f>
        <v>0</v>
      </c>
      <c r="BL92" s="375">
        <f>$BJ$78-$BJ$81</f>
        <v>13.29</v>
      </c>
      <c r="BM92" s="374">
        <f>($BJ$80-$BJ$79)/2</f>
        <v>7.03</v>
      </c>
      <c r="BN92" s="375">
        <f>$BJ$78-$BJ$81</f>
        <v>13.29</v>
      </c>
      <c r="BO92" s="40"/>
      <c r="BP92" s="66"/>
      <c r="BQ92" s="40"/>
      <c r="BR92" s="21"/>
    </row>
    <row r="93" spans="1:71" x14ac:dyDescent="0.2">
      <c r="A93" s="30"/>
      <c r="B93" s="21"/>
      <c r="C93" s="56" t="s">
        <v>1350</v>
      </c>
      <c r="D93" s="277">
        <f>$D$92/(2^(1/2)/2*0.3*70)</f>
        <v>1.1179020375142317</v>
      </c>
      <c r="E93" s="413" t="s">
        <v>1172</v>
      </c>
      <c r="F93" s="21"/>
      <c r="G93" s="21"/>
      <c r="H93" s="21"/>
      <c r="I93" s="24"/>
      <c r="W93" s="43"/>
      <c r="AB93" s="579" t="s">
        <v>1643</v>
      </c>
      <c r="AC93" s="580">
        <v>27.4</v>
      </c>
      <c r="AD93" s="581">
        <v>0.60499999999999998</v>
      </c>
      <c r="AE93" s="580">
        <v>14</v>
      </c>
      <c r="AF93" s="584">
        <v>0.97499999999999998</v>
      </c>
      <c r="AN93" s="579" t="s">
        <v>172</v>
      </c>
      <c r="AO93" s="580">
        <v>13.7</v>
      </c>
      <c r="AP93" s="581">
        <v>0.60499999999999998</v>
      </c>
      <c r="AQ93" s="580">
        <v>14</v>
      </c>
      <c r="AR93" s="584">
        <v>0.97499999999999998</v>
      </c>
      <c r="AT93" s="579" t="s">
        <v>490</v>
      </c>
      <c r="AU93" s="583">
        <v>3.5</v>
      </c>
      <c r="AV93" s="583">
        <v>3</v>
      </c>
      <c r="AW93" s="602">
        <v>0.25</v>
      </c>
      <c r="AY93" s="579" t="s">
        <v>618</v>
      </c>
      <c r="AZ93" s="606">
        <v>12</v>
      </c>
      <c r="BA93" s="606">
        <v>3</v>
      </c>
      <c r="BB93" s="606">
        <v>0.1875</v>
      </c>
      <c r="BC93" s="584">
        <v>0.17399999999999999</v>
      </c>
      <c r="BE93" s="579" t="s">
        <v>1004</v>
      </c>
      <c r="BF93" s="602">
        <v>4.5</v>
      </c>
      <c r="BH93" s="337"/>
      <c r="BI93" s="41"/>
      <c r="BJ93" s="232" t="s">
        <v>1251</v>
      </c>
      <c r="BK93" s="374">
        <f>($BJ$80+$BJ$79)/2</f>
        <v>7.47</v>
      </c>
      <c r="BL93" s="375">
        <f>$BJ$78-$BJ$81</f>
        <v>13.29</v>
      </c>
      <c r="BM93" s="374">
        <f>$BJ$80</f>
        <v>14.5</v>
      </c>
      <c r="BN93" s="375">
        <f>$BJ$78-$BJ$81</f>
        <v>13.29</v>
      </c>
      <c r="BO93" s="40"/>
      <c r="BP93" s="66"/>
      <c r="BQ93" s="40"/>
      <c r="BR93" s="21"/>
    </row>
    <row r="94" spans="1:71" x14ac:dyDescent="0.2">
      <c r="A94" s="30"/>
      <c r="B94" s="21"/>
      <c r="C94" s="56" t="s">
        <v>1351</v>
      </c>
      <c r="D94" s="279">
        <f>$D$92/(0.3*70)</f>
        <v>0.79047611142857144</v>
      </c>
      <c r="E94" s="142" t="s">
        <v>1172</v>
      </c>
      <c r="F94" s="21"/>
      <c r="G94" s="21"/>
      <c r="H94" s="21"/>
      <c r="I94" s="24"/>
      <c r="W94" s="43"/>
      <c r="AB94" s="579" t="s">
        <v>1644</v>
      </c>
      <c r="AC94" s="580">
        <v>27.6</v>
      </c>
      <c r="AD94" s="581">
        <v>0.61</v>
      </c>
      <c r="AE94" s="580">
        <v>10</v>
      </c>
      <c r="AF94" s="582">
        <v>1.1000000000000001</v>
      </c>
      <c r="AN94" s="579" t="s">
        <v>173</v>
      </c>
      <c r="AO94" s="580">
        <v>13.8</v>
      </c>
      <c r="AP94" s="581">
        <v>0.61</v>
      </c>
      <c r="AQ94" s="580">
        <v>10</v>
      </c>
      <c r="AR94" s="582">
        <v>1.1000000000000001</v>
      </c>
      <c r="AT94" s="579" t="s">
        <v>491</v>
      </c>
      <c r="AU94" s="583">
        <v>3.5</v>
      </c>
      <c r="AV94" s="583">
        <v>2.5</v>
      </c>
      <c r="AW94" s="602">
        <v>0.5</v>
      </c>
      <c r="AY94" s="579" t="s">
        <v>619</v>
      </c>
      <c r="AZ94" s="606">
        <v>12</v>
      </c>
      <c r="BA94" s="606">
        <v>2</v>
      </c>
      <c r="BB94" s="606">
        <v>0.3125</v>
      </c>
      <c r="BC94" s="584">
        <v>0.29099999999999998</v>
      </c>
      <c r="BE94" s="579" t="s">
        <v>1005</v>
      </c>
      <c r="BF94" s="602">
        <v>4.5</v>
      </c>
      <c r="BH94" s="337"/>
      <c r="BI94" s="41"/>
      <c r="BJ94" s="232" t="s">
        <v>1252</v>
      </c>
      <c r="BK94" s="374">
        <f>0</f>
        <v>0</v>
      </c>
      <c r="BL94" s="375">
        <f>$BJ$78-$BJ$81</f>
        <v>13.29</v>
      </c>
      <c r="BM94" s="374">
        <f>0</f>
        <v>0</v>
      </c>
      <c r="BN94" s="375">
        <f>$BJ$78</f>
        <v>14</v>
      </c>
      <c r="BO94" s="40"/>
      <c r="BP94" s="40"/>
      <c r="BQ94" s="40"/>
      <c r="BR94" s="21"/>
    </row>
    <row r="95" spans="1:71" x14ac:dyDescent="0.2">
      <c r="A95" s="30"/>
      <c r="B95" s="21"/>
      <c r="C95" s="21"/>
      <c r="D95" s="414"/>
      <c r="E95" s="21"/>
      <c r="F95" s="21"/>
      <c r="G95" s="21"/>
      <c r="H95" s="21"/>
      <c r="I95" s="24"/>
      <c r="W95" s="43"/>
      <c r="AB95" s="579" t="s">
        <v>1645</v>
      </c>
      <c r="AC95" s="580">
        <v>27.3</v>
      </c>
      <c r="AD95" s="581">
        <v>0.56999999999999995</v>
      </c>
      <c r="AE95" s="580">
        <v>10.1</v>
      </c>
      <c r="AF95" s="584">
        <v>0.93</v>
      </c>
      <c r="AN95" s="579" t="s">
        <v>174</v>
      </c>
      <c r="AO95" s="580">
        <v>13.6</v>
      </c>
      <c r="AP95" s="581">
        <v>0.56999999999999995</v>
      </c>
      <c r="AQ95" s="580">
        <v>10.1</v>
      </c>
      <c r="AR95" s="584">
        <v>0.93</v>
      </c>
      <c r="AT95" s="579" t="s">
        <v>492</v>
      </c>
      <c r="AU95" s="583">
        <v>3.5</v>
      </c>
      <c r="AV95" s="583">
        <v>2.5</v>
      </c>
      <c r="AW95" s="602">
        <v>0.375</v>
      </c>
      <c r="AY95" s="579" t="s">
        <v>620</v>
      </c>
      <c r="AZ95" s="606">
        <v>12</v>
      </c>
      <c r="BA95" s="606">
        <v>2</v>
      </c>
      <c r="BB95" s="606">
        <v>0.25</v>
      </c>
      <c r="BC95" s="584">
        <v>0.23300000000000001</v>
      </c>
      <c r="BE95" s="579" t="s">
        <v>1006</v>
      </c>
      <c r="BF95" s="602">
        <v>4</v>
      </c>
      <c r="BH95" s="337"/>
      <c r="BI95" s="41"/>
      <c r="BJ95" s="232" t="s">
        <v>1253</v>
      </c>
      <c r="BK95" s="374">
        <f>$BJ$80</f>
        <v>14.5</v>
      </c>
      <c r="BL95" s="375">
        <f>$BJ$78-$BJ$81</f>
        <v>13.29</v>
      </c>
      <c r="BM95" s="374">
        <f>$BJ$80</f>
        <v>14.5</v>
      </c>
      <c r="BN95" s="375">
        <f>$BJ$78</f>
        <v>14</v>
      </c>
      <c r="BO95" s="40"/>
      <c r="BP95" s="40"/>
      <c r="BQ95" s="40"/>
      <c r="BR95" s="21"/>
    </row>
    <row r="96" spans="1:71" x14ac:dyDescent="0.2">
      <c r="A96" s="30"/>
      <c r="B96" s="21"/>
      <c r="C96" s="21"/>
      <c r="D96" s="21"/>
      <c r="E96" s="21"/>
      <c r="F96" s="21"/>
      <c r="G96" s="21"/>
      <c r="H96" s="57"/>
      <c r="I96" s="415"/>
      <c r="W96" s="43"/>
      <c r="AB96" s="579" t="s">
        <v>1646</v>
      </c>
      <c r="AC96" s="580">
        <v>27.1</v>
      </c>
      <c r="AD96" s="581">
        <v>0.51500000000000001</v>
      </c>
      <c r="AE96" s="580">
        <v>10</v>
      </c>
      <c r="AF96" s="584">
        <v>0.83</v>
      </c>
      <c r="AN96" s="579" t="s">
        <v>175</v>
      </c>
      <c r="AO96" s="580">
        <v>13.5</v>
      </c>
      <c r="AP96" s="581">
        <v>0.51500000000000001</v>
      </c>
      <c r="AQ96" s="580">
        <v>10</v>
      </c>
      <c r="AR96" s="584">
        <v>0.83</v>
      </c>
      <c r="AT96" s="579" t="s">
        <v>493</v>
      </c>
      <c r="AU96" s="583">
        <v>3.5</v>
      </c>
      <c r="AV96" s="583">
        <v>2.5</v>
      </c>
      <c r="AW96" s="602">
        <v>0.3125</v>
      </c>
      <c r="AY96" s="579" t="s">
        <v>621</v>
      </c>
      <c r="AZ96" s="606">
        <v>12</v>
      </c>
      <c r="BA96" s="606">
        <v>2</v>
      </c>
      <c r="BB96" s="606">
        <v>0.1875</v>
      </c>
      <c r="BC96" s="584">
        <v>0.17399999999999999</v>
      </c>
      <c r="BE96" s="579" t="s">
        <v>1007</v>
      </c>
      <c r="BF96" s="602">
        <v>4</v>
      </c>
      <c r="BH96" s="337"/>
      <c r="BI96" s="41"/>
      <c r="BJ96" s="232" t="s">
        <v>1343</v>
      </c>
      <c r="BK96" s="408">
        <f>0</f>
        <v>0</v>
      </c>
      <c r="BL96" s="408">
        <f>$BJ$78</f>
        <v>14</v>
      </c>
      <c r="BM96" s="408">
        <f>$BJ$80</f>
        <v>14.5</v>
      </c>
      <c r="BN96" s="409">
        <f>$BJ$78</f>
        <v>14</v>
      </c>
      <c r="BO96" s="40"/>
    </row>
    <row r="97" spans="1:71" x14ac:dyDescent="0.2">
      <c r="A97" s="30"/>
      <c r="B97" s="21"/>
      <c r="C97" s="21"/>
      <c r="D97" s="21"/>
      <c r="E97" s="21"/>
      <c r="F97" s="21"/>
      <c r="G97" s="21"/>
      <c r="H97" s="12"/>
      <c r="I97" s="416"/>
      <c r="W97" s="43"/>
      <c r="AB97" s="579" t="s">
        <v>1647</v>
      </c>
      <c r="AC97" s="580">
        <v>26.9</v>
      </c>
      <c r="AD97" s="581">
        <v>0.49</v>
      </c>
      <c r="AE97" s="580">
        <v>10</v>
      </c>
      <c r="AF97" s="584">
        <v>0.745</v>
      </c>
      <c r="AN97" s="579" t="s">
        <v>176</v>
      </c>
      <c r="AO97" s="580">
        <v>13.5</v>
      </c>
      <c r="AP97" s="581">
        <v>0.49</v>
      </c>
      <c r="AQ97" s="580">
        <v>10</v>
      </c>
      <c r="AR97" s="584">
        <v>0.745</v>
      </c>
      <c r="AT97" s="579" t="s">
        <v>494</v>
      </c>
      <c r="AU97" s="583">
        <v>3.5</v>
      </c>
      <c r="AV97" s="583">
        <v>2.5</v>
      </c>
      <c r="AW97" s="602">
        <v>0.25</v>
      </c>
      <c r="AY97" s="579" t="s">
        <v>622</v>
      </c>
      <c r="AZ97" s="606">
        <v>10</v>
      </c>
      <c r="BA97" s="606">
        <v>10</v>
      </c>
      <c r="BB97" s="606">
        <v>0.625</v>
      </c>
      <c r="BC97" s="584">
        <v>0.58099999999999996</v>
      </c>
      <c r="BE97" s="579" t="s">
        <v>1008</v>
      </c>
      <c r="BF97" s="602">
        <v>4</v>
      </c>
      <c r="BH97" s="337"/>
      <c r="BI97" s="41"/>
      <c r="BJ97" s="232"/>
      <c r="BK97" s="11"/>
      <c r="BL97" s="11"/>
      <c r="BM97" s="11"/>
      <c r="BN97" s="11"/>
      <c r="BO97" s="40"/>
    </row>
    <row r="98" spans="1:71" x14ac:dyDescent="0.2">
      <c r="A98" s="30"/>
      <c r="B98" s="21"/>
      <c r="C98" s="21"/>
      <c r="D98" s="21"/>
      <c r="E98" s="21"/>
      <c r="F98" s="21"/>
      <c r="G98" s="21"/>
      <c r="H98" s="12"/>
      <c r="I98" s="417"/>
      <c r="W98" s="43"/>
      <c r="AB98" s="579" t="s">
        <v>1648</v>
      </c>
      <c r="AC98" s="580">
        <v>26.7</v>
      </c>
      <c r="AD98" s="581">
        <v>0.46</v>
      </c>
      <c r="AE98" s="580">
        <v>10</v>
      </c>
      <c r="AF98" s="584">
        <v>0.64</v>
      </c>
      <c r="AN98" s="579" t="s">
        <v>177</v>
      </c>
      <c r="AO98" s="580">
        <v>13.4</v>
      </c>
      <c r="AP98" s="581">
        <v>0.46</v>
      </c>
      <c r="AQ98" s="580">
        <v>10</v>
      </c>
      <c r="AR98" s="584">
        <v>0.64</v>
      </c>
      <c r="AT98" s="579" t="s">
        <v>495</v>
      </c>
      <c r="AU98" s="583">
        <v>3</v>
      </c>
      <c r="AV98" s="583">
        <v>3</v>
      </c>
      <c r="AW98" s="602">
        <v>0.5</v>
      </c>
      <c r="AY98" s="579" t="s">
        <v>623</v>
      </c>
      <c r="AZ98" s="606">
        <v>10</v>
      </c>
      <c r="BA98" s="606">
        <v>10</v>
      </c>
      <c r="BB98" s="606">
        <v>0.5</v>
      </c>
      <c r="BC98" s="584">
        <v>0.46500000000000002</v>
      </c>
      <c r="BE98" s="579" t="s">
        <v>1009</v>
      </c>
      <c r="BF98" s="602">
        <v>4</v>
      </c>
      <c r="BH98" s="337"/>
      <c r="BI98" s="410" t="s">
        <v>1528</v>
      </c>
      <c r="BJ98" s="40"/>
      <c r="BK98" s="40"/>
      <c r="BL98" s="40"/>
      <c r="BM98" s="40"/>
      <c r="BN98" s="40"/>
      <c r="BO98" s="40"/>
      <c r="BP98" s="40"/>
      <c r="BQ98" s="40"/>
      <c r="BR98" s="21"/>
    </row>
    <row r="99" spans="1:71" x14ac:dyDescent="0.2">
      <c r="A99" s="30"/>
      <c r="B99" s="21"/>
      <c r="C99" s="21"/>
      <c r="D99" s="21"/>
      <c r="E99" s="21"/>
      <c r="F99" s="21"/>
      <c r="G99" s="21"/>
      <c r="H99" s="21"/>
      <c r="I99" s="24"/>
      <c r="AB99" s="579" t="s">
        <v>1649</v>
      </c>
      <c r="AC99" s="580">
        <v>28</v>
      </c>
      <c r="AD99" s="583">
        <v>1.52</v>
      </c>
      <c r="AE99" s="580">
        <v>13.7</v>
      </c>
      <c r="AF99" s="582">
        <v>2.72</v>
      </c>
      <c r="AN99" s="579" t="s">
        <v>178</v>
      </c>
      <c r="AO99" s="580">
        <v>14</v>
      </c>
      <c r="AP99" s="583">
        <v>1.52</v>
      </c>
      <c r="AQ99" s="580">
        <v>13.7</v>
      </c>
      <c r="AR99" s="582">
        <v>2.72</v>
      </c>
      <c r="AT99" s="579" t="s">
        <v>496</v>
      </c>
      <c r="AU99" s="583">
        <v>3</v>
      </c>
      <c r="AV99" s="583">
        <v>3</v>
      </c>
      <c r="AW99" s="602">
        <v>0.4375</v>
      </c>
      <c r="AY99" s="579" t="s">
        <v>624</v>
      </c>
      <c r="AZ99" s="606">
        <v>10</v>
      </c>
      <c r="BA99" s="606">
        <v>10</v>
      </c>
      <c r="BB99" s="606">
        <v>0.375</v>
      </c>
      <c r="BC99" s="584">
        <v>0.34899999999999998</v>
      </c>
      <c r="BE99" s="579" t="s">
        <v>1010</v>
      </c>
      <c r="BF99" s="602">
        <v>4</v>
      </c>
      <c r="BH99" s="337"/>
      <c r="BI99" s="59" t="s">
        <v>1526</v>
      </c>
      <c r="BJ99" s="40"/>
      <c r="BK99" s="40"/>
      <c r="BL99" s="40"/>
      <c r="BM99" s="40"/>
      <c r="BN99" s="40"/>
      <c r="BO99" s="40"/>
      <c r="BP99" s="40"/>
      <c r="BQ99" s="40"/>
      <c r="BR99" s="21"/>
    </row>
    <row r="100" spans="1:71" x14ac:dyDescent="0.2">
      <c r="A100" s="31"/>
      <c r="B100" s="32"/>
      <c r="C100" s="32"/>
      <c r="D100" s="32"/>
      <c r="E100" s="32"/>
      <c r="F100" s="32"/>
      <c r="G100" s="32"/>
      <c r="H100" s="32"/>
      <c r="I100" s="33"/>
      <c r="AB100" s="579" t="s">
        <v>1650</v>
      </c>
      <c r="AC100" s="580">
        <v>27.5</v>
      </c>
      <c r="AD100" s="583">
        <v>1.38</v>
      </c>
      <c r="AE100" s="580">
        <v>13.5</v>
      </c>
      <c r="AF100" s="582">
        <v>2.48</v>
      </c>
      <c r="AN100" s="579" t="s">
        <v>179</v>
      </c>
      <c r="AO100" s="580">
        <v>13.8</v>
      </c>
      <c r="AP100" s="583">
        <v>1.38</v>
      </c>
      <c r="AQ100" s="580">
        <v>13.5</v>
      </c>
      <c r="AR100" s="582">
        <v>2.48</v>
      </c>
      <c r="AT100" s="579" t="s">
        <v>497</v>
      </c>
      <c r="AU100" s="583">
        <v>3</v>
      </c>
      <c r="AV100" s="583">
        <v>3</v>
      </c>
      <c r="AW100" s="602">
        <v>0.375</v>
      </c>
      <c r="AY100" s="579" t="s">
        <v>625</v>
      </c>
      <c r="AZ100" s="606">
        <v>10</v>
      </c>
      <c r="BA100" s="606">
        <v>10</v>
      </c>
      <c r="BB100" s="606">
        <v>0.3125</v>
      </c>
      <c r="BC100" s="584">
        <v>0.29099999999999998</v>
      </c>
      <c r="BE100" s="579" t="s">
        <v>1011</v>
      </c>
      <c r="BF100" s="602">
        <v>4</v>
      </c>
      <c r="BH100" s="337"/>
      <c r="BI100" s="59" t="s">
        <v>1541</v>
      </c>
      <c r="BJ100" s="40"/>
      <c r="BK100" s="40"/>
      <c r="BL100" s="40"/>
      <c r="BM100" s="40"/>
      <c r="BN100" s="40"/>
      <c r="BO100" s="40"/>
      <c r="BP100" s="40"/>
      <c r="BQ100" s="40"/>
      <c r="BR100" s="21"/>
    </row>
    <row r="101" spans="1:71" x14ac:dyDescent="0.2">
      <c r="AB101" s="579" t="s">
        <v>1651</v>
      </c>
      <c r="AC101" s="580">
        <v>27.1</v>
      </c>
      <c r="AD101" s="583">
        <v>1.26</v>
      </c>
      <c r="AE101" s="580">
        <v>13.4</v>
      </c>
      <c r="AF101" s="582">
        <v>2.2799999999999998</v>
      </c>
      <c r="AN101" s="579" t="s">
        <v>180</v>
      </c>
      <c r="AO101" s="580">
        <v>13.6</v>
      </c>
      <c r="AP101" s="583">
        <v>1.26</v>
      </c>
      <c r="AQ101" s="580">
        <v>13.4</v>
      </c>
      <c r="AR101" s="582">
        <v>2.2799999999999998</v>
      </c>
      <c r="AT101" s="579" t="s">
        <v>498</v>
      </c>
      <c r="AU101" s="583">
        <v>3</v>
      </c>
      <c r="AV101" s="583">
        <v>3</v>
      </c>
      <c r="AW101" s="602">
        <v>0.3125</v>
      </c>
      <c r="AY101" s="579" t="s">
        <v>626</v>
      </c>
      <c r="AZ101" s="606">
        <v>10</v>
      </c>
      <c r="BA101" s="606">
        <v>10</v>
      </c>
      <c r="BB101" s="606">
        <v>0.25</v>
      </c>
      <c r="BC101" s="584">
        <v>0.23300000000000001</v>
      </c>
      <c r="BE101" s="579" t="s">
        <v>1012</v>
      </c>
      <c r="BF101" s="602">
        <v>4</v>
      </c>
      <c r="BH101" s="337"/>
      <c r="BI101" s="41"/>
      <c r="BJ101" s="232"/>
      <c r="BK101" s="11"/>
      <c r="BL101" s="11"/>
      <c r="BM101" s="11"/>
      <c r="BN101" s="11"/>
      <c r="BO101" s="40"/>
      <c r="BP101" s="40"/>
      <c r="BQ101" s="40"/>
      <c r="BR101" s="21"/>
    </row>
    <row r="102" spans="1:71" x14ac:dyDescent="0.2">
      <c r="AB102" s="579" t="s">
        <v>1652</v>
      </c>
      <c r="AC102" s="580">
        <v>26.7</v>
      </c>
      <c r="AD102" s="583">
        <v>1.1599999999999999</v>
      </c>
      <c r="AE102" s="580">
        <v>13.3</v>
      </c>
      <c r="AF102" s="582">
        <v>2.09</v>
      </c>
      <c r="AN102" s="579" t="s">
        <v>181</v>
      </c>
      <c r="AO102" s="580">
        <v>13.4</v>
      </c>
      <c r="AP102" s="583">
        <v>1.1599999999999999</v>
      </c>
      <c r="AQ102" s="580">
        <v>13.3</v>
      </c>
      <c r="AR102" s="582">
        <v>2.09</v>
      </c>
      <c r="AT102" s="579" t="s">
        <v>499</v>
      </c>
      <c r="AU102" s="583">
        <v>3</v>
      </c>
      <c r="AV102" s="583">
        <v>3</v>
      </c>
      <c r="AW102" s="602">
        <v>0.25</v>
      </c>
      <c r="AY102" s="579" t="s">
        <v>627</v>
      </c>
      <c r="AZ102" s="606">
        <v>10</v>
      </c>
      <c r="BA102" s="606">
        <v>10</v>
      </c>
      <c r="BB102" s="606">
        <v>0.1875</v>
      </c>
      <c r="BC102" s="584">
        <v>0.17399999999999999</v>
      </c>
      <c r="BE102" s="579" t="s">
        <v>1013</v>
      </c>
      <c r="BF102" s="602">
        <v>3.5</v>
      </c>
      <c r="BH102" s="337"/>
      <c r="BJ102" s="232"/>
      <c r="BK102" s="11"/>
      <c r="BL102" s="11"/>
      <c r="BM102" s="11"/>
      <c r="BN102" s="11"/>
      <c r="BO102" s="66"/>
    </row>
    <row r="103" spans="1:71" x14ac:dyDescent="0.2">
      <c r="AB103" s="579" t="s">
        <v>1653</v>
      </c>
      <c r="AC103" s="580">
        <v>26.3</v>
      </c>
      <c r="AD103" s="583">
        <v>1.04</v>
      </c>
      <c r="AE103" s="580">
        <v>13.2</v>
      </c>
      <c r="AF103" s="582">
        <v>1.89</v>
      </c>
      <c r="AN103" s="579" t="s">
        <v>182</v>
      </c>
      <c r="AO103" s="580">
        <v>13.2</v>
      </c>
      <c r="AP103" s="583">
        <v>1.04</v>
      </c>
      <c r="AQ103" s="580">
        <v>13.2</v>
      </c>
      <c r="AR103" s="582">
        <v>1.89</v>
      </c>
      <c r="AT103" s="579" t="s">
        <v>500</v>
      </c>
      <c r="AU103" s="583">
        <v>3</v>
      </c>
      <c r="AV103" s="583">
        <v>3</v>
      </c>
      <c r="AW103" s="602">
        <v>0.1875</v>
      </c>
      <c r="AY103" s="579" t="s">
        <v>628</v>
      </c>
      <c r="AZ103" s="606">
        <v>10</v>
      </c>
      <c r="BA103" s="606">
        <v>8</v>
      </c>
      <c r="BB103" s="606">
        <v>0.625</v>
      </c>
      <c r="BC103" s="584">
        <v>0.58099999999999996</v>
      </c>
      <c r="BE103" s="579" t="s">
        <v>1014</v>
      </c>
      <c r="BF103" s="602">
        <v>3.5</v>
      </c>
      <c r="BH103" s="45" t="s">
        <v>1537</v>
      </c>
      <c r="BI103" s="337"/>
      <c r="BJ103" s="337"/>
      <c r="BK103" s="337"/>
      <c r="BL103" s="337"/>
      <c r="BM103" s="337"/>
      <c r="BN103" s="337"/>
      <c r="BO103" s="337"/>
      <c r="BP103" s="337"/>
      <c r="BQ103" s="337"/>
    </row>
    <row r="104" spans="1:71" x14ac:dyDescent="0.2">
      <c r="AB104" s="579" t="s">
        <v>1654</v>
      </c>
      <c r="AC104" s="580">
        <v>26</v>
      </c>
      <c r="AD104" s="581">
        <v>0.96</v>
      </c>
      <c r="AE104" s="580">
        <v>13.1</v>
      </c>
      <c r="AF104" s="582">
        <v>1.73</v>
      </c>
      <c r="AN104" s="579" t="s">
        <v>183</v>
      </c>
      <c r="AO104" s="580">
        <v>13</v>
      </c>
      <c r="AP104" s="581">
        <v>0.96</v>
      </c>
      <c r="AQ104" s="580">
        <v>13.1</v>
      </c>
      <c r="AR104" s="582">
        <v>1.73</v>
      </c>
      <c r="AT104" s="579" t="s">
        <v>501</v>
      </c>
      <c r="AU104" s="583">
        <v>3</v>
      </c>
      <c r="AV104" s="583">
        <v>2.5</v>
      </c>
      <c r="AW104" s="602">
        <v>0.5</v>
      </c>
      <c r="AY104" s="579" t="s">
        <v>629</v>
      </c>
      <c r="AZ104" s="606">
        <v>10</v>
      </c>
      <c r="BA104" s="606">
        <v>8</v>
      </c>
      <c r="BB104" s="606">
        <v>0.5</v>
      </c>
      <c r="BC104" s="584">
        <v>0.46500000000000002</v>
      </c>
      <c r="BE104" s="579" t="s">
        <v>1015</v>
      </c>
      <c r="BF104" s="602">
        <v>3.5</v>
      </c>
      <c r="BH104" s="337"/>
      <c r="BI104" s="42"/>
      <c r="BJ104" s="42"/>
      <c r="BK104" s="42"/>
      <c r="BL104" s="42"/>
      <c r="BM104" s="42"/>
      <c r="BN104" s="42"/>
      <c r="BO104" s="42"/>
      <c r="BP104" s="42"/>
      <c r="BQ104" s="42"/>
      <c r="BR104" s="21"/>
    </row>
    <row r="105" spans="1:71" x14ac:dyDescent="0.2">
      <c r="AB105" s="579" t="s">
        <v>1655</v>
      </c>
      <c r="AC105" s="580">
        <v>25.7</v>
      </c>
      <c r="AD105" s="581">
        <v>0.87</v>
      </c>
      <c r="AE105" s="580">
        <v>13</v>
      </c>
      <c r="AF105" s="582">
        <v>1.57</v>
      </c>
      <c r="AN105" s="579" t="s">
        <v>184</v>
      </c>
      <c r="AO105" s="580">
        <v>12.9</v>
      </c>
      <c r="AP105" s="581">
        <v>0.87</v>
      </c>
      <c r="AQ105" s="580">
        <v>13</v>
      </c>
      <c r="AR105" s="582">
        <v>1.57</v>
      </c>
      <c r="AT105" s="579" t="s">
        <v>502</v>
      </c>
      <c r="AU105" s="583">
        <v>3</v>
      </c>
      <c r="AV105" s="583">
        <v>2.5</v>
      </c>
      <c r="AW105" s="602">
        <v>0.4375</v>
      </c>
      <c r="AY105" s="579" t="s">
        <v>630</v>
      </c>
      <c r="AZ105" s="606">
        <v>10</v>
      </c>
      <c r="BA105" s="606">
        <v>8</v>
      </c>
      <c r="BB105" s="606">
        <v>0.375</v>
      </c>
      <c r="BC105" s="584">
        <v>0.34899999999999998</v>
      </c>
      <c r="BE105" s="579" t="s">
        <v>1016</v>
      </c>
      <c r="BF105" s="602">
        <v>3.5</v>
      </c>
      <c r="BH105" s="337"/>
      <c r="BI105" s="567" t="s">
        <v>1536</v>
      </c>
      <c r="BJ105" s="37"/>
      <c r="BK105" s="37"/>
      <c r="BL105" s="37"/>
      <c r="BM105" s="37"/>
      <c r="BN105" s="37"/>
      <c r="BO105" s="37"/>
      <c r="BP105" s="37"/>
      <c r="BQ105" s="37"/>
      <c r="BR105" s="341"/>
    </row>
    <row r="106" spans="1:71" x14ac:dyDescent="0.2">
      <c r="AB106" s="579" t="s">
        <v>1656</v>
      </c>
      <c r="AC106" s="580">
        <v>25.5</v>
      </c>
      <c r="AD106" s="581">
        <v>0.81</v>
      </c>
      <c r="AE106" s="580">
        <v>13</v>
      </c>
      <c r="AF106" s="582">
        <v>1.46</v>
      </c>
      <c r="AN106" s="579" t="s">
        <v>185</v>
      </c>
      <c r="AO106" s="580">
        <v>12.7</v>
      </c>
      <c r="AP106" s="581">
        <v>0.81</v>
      </c>
      <c r="AQ106" s="580">
        <v>13</v>
      </c>
      <c r="AR106" s="582">
        <v>1.46</v>
      </c>
      <c r="AT106" s="579" t="s">
        <v>503</v>
      </c>
      <c r="AU106" s="583">
        <v>3</v>
      </c>
      <c r="AV106" s="583">
        <v>2.5</v>
      </c>
      <c r="AW106" s="602">
        <v>0.375</v>
      </c>
      <c r="AY106" s="579" t="s">
        <v>631</v>
      </c>
      <c r="AZ106" s="606">
        <v>10</v>
      </c>
      <c r="BA106" s="606">
        <v>8</v>
      </c>
      <c r="BB106" s="606">
        <v>0.3125</v>
      </c>
      <c r="BC106" s="584">
        <v>0.29099999999999998</v>
      </c>
      <c r="BE106" s="579" t="s">
        <v>1017</v>
      </c>
      <c r="BF106" s="602">
        <v>3.5</v>
      </c>
      <c r="BH106" s="337"/>
      <c r="BI106" s="41"/>
      <c r="BO106" s="40"/>
    </row>
    <row r="107" spans="1:71" x14ac:dyDescent="0.2">
      <c r="AB107" s="579" t="s">
        <v>1657</v>
      </c>
      <c r="AC107" s="580">
        <v>25.2</v>
      </c>
      <c r="AD107" s="581">
        <v>0.75</v>
      </c>
      <c r="AE107" s="580">
        <v>12.9</v>
      </c>
      <c r="AF107" s="582">
        <v>1.34</v>
      </c>
      <c r="AN107" s="579" t="s">
        <v>186</v>
      </c>
      <c r="AO107" s="580">
        <v>12.6</v>
      </c>
      <c r="AP107" s="581">
        <v>0.75</v>
      </c>
      <c r="AQ107" s="580">
        <v>12.9</v>
      </c>
      <c r="AR107" s="582">
        <v>1.34</v>
      </c>
      <c r="AT107" s="579" t="s">
        <v>504</v>
      </c>
      <c r="AU107" s="583">
        <v>3</v>
      </c>
      <c r="AV107" s="583">
        <v>2.5</v>
      </c>
      <c r="AW107" s="602">
        <v>0.3125</v>
      </c>
      <c r="AY107" s="579" t="s">
        <v>632</v>
      </c>
      <c r="AZ107" s="606">
        <v>10</v>
      </c>
      <c r="BA107" s="606">
        <v>8</v>
      </c>
      <c r="BB107" s="606">
        <v>0.25</v>
      </c>
      <c r="BC107" s="584">
        <v>0.23300000000000001</v>
      </c>
      <c r="BE107" s="579" t="s">
        <v>1018</v>
      </c>
      <c r="BF107" s="602">
        <v>3.5</v>
      </c>
      <c r="BH107" s="337"/>
      <c r="BI107" s="69" t="s">
        <v>731</v>
      </c>
      <c r="BJ107" s="610" t="s">
        <v>274</v>
      </c>
      <c r="BK107" s="40"/>
      <c r="BO107" s="40"/>
      <c r="BP107" s="566" t="str">
        <f>"              bf="&amp;$BJ$110</f>
        <v xml:space="preserve">              bf=14.5</v>
      </c>
      <c r="BQ107" s="40"/>
      <c r="BR107" s="21"/>
    </row>
    <row r="108" spans="1:71" x14ac:dyDescent="0.2">
      <c r="AB108" s="579" t="s">
        <v>1658</v>
      </c>
      <c r="AC108" s="580">
        <v>25</v>
      </c>
      <c r="AD108" s="581">
        <v>0.70499999999999996</v>
      </c>
      <c r="AE108" s="580">
        <v>13</v>
      </c>
      <c r="AF108" s="582">
        <v>1.22</v>
      </c>
      <c r="AN108" s="579" t="s">
        <v>187</v>
      </c>
      <c r="AO108" s="580">
        <v>12.5</v>
      </c>
      <c r="AP108" s="581">
        <v>0.70499999999999996</v>
      </c>
      <c r="AQ108" s="580">
        <v>13</v>
      </c>
      <c r="AR108" s="582">
        <v>1.22</v>
      </c>
      <c r="AT108" s="579" t="s">
        <v>505</v>
      </c>
      <c r="AU108" s="583">
        <v>3</v>
      </c>
      <c r="AV108" s="583">
        <v>2.5</v>
      </c>
      <c r="AW108" s="602">
        <v>0.25</v>
      </c>
      <c r="AY108" s="579" t="s">
        <v>633</v>
      </c>
      <c r="AZ108" s="606">
        <v>10</v>
      </c>
      <c r="BA108" s="606">
        <v>8</v>
      </c>
      <c r="BB108" s="606">
        <v>0.1875</v>
      </c>
      <c r="BC108" s="584">
        <v>0.17399999999999999</v>
      </c>
      <c r="BE108" s="579" t="s">
        <v>1019</v>
      </c>
      <c r="BF108" s="602">
        <v>3.5</v>
      </c>
      <c r="BH108" s="337"/>
      <c r="BI108" s="232" t="s">
        <v>733</v>
      </c>
      <c r="BJ108" s="611">
        <f>VLOOKUP($BJ$107,$AN$4:$AR$319,2,FALSE)</f>
        <v>7.01</v>
      </c>
      <c r="BK108" s="237" t="s">
        <v>1172</v>
      </c>
      <c r="BO108" s="40"/>
      <c r="BP108" s="40"/>
      <c r="BQ108" s="40"/>
      <c r="BR108" s="21"/>
      <c r="BS108" s="566" t="str">
        <f>"tf="&amp;$BJ$111</f>
        <v>tf=0.71</v>
      </c>
    </row>
    <row r="109" spans="1:71" x14ac:dyDescent="0.2">
      <c r="AB109" s="579" t="s">
        <v>1659</v>
      </c>
      <c r="AC109" s="580">
        <v>24.7</v>
      </c>
      <c r="AD109" s="581">
        <v>0.65</v>
      </c>
      <c r="AE109" s="580">
        <v>12.9</v>
      </c>
      <c r="AF109" s="582">
        <v>1.0900000000000001</v>
      </c>
      <c r="AN109" s="579" t="s">
        <v>188</v>
      </c>
      <c r="AO109" s="580">
        <v>12.4</v>
      </c>
      <c r="AP109" s="581">
        <v>0.65</v>
      </c>
      <c r="AQ109" s="580">
        <v>12.9</v>
      </c>
      <c r="AR109" s="582">
        <v>1.0900000000000001</v>
      </c>
      <c r="AT109" s="579" t="s">
        <v>506</v>
      </c>
      <c r="AU109" s="583">
        <v>3</v>
      </c>
      <c r="AV109" s="583">
        <v>2.5</v>
      </c>
      <c r="AW109" s="602">
        <v>0.1875</v>
      </c>
      <c r="AY109" s="579" t="s">
        <v>634</v>
      </c>
      <c r="AZ109" s="606">
        <v>10</v>
      </c>
      <c r="BA109" s="606">
        <v>6</v>
      </c>
      <c r="BB109" s="606">
        <v>0.625</v>
      </c>
      <c r="BC109" s="584">
        <v>0.58099999999999996</v>
      </c>
      <c r="BE109" s="579" t="s">
        <v>1020</v>
      </c>
      <c r="BF109" s="602">
        <v>3</v>
      </c>
      <c r="BH109" s="337"/>
      <c r="BI109" s="232" t="s">
        <v>734</v>
      </c>
      <c r="BJ109" s="612">
        <f>VLOOKUP($BJ$107,$AN$4:$AR$319,3,FALSE)</f>
        <v>0.44</v>
      </c>
      <c r="BK109" s="237" t="s">
        <v>1172</v>
      </c>
      <c r="BP109" s="40"/>
      <c r="BQ109" s="40"/>
      <c r="BR109" s="21"/>
    </row>
    <row r="110" spans="1:71" x14ac:dyDescent="0.2">
      <c r="AB110" s="579" t="s">
        <v>1660</v>
      </c>
      <c r="AC110" s="580">
        <v>24.5</v>
      </c>
      <c r="AD110" s="581">
        <v>0.60499999999999998</v>
      </c>
      <c r="AE110" s="580">
        <v>12.9</v>
      </c>
      <c r="AF110" s="584">
        <v>0.96</v>
      </c>
      <c r="AN110" s="579" t="s">
        <v>189</v>
      </c>
      <c r="AO110" s="580">
        <v>12.2</v>
      </c>
      <c r="AP110" s="581">
        <v>0.60499999999999998</v>
      </c>
      <c r="AQ110" s="580">
        <v>12.9</v>
      </c>
      <c r="AR110" s="584">
        <v>0.96</v>
      </c>
      <c r="AT110" s="579" t="s">
        <v>507</v>
      </c>
      <c r="AU110" s="583">
        <v>3</v>
      </c>
      <c r="AV110" s="583">
        <v>2</v>
      </c>
      <c r="AW110" s="602">
        <v>0.5</v>
      </c>
      <c r="AY110" s="579" t="s">
        <v>635</v>
      </c>
      <c r="AZ110" s="606">
        <v>10</v>
      </c>
      <c r="BA110" s="606">
        <v>6</v>
      </c>
      <c r="BB110" s="606">
        <v>0.5</v>
      </c>
      <c r="BC110" s="584">
        <v>0.46500000000000002</v>
      </c>
      <c r="BE110" s="579" t="s">
        <v>1021</v>
      </c>
      <c r="BF110" s="602">
        <v>3</v>
      </c>
      <c r="BH110" s="337"/>
      <c r="BI110" s="232" t="s">
        <v>735</v>
      </c>
      <c r="BJ110" s="612">
        <f>VLOOKUP($BJ$107,$AN$4:$AR$319,4,FALSE)</f>
        <v>14.5</v>
      </c>
      <c r="BK110" s="237" t="s">
        <v>1172</v>
      </c>
    </row>
    <row r="111" spans="1:71" x14ac:dyDescent="0.2">
      <c r="AB111" s="579" t="s">
        <v>1661</v>
      </c>
      <c r="AC111" s="580">
        <v>24.3</v>
      </c>
      <c r="AD111" s="581">
        <v>0.55000000000000004</v>
      </c>
      <c r="AE111" s="580">
        <v>12.8</v>
      </c>
      <c r="AF111" s="584">
        <v>0.85</v>
      </c>
      <c r="AN111" s="579" t="s">
        <v>190</v>
      </c>
      <c r="AO111" s="580">
        <v>12.1</v>
      </c>
      <c r="AP111" s="581">
        <v>0.55000000000000004</v>
      </c>
      <c r="AQ111" s="580">
        <v>12.8</v>
      </c>
      <c r="AR111" s="584">
        <v>0.85</v>
      </c>
      <c r="AT111" s="579" t="s">
        <v>508</v>
      </c>
      <c r="AU111" s="583">
        <v>3</v>
      </c>
      <c r="AV111" s="583">
        <v>2</v>
      </c>
      <c r="AW111" s="602">
        <v>0.375</v>
      </c>
      <c r="AY111" s="579" t="s">
        <v>636</v>
      </c>
      <c r="AZ111" s="606">
        <v>10</v>
      </c>
      <c r="BA111" s="606">
        <v>6</v>
      </c>
      <c r="BB111" s="606">
        <v>0.375</v>
      </c>
      <c r="BC111" s="584">
        <v>0.34899999999999998</v>
      </c>
      <c r="BE111" s="579" t="s">
        <v>1022</v>
      </c>
      <c r="BF111" s="602">
        <v>3</v>
      </c>
      <c r="BH111" s="337"/>
      <c r="BI111" s="232" t="s">
        <v>736</v>
      </c>
      <c r="BJ111" s="613">
        <f>VLOOKUP($BJ$107,$AN$4:$AR$319,5,FALSE)</f>
        <v>0.71</v>
      </c>
      <c r="BK111" s="237" t="s">
        <v>1172</v>
      </c>
    </row>
    <row r="112" spans="1:71" x14ac:dyDescent="0.2">
      <c r="AB112" s="579" t="s">
        <v>1662</v>
      </c>
      <c r="AC112" s="580">
        <v>24.1</v>
      </c>
      <c r="AD112" s="581">
        <v>0.5</v>
      </c>
      <c r="AE112" s="580">
        <v>12.8</v>
      </c>
      <c r="AF112" s="584">
        <v>0.75</v>
      </c>
      <c r="AN112" s="579" t="s">
        <v>191</v>
      </c>
      <c r="AO112" s="580">
        <v>12</v>
      </c>
      <c r="AP112" s="581">
        <v>0.5</v>
      </c>
      <c r="AQ112" s="580">
        <v>12.8</v>
      </c>
      <c r="AR112" s="584">
        <v>0.75</v>
      </c>
      <c r="AT112" s="579" t="s">
        <v>509</v>
      </c>
      <c r="AU112" s="583">
        <v>3</v>
      </c>
      <c r="AV112" s="583">
        <v>2</v>
      </c>
      <c r="AW112" s="602">
        <v>0.3125</v>
      </c>
      <c r="AY112" s="579" t="s">
        <v>637</v>
      </c>
      <c r="AZ112" s="606">
        <v>10</v>
      </c>
      <c r="BA112" s="606">
        <v>6</v>
      </c>
      <c r="BB112" s="606">
        <v>0.3125</v>
      </c>
      <c r="BC112" s="584">
        <v>0.29099999999999998</v>
      </c>
      <c r="BE112" s="579" t="s">
        <v>1023</v>
      </c>
      <c r="BF112" s="602">
        <v>3</v>
      </c>
      <c r="BH112" s="337"/>
      <c r="BI112" s="41"/>
      <c r="BJ112" s="40"/>
      <c r="BK112" s="137" t="s">
        <v>1240</v>
      </c>
      <c r="BL112" s="37"/>
      <c r="BM112" s="37"/>
      <c r="BN112" s="37"/>
      <c r="BO112" s="40"/>
      <c r="BP112" s="566" t="str">
        <f>" tw="&amp;$BJ$109</f>
        <v xml:space="preserve"> tw=0.44</v>
      </c>
      <c r="BR112" s="566" t="str">
        <f>"         d="&amp;$BJ$108</f>
        <v xml:space="preserve">         d=7.01</v>
      </c>
    </row>
    <row r="113" spans="28:70" x14ac:dyDescent="0.2">
      <c r="AB113" s="579" t="s">
        <v>1663</v>
      </c>
      <c r="AC113" s="580">
        <v>24.5</v>
      </c>
      <c r="AD113" s="581">
        <v>0.55000000000000004</v>
      </c>
      <c r="AE113" s="583">
        <v>9</v>
      </c>
      <c r="AF113" s="584">
        <v>0.98</v>
      </c>
      <c r="AN113" s="579" t="s">
        <v>192</v>
      </c>
      <c r="AO113" s="580">
        <v>12.3</v>
      </c>
      <c r="AP113" s="581">
        <v>0.55000000000000004</v>
      </c>
      <c r="AQ113" s="583">
        <v>9</v>
      </c>
      <c r="AR113" s="584">
        <v>0.98</v>
      </c>
      <c r="AT113" s="579" t="s">
        <v>510</v>
      </c>
      <c r="AU113" s="583">
        <v>3</v>
      </c>
      <c r="AV113" s="583">
        <v>2</v>
      </c>
      <c r="AW113" s="602">
        <v>0.25</v>
      </c>
      <c r="AY113" s="579" t="s">
        <v>638</v>
      </c>
      <c r="AZ113" s="606">
        <v>10</v>
      </c>
      <c r="BA113" s="606">
        <v>6</v>
      </c>
      <c r="BB113" s="606">
        <v>0.25</v>
      </c>
      <c r="BC113" s="584">
        <v>0.23300000000000001</v>
      </c>
      <c r="BE113" s="579" t="s">
        <v>1024</v>
      </c>
      <c r="BF113" s="602">
        <v>3</v>
      </c>
      <c r="BH113" s="337"/>
      <c r="BI113" s="41"/>
      <c r="BJ113" s="42"/>
      <c r="BK113" s="137" t="s">
        <v>1243</v>
      </c>
      <c r="BL113" s="37"/>
      <c r="BM113" s="137" t="s">
        <v>1244</v>
      </c>
      <c r="BN113" s="37"/>
      <c r="BO113" s="40"/>
      <c r="BP113" s="40"/>
      <c r="BQ113" s="40"/>
      <c r="BR113" s="21"/>
    </row>
    <row r="114" spans="28:70" x14ac:dyDescent="0.2">
      <c r="AB114" s="579" t="s">
        <v>1664</v>
      </c>
      <c r="AC114" s="580">
        <v>24.3</v>
      </c>
      <c r="AD114" s="581">
        <v>0.51500000000000001</v>
      </c>
      <c r="AE114" s="583">
        <v>9.07</v>
      </c>
      <c r="AF114" s="584">
        <v>0.875</v>
      </c>
      <c r="AN114" s="579" t="s">
        <v>193</v>
      </c>
      <c r="AO114" s="580">
        <v>12.2</v>
      </c>
      <c r="AP114" s="581">
        <v>0.51500000000000001</v>
      </c>
      <c r="AQ114" s="583">
        <v>9.07</v>
      </c>
      <c r="AR114" s="584">
        <v>0.875</v>
      </c>
      <c r="AT114" s="579" t="s">
        <v>511</v>
      </c>
      <c r="AU114" s="583">
        <v>3</v>
      </c>
      <c r="AV114" s="583">
        <v>2</v>
      </c>
      <c r="AW114" s="602">
        <v>0.1875</v>
      </c>
      <c r="AY114" s="579" t="s">
        <v>639</v>
      </c>
      <c r="AZ114" s="606">
        <v>10</v>
      </c>
      <c r="BA114" s="606">
        <v>6</v>
      </c>
      <c r="BB114" s="606">
        <v>0.1875</v>
      </c>
      <c r="BC114" s="584">
        <v>0.17399999999999999</v>
      </c>
      <c r="BE114" s="579" t="s">
        <v>1025</v>
      </c>
      <c r="BF114" s="602">
        <v>3</v>
      </c>
      <c r="BH114" s="337"/>
      <c r="BI114" s="41"/>
      <c r="BJ114" s="42"/>
      <c r="BK114" s="41" t="s">
        <v>1246</v>
      </c>
      <c r="BL114" s="41" t="s">
        <v>1247</v>
      </c>
      <c r="BM114" s="41" t="s">
        <v>1248</v>
      </c>
      <c r="BN114" s="41" t="s">
        <v>1249</v>
      </c>
      <c r="BO114" s="40"/>
      <c r="BP114" s="40"/>
      <c r="BQ114" s="40"/>
      <c r="BR114" s="21"/>
    </row>
    <row r="115" spans="28:70" x14ac:dyDescent="0.2">
      <c r="AB115" s="579" t="s">
        <v>1665</v>
      </c>
      <c r="AC115" s="580">
        <v>24.1</v>
      </c>
      <c r="AD115" s="581">
        <v>0.47</v>
      </c>
      <c r="AE115" s="583">
        <v>9.02</v>
      </c>
      <c r="AF115" s="584">
        <v>0.77</v>
      </c>
      <c r="AN115" s="579" t="s">
        <v>194</v>
      </c>
      <c r="AO115" s="580">
        <v>12.1</v>
      </c>
      <c r="AP115" s="581">
        <v>0.47</v>
      </c>
      <c r="AQ115" s="583">
        <v>9.02</v>
      </c>
      <c r="AR115" s="584">
        <v>0.77</v>
      </c>
      <c r="AT115" s="579" t="s">
        <v>512</v>
      </c>
      <c r="AU115" s="583">
        <v>2.5</v>
      </c>
      <c r="AV115" s="583">
        <v>2.5</v>
      </c>
      <c r="AW115" s="602">
        <v>0.5</v>
      </c>
      <c r="AY115" s="579" t="s">
        <v>640</v>
      </c>
      <c r="AZ115" s="606">
        <v>10</v>
      </c>
      <c r="BA115" s="606">
        <v>5</v>
      </c>
      <c r="BB115" s="606">
        <v>0.375</v>
      </c>
      <c r="BC115" s="584">
        <v>0.34899999999999998</v>
      </c>
      <c r="BE115" s="579" t="s">
        <v>1026</v>
      </c>
      <c r="BF115" s="602">
        <v>3</v>
      </c>
      <c r="BH115" s="337"/>
      <c r="BI115" s="41"/>
      <c r="BJ115" s="232" t="s">
        <v>1231</v>
      </c>
      <c r="BK115" s="372">
        <f>($BJ$110-$BJ$109)/2</f>
        <v>7.03</v>
      </c>
      <c r="BL115" s="372">
        <f>0</f>
        <v>0</v>
      </c>
      <c r="BM115" s="372">
        <f>($BJ$110+$BJ$109)/2</f>
        <v>7.47</v>
      </c>
      <c r="BN115" s="373">
        <f>0</f>
        <v>0</v>
      </c>
      <c r="BO115" s="40"/>
      <c r="BP115" s="40"/>
      <c r="BQ115" s="40"/>
      <c r="BR115" s="21"/>
    </row>
    <row r="116" spans="28:70" x14ac:dyDescent="0.2">
      <c r="AB116" s="579" t="s">
        <v>1666</v>
      </c>
      <c r="AC116" s="580">
        <v>23.9</v>
      </c>
      <c r="AD116" s="581">
        <v>0.44</v>
      </c>
      <c r="AE116" s="583">
        <v>8.99</v>
      </c>
      <c r="AF116" s="584">
        <v>0.68</v>
      </c>
      <c r="AN116" s="579" t="s">
        <v>195</v>
      </c>
      <c r="AO116" s="580">
        <v>12</v>
      </c>
      <c r="AP116" s="581">
        <v>0.44</v>
      </c>
      <c r="AQ116" s="583">
        <v>8.99</v>
      </c>
      <c r="AR116" s="584">
        <v>0.68</v>
      </c>
      <c r="AT116" s="579" t="s">
        <v>513</v>
      </c>
      <c r="AU116" s="583">
        <v>2.5</v>
      </c>
      <c r="AV116" s="583">
        <v>2.5</v>
      </c>
      <c r="AW116" s="602">
        <v>0.375</v>
      </c>
      <c r="AY116" s="579" t="s">
        <v>641</v>
      </c>
      <c r="AZ116" s="606">
        <v>10</v>
      </c>
      <c r="BA116" s="606">
        <v>5</v>
      </c>
      <c r="BB116" s="606">
        <v>0.3125</v>
      </c>
      <c r="BC116" s="584">
        <v>0.29099999999999998</v>
      </c>
      <c r="BE116" s="579" t="s">
        <v>1027</v>
      </c>
      <c r="BF116" s="602">
        <v>2.875</v>
      </c>
      <c r="BH116" s="337"/>
      <c r="BI116" s="41"/>
      <c r="BJ116" s="232" t="s">
        <v>1232</v>
      </c>
      <c r="BK116" s="374">
        <f>($BJ$110-$BJ$109)/2</f>
        <v>7.03</v>
      </c>
      <c r="BL116" s="374">
        <f>0</f>
        <v>0</v>
      </c>
      <c r="BM116" s="374">
        <f>($BJ$110-$BJ$109)/2</f>
        <v>7.03</v>
      </c>
      <c r="BN116" s="374">
        <f>$BJ$108-$BJ$111</f>
        <v>6.3</v>
      </c>
      <c r="BO116" s="40"/>
    </row>
    <row r="117" spans="28:70" x14ac:dyDescent="0.2">
      <c r="AB117" s="579" t="s">
        <v>1667</v>
      </c>
      <c r="AC117" s="580">
        <v>23.7</v>
      </c>
      <c r="AD117" s="581">
        <v>0.41499999999999998</v>
      </c>
      <c r="AE117" s="583">
        <v>8.9700000000000006</v>
      </c>
      <c r="AF117" s="584">
        <v>0.58499999999999996</v>
      </c>
      <c r="AN117" s="579" t="s">
        <v>196</v>
      </c>
      <c r="AO117" s="580">
        <v>11.9</v>
      </c>
      <c r="AP117" s="581">
        <v>0.41499999999999998</v>
      </c>
      <c r="AQ117" s="583">
        <v>8.9700000000000006</v>
      </c>
      <c r="AR117" s="584">
        <v>0.58499999999999996</v>
      </c>
      <c r="AT117" s="579" t="s">
        <v>514</v>
      </c>
      <c r="AU117" s="583">
        <v>2.5</v>
      </c>
      <c r="AV117" s="583">
        <v>2.5</v>
      </c>
      <c r="AW117" s="602">
        <v>0.3125</v>
      </c>
      <c r="AY117" s="579" t="s">
        <v>642</v>
      </c>
      <c r="AZ117" s="606">
        <v>10</v>
      </c>
      <c r="BA117" s="606">
        <v>5</v>
      </c>
      <c r="BB117" s="606">
        <v>0.25</v>
      </c>
      <c r="BC117" s="584">
        <v>0.23300000000000001</v>
      </c>
      <c r="BE117" s="579" t="s">
        <v>1028</v>
      </c>
      <c r="BF117" s="602">
        <v>2.875</v>
      </c>
      <c r="BH117" s="337"/>
      <c r="BI117" s="41"/>
      <c r="BJ117" s="232" t="s">
        <v>1234</v>
      </c>
      <c r="BK117" s="374">
        <f>($BJ$110+$BJ$109)/2</f>
        <v>7.47</v>
      </c>
      <c r="BL117" s="374">
        <f>0</f>
        <v>0</v>
      </c>
      <c r="BM117" s="374">
        <f>($BJ$110+$BJ$109)/2</f>
        <v>7.47</v>
      </c>
      <c r="BN117" s="375">
        <f>$BJ$108-$BJ$111</f>
        <v>6.3</v>
      </c>
      <c r="BO117" s="40"/>
      <c r="BP117" s="40"/>
      <c r="BQ117" s="40"/>
      <c r="BR117" s="21"/>
    </row>
    <row r="118" spans="28:70" x14ac:dyDescent="0.2">
      <c r="AB118" s="579" t="s">
        <v>1668</v>
      </c>
      <c r="AC118" s="580">
        <v>23.7</v>
      </c>
      <c r="AD118" s="581">
        <v>0.43</v>
      </c>
      <c r="AE118" s="583">
        <v>7.04</v>
      </c>
      <c r="AF118" s="584">
        <v>0.59</v>
      </c>
      <c r="AN118" s="579" t="s">
        <v>197</v>
      </c>
      <c r="AO118" s="580">
        <v>11.9</v>
      </c>
      <c r="AP118" s="581">
        <v>0.43</v>
      </c>
      <c r="AQ118" s="583">
        <v>7.04</v>
      </c>
      <c r="AR118" s="584">
        <v>0.59</v>
      </c>
      <c r="AT118" s="579" t="s">
        <v>515</v>
      </c>
      <c r="AU118" s="583">
        <v>2.5</v>
      </c>
      <c r="AV118" s="583">
        <v>2.5</v>
      </c>
      <c r="AW118" s="602">
        <v>0.25</v>
      </c>
      <c r="AY118" s="579" t="s">
        <v>643</v>
      </c>
      <c r="AZ118" s="606">
        <v>10</v>
      </c>
      <c r="BA118" s="606">
        <v>5</v>
      </c>
      <c r="BB118" s="606">
        <v>0.1875</v>
      </c>
      <c r="BC118" s="584">
        <v>0.17399999999999999</v>
      </c>
      <c r="BE118" s="579" t="s">
        <v>1029</v>
      </c>
      <c r="BF118" s="602">
        <v>2.875</v>
      </c>
      <c r="BH118" s="337"/>
      <c r="BI118" s="41"/>
      <c r="BJ118" s="232" t="s">
        <v>1235</v>
      </c>
      <c r="BK118" s="374">
        <f>0</f>
        <v>0</v>
      </c>
      <c r="BL118" s="374">
        <f>$BJ$108-$BJ$111</f>
        <v>6.3</v>
      </c>
      <c r="BM118" s="374">
        <f>($BJ$110-$BJ$109)/2</f>
        <v>7.03</v>
      </c>
      <c r="BN118" s="375">
        <f>$BJ$108-$BJ$111</f>
        <v>6.3</v>
      </c>
      <c r="BO118" s="40"/>
      <c r="BP118" s="40" t="s">
        <v>1344</v>
      </c>
      <c r="BQ118" s="40"/>
      <c r="BR118" s="21"/>
    </row>
    <row r="119" spans="28:70" x14ac:dyDescent="0.2">
      <c r="AB119" s="579" t="s">
        <v>1669</v>
      </c>
      <c r="AC119" s="580">
        <v>23.6</v>
      </c>
      <c r="AD119" s="581">
        <v>0.39500000000000002</v>
      </c>
      <c r="AE119" s="583">
        <v>7.01</v>
      </c>
      <c r="AF119" s="584">
        <v>0.505</v>
      </c>
      <c r="AN119" s="579" t="s">
        <v>198</v>
      </c>
      <c r="AO119" s="580">
        <v>11.8</v>
      </c>
      <c r="AP119" s="581">
        <v>0.39500000000000002</v>
      </c>
      <c r="AQ119" s="583">
        <v>7.01</v>
      </c>
      <c r="AR119" s="584">
        <v>0.505</v>
      </c>
      <c r="AT119" s="579" t="s">
        <v>516</v>
      </c>
      <c r="AU119" s="583">
        <v>2.5</v>
      </c>
      <c r="AV119" s="583">
        <v>2.5</v>
      </c>
      <c r="AW119" s="602">
        <v>0.1875</v>
      </c>
      <c r="AY119" s="579" t="s">
        <v>644</v>
      </c>
      <c r="AZ119" s="606">
        <v>10</v>
      </c>
      <c r="BA119" s="606">
        <v>4</v>
      </c>
      <c r="BB119" s="606">
        <v>0.625</v>
      </c>
      <c r="BC119" s="584">
        <v>0.58099999999999996</v>
      </c>
      <c r="BE119" s="579" t="s">
        <v>1030</v>
      </c>
      <c r="BF119" s="602">
        <v>2.875</v>
      </c>
      <c r="BH119" s="337"/>
      <c r="BI119" s="41"/>
      <c r="BJ119" s="232" t="s">
        <v>1238</v>
      </c>
      <c r="BK119" s="374">
        <f>($BJ$110+$BJ$109)/2</f>
        <v>7.47</v>
      </c>
      <c r="BL119" s="374">
        <f>$BJ$108-$BJ$111</f>
        <v>6.3</v>
      </c>
      <c r="BM119" s="374">
        <f>$BJ$110</f>
        <v>14.5</v>
      </c>
      <c r="BN119" s="375">
        <f>$BJ$108-$BJ$111</f>
        <v>6.3</v>
      </c>
      <c r="BO119" s="40"/>
      <c r="BP119" s="40" t="s">
        <v>1345</v>
      </c>
      <c r="BQ119" s="40"/>
      <c r="BR119" s="21"/>
    </row>
    <row r="120" spans="28:70" x14ac:dyDescent="0.2">
      <c r="AB120" s="579" t="s">
        <v>1670</v>
      </c>
      <c r="AC120" s="580">
        <v>23</v>
      </c>
      <c r="AD120" s="581">
        <v>0.91</v>
      </c>
      <c r="AE120" s="580">
        <v>12.6</v>
      </c>
      <c r="AF120" s="582">
        <v>1.63</v>
      </c>
      <c r="AN120" s="579" t="s">
        <v>199</v>
      </c>
      <c r="AO120" s="580">
        <v>11.5</v>
      </c>
      <c r="AP120" s="581">
        <v>0.91</v>
      </c>
      <c r="AQ120" s="580">
        <v>12.6</v>
      </c>
      <c r="AR120" s="582">
        <v>1.63</v>
      </c>
      <c r="AT120" s="579" t="s">
        <v>517</v>
      </c>
      <c r="AU120" s="583">
        <v>2.5</v>
      </c>
      <c r="AV120" s="583">
        <v>2</v>
      </c>
      <c r="AW120" s="602">
        <v>0.375</v>
      </c>
      <c r="AY120" s="579" t="s">
        <v>645</v>
      </c>
      <c r="AZ120" s="606">
        <v>10</v>
      </c>
      <c r="BA120" s="606">
        <v>4</v>
      </c>
      <c r="BB120" s="606">
        <v>0.5</v>
      </c>
      <c r="BC120" s="584">
        <v>0.46500000000000002</v>
      </c>
      <c r="BE120" s="579" t="s">
        <v>1031</v>
      </c>
      <c r="BF120" s="602">
        <v>2.5</v>
      </c>
      <c r="BH120" s="337"/>
      <c r="BI120" s="41"/>
      <c r="BJ120" s="232" t="s">
        <v>1241</v>
      </c>
      <c r="BK120" s="374">
        <f>0</f>
        <v>0</v>
      </c>
      <c r="BL120" s="375">
        <f>$BJ$108-$BJ$111</f>
        <v>6.3</v>
      </c>
      <c r="BM120" s="374">
        <f>0</f>
        <v>0</v>
      </c>
      <c r="BN120" s="375">
        <f>$BJ$108</f>
        <v>7.01</v>
      </c>
      <c r="BO120" s="40"/>
      <c r="BP120" s="40"/>
      <c r="BQ120" s="40"/>
      <c r="BR120" s="21"/>
    </row>
    <row r="121" spans="28:70" x14ac:dyDescent="0.2">
      <c r="AB121" s="579" t="s">
        <v>1671</v>
      </c>
      <c r="AC121" s="580">
        <v>22.7</v>
      </c>
      <c r="AD121" s="581">
        <v>0.83</v>
      </c>
      <c r="AE121" s="580">
        <v>12.5</v>
      </c>
      <c r="AF121" s="582">
        <v>1.48</v>
      </c>
      <c r="AN121" s="579" t="s">
        <v>200</v>
      </c>
      <c r="AO121" s="580">
        <v>11.4</v>
      </c>
      <c r="AP121" s="581">
        <v>0.83</v>
      </c>
      <c r="AQ121" s="580">
        <v>12.5</v>
      </c>
      <c r="AR121" s="582">
        <v>1.48</v>
      </c>
      <c r="AT121" s="579" t="s">
        <v>518</v>
      </c>
      <c r="AU121" s="583">
        <v>2.5</v>
      </c>
      <c r="AV121" s="583">
        <v>2</v>
      </c>
      <c r="AW121" s="602">
        <v>0.3125</v>
      </c>
      <c r="AY121" s="579" t="s">
        <v>646</v>
      </c>
      <c r="AZ121" s="606">
        <v>10</v>
      </c>
      <c r="BA121" s="606">
        <v>4</v>
      </c>
      <c r="BB121" s="606">
        <v>0.375</v>
      </c>
      <c r="BC121" s="584">
        <v>0.34899999999999998</v>
      </c>
      <c r="BE121" s="579" t="s">
        <v>1032</v>
      </c>
      <c r="BF121" s="602">
        <v>2.5</v>
      </c>
      <c r="BH121" s="337"/>
      <c r="BI121" s="41"/>
      <c r="BJ121" s="232" t="s">
        <v>1245</v>
      </c>
      <c r="BK121" s="374">
        <f>$BJ$110</f>
        <v>14.5</v>
      </c>
      <c r="BL121" s="375">
        <f>$BJ$108-$BJ$111</f>
        <v>6.3</v>
      </c>
      <c r="BM121" s="374">
        <f>$BJ$110</f>
        <v>14.5</v>
      </c>
      <c r="BN121" s="375">
        <f>$BJ$108</f>
        <v>7.01</v>
      </c>
      <c r="BO121" s="40"/>
      <c r="BP121" s="40"/>
      <c r="BQ121" s="40"/>
      <c r="BR121" s="21"/>
    </row>
    <row r="122" spans="28:70" x14ac:dyDescent="0.2">
      <c r="AB122" s="579" t="s">
        <v>1672</v>
      </c>
      <c r="AC122" s="580">
        <v>22.5</v>
      </c>
      <c r="AD122" s="581">
        <v>0.75</v>
      </c>
      <c r="AE122" s="580">
        <v>12.4</v>
      </c>
      <c r="AF122" s="582">
        <v>1.36</v>
      </c>
      <c r="AN122" s="579" t="s">
        <v>201</v>
      </c>
      <c r="AO122" s="580">
        <v>11.2</v>
      </c>
      <c r="AP122" s="581">
        <v>0.75</v>
      </c>
      <c r="AQ122" s="580">
        <v>12.4</v>
      </c>
      <c r="AR122" s="582">
        <v>1.36</v>
      </c>
      <c r="AT122" s="579" t="s">
        <v>519</v>
      </c>
      <c r="AU122" s="583">
        <v>2.5</v>
      </c>
      <c r="AV122" s="583">
        <v>2</v>
      </c>
      <c r="AW122" s="602">
        <v>0.25</v>
      </c>
      <c r="AY122" s="579" t="s">
        <v>647</v>
      </c>
      <c r="AZ122" s="606">
        <v>10</v>
      </c>
      <c r="BA122" s="606">
        <v>4</v>
      </c>
      <c r="BB122" s="606">
        <v>0.3125</v>
      </c>
      <c r="BC122" s="584">
        <v>0.29099999999999998</v>
      </c>
      <c r="BE122" s="579" t="s">
        <v>1033</v>
      </c>
      <c r="BF122" s="602">
        <v>2.5</v>
      </c>
      <c r="BH122" s="337"/>
      <c r="BI122" s="41"/>
      <c r="BJ122" s="232" t="s">
        <v>1250</v>
      </c>
      <c r="BK122" s="408">
        <f>0</f>
        <v>0</v>
      </c>
      <c r="BL122" s="409">
        <f>$BJ$108</f>
        <v>7.01</v>
      </c>
      <c r="BM122" s="408">
        <f>$BJ$110</f>
        <v>14.5</v>
      </c>
      <c r="BN122" s="409">
        <f>$BJ$108</f>
        <v>7.01</v>
      </c>
      <c r="BO122" s="40"/>
      <c r="BP122" s="66"/>
      <c r="BQ122" s="40"/>
      <c r="BR122" s="21"/>
    </row>
    <row r="123" spans="28:70" x14ac:dyDescent="0.2">
      <c r="AB123" s="579" t="s">
        <v>1673</v>
      </c>
      <c r="AC123" s="580">
        <v>22.1</v>
      </c>
      <c r="AD123" s="581">
        <v>0.72</v>
      </c>
      <c r="AE123" s="580">
        <v>12.5</v>
      </c>
      <c r="AF123" s="582">
        <v>1.1499999999999999</v>
      </c>
      <c r="AN123" s="579" t="s">
        <v>202</v>
      </c>
      <c r="AO123" s="580">
        <v>11</v>
      </c>
      <c r="AP123" s="581">
        <v>0.72</v>
      </c>
      <c r="AQ123" s="580">
        <v>12.5</v>
      </c>
      <c r="AR123" s="582">
        <v>1.1499999999999999</v>
      </c>
      <c r="AT123" s="579" t="s">
        <v>520</v>
      </c>
      <c r="AU123" s="583">
        <v>2.5</v>
      </c>
      <c r="AV123" s="583">
        <v>2</v>
      </c>
      <c r="AW123" s="602">
        <v>0.1875</v>
      </c>
      <c r="AY123" s="579" t="s">
        <v>648</v>
      </c>
      <c r="AZ123" s="606">
        <v>10</v>
      </c>
      <c r="BA123" s="606">
        <v>4</v>
      </c>
      <c r="BB123" s="606">
        <v>0.25</v>
      </c>
      <c r="BC123" s="584">
        <v>0.23300000000000001</v>
      </c>
      <c r="BE123" s="579" t="s">
        <v>1034</v>
      </c>
      <c r="BF123" s="602">
        <v>2.375</v>
      </c>
      <c r="BH123" s="337"/>
      <c r="BI123" s="41"/>
      <c r="BJ123" s="232"/>
      <c r="BK123" s="11"/>
      <c r="BL123" s="11"/>
      <c r="BM123" s="11"/>
      <c r="BN123" s="11"/>
      <c r="BO123" s="40"/>
      <c r="BP123" s="66"/>
      <c r="BQ123" s="40"/>
      <c r="BR123" s="21"/>
    </row>
    <row r="124" spans="28:70" x14ac:dyDescent="0.2">
      <c r="AB124" s="579" t="s">
        <v>1674</v>
      </c>
      <c r="AC124" s="580">
        <v>21.8</v>
      </c>
      <c r="AD124" s="581">
        <v>0.65</v>
      </c>
      <c r="AE124" s="580">
        <v>12.4</v>
      </c>
      <c r="AF124" s="582">
        <v>1.04</v>
      </c>
      <c r="AN124" s="579" t="s">
        <v>203</v>
      </c>
      <c r="AO124" s="580">
        <v>10.9</v>
      </c>
      <c r="AP124" s="581">
        <v>0.65</v>
      </c>
      <c r="AQ124" s="580">
        <v>12.4</v>
      </c>
      <c r="AR124" s="582">
        <v>1.04</v>
      </c>
      <c r="AT124" s="579" t="s">
        <v>521</v>
      </c>
      <c r="AU124" s="583">
        <v>2.5</v>
      </c>
      <c r="AV124" s="583">
        <v>1.5</v>
      </c>
      <c r="AW124" s="602">
        <v>0.25</v>
      </c>
      <c r="AY124" s="579" t="s">
        <v>649</v>
      </c>
      <c r="AZ124" s="606">
        <v>10</v>
      </c>
      <c r="BA124" s="606">
        <v>4</v>
      </c>
      <c r="BB124" s="606">
        <v>0.1875</v>
      </c>
      <c r="BC124" s="584">
        <v>0.17399999999999999</v>
      </c>
      <c r="BE124" s="579" t="s">
        <v>1035</v>
      </c>
      <c r="BF124" s="602">
        <v>2.375</v>
      </c>
      <c r="BH124" s="337"/>
      <c r="BI124" s="410" t="s">
        <v>1529</v>
      </c>
      <c r="BJ124" s="40"/>
      <c r="BK124" s="40"/>
      <c r="BL124" s="40"/>
      <c r="BM124" s="40"/>
      <c r="BN124" s="40"/>
      <c r="BO124" s="40"/>
      <c r="BP124" s="40"/>
      <c r="BQ124" s="40"/>
      <c r="BR124" s="21"/>
    </row>
    <row r="125" spans="28:70" x14ac:dyDescent="0.2">
      <c r="AB125" s="579" t="s">
        <v>1675</v>
      </c>
      <c r="AC125" s="580">
        <v>21.7</v>
      </c>
      <c r="AD125" s="581">
        <v>0.6</v>
      </c>
      <c r="AE125" s="580">
        <v>12.4</v>
      </c>
      <c r="AF125" s="584">
        <v>0.96</v>
      </c>
      <c r="AN125" s="579" t="s">
        <v>204</v>
      </c>
      <c r="AO125" s="580">
        <v>10.8</v>
      </c>
      <c r="AP125" s="581">
        <v>0.6</v>
      </c>
      <c r="AQ125" s="580">
        <v>12.4</v>
      </c>
      <c r="AR125" s="584">
        <v>0.96</v>
      </c>
      <c r="AT125" s="579" t="s">
        <v>522</v>
      </c>
      <c r="AU125" s="583">
        <v>2.5</v>
      </c>
      <c r="AV125" s="583">
        <v>1.5</v>
      </c>
      <c r="AW125" s="602">
        <v>0.1875</v>
      </c>
      <c r="AY125" s="579" t="s">
        <v>650</v>
      </c>
      <c r="AZ125" s="606">
        <v>10</v>
      </c>
      <c r="BA125" s="606">
        <v>4</v>
      </c>
      <c r="BB125" s="606">
        <v>0.125</v>
      </c>
      <c r="BC125" s="584">
        <v>0.11600000000000001</v>
      </c>
      <c r="BE125" s="579" t="s">
        <v>1036</v>
      </c>
      <c r="BF125" s="602">
        <v>2.375</v>
      </c>
      <c r="BH125" s="337"/>
      <c r="BI125" s="59" t="s">
        <v>1526</v>
      </c>
      <c r="BJ125" s="40"/>
      <c r="BK125" s="40"/>
      <c r="BL125" s="40"/>
      <c r="BM125" s="40"/>
      <c r="BN125" s="40"/>
      <c r="BO125" s="40"/>
      <c r="BP125" s="40"/>
      <c r="BQ125" s="40"/>
      <c r="BR125" s="21"/>
    </row>
    <row r="126" spans="28:70" x14ac:dyDescent="0.2">
      <c r="AB126" s="579" t="s">
        <v>1676</v>
      </c>
      <c r="AC126" s="580">
        <v>21.5</v>
      </c>
      <c r="AD126" s="581">
        <v>0.55000000000000004</v>
      </c>
      <c r="AE126" s="580">
        <v>12.3</v>
      </c>
      <c r="AF126" s="584">
        <v>0.875</v>
      </c>
      <c r="AN126" s="579" t="s">
        <v>205</v>
      </c>
      <c r="AO126" s="580">
        <v>10.8</v>
      </c>
      <c r="AP126" s="581">
        <v>0.55000000000000004</v>
      </c>
      <c r="AQ126" s="580">
        <v>12.3</v>
      </c>
      <c r="AR126" s="584">
        <v>0.875</v>
      </c>
      <c r="AT126" s="579" t="s">
        <v>523</v>
      </c>
      <c r="AU126" s="583">
        <v>2</v>
      </c>
      <c r="AV126" s="583">
        <v>2</v>
      </c>
      <c r="AW126" s="602">
        <v>0.375</v>
      </c>
      <c r="AY126" s="579" t="s">
        <v>651</v>
      </c>
      <c r="AZ126" s="606">
        <v>10</v>
      </c>
      <c r="BA126" s="606">
        <v>3.5</v>
      </c>
      <c r="BB126" s="606">
        <v>0.5</v>
      </c>
      <c r="BC126" s="584">
        <v>0.46500000000000002</v>
      </c>
      <c r="BE126" s="579" t="s">
        <v>1037</v>
      </c>
      <c r="BF126" s="602">
        <v>2.375</v>
      </c>
      <c r="BH126" s="337"/>
      <c r="BI126" s="59" t="s">
        <v>1542</v>
      </c>
      <c r="BJ126" s="40"/>
      <c r="BK126" s="40"/>
      <c r="BL126" s="40"/>
      <c r="BM126" s="40"/>
      <c r="BN126" s="40"/>
      <c r="BO126" s="40"/>
      <c r="BP126" s="40"/>
      <c r="BQ126" s="40"/>
      <c r="BR126" s="21"/>
    </row>
    <row r="127" spans="28:70" x14ac:dyDescent="0.2">
      <c r="AB127" s="579" t="s">
        <v>1677</v>
      </c>
      <c r="AC127" s="580">
        <v>21.4</v>
      </c>
      <c r="AD127" s="581">
        <v>0.5</v>
      </c>
      <c r="AE127" s="580">
        <v>12.3</v>
      </c>
      <c r="AF127" s="584">
        <v>0.8</v>
      </c>
      <c r="AN127" s="579" t="s">
        <v>206</v>
      </c>
      <c r="AO127" s="580">
        <v>10.7</v>
      </c>
      <c r="AP127" s="581">
        <v>0.5</v>
      </c>
      <c r="AQ127" s="580">
        <v>12.3</v>
      </c>
      <c r="AR127" s="584">
        <v>0.8</v>
      </c>
      <c r="AT127" s="579" t="s">
        <v>524</v>
      </c>
      <c r="AU127" s="583">
        <v>2</v>
      </c>
      <c r="AV127" s="583">
        <v>2</v>
      </c>
      <c r="AW127" s="602">
        <v>0.3125</v>
      </c>
      <c r="AY127" s="579" t="s">
        <v>652</v>
      </c>
      <c r="AZ127" s="606">
        <v>10</v>
      </c>
      <c r="BA127" s="606">
        <v>3.5</v>
      </c>
      <c r="BB127" s="606">
        <v>0.375</v>
      </c>
      <c r="BC127" s="584">
        <v>0.34899999999999998</v>
      </c>
      <c r="BE127" s="579" t="s">
        <v>1038</v>
      </c>
      <c r="BF127" s="602">
        <v>2.375</v>
      </c>
      <c r="BH127" s="337"/>
      <c r="BI127" s="41"/>
      <c r="BJ127" s="232"/>
      <c r="BK127" s="11"/>
      <c r="BL127" s="11"/>
      <c r="BM127" s="11"/>
      <c r="BN127" s="11"/>
      <c r="BO127" s="40"/>
    </row>
    <row r="128" spans="28:70" x14ac:dyDescent="0.2">
      <c r="AB128" s="579" t="s">
        <v>1678</v>
      </c>
      <c r="AC128" s="580">
        <v>21.6</v>
      </c>
      <c r="AD128" s="581">
        <v>0.57999999999999996</v>
      </c>
      <c r="AE128" s="583">
        <v>8.42</v>
      </c>
      <c r="AF128" s="584">
        <v>0.93</v>
      </c>
      <c r="AN128" s="579" t="s">
        <v>207</v>
      </c>
      <c r="AO128" s="580">
        <v>10.8</v>
      </c>
      <c r="AP128" s="581">
        <v>0.57999999999999996</v>
      </c>
      <c r="AQ128" s="583">
        <v>8.42</v>
      </c>
      <c r="AR128" s="584">
        <v>0.93</v>
      </c>
      <c r="AT128" s="579" t="s">
        <v>525</v>
      </c>
      <c r="AU128" s="583">
        <v>2</v>
      </c>
      <c r="AV128" s="583">
        <v>2</v>
      </c>
      <c r="AW128" s="602">
        <v>0.25</v>
      </c>
      <c r="AY128" s="579" t="s">
        <v>653</v>
      </c>
      <c r="AZ128" s="606">
        <v>10</v>
      </c>
      <c r="BA128" s="606">
        <v>3.5</v>
      </c>
      <c r="BB128" s="606">
        <v>0.3125</v>
      </c>
      <c r="BC128" s="584">
        <v>0.29099999999999998</v>
      </c>
      <c r="BE128" s="579" t="s">
        <v>1039</v>
      </c>
      <c r="BF128" s="602">
        <v>1.9</v>
      </c>
      <c r="BH128" s="337"/>
    </row>
    <row r="129" spans="28:71" x14ac:dyDescent="0.2">
      <c r="AB129" s="579" t="s">
        <v>1679</v>
      </c>
      <c r="AC129" s="580">
        <v>21.4</v>
      </c>
      <c r="AD129" s="581">
        <v>0.51500000000000001</v>
      </c>
      <c r="AE129" s="583">
        <v>8.36</v>
      </c>
      <c r="AF129" s="584">
        <v>0.83499999999999996</v>
      </c>
      <c r="AN129" s="579" t="s">
        <v>208</v>
      </c>
      <c r="AO129" s="580">
        <v>10.7</v>
      </c>
      <c r="AP129" s="581">
        <v>0.51500000000000001</v>
      </c>
      <c r="AQ129" s="583">
        <v>8.36</v>
      </c>
      <c r="AR129" s="584">
        <v>0.83499999999999996</v>
      </c>
      <c r="AT129" s="579" t="s">
        <v>526</v>
      </c>
      <c r="AU129" s="583">
        <v>2</v>
      </c>
      <c r="AV129" s="583">
        <v>2</v>
      </c>
      <c r="AW129" s="602">
        <v>0.1875</v>
      </c>
      <c r="AY129" s="579" t="s">
        <v>654</v>
      </c>
      <c r="AZ129" s="606">
        <v>10</v>
      </c>
      <c r="BA129" s="606">
        <v>3.5</v>
      </c>
      <c r="BB129" s="606">
        <v>0.25</v>
      </c>
      <c r="BC129" s="584">
        <v>0.23300000000000001</v>
      </c>
      <c r="BE129" s="579" t="s">
        <v>1040</v>
      </c>
      <c r="BF129" s="602">
        <v>1.9</v>
      </c>
      <c r="BH129" s="45" t="s">
        <v>1539</v>
      </c>
      <c r="BI129" s="337"/>
      <c r="BJ129" s="337"/>
      <c r="BK129" s="337"/>
      <c r="BL129" s="337"/>
      <c r="BM129" s="337"/>
      <c r="BN129" s="337"/>
      <c r="BO129" s="337"/>
      <c r="BP129" s="337"/>
      <c r="BQ129" s="337"/>
    </row>
    <row r="130" spans="28:71" x14ac:dyDescent="0.2">
      <c r="AB130" s="579" t="s">
        <v>1680</v>
      </c>
      <c r="AC130" s="580">
        <v>21.2</v>
      </c>
      <c r="AD130" s="581">
        <v>0.45500000000000002</v>
      </c>
      <c r="AE130" s="583">
        <v>8.3000000000000007</v>
      </c>
      <c r="AF130" s="584">
        <v>0.74</v>
      </c>
      <c r="AN130" s="579" t="s">
        <v>209</v>
      </c>
      <c r="AO130" s="580">
        <v>10.6</v>
      </c>
      <c r="AP130" s="581">
        <v>0.45500000000000002</v>
      </c>
      <c r="AQ130" s="583">
        <v>8.3000000000000007</v>
      </c>
      <c r="AR130" s="584">
        <v>0.74</v>
      </c>
      <c r="AT130" s="585" t="s">
        <v>527</v>
      </c>
      <c r="AU130" s="586">
        <v>2</v>
      </c>
      <c r="AV130" s="586">
        <v>2</v>
      </c>
      <c r="AW130" s="603">
        <v>0.125</v>
      </c>
      <c r="AY130" s="579" t="s">
        <v>655</v>
      </c>
      <c r="AZ130" s="606">
        <v>10</v>
      </c>
      <c r="BA130" s="606">
        <v>3.5</v>
      </c>
      <c r="BB130" s="606">
        <v>0.1875</v>
      </c>
      <c r="BC130" s="584">
        <v>0.17399999999999999</v>
      </c>
      <c r="BE130" s="579" t="s">
        <v>1041</v>
      </c>
      <c r="BF130" s="602">
        <v>1.9</v>
      </c>
      <c r="BH130" s="337"/>
      <c r="BI130" s="42"/>
      <c r="BJ130" s="42"/>
      <c r="BK130" s="42"/>
      <c r="BL130" s="42"/>
      <c r="BM130" s="42"/>
      <c r="BN130" s="42"/>
      <c r="BO130" s="42"/>
      <c r="BP130" s="42"/>
      <c r="BQ130" s="42"/>
      <c r="BR130" s="21"/>
    </row>
    <row r="131" spans="28:71" x14ac:dyDescent="0.2">
      <c r="AB131" s="579" t="s">
        <v>1681</v>
      </c>
      <c r="AC131" s="580">
        <v>21.1</v>
      </c>
      <c r="AD131" s="581">
        <v>0.43</v>
      </c>
      <c r="AE131" s="583">
        <v>8.27</v>
      </c>
      <c r="AF131" s="584">
        <v>0.68500000000000005</v>
      </c>
      <c r="AN131" s="579" t="s">
        <v>210</v>
      </c>
      <c r="AO131" s="580">
        <v>10.6</v>
      </c>
      <c r="AP131" s="581">
        <v>0.43</v>
      </c>
      <c r="AQ131" s="583">
        <v>8.27</v>
      </c>
      <c r="AR131" s="584">
        <v>0.68500000000000005</v>
      </c>
      <c r="AY131" s="579" t="s">
        <v>656</v>
      </c>
      <c r="AZ131" s="606">
        <v>10</v>
      </c>
      <c r="BA131" s="606">
        <v>3.5</v>
      </c>
      <c r="BB131" s="606">
        <v>0.125</v>
      </c>
      <c r="BC131" s="584">
        <v>0.11600000000000001</v>
      </c>
      <c r="BE131" s="585" t="s">
        <v>1042</v>
      </c>
      <c r="BF131" s="602">
        <v>1.66</v>
      </c>
      <c r="BH131" s="337"/>
      <c r="BI131" s="567" t="s">
        <v>1540</v>
      </c>
      <c r="BJ131" s="37"/>
      <c r="BK131" s="37"/>
      <c r="BL131" s="37"/>
      <c r="BM131" s="37"/>
      <c r="BN131" s="37"/>
      <c r="BO131" s="37"/>
      <c r="BP131" s="37"/>
      <c r="BQ131" s="37"/>
      <c r="BR131" s="341"/>
    </row>
    <row r="132" spans="28:71" x14ac:dyDescent="0.2">
      <c r="AB132" s="579" t="s">
        <v>1682</v>
      </c>
      <c r="AC132" s="580">
        <v>21</v>
      </c>
      <c r="AD132" s="581">
        <v>0.4</v>
      </c>
      <c r="AE132" s="583">
        <v>8.24</v>
      </c>
      <c r="AF132" s="584">
        <v>0.61499999999999999</v>
      </c>
      <c r="AN132" s="579" t="s">
        <v>211</v>
      </c>
      <c r="AO132" s="580">
        <v>10.5</v>
      </c>
      <c r="AP132" s="581">
        <v>0.4</v>
      </c>
      <c r="AQ132" s="583">
        <v>8.24</v>
      </c>
      <c r="AR132" s="584">
        <v>0.61499999999999999</v>
      </c>
      <c r="AY132" s="579" t="s">
        <v>657</v>
      </c>
      <c r="AZ132" s="606">
        <v>10</v>
      </c>
      <c r="BA132" s="606">
        <v>3</v>
      </c>
      <c r="BB132" s="606">
        <v>0.375</v>
      </c>
      <c r="BC132" s="584">
        <v>0.34899999999999998</v>
      </c>
      <c r="BE132" s="589" t="s">
        <v>1043</v>
      </c>
      <c r="BF132" s="602">
        <v>0.84</v>
      </c>
      <c r="BH132" s="337"/>
      <c r="BI132" s="41"/>
      <c r="BO132" s="40"/>
      <c r="BP132" s="40"/>
      <c r="BQ132" s="40"/>
      <c r="BR132" s="21"/>
    </row>
    <row r="133" spans="28:71" x14ac:dyDescent="0.2">
      <c r="AB133" s="579" t="s">
        <v>1683</v>
      </c>
      <c r="AC133" s="580">
        <v>20.8</v>
      </c>
      <c r="AD133" s="581">
        <v>0.375</v>
      </c>
      <c r="AE133" s="583">
        <v>8.2200000000000006</v>
      </c>
      <c r="AF133" s="584">
        <v>0.52200000000000002</v>
      </c>
      <c r="AN133" s="579" t="s">
        <v>212</v>
      </c>
      <c r="AO133" s="580">
        <v>10.4</v>
      </c>
      <c r="AP133" s="581">
        <v>0.375</v>
      </c>
      <c r="AQ133" s="583">
        <v>8.2200000000000006</v>
      </c>
      <c r="AR133" s="584">
        <v>0.52200000000000002</v>
      </c>
      <c r="AY133" s="579" t="s">
        <v>658</v>
      </c>
      <c r="AZ133" s="606">
        <v>10</v>
      </c>
      <c r="BA133" s="606">
        <v>3</v>
      </c>
      <c r="BB133" s="606">
        <v>0.3125</v>
      </c>
      <c r="BC133" s="584">
        <v>0.29099999999999998</v>
      </c>
      <c r="BE133" s="579" t="s">
        <v>1044</v>
      </c>
      <c r="BF133" s="602">
        <v>1.05</v>
      </c>
      <c r="BH133" s="337"/>
      <c r="BI133" s="69" t="s">
        <v>731</v>
      </c>
      <c r="BJ133" s="610" t="s">
        <v>22</v>
      </c>
      <c r="BK133" s="40"/>
      <c r="BO133" s="40"/>
      <c r="BS133" s="566" t="str">
        <f>"tf="&amp;$BJ$137</f>
        <v>tf=0.436</v>
      </c>
    </row>
    <row r="134" spans="28:71" x14ac:dyDescent="0.2">
      <c r="AB134" s="579" t="s">
        <v>1684</v>
      </c>
      <c r="AC134" s="580">
        <v>20.6</v>
      </c>
      <c r="AD134" s="581">
        <v>0.35</v>
      </c>
      <c r="AE134" s="583">
        <v>8.14</v>
      </c>
      <c r="AF134" s="584">
        <v>0.43</v>
      </c>
      <c r="AN134" s="579" t="s">
        <v>213</v>
      </c>
      <c r="AO134" s="580">
        <v>10.3</v>
      </c>
      <c r="AP134" s="581">
        <v>0.35</v>
      </c>
      <c r="AQ134" s="583">
        <v>8.14</v>
      </c>
      <c r="AR134" s="584">
        <v>0.43</v>
      </c>
      <c r="AY134" s="579" t="s">
        <v>659</v>
      </c>
      <c r="AZ134" s="606">
        <v>10</v>
      </c>
      <c r="BA134" s="606">
        <v>3</v>
      </c>
      <c r="BB134" s="606">
        <v>0.25</v>
      </c>
      <c r="BC134" s="584">
        <v>0.23300000000000001</v>
      </c>
      <c r="BE134" s="579" t="s">
        <v>1045</v>
      </c>
      <c r="BF134" s="602">
        <v>1.3149999999999999</v>
      </c>
      <c r="BH134" s="337"/>
      <c r="BI134" s="232" t="s">
        <v>733</v>
      </c>
      <c r="BJ134" s="611">
        <f>VLOOKUP($BJ$133,$AH$4:$AL$73,2,FALSE)</f>
        <v>10</v>
      </c>
      <c r="BK134" s="237" t="s">
        <v>1172</v>
      </c>
      <c r="BO134" s="40"/>
      <c r="BP134" s="40"/>
      <c r="BQ134" s="40"/>
      <c r="BR134" s="21"/>
    </row>
    <row r="135" spans="28:71" x14ac:dyDescent="0.2">
      <c r="AB135" s="579" t="s">
        <v>1685</v>
      </c>
      <c r="AC135" s="580">
        <v>21.1</v>
      </c>
      <c r="AD135" s="581">
        <v>0.40500000000000003</v>
      </c>
      <c r="AE135" s="583">
        <v>6.56</v>
      </c>
      <c r="AF135" s="584">
        <v>0.65</v>
      </c>
      <c r="AN135" s="579" t="s">
        <v>214</v>
      </c>
      <c r="AO135" s="580">
        <v>10.5</v>
      </c>
      <c r="AP135" s="581">
        <v>0.40500000000000003</v>
      </c>
      <c r="AQ135" s="583">
        <v>6.56</v>
      </c>
      <c r="AR135" s="584">
        <v>0.65</v>
      </c>
      <c r="AY135" s="579" t="s">
        <v>660</v>
      </c>
      <c r="AZ135" s="606">
        <v>10</v>
      </c>
      <c r="BA135" s="606">
        <v>3</v>
      </c>
      <c r="BB135" s="606">
        <v>0.1875</v>
      </c>
      <c r="BC135" s="584">
        <v>0.17399999999999999</v>
      </c>
      <c r="BE135" s="579" t="s">
        <v>1046</v>
      </c>
      <c r="BF135" s="602">
        <v>1.66</v>
      </c>
      <c r="BH135" s="337"/>
      <c r="BI135" s="232" t="s">
        <v>734</v>
      </c>
      <c r="BJ135" s="612">
        <f>VLOOKUP($BJ$133,$AH$4:$AL$73,3,FALSE)</f>
        <v>0.24</v>
      </c>
      <c r="BK135" s="237" t="s">
        <v>1172</v>
      </c>
    </row>
    <row r="136" spans="28:71" x14ac:dyDescent="0.2">
      <c r="AB136" s="579" t="s">
        <v>1686</v>
      </c>
      <c r="AC136" s="580">
        <v>20.8</v>
      </c>
      <c r="AD136" s="581">
        <v>0.38</v>
      </c>
      <c r="AE136" s="583">
        <v>6.53</v>
      </c>
      <c r="AF136" s="584">
        <v>0.53500000000000003</v>
      </c>
      <c r="AN136" s="579" t="s">
        <v>215</v>
      </c>
      <c r="AO136" s="580">
        <v>10.4</v>
      </c>
      <c r="AP136" s="581">
        <v>0.38</v>
      </c>
      <c r="AQ136" s="583">
        <v>6.53</v>
      </c>
      <c r="AR136" s="584">
        <v>0.53500000000000003</v>
      </c>
      <c r="AY136" s="579" t="s">
        <v>661</v>
      </c>
      <c r="AZ136" s="606">
        <v>10</v>
      </c>
      <c r="BA136" s="606">
        <v>3</v>
      </c>
      <c r="BB136" s="606">
        <v>0.125</v>
      </c>
      <c r="BC136" s="584">
        <v>0.11600000000000001</v>
      </c>
      <c r="BE136" s="579" t="s">
        <v>1047</v>
      </c>
      <c r="BF136" s="602">
        <v>1.9</v>
      </c>
      <c r="BH136" s="337"/>
      <c r="BI136" s="232" t="s">
        <v>735</v>
      </c>
      <c r="BJ136" s="612">
        <f>VLOOKUP($BJ$133,$AH$4:$AL$73,4,FALSE)</f>
        <v>2.6</v>
      </c>
      <c r="BK136" s="237" t="s">
        <v>1172</v>
      </c>
    </row>
    <row r="137" spans="28:71" x14ac:dyDescent="0.2">
      <c r="AB137" s="579" t="s">
        <v>1687</v>
      </c>
      <c r="AC137" s="580">
        <v>20.7</v>
      </c>
      <c r="AD137" s="581">
        <v>0.35</v>
      </c>
      <c r="AE137" s="583">
        <v>6.5</v>
      </c>
      <c r="AF137" s="584">
        <v>0.45</v>
      </c>
      <c r="AN137" s="579" t="s">
        <v>216</v>
      </c>
      <c r="AO137" s="580">
        <v>10.3</v>
      </c>
      <c r="AP137" s="581">
        <v>0.35</v>
      </c>
      <c r="AQ137" s="583">
        <v>6.5</v>
      </c>
      <c r="AR137" s="584">
        <v>0.45</v>
      </c>
      <c r="AY137" s="579" t="s">
        <v>662</v>
      </c>
      <c r="AZ137" s="606">
        <v>10</v>
      </c>
      <c r="BA137" s="606">
        <v>2</v>
      </c>
      <c r="BB137" s="606">
        <v>0.375</v>
      </c>
      <c r="BC137" s="584">
        <v>0.34899999999999998</v>
      </c>
      <c r="BE137" s="579" t="s">
        <v>1048</v>
      </c>
      <c r="BF137" s="602">
        <v>2.375</v>
      </c>
      <c r="BH137" s="337"/>
      <c r="BI137" s="232" t="s">
        <v>736</v>
      </c>
      <c r="BJ137" s="613">
        <f>VLOOKUP($BJ$133,$AH$4:$AL$73,5,FALSE)</f>
        <v>0.436</v>
      </c>
      <c r="BK137" s="237" t="s">
        <v>1172</v>
      </c>
      <c r="BO137" s="566"/>
      <c r="BP137" s="568" t="str">
        <f>"tw="&amp;$BJ$135</f>
        <v>tw=0.24</v>
      </c>
      <c r="BR137" s="566" t="str">
        <f>"         d="&amp;$BJ$134</f>
        <v xml:space="preserve">         d=10</v>
      </c>
    </row>
    <row r="138" spans="28:71" x14ac:dyDescent="0.2">
      <c r="AB138" s="579" t="s">
        <v>1688</v>
      </c>
      <c r="AC138" s="580">
        <v>22.3</v>
      </c>
      <c r="AD138" s="583">
        <v>1.52</v>
      </c>
      <c r="AE138" s="580">
        <v>12</v>
      </c>
      <c r="AF138" s="582">
        <v>2.74</v>
      </c>
      <c r="AN138" s="579" t="s">
        <v>217</v>
      </c>
      <c r="AO138" s="580">
        <v>11.2</v>
      </c>
      <c r="AP138" s="583">
        <v>1.52</v>
      </c>
      <c r="AQ138" s="580">
        <v>12</v>
      </c>
      <c r="AR138" s="582">
        <v>2.74</v>
      </c>
      <c r="AY138" s="579" t="s">
        <v>663</v>
      </c>
      <c r="AZ138" s="606">
        <v>10</v>
      </c>
      <c r="BA138" s="606">
        <v>2</v>
      </c>
      <c r="BB138" s="606">
        <v>0.3125</v>
      </c>
      <c r="BC138" s="584">
        <v>0.29099999999999998</v>
      </c>
      <c r="BE138" s="579" t="s">
        <v>1049</v>
      </c>
      <c r="BF138" s="602">
        <v>2.875</v>
      </c>
      <c r="BH138" s="337"/>
      <c r="BI138" s="41"/>
      <c r="BJ138" s="40"/>
      <c r="BK138" s="137" t="s">
        <v>1240</v>
      </c>
      <c r="BL138" s="37"/>
      <c r="BM138" s="37"/>
      <c r="BN138" s="37"/>
      <c r="BO138" s="40"/>
      <c r="BP138" s="40"/>
      <c r="BQ138" s="40"/>
      <c r="BR138" s="21"/>
    </row>
    <row r="139" spans="28:71" x14ac:dyDescent="0.2">
      <c r="AB139" s="579" t="s">
        <v>1689</v>
      </c>
      <c r="AC139" s="580">
        <v>21.9</v>
      </c>
      <c r="AD139" s="583">
        <v>1.4</v>
      </c>
      <c r="AE139" s="580">
        <v>11.9</v>
      </c>
      <c r="AF139" s="582">
        <v>2.5</v>
      </c>
      <c r="AN139" s="579" t="s">
        <v>218</v>
      </c>
      <c r="AO139" s="580">
        <v>10.9</v>
      </c>
      <c r="AP139" s="583">
        <v>1.4</v>
      </c>
      <c r="AQ139" s="580">
        <v>11.9</v>
      </c>
      <c r="AR139" s="582">
        <v>2.5</v>
      </c>
      <c r="AY139" s="579" t="s">
        <v>664</v>
      </c>
      <c r="AZ139" s="606">
        <v>10</v>
      </c>
      <c r="BA139" s="606">
        <v>2</v>
      </c>
      <c r="BB139" s="606">
        <v>0.25</v>
      </c>
      <c r="BC139" s="584">
        <v>0.23300000000000001</v>
      </c>
      <c r="BE139" s="579" t="s">
        <v>1050</v>
      </c>
      <c r="BF139" s="602">
        <v>3.5</v>
      </c>
      <c r="BH139" s="337"/>
      <c r="BI139" s="41"/>
      <c r="BJ139" s="42"/>
      <c r="BK139" s="137" t="s">
        <v>1243</v>
      </c>
      <c r="BL139" s="37"/>
      <c r="BM139" s="137" t="s">
        <v>1244</v>
      </c>
      <c r="BN139" s="37"/>
      <c r="BO139" s="40"/>
      <c r="BP139" s="40"/>
      <c r="BQ139" s="40"/>
      <c r="BR139" s="21"/>
    </row>
    <row r="140" spans="28:71" x14ac:dyDescent="0.2">
      <c r="AB140" s="579" t="s">
        <v>1690</v>
      </c>
      <c r="AC140" s="580">
        <v>21.5</v>
      </c>
      <c r="AD140" s="583">
        <v>1.28</v>
      </c>
      <c r="AE140" s="580">
        <v>11.8</v>
      </c>
      <c r="AF140" s="582">
        <v>2.2999999999999998</v>
      </c>
      <c r="AN140" s="579" t="s">
        <v>219</v>
      </c>
      <c r="AO140" s="580">
        <v>10.7</v>
      </c>
      <c r="AP140" s="583">
        <v>1.28</v>
      </c>
      <c r="AQ140" s="580">
        <v>11.8</v>
      </c>
      <c r="AR140" s="582">
        <v>2.2999999999999998</v>
      </c>
      <c r="AY140" s="579" t="s">
        <v>665</v>
      </c>
      <c r="AZ140" s="606">
        <v>10</v>
      </c>
      <c r="BA140" s="606">
        <v>2</v>
      </c>
      <c r="BB140" s="606">
        <v>0.1875</v>
      </c>
      <c r="BC140" s="584">
        <v>0.17399999999999999</v>
      </c>
      <c r="BE140" s="579" t="s">
        <v>1051</v>
      </c>
      <c r="BF140" s="602">
        <v>4</v>
      </c>
      <c r="BH140" s="337"/>
      <c r="BI140" s="41"/>
      <c r="BJ140" s="42"/>
      <c r="BK140" s="41" t="s">
        <v>1246</v>
      </c>
      <c r="BL140" s="41" t="s">
        <v>1247</v>
      </c>
      <c r="BM140" s="41" t="s">
        <v>1248</v>
      </c>
      <c r="BN140" s="41" t="s">
        <v>1249</v>
      </c>
      <c r="BO140" s="40"/>
      <c r="BP140" s="40"/>
      <c r="BQ140" s="40"/>
      <c r="BR140" s="21"/>
    </row>
    <row r="141" spans="28:71" x14ac:dyDescent="0.2">
      <c r="AB141" s="579" t="s">
        <v>1691</v>
      </c>
      <c r="AC141" s="580">
        <v>21.1</v>
      </c>
      <c r="AD141" s="583">
        <v>1.1599999999999999</v>
      </c>
      <c r="AE141" s="580">
        <v>11.7</v>
      </c>
      <c r="AF141" s="582">
        <v>2.11</v>
      </c>
      <c r="AN141" s="579" t="s">
        <v>220</v>
      </c>
      <c r="AO141" s="580">
        <v>10.5</v>
      </c>
      <c r="AP141" s="583">
        <v>1.1599999999999999</v>
      </c>
      <c r="AQ141" s="580">
        <v>11.7</v>
      </c>
      <c r="AR141" s="582">
        <v>2.11</v>
      </c>
      <c r="AY141" s="579" t="s">
        <v>666</v>
      </c>
      <c r="AZ141" s="606">
        <v>10</v>
      </c>
      <c r="BA141" s="606">
        <v>2</v>
      </c>
      <c r="BB141" s="606">
        <v>0.125</v>
      </c>
      <c r="BC141" s="584">
        <v>0.11600000000000001</v>
      </c>
      <c r="BE141" s="579" t="s">
        <v>1052</v>
      </c>
      <c r="BF141" s="602">
        <v>4.5</v>
      </c>
      <c r="BH141" s="337"/>
      <c r="BI141" s="41"/>
      <c r="BJ141" s="232" t="s">
        <v>1231</v>
      </c>
      <c r="BK141" s="372">
        <f>0</f>
        <v>0</v>
      </c>
      <c r="BL141" s="372">
        <f>0</f>
        <v>0</v>
      </c>
      <c r="BM141" s="372">
        <f>$BJ$136</f>
        <v>2.6</v>
      </c>
      <c r="BN141" s="373">
        <f>0</f>
        <v>0</v>
      </c>
      <c r="BO141" s="40"/>
      <c r="BP141" s="40"/>
      <c r="BQ141" s="40"/>
      <c r="BR141" s="21"/>
    </row>
    <row r="142" spans="28:71" x14ac:dyDescent="0.2">
      <c r="AB142" s="579" t="s">
        <v>1692</v>
      </c>
      <c r="AC142" s="580">
        <v>20.7</v>
      </c>
      <c r="AD142" s="583">
        <v>1.06</v>
      </c>
      <c r="AE142" s="580">
        <v>11.6</v>
      </c>
      <c r="AF142" s="582">
        <v>1.91</v>
      </c>
      <c r="AN142" s="579" t="s">
        <v>221</v>
      </c>
      <c r="AO142" s="580">
        <v>10.3</v>
      </c>
      <c r="AP142" s="583">
        <v>1.06</v>
      </c>
      <c r="AQ142" s="580">
        <v>11.6</v>
      </c>
      <c r="AR142" s="582">
        <v>1.91</v>
      </c>
      <c r="AY142" s="579" t="s">
        <v>667</v>
      </c>
      <c r="AZ142" s="606">
        <v>9</v>
      </c>
      <c r="BA142" s="606">
        <v>9</v>
      </c>
      <c r="BB142" s="606">
        <v>0.625</v>
      </c>
      <c r="BC142" s="584">
        <v>0.58099999999999996</v>
      </c>
      <c r="BE142" s="579" t="s">
        <v>1053</v>
      </c>
      <c r="BF142" s="602">
        <v>5.5629999999999997</v>
      </c>
      <c r="BH142" s="337"/>
      <c r="BI142" s="41"/>
      <c r="BJ142" s="232" t="s">
        <v>1232</v>
      </c>
      <c r="BK142" s="374">
        <f>$BJ$136</f>
        <v>2.6</v>
      </c>
      <c r="BL142" s="374">
        <f>0</f>
        <v>0</v>
      </c>
      <c r="BM142" s="374">
        <f>$BJ$136</f>
        <v>2.6</v>
      </c>
      <c r="BN142" s="374">
        <f>$BJ$137</f>
        <v>0.436</v>
      </c>
      <c r="BO142" s="40"/>
      <c r="BP142" s="566"/>
      <c r="BQ142" s="566" t="str">
        <f>"bf="&amp;$BJ$136</f>
        <v>bf=2.6</v>
      </c>
      <c r="BS142" s="566" t="str">
        <f>"tf="&amp;$BJ$137</f>
        <v>tf=0.436</v>
      </c>
    </row>
    <row r="143" spans="28:71" x14ac:dyDescent="0.2">
      <c r="AB143" s="579" t="s">
        <v>1693</v>
      </c>
      <c r="AC143" s="580">
        <v>20.399999999999999</v>
      </c>
      <c r="AD143" s="581">
        <v>0.96</v>
      </c>
      <c r="AE143" s="580">
        <v>11.5</v>
      </c>
      <c r="AF143" s="582">
        <v>1.75</v>
      </c>
      <c r="AN143" s="579" t="s">
        <v>222</v>
      </c>
      <c r="AO143" s="580">
        <v>10.199999999999999</v>
      </c>
      <c r="AP143" s="581">
        <v>0.96</v>
      </c>
      <c r="AQ143" s="580">
        <v>11.5</v>
      </c>
      <c r="AR143" s="582">
        <v>1.75</v>
      </c>
      <c r="AY143" s="607" t="s">
        <v>668</v>
      </c>
      <c r="AZ143" s="606">
        <v>9</v>
      </c>
      <c r="BA143" s="606">
        <v>9</v>
      </c>
      <c r="BB143" s="606">
        <v>0.5</v>
      </c>
      <c r="BC143" s="584">
        <v>0.46500000000000002</v>
      </c>
      <c r="BE143" s="579" t="s">
        <v>1054</v>
      </c>
      <c r="BF143" s="602">
        <v>6.625</v>
      </c>
      <c r="BH143" s="337"/>
      <c r="BI143" s="41"/>
      <c r="BJ143" s="232" t="s">
        <v>1234</v>
      </c>
      <c r="BK143" s="374">
        <f>$BJ$135</f>
        <v>0.24</v>
      </c>
      <c r="BL143" s="374">
        <f>$BJ$137</f>
        <v>0.436</v>
      </c>
      <c r="BM143" s="374">
        <f>$BJ$136</f>
        <v>2.6</v>
      </c>
      <c r="BN143" s="375">
        <f>$BJ$137</f>
        <v>0.436</v>
      </c>
      <c r="BO143" s="40"/>
      <c r="BP143" s="40"/>
      <c r="BQ143" s="40"/>
      <c r="BR143" s="21"/>
    </row>
    <row r="144" spans="28:71" x14ac:dyDescent="0.2">
      <c r="AB144" s="579" t="s">
        <v>1694</v>
      </c>
      <c r="AC144" s="580">
        <v>20</v>
      </c>
      <c r="AD144" s="581">
        <v>0.89</v>
      </c>
      <c r="AE144" s="580">
        <v>11.4</v>
      </c>
      <c r="AF144" s="582">
        <v>1.59</v>
      </c>
      <c r="AN144" s="579" t="s">
        <v>223</v>
      </c>
      <c r="AO144" s="580">
        <v>10</v>
      </c>
      <c r="AP144" s="581">
        <v>0.89</v>
      </c>
      <c r="AQ144" s="580">
        <v>11.4</v>
      </c>
      <c r="AR144" s="582">
        <v>1.59</v>
      </c>
      <c r="AY144" s="607" t="s">
        <v>669</v>
      </c>
      <c r="AZ144" s="606">
        <v>9</v>
      </c>
      <c r="BA144" s="606">
        <v>9</v>
      </c>
      <c r="BB144" s="606">
        <v>0.375</v>
      </c>
      <c r="BC144" s="584">
        <v>0.34899999999999998</v>
      </c>
      <c r="BE144" s="579" t="s">
        <v>1055</v>
      </c>
      <c r="BF144" s="602">
        <v>8.625</v>
      </c>
      <c r="BH144" s="337"/>
      <c r="BI144" s="41"/>
      <c r="BJ144" s="232" t="s">
        <v>1235</v>
      </c>
      <c r="BK144" s="374">
        <f>0</f>
        <v>0</v>
      </c>
      <c r="BL144" s="374">
        <f>0</f>
        <v>0</v>
      </c>
      <c r="BM144" s="374">
        <f>0</f>
        <v>0</v>
      </c>
      <c r="BN144" s="375">
        <f>$BJ$134</f>
        <v>10</v>
      </c>
      <c r="BO144" s="40"/>
      <c r="BP144" s="40" t="s">
        <v>1344</v>
      </c>
      <c r="BQ144" s="40"/>
      <c r="BR144" s="21"/>
    </row>
    <row r="145" spans="28:71" x14ac:dyDescent="0.2">
      <c r="AB145" s="579" t="s">
        <v>1695</v>
      </c>
      <c r="AC145" s="580">
        <v>19.7</v>
      </c>
      <c r="AD145" s="581">
        <v>0.81</v>
      </c>
      <c r="AE145" s="580">
        <v>11.3</v>
      </c>
      <c r="AF145" s="582">
        <v>1.44</v>
      </c>
      <c r="AN145" s="579" t="s">
        <v>224</v>
      </c>
      <c r="AO145" s="583">
        <v>9.86</v>
      </c>
      <c r="AP145" s="581">
        <v>0.81</v>
      </c>
      <c r="AQ145" s="580">
        <v>11.3</v>
      </c>
      <c r="AR145" s="582">
        <v>1.44</v>
      </c>
      <c r="AY145" s="607" t="s">
        <v>670</v>
      </c>
      <c r="AZ145" s="606">
        <v>9</v>
      </c>
      <c r="BA145" s="606">
        <v>9</v>
      </c>
      <c r="BB145" s="606">
        <v>0.3125</v>
      </c>
      <c r="BC145" s="584">
        <v>0.29099999999999998</v>
      </c>
      <c r="BE145" s="579" t="s">
        <v>1056</v>
      </c>
      <c r="BF145" s="602">
        <v>10.75</v>
      </c>
      <c r="BH145" s="337"/>
      <c r="BI145" s="41"/>
      <c r="BJ145" s="232" t="s">
        <v>1238</v>
      </c>
      <c r="BK145" s="374">
        <f>$BJ$135</f>
        <v>0.24</v>
      </c>
      <c r="BL145" s="374">
        <f>$BJ$137</f>
        <v>0.436</v>
      </c>
      <c r="BM145" s="374">
        <f>$BJ$135</f>
        <v>0.24</v>
      </c>
      <c r="BN145" s="375">
        <f>$BJ$134-$BJ$137</f>
        <v>9.5640000000000001</v>
      </c>
      <c r="BO145" s="40"/>
      <c r="BP145" s="40" t="s">
        <v>1345</v>
      </c>
      <c r="BQ145" s="40"/>
      <c r="BR145" s="21"/>
    </row>
    <row r="146" spans="28:71" x14ac:dyDescent="0.2">
      <c r="AB146" s="579" t="s">
        <v>1696</v>
      </c>
      <c r="AC146" s="580">
        <v>19.5</v>
      </c>
      <c r="AD146" s="581">
        <v>0.73</v>
      </c>
      <c r="AE146" s="580">
        <v>11.2</v>
      </c>
      <c r="AF146" s="582">
        <v>1.32</v>
      </c>
      <c r="AN146" s="579" t="s">
        <v>225</v>
      </c>
      <c r="AO146" s="583">
        <v>9.75</v>
      </c>
      <c r="AP146" s="581">
        <v>0.73</v>
      </c>
      <c r="AQ146" s="580">
        <v>11.2</v>
      </c>
      <c r="AR146" s="582">
        <v>1.32</v>
      </c>
      <c r="AY146" s="607" t="s">
        <v>671</v>
      </c>
      <c r="AZ146" s="606">
        <v>9</v>
      </c>
      <c r="BA146" s="606">
        <v>9</v>
      </c>
      <c r="BB146" s="606">
        <v>0.25</v>
      </c>
      <c r="BC146" s="584">
        <v>0.23300000000000001</v>
      </c>
      <c r="BE146" s="579" t="s">
        <v>1057</v>
      </c>
      <c r="BF146" s="602">
        <v>12.75</v>
      </c>
      <c r="BH146" s="337"/>
      <c r="BI146" s="41"/>
      <c r="BJ146" s="232" t="s">
        <v>1241</v>
      </c>
      <c r="BK146" s="374">
        <f>$BJ$135</f>
        <v>0.24</v>
      </c>
      <c r="BL146" s="375">
        <f>$BJ$134-$BJ$137</f>
        <v>9.5640000000000001</v>
      </c>
      <c r="BM146" s="374">
        <f>$BJ$136</f>
        <v>2.6</v>
      </c>
      <c r="BN146" s="375">
        <f>$BJ$134-$BJ$137</f>
        <v>9.5640000000000001</v>
      </c>
      <c r="BO146" s="40"/>
      <c r="BP146" s="40"/>
      <c r="BQ146" s="40"/>
      <c r="BR146" s="21"/>
    </row>
    <row r="147" spans="28:71" x14ac:dyDescent="0.2">
      <c r="AB147" s="579" t="s">
        <v>1697</v>
      </c>
      <c r="AC147" s="580">
        <v>19.3</v>
      </c>
      <c r="AD147" s="581">
        <v>0.67</v>
      </c>
      <c r="AE147" s="580">
        <v>11.2</v>
      </c>
      <c r="AF147" s="582">
        <v>1.2</v>
      </c>
      <c r="AN147" s="579" t="s">
        <v>226</v>
      </c>
      <c r="AO147" s="583">
        <v>9.6300000000000008</v>
      </c>
      <c r="AP147" s="581">
        <v>0.67</v>
      </c>
      <c r="AQ147" s="580">
        <v>11.2</v>
      </c>
      <c r="AR147" s="582">
        <v>1.2</v>
      </c>
      <c r="AY147" s="607" t="s">
        <v>672</v>
      </c>
      <c r="AZ147" s="606">
        <v>9</v>
      </c>
      <c r="BA147" s="606">
        <v>9</v>
      </c>
      <c r="BB147" s="606">
        <v>0.1875</v>
      </c>
      <c r="BC147" s="584">
        <v>0.17399999999999999</v>
      </c>
      <c r="BE147" s="579" t="s">
        <v>1058</v>
      </c>
      <c r="BF147" s="602">
        <v>0.84</v>
      </c>
      <c r="BH147" s="337"/>
      <c r="BI147" s="41"/>
      <c r="BJ147" s="232" t="s">
        <v>1245</v>
      </c>
      <c r="BK147" s="374">
        <f>$BJ$136</f>
        <v>2.6</v>
      </c>
      <c r="BL147" s="375">
        <f>$BJ$134-$BJ$137</f>
        <v>9.5640000000000001</v>
      </c>
      <c r="BM147" s="374">
        <f>$BJ$136</f>
        <v>2.6</v>
      </c>
      <c r="BN147" s="375">
        <f>$BJ$134</f>
        <v>10</v>
      </c>
      <c r="BO147" s="40"/>
      <c r="BP147" s="40"/>
      <c r="BQ147" s="40"/>
      <c r="BR147" s="21"/>
    </row>
    <row r="148" spans="28:71" x14ac:dyDescent="0.2">
      <c r="AB148" s="579" t="s">
        <v>1698</v>
      </c>
      <c r="AC148" s="580">
        <v>19</v>
      </c>
      <c r="AD148" s="581">
        <v>0.65500000000000003</v>
      </c>
      <c r="AE148" s="580">
        <v>11.3</v>
      </c>
      <c r="AF148" s="582">
        <v>1.06</v>
      </c>
      <c r="AN148" s="579" t="s">
        <v>227</v>
      </c>
      <c r="AO148" s="583">
        <v>9.49</v>
      </c>
      <c r="AP148" s="581">
        <v>0.65500000000000003</v>
      </c>
      <c r="AQ148" s="580">
        <v>11.3</v>
      </c>
      <c r="AR148" s="582">
        <v>1.06</v>
      </c>
      <c r="AY148" s="579" t="s">
        <v>673</v>
      </c>
      <c r="AZ148" s="606">
        <v>9</v>
      </c>
      <c r="BA148" s="606">
        <v>9</v>
      </c>
      <c r="BB148" s="606">
        <v>0.125</v>
      </c>
      <c r="BC148" s="584">
        <v>0.11600000000000001</v>
      </c>
      <c r="BE148" s="579" t="s">
        <v>1059</v>
      </c>
      <c r="BF148" s="602">
        <v>1.05</v>
      </c>
      <c r="BH148" s="337"/>
      <c r="BI148" s="41"/>
      <c r="BJ148" s="232" t="s">
        <v>1250</v>
      </c>
      <c r="BK148" s="408">
        <f>0</f>
        <v>0</v>
      </c>
      <c r="BL148" s="409">
        <f>$BJ$134</f>
        <v>10</v>
      </c>
      <c r="BM148" s="408">
        <f>$BJ$136</f>
        <v>2.6</v>
      </c>
      <c r="BN148" s="409">
        <f>$BJ$134</f>
        <v>10</v>
      </c>
      <c r="BO148" s="40"/>
      <c r="BP148" s="66"/>
      <c r="BQ148" s="40"/>
      <c r="BR148" s="21"/>
    </row>
    <row r="149" spans="28:71" x14ac:dyDescent="0.2">
      <c r="AB149" s="579" t="s">
        <v>1699</v>
      </c>
      <c r="AC149" s="580">
        <v>18.7</v>
      </c>
      <c r="AD149" s="581">
        <v>0.59</v>
      </c>
      <c r="AE149" s="580">
        <v>11.2</v>
      </c>
      <c r="AF149" s="584">
        <v>0.94</v>
      </c>
      <c r="AN149" s="579" t="s">
        <v>228</v>
      </c>
      <c r="AO149" s="583">
        <v>9.3699999999999992</v>
      </c>
      <c r="AP149" s="581">
        <v>0.59</v>
      </c>
      <c r="AQ149" s="580">
        <v>11.2</v>
      </c>
      <c r="AR149" s="584">
        <v>0.94</v>
      </c>
      <c r="AY149" s="579" t="s">
        <v>674</v>
      </c>
      <c r="AZ149" s="606">
        <v>9</v>
      </c>
      <c r="BA149" s="606">
        <v>7</v>
      </c>
      <c r="BB149" s="606">
        <v>0.625</v>
      </c>
      <c r="BC149" s="584">
        <v>0.58099999999999996</v>
      </c>
      <c r="BE149" s="579" t="s">
        <v>1060</v>
      </c>
      <c r="BF149" s="602">
        <v>1.3149999999999999</v>
      </c>
      <c r="BH149" s="337"/>
      <c r="BI149" s="41"/>
      <c r="BJ149" s="232"/>
      <c r="BK149" s="11"/>
      <c r="BL149" s="11"/>
      <c r="BM149" s="11"/>
      <c r="BN149" s="11"/>
      <c r="BO149" s="40"/>
      <c r="BP149" s="66"/>
      <c r="BQ149" s="40"/>
      <c r="BR149" s="21"/>
    </row>
    <row r="150" spans="28:71" x14ac:dyDescent="0.2">
      <c r="AB150" s="579" t="s">
        <v>1700</v>
      </c>
      <c r="AC150" s="580">
        <v>18.600000000000001</v>
      </c>
      <c r="AD150" s="581">
        <v>0.53500000000000003</v>
      </c>
      <c r="AE150" s="580">
        <v>11.1</v>
      </c>
      <c r="AF150" s="584">
        <v>0.87</v>
      </c>
      <c r="AN150" s="579" t="s">
        <v>229</v>
      </c>
      <c r="AO150" s="583">
        <v>9.3000000000000007</v>
      </c>
      <c r="AP150" s="581">
        <v>0.53500000000000003</v>
      </c>
      <c r="AQ150" s="580">
        <v>11.1</v>
      </c>
      <c r="AR150" s="584">
        <v>0.87</v>
      </c>
      <c r="AY150" s="579" t="s">
        <v>675</v>
      </c>
      <c r="AZ150" s="606">
        <v>9</v>
      </c>
      <c r="BA150" s="606">
        <v>7</v>
      </c>
      <c r="BB150" s="606">
        <v>0.5</v>
      </c>
      <c r="BC150" s="584">
        <v>0.46500000000000002</v>
      </c>
      <c r="BE150" s="579" t="s">
        <v>1061</v>
      </c>
      <c r="BF150" s="602">
        <v>1.66</v>
      </c>
      <c r="BH150" s="337"/>
      <c r="BI150" s="410" t="s">
        <v>1530</v>
      </c>
      <c r="BJ150" s="40"/>
      <c r="BK150" s="40"/>
      <c r="BL150" s="40"/>
      <c r="BM150" s="40"/>
      <c r="BN150" s="40"/>
      <c r="BO150" s="40"/>
      <c r="BP150" s="40"/>
      <c r="BQ150" s="40"/>
      <c r="BR150" s="21"/>
    </row>
    <row r="151" spans="28:71" x14ac:dyDescent="0.2">
      <c r="AB151" s="579" t="s">
        <v>1701</v>
      </c>
      <c r="AC151" s="580">
        <v>18.399999999999999</v>
      </c>
      <c r="AD151" s="581">
        <v>0.48</v>
      </c>
      <c r="AE151" s="580">
        <v>11.1</v>
      </c>
      <c r="AF151" s="584">
        <v>0.77</v>
      </c>
      <c r="AN151" s="579" t="s">
        <v>230</v>
      </c>
      <c r="AO151" s="583">
        <v>9.1999999999999993</v>
      </c>
      <c r="AP151" s="581">
        <v>0.48</v>
      </c>
      <c r="AQ151" s="580">
        <v>11.1</v>
      </c>
      <c r="AR151" s="584">
        <v>0.77</v>
      </c>
      <c r="AY151" s="579" t="s">
        <v>676</v>
      </c>
      <c r="AZ151" s="606">
        <v>9</v>
      </c>
      <c r="BA151" s="606">
        <v>7</v>
      </c>
      <c r="BB151" s="606">
        <v>0.375</v>
      </c>
      <c r="BC151" s="584">
        <v>0.34899999999999998</v>
      </c>
      <c r="BE151" s="579" t="s">
        <v>1062</v>
      </c>
      <c r="BF151" s="602">
        <v>1.9</v>
      </c>
      <c r="BH151" s="337"/>
      <c r="BI151" s="59" t="s">
        <v>1526</v>
      </c>
      <c r="BJ151" s="40"/>
      <c r="BK151" s="40"/>
      <c r="BL151" s="40"/>
      <c r="BM151" s="40"/>
      <c r="BN151" s="40"/>
      <c r="BO151" s="40"/>
      <c r="BP151" s="40"/>
      <c r="BQ151" s="40"/>
      <c r="BR151" s="21"/>
    </row>
    <row r="152" spans="28:71" x14ac:dyDescent="0.2">
      <c r="AB152" s="579" t="s">
        <v>1702</v>
      </c>
      <c r="AC152" s="580">
        <v>18.2</v>
      </c>
      <c r="AD152" s="581">
        <v>0.42499999999999999</v>
      </c>
      <c r="AE152" s="580">
        <v>11</v>
      </c>
      <c r="AF152" s="584">
        <v>0.68</v>
      </c>
      <c r="AN152" s="579" t="s">
        <v>231</v>
      </c>
      <c r="AO152" s="583">
        <v>9.11</v>
      </c>
      <c r="AP152" s="581">
        <v>0.42499999999999999</v>
      </c>
      <c r="AQ152" s="580">
        <v>11</v>
      </c>
      <c r="AR152" s="584">
        <v>0.68</v>
      </c>
      <c r="AY152" s="579" t="s">
        <v>677</v>
      </c>
      <c r="AZ152" s="606">
        <v>9</v>
      </c>
      <c r="BA152" s="606">
        <v>7</v>
      </c>
      <c r="BB152" s="606">
        <v>0.3125</v>
      </c>
      <c r="BC152" s="584">
        <v>0.29099999999999998</v>
      </c>
      <c r="BE152" s="579" t="s">
        <v>1063</v>
      </c>
      <c r="BF152" s="602">
        <v>2.375</v>
      </c>
      <c r="BH152" s="337"/>
      <c r="BI152" s="59" t="s">
        <v>1542</v>
      </c>
      <c r="BJ152" s="40"/>
      <c r="BK152" s="40"/>
      <c r="BL152" s="40"/>
      <c r="BM152" s="40"/>
      <c r="BN152" s="40"/>
      <c r="BO152" s="40"/>
      <c r="BP152" s="40"/>
      <c r="BQ152" s="40"/>
      <c r="BR152" s="21"/>
    </row>
    <row r="153" spans="28:71" x14ac:dyDescent="0.2">
      <c r="AB153" s="579" t="s">
        <v>1703</v>
      </c>
      <c r="AC153" s="580">
        <v>18.5</v>
      </c>
      <c r="AD153" s="581">
        <v>0.495</v>
      </c>
      <c r="AE153" s="583">
        <v>7.64</v>
      </c>
      <c r="AF153" s="584">
        <v>0.81</v>
      </c>
      <c r="AN153" s="579" t="s">
        <v>232</v>
      </c>
      <c r="AO153" s="583">
        <v>9.24</v>
      </c>
      <c r="AP153" s="581">
        <v>0.495</v>
      </c>
      <c r="AQ153" s="583">
        <v>7.64</v>
      </c>
      <c r="AR153" s="584">
        <v>0.81</v>
      </c>
      <c r="AY153" s="579" t="s">
        <v>678</v>
      </c>
      <c r="AZ153" s="606">
        <v>9</v>
      </c>
      <c r="BA153" s="606">
        <v>7</v>
      </c>
      <c r="BB153" s="606">
        <v>0.25</v>
      </c>
      <c r="BC153" s="584">
        <v>0.23300000000000001</v>
      </c>
      <c r="BE153" s="579" t="s">
        <v>1064</v>
      </c>
      <c r="BF153" s="602">
        <v>2.875</v>
      </c>
    </row>
    <row r="154" spans="28:71" x14ac:dyDescent="0.2">
      <c r="AB154" s="579" t="s">
        <v>1704</v>
      </c>
      <c r="AC154" s="580">
        <v>18.399999999999999</v>
      </c>
      <c r="AD154" s="581">
        <v>0.45</v>
      </c>
      <c r="AE154" s="583">
        <v>7.59</v>
      </c>
      <c r="AF154" s="584">
        <v>0.75</v>
      </c>
      <c r="AN154" s="579" t="s">
        <v>233</v>
      </c>
      <c r="AO154" s="583">
        <v>9.18</v>
      </c>
      <c r="AP154" s="581">
        <v>0.45</v>
      </c>
      <c r="AQ154" s="583">
        <v>7.59</v>
      </c>
      <c r="AR154" s="584">
        <v>0.75</v>
      </c>
      <c r="AY154" s="579" t="s">
        <v>679</v>
      </c>
      <c r="AZ154" s="606">
        <v>9</v>
      </c>
      <c r="BA154" s="606">
        <v>7</v>
      </c>
      <c r="BB154" s="606">
        <v>0.1875</v>
      </c>
      <c r="BC154" s="584">
        <v>0.17399999999999999</v>
      </c>
      <c r="BE154" s="579" t="s">
        <v>1065</v>
      </c>
      <c r="BF154" s="602">
        <v>3.5</v>
      </c>
    </row>
    <row r="155" spans="28:71" x14ac:dyDescent="0.2">
      <c r="AB155" s="579" t="s">
        <v>1705</v>
      </c>
      <c r="AC155" s="580">
        <v>18.2</v>
      </c>
      <c r="AD155" s="581">
        <v>0.41499999999999998</v>
      </c>
      <c r="AE155" s="583">
        <v>7.56</v>
      </c>
      <c r="AF155" s="584">
        <v>0.69499999999999995</v>
      </c>
      <c r="AN155" s="579" t="s">
        <v>234</v>
      </c>
      <c r="AO155" s="583">
        <v>9.1199999999999992</v>
      </c>
      <c r="AP155" s="581">
        <v>0.41499999999999998</v>
      </c>
      <c r="AQ155" s="583">
        <v>7.56</v>
      </c>
      <c r="AR155" s="584">
        <v>0.69499999999999995</v>
      </c>
      <c r="AY155" s="579" t="s">
        <v>680</v>
      </c>
      <c r="AZ155" s="606">
        <v>9</v>
      </c>
      <c r="BA155" s="606">
        <v>5</v>
      </c>
      <c r="BB155" s="606">
        <v>0.625</v>
      </c>
      <c r="BC155" s="584">
        <v>0.58099999999999996</v>
      </c>
      <c r="BE155" s="579" t="s">
        <v>1066</v>
      </c>
      <c r="BF155" s="602">
        <v>4</v>
      </c>
      <c r="BH155" s="45" t="s">
        <v>1546</v>
      </c>
      <c r="BI155" s="337"/>
      <c r="BJ155" s="337"/>
      <c r="BK155" s="337"/>
      <c r="BL155" s="337"/>
      <c r="BM155" s="337"/>
      <c r="BN155" s="337"/>
      <c r="BO155" s="337"/>
      <c r="BP155" s="337"/>
      <c r="BQ155" s="337"/>
    </row>
    <row r="156" spans="28:71" x14ac:dyDescent="0.2">
      <c r="AB156" s="579" t="s">
        <v>1706</v>
      </c>
      <c r="AC156" s="580">
        <v>18.100000000000001</v>
      </c>
      <c r="AD156" s="581">
        <v>0.39</v>
      </c>
      <c r="AE156" s="583">
        <v>7.53</v>
      </c>
      <c r="AF156" s="584">
        <v>0.63</v>
      </c>
      <c r="AN156" s="579" t="s">
        <v>235</v>
      </c>
      <c r="AO156" s="583">
        <v>9.06</v>
      </c>
      <c r="AP156" s="581">
        <v>0.39</v>
      </c>
      <c r="AQ156" s="583">
        <v>7.53</v>
      </c>
      <c r="AR156" s="584">
        <v>0.63</v>
      </c>
      <c r="AY156" s="579" t="s">
        <v>681</v>
      </c>
      <c r="AZ156" s="606">
        <v>9</v>
      </c>
      <c r="BA156" s="606">
        <v>5</v>
      </c>
      <c r="BB156" s="606">
        <v>0.5</v>
      </c>
      <c r="BC156" s="584">
        <v>0.46500000000000002</v>
      </c>
      <c r="BE156" s="579" t="s">
        <v>1067</v>
      </c>
      <c r="BF156" s="602">
        <v>4.5</v>
      </c>
      <c r="BH156" s="337"/>
      <c r="BI156" s="42"/>
      <c r="BJ156" s="42"/>
      <c r="BK156" s="42"/>
      <c r="BL156" s="42"/>
      <c r="BM156" s="42"/>
      <c r="BN156" s="42"/>
      <c r="BO156" s="42"/>
      <c r="BP156" s="42"/>
      <c r="BQ156" s="42"/>
      <c r="BR156" s="21"/>
    </row>
    <row r="157" spans="28:71" x14ac:dyDescent="0.2">
      <c r="AB157" s="579" t="s">
        <v>1707</v>
      </c>
      <c r="AC157" s="580">
        <v>18</v>
      </c>
      <c r="AD157" s="581">
        <v>0.35499999999999998</v>
      </c>
      <c r="AE157" s="583">
        <v>7.5</v>
      </c>
      <c r="AF157" s="584">
        <v>0.56999999999999995</v>
      </c>
      <c r="AN157" s="579" t="s">
        <v>236</v>
      </c>
      <c r="AO157" s="583">
        <v>9</v>
      </c>
      <c r="AP157" s="581">
        <v>0.35499999999999998</v>
      </c>
      <c r="AQ157" s="583">
        <v>7.5</v>
      </c>
      <c r="AR157" s="584">
        <v>0.56999999999999995</v>
      </c>
      <c r="AY157" s="579" t="s">
        <v>682</v>
      </c>
      <c r="AZ157" s="606">
        <v>9</v>
      </c>
      <c r="BA157" s="606">
        <v>5</v>
      </c>
      <c r="BB157" s="606">
        <v>0.375</v>
      </c>
      <c r="BC157" s="584">
        <v>0.34899999999999998</v>
      </c>
      <c r="BE157" s="579" t="s">
        <v>1068</v>
      </c>
      <c r="BF157" s="602">
        <v>5.5629999999999997</v>
      </c>
      <c r="BH157" s="337"/>
      <c r="BI157" s="567" t="s">
        <v>1547</v>
      </c>
      <c r="BJ157" s="37"/>
      <c r="BK157" s="37"/>
      <c r="BL157" s="37"/>
      <c r="BM157" s="37"/>
      <c r="BN157" s="37"/>
      <c r="BO157" s="37"/>
      <c r="BP157" s="37"/>
      <c r="BQ157" s="37"/>
      <c r="BR157" s="341"/>
    </row>
    <row r="158" spans="28:71" x14ac:dyDescent="0.2">
      <c r="AB158" s="579" t="s">
        <v>1708</v>
      </c>
      <c r="AC158" s="580">
        <v>18.100000000000001</v>
      </c>
      <c r="AD158" s="581">
        <v>0.36</v>
      </c>
      <c r="AE158" s="583">
        <v>6.06</v>
      </c>
      <c r="AF158" s="584">
        <v>0.60499999999999998</v>
      </c>
      <c r="AN158" s="579" t="s">
        <v>237</v>
      </c>
      <c r="AO158" s="583">
        <v>9.0299999999999994</v>
      </c>
      <c r="AP158" s="581">
        <v>0.36</v>
      </c>
      <c r="AQ158" s="583">
        <v>6.06</v>
      </c>
      <c r="AR158" s="584">
        <v>0.60499999999999998</v>
      </c>
      <c r="AY158" s="579" t="s">
        <v>683</v>
      </c>
      <c r="AZ158" s="606">
        <v>9</v>
      </c>
      <c r="BA158" s="606">
        <v>5</v>
      </c>
      <c r="BB158" s="606">
        <v>0.3125</v>
      </c>
      <c r="BC158" s="584">
        <v>0.29099999999999998</v>
      </c>
      <c r="BE158" s="579" t="s">
        <v>1069</v>
      </c>
      <c r="BF158" s="602">
        <v>6.625</v>
      </c>
      <c r="BH158" s="337"/>
      <c r="BI158" s="41"/>
      <c r="BO158" s="40"/>
      <c r="BQ158" s="566"/>
      <c r="BS158" s="566"/>
    </row>
    <row r="159" spans="28:71" x14ac:dyDescent="0.2">
      <c r="AB159" s="579" t="s">
        <v>1709</v>
      </c>
      <c r="AC159" s="580">
        <v>17.899999999999999</v>
      </c>
      <c r="AD159" s="581">
        <v>0.315</v>
      </c>
      <c r="AE159" s="583">
        <v>6.02</v>
      </c>
      <c r="AF159" s="584">
        <v>0.52500000000000002</v>
      </c>
      <c r="AN159" s="579" t="s">
        <v>238</v>
      </c>
      <c r="AO159" s="583">
        <v>8.9499999999999993</v>
      </c>
      <c r="AP159" s="581">
        <v>0.315</v>
      </c>
      <c r="AQ159" s="583">
        <v>6.02</v>
      </c>
      <c r="AR159" s="584">
        <v>0.52500000000000002</v>
      </c>
      <c r="AY159" s="579" t="s">
        <v>684</v>
      </c>
      <c r="AZ159" s="606">
        <v>9</v>
      </c>
      <c r="BA159" s="606">
        <v>5</v>
      </c>
      <c r="BB159" s="606">
        <v>0.25</v>
      </c>
      <c r="BC159" s="584">
        <v>0.23300000000000001</v>
      </c>
      <c r="BE159" s="579" t="s">
        <v>1070</v>
      </c>
      <c r="BF159" s="602">
        <v>8.625</v>
      </c>
      <c r="BH159" s="337"/>
      <c r="BI159" s="69" t="s">
        <v>731</v>
      </c>
      <c r="BJ159" s="610" t="s">
        <v>499</v>
      </c>
      <c r="BK159" s="40"/>
      <c r="BO159" s="40"/>
    </row>
    <row r="160" spans="28:71" x14ac:dyDescent="0.2">
      <c r="AB160" s="579" t="s">
        <v>1710</v>
      </c>
      <c r="AC160" s="580">
        <v>17.7</v>
      </c>
      <c r="AD160" s="581">
        <v>0.3</v>
      </c>
      <c r="AE160" s="583">
        <v>6</v>
      </c>
      <c r="AF160" s="584">
        <v>0.42499999999999999</v>
      </c>
      <c r="AN160" s="579" t="s">
        <v>239</v>
      </c>
      <c r="AO160" s="583">
        <v>8.85</v>
      </c>
      <c r="AP160" s="581">
        <v>0.3</v>
      </c>
      <c r="AQ160" s="583">
        <v>6</v>
      </c>
      <c r="AR160" s="584">
        <v>0.42499999999999999</v>
      </c>
      <c r="AY160" s="579" t="s">
        <v>685</v>
      </c>
      <c r="AZ160" s="606">
        <v>9</v>
      </c>
      <c r="BA160" s="606">
        <v>5</v>
      </c>
      <c r="BB160" s="606">
        <v>0.1875</v>
      </c>
      <c r="BC160" s="584">
        <v>0.17399999999999999</v>
      </c>
      <c r="BE160" s="579" t="s">
        <v>1071</v>
      </c>
      <c r="BF160" s="602">
        <v>10.75</v>
      </c>
      <c r="BH160" s="337"/>
      <c r="BI160" s="232" t="s">
        <v>733</v>
      </c>
      <c r="BJ160" s="611">
        <f>VLOOKUP($BJ$159,$AT$4:$AW$130,2,FALSE)</f>
        <v>3</v>
      </c>
      <c r="BK160" s="237" t="s">
        <v>1172</v>
      </c>
    </row>
    <row r="161" spans="28:71" x14ac:dyDescent="0.2">
      <c r="AB161" s="579" t="s">
        <v>1711</v>
      </c>
      <c r="AC161" s="580">
        <v>17</v>
      </c>
      <c r="AD161" s="581">
        <v>0.58499999999999996</v>
      </c>
      <c r="AE161" s="580">
        <v>10.4</v>
      </c>
      <c r="AF161" s="584">
        <v>0.98499999999999999</v>
      </c>
      <c r="AN161" s="579" t="s">
        <v>240</v>
      </c>
      <c r="AO161" s="583">
        <v>8.49</v>
      </c>
      <c r="AP161" s="581">
        <v>0.58499999999999996</v>
      </c>
      <c r="AQ161" s="580">
        <v>10.4</v>
      </c>
      <c r="AR161" s="584">
        <v>0.98499999999999999</v>
      </c>
      <c r="AY161" s="579" t="s">
        <v>686</v>
      </c>
      <c r="AZ161" s="606">
        <v>9</v>
      </c>
      <c r="BA161" s="606">
        <v>3</v>
      </c>
      <c r="BB161" s="606">
        <v>0.5</v>
      </c>
      <c r="BC161" s="584">
        <v>0.46500000000000002</v>
      </c>
      <c r="BE161" s="579" t="s">
        <v>1072</v>
      </c>
      <c r="BF161" s="602">
        <v>12.75</v>
      </c>
      <c r="BH161" s="337"/>
      <c r="BI161" s="232" t="s">
        <v>738</v>
      </c>
      <c r="BJ161" s="612">
        <f>VLOOKUP($BJ$159,$AT$4:$AW$130,3,FALSE)</f>
        <v>3</v>
      </c>
      <c r="BK161" s="237" t="s">
        <v>1172</v>
      </c>
      <c r="BP161" s="568" t="str">
        <f>"  t="&amp;$BJ$162</f>
        <v xml:space="preserve">  t=0.25</v>
      </c>
      <c r="BR161" s="566" t="str">
        <f>"         d="&amp;$BJ$160</f>
        <v xml:space="preserve">         d=3</v>
      </c>
    </row>
    <row r="162" spans="28:71" x14ac:dyDescent="0.2">
      <c r="AB162" s="579" t="s">
        <v>1712</v>
      </c>
      <c r="AC162" s="580">
        <v>16.8</v>
      </c>
      <c r="AD162" s="581">
        <v>0.52500000000000002</v>
      </c>
      <c r="AE162" s="580">
        <v>10.4</v>
      </c>
      <c r="AF162" s="584">
        <v>0.875</v>
      </c>
      <c r="AN162" s="579" t="s">
        <v>241</v>
      </c>
      <c r="AO162" s="583">
        <v>8.3800000000000008</v>
      </c>
      <c r="AP162" s="581">
        <v>0.52500000000000002</v>
      </c>
      <c r="AQ162" s="580">
        <v>10.4</v>
      </c>
      <c r="AR162" s="584">
        <v>0.875</v>
      </c>
      <c r="AY162" s="579" t="s">
        <v>687</v>
      </c>
      <c r="AZ162" s="606">
        <v>9</v>
      </c>
      <c r="BA162" s="606">
        <v>3</v>
      </c>
      <c r="BB162" s="606">
        <v>0.375</v>
      </c>
      <c r="BC162" s="584">
        <v>0.34899999999999998</v>
      </c>
      <c r="BE162" s="579" t="s">
        <v>1073</v>
      </c>
      <c r="BF162" s="602">
        <v>2.375</v>
      </c>
      <c r="BH162" s="337"/>
      <c r="BI162" s="232" t="s">
        <v>739</v>
      </c>
      <c r="BJ162" s="613">
        <f>VLOOKUP($BJ$159,$AT$4:$AW$130,4,FALSE)</f>
        <v>0.25</v>
      </c>
      <c r="BK162" s="237" t="s">
        <v>1172</v>
      </c>
      <c r="BP162" s="40"/>
      <c r="BQ162" s="40"/>
      <c r="BR162" s="21"/>
    </row>
    <row r="163" spans="28:71" x14ac:dyDescent="0.2">
      <c r="AB163" s="579" t="s">
        <v>1713</v>
      </c>
      <c r="AC163" s="580">
        <v>16.5</v>
      </c>
      <c r="AD163" s="581">
        <v>0.45500000000000002</v>
      </c>
      <c r="AE163" s="580">
        <v>10.3</v>
      </c>
      <c r="AF163" s="584">
        <v>0.76</v>
      </c>
      <c r="AN163" s="579" t="s">
        <v>242</v>
      </c>
      <c r="AO163" s="583">
        <v>8.26</v>
      </c>
      <c r="AP163" s="581">
        <v>0.45500000000000002</v>
      </c>
      <c r="AQ163" s="580">
        <v>10.3</v>
      </c>
      <c r="AR163" s="584">
        <v>0.76</v>
      </c>
      <c r="AY163" s="579" t="s">
        <v>688</v>
      </c>
      <c r="AZ163" s="606">
        <v>9</v>
      </c>
      <c r="BA163" s="606">
        <v>3</v>
      </c>
      <c r="BB163" s="606">
        <v>0.3125</v>
      </c>
      <c r="BC163" s="584">
        <v>0.29099999999999998</v>
      </c>
      <c r="BE163" s="579" t="s">
        <v>1074</v>
      </c>
      <c r="BF163" s="602">
        <v>2.875</v>
      </c>
      <c r="BH163" s="337"/>
      <c r="BI163" s="41"/>
      <c r="BJ163" s="40"/>
      <c r="BK163" s="137" t="s">
        <v>1240</v>
      </c>
      <c r="BL163" s="37"/>
      <c r="BM163" s="37"/>
      <c r="BN163" s="37"/>
      <c r="BO163" s="40"/>
      <c r="BP163" s="40"/>
      <c r="BQ163" s="40"/>
      <c r="BR163" s="21"/>
    </row>
    <row r="164" spans="28:71" x14ac:dyDescent="0.2">
      <c r="AB164" s="579" t="s">
        <v>1714</v>
      </c>
      <c r="AC164" s="580">
        <v>16.3</v>
      </c>
      <c r="AD164" s="581">
        <v>0.39500000000000002</v>
      </c>
      <c r="AE164" s="580">
        <v>10.199999999999999</v>
      </c>
      <c r="AF164" s="584">
        <v>0.66500000000000004</v>
      </c>
      <c r="AN164" s="579" t="s">
        <v>243</v>
      </c>
      <c r="AO164" s="583">
        <v>8.17</v>
      </c>
      <c r="AP164" s="581">
        <v>0.39500000000000002</v>
      </c>
      <c r="AQ164" s="580">
        <v>10.199999999999999</v>
      </c>
      <c r="AR164" s="584">
        <v>0.66500000000000004</v>
      </c>
      <c r="AY164" s="579" t="s">
        <v>689</v>
      </c>
      <c r="AZ164" s="606">
        <v>9</v>
      </c>
      <c r="BA164" s="606">
        <v>3</v>
      </c>
      <c r="BB164" s="606">
        <v>0.25</v>
      </c>
      <c r="BC164" s="584">
        <v>0.23300000000000001</v>
      </c>
      <c r="BE164" s="579" t="s">
        <v>1075</v>
      </c>
      <c r="BF164" s="602">
        <v>3.5</v>
      </c>
      <c r="BH164" s="337"/>
      <c r="BI164" s="41"/>
      <c r="BJ164" s="42"/>
      <c r="BK164" s="137" t="s">
        <v>1243</v>
      </c>
      <c r="BL164" s="37"/>
      <c r="BM164" s="137" t="s">
        <v>1244</v>
      </c>
      <c r="BN164" s="37"/>
      <c r="BO164" s="40"/>
      <c r="BP164" s="40"/>
      <c r="BQ164" s="40"/>
      <c r="BR164" s="21"/>
    </row>
    <row r="165" spans="28:71" x14ac:dyDescent="0.2">
      <c r="AB165" s="579" t="s">
        <v>1715</v>
      </c>
      <c r="AC165" s="580">
        <v>16.399999999999999</v>
      </c>
      <c r="AD165" s="581">
        <v>0.43</v>
      </c>
      <c r="AE165" s="583">
        <v>7.12</v>
      </c>
      <c r="AF165" s="584">
        <v>0.71499999999999997</v>
      </c>
      <c r="AN165" s="579" t="s">
        <v>244</v>
      </c>
      <c r="AO165" s="583">
        <v>8.2200000000000006</v>
      </c>
      <c r="AP165" s="581">
        <v>0.43</v>
      </c>
      <c r="AQ165" s="583">
        <v>7.12</v>
      </c>
      <c r="AR165" s="584">
        <v>0.71499999999999997</v>
      </c>
      <c r="AY165" s="579" t="s">
        <v>690</v>
      </c>
      <c r="AZ165" s="606">
        <v>9</v>
      </c>
      <c r="BA165" s="606">
        <v>3</v>
      </c>
      <c r="BB165" s="606">
        <v>0.1875</v>
      </c>
      <c r="BC165" s="584">
        <v>0.17399999999999999</v>
      </c>
      <c r="BE165" s="579" t="s">
        <v>1076</v>
      </c>
      <c r="BF165" s="602">
        <v>4.5</v>
      </c>
      <c r="BH165" s="337"/>
      <c r="BI165" s="41"/>
      <c r="BJ165" s="42"/>
      <c r="BK165" s="41" t="s">
        <v>1246</v>
      </c>
      <c r="BL165" s="41" t="s">
        <v>1247</v>
      </c>
      <c r="BM165" s="41" t="s">
        <v>1248</v>
      </c>
      <c r="BN165" s="41" t="s">
        <v>1249</v>
      </c>
      <c r="BO165" s="40"/>
      <c r="BP165" s="40"/>
      <c r="BQ165" s="40"/>
      <c r="BR165" s="21"/>
    </row>
    <row r="166" spans="28:71" x14ac:dyDescent="0.2">
      <c r="AB166" s="579" t="s">
        <v>1716</v>
      </c>
      <c r="AC166" s="580">
        <v>16.3</v>
      </c>
      <c r="AD166" s="581">
        <v>0.38</v>
      </c>
      <c r="AE166" s="583">
        <v>7.07</v>
      </c>
      <c r="AF166" s="584">
        <v>0.63</v>
      </c>
      <c r="AN166" s="579" t="s">
        <v>245</v>
      </c>
      <c r="AO166" s="583">
        <v>8.1300000000000008</v>
      </c>
      <c r="AP166" s="581">
        <v>0.38</v>
      </c>
      <c r="AQ166" s="583">
        <v>7.07</v>
      </c>
      <c r="AR166" s="584">
        <v>0.63</v>
      </c>
      <c r="AY166" s="579" t="s">
        <v>691</v>
      </c>
      <c r="AZ166" s="606">
        <v>8</v>
      </c>
      <c r="BA166" s="606">
        <v>8</v>
      </c>
      <c r="BB166" s="606">
        <v>0.625</v>
      </c>
      <c r="BC166" s="584">
        <v>0.58099999999999996</v>
      </c>
      <c r="BE166" s="579" t="s">
        <v>1077</v>
      </c>
      <c r="BF166" s="602">
        <v>5.5629999999999997</v>
      </c>
      <c r="BH166" s="337"/>
      <c r="BI166" s="41"/>
      <c r="BJ166" s="232" t="s">
        <v>1231</v>
      </c>
      <c r="BK166" s="372">
        <f>0</f>
        <v>0</v>
      </c>
      <c r="BL166" s="372">
        <f>0</f>
        <v>0</v>
      </c>
      <c r="BM166" s="372">
        <f>$BJ$161</f>
        <v>3</v>
      </c>
      <c r="BN166" s="373">
        <f>0</f>
        <v>0</v>
      </c>
      <c r="BO166" s="40"/>
      <c r="BP166" s="566"/>
      <c r="BQ166" s="566" t="str">
        <f>"  b="&amp;$BJ$161</f>
        <v xml:space="preserve">  b=3</v>
      </c>
      <c r="BS166" s="566" t="str">
        <f>"t="&amp;$BJ$162</f>
        <v>t=0.25</v>
      </c>
    </row>
    <row r="167" spans="28:71" x14ac:dyDescent="0.2">
      <c r="AB167" s="579" t="s">
        <v>1717</v>
      </c>
      <c r="AC167" s="580">
        <v>16.100000000000001</v>
      </c>
      <c r="AD167" s="581">
        <v>0.34499999999999997</v>
      </c>
      <c r="AE167" s="583">
        <v>7.04</v>
      </c>
      <c r="AF167" s="584">
        <v>0.56499999999999995</v>
      </c>
      <c r="AN167" s="579" t="s">
        <v>246</v>
      </c>
      <c r="AO167" s="583">
        <v>8.07</v>
      </c>
      <c r="AP167" s="581">
        <v>0.34499999999999997</v>
      </c>
      <c r="AQ167" s="583">
        <v>7.04</v>
      </c>
      <c r="AR167" s="584">
        <v>0.56499999999999995</v>
      </c>
      <c r="AY167" s="579" t="s">
        <v>692</v>
      </c>
      <c r="AZ167" s="606">
        <v>8</v>
      </c>
      <c r="BA167" s="606">
        <v>8</v>
      </c>
      <c r="BB167" s="606">
        <v>0.5</v>
      </c>
      <c r="BC167" s="584">
        <v>0.46500000000000002</v>
      </c>
      <c r="BE167" s="579" t="s">
        <v>1078</v>
      </c>
      <c r="BF167" s="602">
        <v>6.625</v>
      </c>
      <c r="BH167" s="337"/>
      <c r="BI167" s="41"/>
      <c r="BJ167" s="232" t="s">
        <v>1232</v>
      </c>
      <c r="BK167" s="374">
        <f>$BJ$161</f>
        <v>3</v>
      </c>
      <c r="BL167" s="374">
        <f>0</f>
        <v>0</v>
      </c>
      <c r="BM167" s="374">
        <f>$BJ$161</f>
        <v>3</v>
      </c>
      <c r="BN167" s="374">
        <f>$BJ$162</f>
        <v>0.25</v>
      </c>
      <c r="BO167" s="40"/>
      <c r="BP167" s="40"/>
      <c r="BQ167" s="40"/>
      <c r="BR167" s="21"/>
    </row>
    <row r="168" spans="28:71" x14ac:dyDescent="0.2">
      <c r="AB168" s="579" t="s">
        <v>1718</v>
      </c>
      <c r="AC168" s="580">
        <v>16</v>
      </c>
      <c r="AD168" s="581">
        <v>0.30499999999999999</v>
      </c>
      <c r="AE168" s="583">
        <v>7</v>
      </c>
      <c r="AF168" s="584">
        <v>0.505</v>
      </c>
      <c r="AN168" s="579" t="s">
        <v>247</v>
      </c>
      <c r="AO168" s="583">
        <v>8.01</v>
      </c>
      <c r="AP168" s="581">
        <v>0.30499999999999999</v>
      </c>
      <c r="AQ168" s="583">
        <v>7</v>
      </c>
      <c r="AR168" s="584">
        <v>0.505</v>
      </c>
      <c r="AY168" s="579" t="s">
        <v>693</v>
      </c>
      <c r="AZ168" s="606">
        <v>8</v>
      </c>
      <c r="BA168" s="606">
        <v>8</v>
      </c>
      <c r="BB168" s="606">
        <v>0.375</v>
      </c>
      <c r="BC168" s="584">
        <v>0.34899999999999998</v>
      </c>
      <c r="BE168" s="585" t="s">
        <v>1079</v>
      </c>
      <c r="BF168" s="603">
        <v>8.625</v>
      </c>
      <c r="BH168" s="337"/>
      <c r="BI168" s="41"/>
      <c r="BJ168" s="232" t="s">
        <v>1234</v>
      </c>
      <c r="BK168" s="374">
        <f>$BJ$162</f>
        <v>0.25</v>
      </c>
      <c r="BL168" s="374">
        <f>$BJ$162</f>
        <v>0.25</v>
      </c>
      <c r="BM168" s="374">
        <f>$BJ$161</f>
        <v>3</v>
      </c>
      <c r="BN168" s="375">
        <f>$BJ$162</f>
        <v>0.25</v>
      </c>
      <c r="BO168" s="40"/>
      <c r="BP168" s="40" t="s">
        <v>1344</v>
      </c>
    </row>
    <row r="169" spans="28:71" x14ac:dyDescent="0.2">
      <c r="AB169" s="579" t="s">
        <v>1719</v>
      </c>
      <c r="AC169" s="580">
        <v>15.9</v>
      </c>
      <c r="AD169" s="581">
        <v>0.29499999999999998</v>
      </c>
      <c r="AE169" s="583">
        <v>6.99</v>
      </c>
      <c r="AF169" s="584">
        <v>0.43</v>
      </c>
      <c r="AN169" s="579" t="s">
        <v>248</v>
      </c>
      <c r="AO169" s="583">
        <v>7.93</v>
      </c>
      <c r="AP169" s="581">
        <v>0.29499999999999998</v>
      </c>
      <c r="AQ169" s="583">
        <v>6.99</v>
      </c>
      <c r="AR169" s="584">
        <v>0.43</v>
      </c>
      <c r="AY169" s="579" t="s">
        <v>694</v>
      </c>
      <c r="AZ169" s="606">
        <v>8</v>
      </c>
      <c r="BA169" s="606">
        <v>8</v>
      </c>
      <c r="BB169" s="606">
        <v>0.3125</v>
      </c>
      <c r="BC169" s="584">
        <v>0.29099999999999998</v>
      </c>
      <c r="BH169" s="337"/>
      <c r="BI169" s="41"/>
      <c r="BJ169" s="232" t="s">
        <v>1235</v>
      </c>
      <c r="BK169" s="374">
        <f>0</f>
        <v>0</v>
      </c>
      <c r="BL169" s="374">
        <f>0</f>
        <v>0</v>
      </c>
      <c r="BM169" s="374">
        <f>0</f>
        <v>0</v>
      </c>
      <c r="BN169" s="375">
        <f>$BJ$160</f>
        <v>3</v>
      </c>
      <c r="BO169" s="40"/>
      <c r="BP169" s="40" t="s">
        <v>1345</v>
      </c>
    </row>
    <row r="170" spans="28:71" x14ac:dyDescent="0.2">
      <c r="AB170" s="579" t="s">
        <v>1720</v>
      </c>
      <c r="AC170" s="580">
        <v>15.9</v>
      </c>
      <c r="AD170" s="581">
        <v>0.27500000000000002</v>
      </c>
      <c r="AE170" s="583">
        <v>5.53</v>
      </c>
      <c r="AF170" s="584">
        <v>0.44</v>
      </c>
      <c r="AN170" s="579" t="s">
        <v>249</v>
      </c>
      <c r="AO170" s="583">
        <v>7.94</v>
      </c>
      <c r="AP170" s="581">
        <v>0.27500000000000002</v>
      </c>
      <c r="AQ170" s="583">
        <v>5.53</v>
      </c>
      <c r="AR170" s="584">
        <v>0.44</v>
      </c>
      <c r="AY170" s="579" t="s">
        <v>695</v>
      </c>
      <c r="AZ170" s="606">
        <v>8</v>
      </c>
      <c r="BA170" s="606">
        <v>8</v>
      </c>
      <c r="BB170" s="606">
        <v>0.25</v>
      </c>
      <c r="BC170" s="584">
        <v>0.23300000000000001</v>
      </c>
      <c r="BH170" s="337"/>
      <c r="BI170" s="41"/>
      <c r="BJ170" s="232" t="s">
        <v>1238</v>
      </c>
      <c r="BK170" s="374">
        <f>$BJ$162</f>
        <v>0.25</v>
      </c>
      <c r="BL170" s="374">
        <f>$BJ$162</f>
        <v>0.25</v>
      </c>
      <c r="BM170" s="374">
        <f>$BJ$162</f>
        <v>0.25</v>
      </c>
      <c r="BN170" s="375">
        <f>$BJ$160</f>
        <v>3</v>
      </c>
      <c r="BO170" s="40"/>
      <c r="BQ170" s="40"/>
      <c r="BR170" s="21"/>
    </row>
    <row r="171" spans="28:71" x14ac:dyDescent="0.2">
      <c r="AB171" s="579" t="s">
        <v>1721</v>
      </c>
      <c r="AC171" s="580">
        <v>15.7</v>
      </c>
      <c r="AD171" s="581">
        <v>0.25</v>
      </c>
      <c r="AE171" s="583">
        <v>5.5</v>
      </c>
      <c r="AF171" s="584">
        <v>0.34499999999999997</v>
      </c>
      <c r="AN171" s="579" t="s">
        <v>250</v>
      </c>
      <c r="AO171" s="583">
        <v>7.85</v>
      </c>
      <c r="AP171" s="581">
        <v>0.25</v>
      </c>
      <c r="AQ171" s="583">
        <v>5.5</v>
      </c>
      <c r="AR171" s="584">
        <v>0.34499999999999997</v>
      </c>
      <c r="AY171" s="579" t="s">
        <v>696</v>
      </c>
      <c r="AZ171" s="606">
        <v>8</v>
      </c>
      <c r="BA171" s="606">
        <v>8</v>
      </c>
      <c r="BB171" s="606">
        <v>0.1875</v>
      </c>
      <c r="BC171" s="584">
        <v>0.17399999999999999</v>
      </c>
      <c r="BH171" s="337"/>
      <c r="BI171" s="41"/>
      <c r="BJ171" s="232" t="s">
        <v>1241</v>
      </c>
      <c r="BK171" s="408">
        <f>0</f>
        <v>0</v>
      </c>
      <c r="BL171" s="409">
        <f>$BJ$160</f>
        <v>3</v>
      </c>
      <c r="BM171" s="408">
        <f>$BJ$162</f>
        <v>0.25</v>
      </c>
      <c r="BN171" s="409">
        <f>$BJ$160</f>
        <v>3</v>
      </c>
      <c r="BO171" s="40"/>
      <c r="BP171" s="40"/>
      <c r="BQ171" s="40"/>
      <c r="BR171" s="21"/>
    </row>
    <row r="172" spans="28:71" x14ac:dyDescent="0.2">
      <c r="AB172" s="579" t="s">
        <v>1722</v>
      </c>
      <c r="AC172" s="580">
        <v>22.4</v>
      </c>
      <c r="AD172" s="583">
        <v>3.07</v>
      </c>
      <c r="AE172" s="580">
        <v>17.899999999999999</v>
      </c>
      <c r="AF172" s="582">
        <v>4.91</v>
      </c>
      <c r="AN172" s="579" t="s">
        <v>251</v>
      </c>
      <c r="AO172" s="580">
        <v>11.2</v>
      </c>
      <c r="AP172" s="583">
        <v>3.07</v>
      </c>
      <c r="AQ172" s="580">
        <v>17.899999999999999</v>
      </c>
      <c r="AR172" s="582">
        <v>4.91</v>
      </c>
      <c r="AY172" s="579" t="s">
        <v>697</v>
      </c>
      <c r="AZ172" s="606">
        <v>8</v>
      </c>
      <c r="BA172" s="606">
        <v>8</v>
      </c>
      <c r="BB172" s="606">
        <v>0.125</v>
      </c>
      <c r="BC172" s="584">
        <v>0.11600000000000001</v>
      </c>
      <c r="BH172" s="337"/>
      <c r="BI172" s="41"/>
      <c r="BJ172" s="232"/>
      <c r="BK172" s="11"/>
      <c r="BL172" s="11"/>
      <c r="BM172" s="11"/>
      <c r="BN172" s="11"/>
      <c r="BO172" s="40"/>
      <c r="BP172" s="40"/>
      <c r="BQ172" s="40"/>
      <c r="BR172" s="21"/>
    </row>
    <row r="173" spans="28:71" x14ac:dyDescent="0.2">
      <c r="AB173" s="579" t="s">
        <v>1723</v>
      </c>
      <c r="AC173" s="580">
        <v>21.6</v>
      </c>
      <c r="AD173" s="583">
        <v>2.83</v>
      </c>
      <c r="AE173" s="580">
        <v>17.7</v>
      </c>
      <c r="AF173" s="582">
        <v>4.5199999999999996</v>
      </c>
      <c r="AN173" s="579" t="s">
        <v>252</v>
      </c>
      <c r="AO173" s="580">
        <v>10.8</v>
      </c>
      <c r="AP173" s="583">
        <v>2.83</v>
      </c>
      <c r="AQ173" s="580">
        <v>17.7</v>
      </c>
      <c r="AR173" s="582">
        <v>4.5199999999999996</v>
      </c>
      <c r="AY173" s="579" t="s">
        <v>698</v>
      </c>
      <c r="AZ173" s="606">
        <v>8</v>
      </c>
      <c r="BA173" s="606">
        <v>6</v>
      </c>
      <c r="BB173" s="606">
        <v>0.625</v>
      </c>
      <c r="BC173" s="584">
        <v>0.58099999999999996</v>
      </c>
      <c r="BH173" s="337"/>
      <c r="BI173" s="410" t="s">
        <v>1531</v>
      </c>
      <c r="BJ173" s="40"/>
      <c r="BK173" s="40"/>
      <c r="BL173" s="40"/>
      <c r="BM173" s="40"/>
      <c r="BN173" s="40"/>
      <c r="BO173" s="40"/>
      <c r="BP173" s="40"/>
      <c r="BQ173" s="40"/>
      <c r="BR173" s="21"/>
    </row>
    <row r="174" spans="28:71" x14ac:dyDescent="0.2">
      <c r="AB174" s="579" t="s">
        <v>1724</v>
      </c>
      <c r="AC174" s="580">
        <v>20.9</v>
      </c>
      <c r="AD174" s="583">
        <v>2.6</v>
      </c>
      <c r="AE174" s="580">
        <v>17.399999999999999</v>
      </c>
      <c r="AF174" s="582">
        <v>4.16</v>
      </c>
      <c r="AN174" s="579" t="s">
        <v>253</v>
      </c>
      <c r="AO174" s="580">
        <v>10.5</v>
      </c>
      <c r="AP174" s="583">
        <v>2.6</v>
      </c>
      <c r="AQ174" s="580">
        <v>17.399999999999999</v>
      </c>
      <c r="AR174" s="582">
        <v>4.16</v>
      </c>
      <c r="AY174" s="579" t="s">
        <v>699</v>
      </c>
      <c r="AZ174" s="606">
        <v>8</v>
      </c>
      <c r="BA174" s="606">
        <v>6</v>
      </c>
      <c r="BB174" s="606">
        <v>0.5</v>
      </c>
      <c r="BC174" s="584">
        <v>0.46500000000000002</v>
      </c>
      <c r="BH174" s="337"/>
      <c r="BI174" s="59" t="s">
        <v>1526</v>
      </c>
      <c r="BJ174" s="40"/>
      <c r="BK174" s="40"/>
      <c r="BL174" s="40"/>
      <c r="BM174" s="40"/>
      <c r="BN174" s="40"/>
      <c r="BO174" s="40"/>
      <c r="BP174" s="40"/>
      <c r="BQ174" s="40"/>
      <c r="BR174" s="21"/>
    </row>
    <row r="175" spans="28:71" x14ac:dyDescent="0.2">
      <c r="AB175" s="579" t="s">
        <v>1725</v>
      </c>
      <c r="AC175" s="580">
        <v>20.2</v>
      </c>
      <c r="AD175" s="583">
        <v>2.38</v>
      </c>
      <c r="AE175" s="580">
        <v>17.2</v>
      </c>
      <c r="AF175" s="582">
        <v>3.82</v>
      </c>
      <c r="AN175" s="579" t="s">
        <v>254</v>
      </c>
      <c r="AO175" s="580">
        <v>10.1</v>
      </c>
      <c r="AP175" s="583">
        <v>2.38</v>
      </c>
      <c r="AQ175" s="580">
        <v>17.2</v>
      </c>
      <c r="AR175" s="582">
        <v>3.82</v>
      </c>
      <c r="AY175" s="579" t="s">
        <v>700</v>
      </c>
      <c r="AZ175" s="606">
        <v>8</v>
      </c>
      <c r="BA175" s="606">
        <v>6</v>
      </c>
      <c r="BB175" s="606">
        <v>0.375</v>
      </c>
      <c r="BC175" s="584">
        <v>0.34899999999999998</v>
      </c>
      <c r="BH175" s="337"/>
      <c r="BI175" s="59" t="s">
        <v>1548</v>
      </c>
      <c r="BJ175" s="40"/>
      <c r="BK175" s="40"/>
      <c r="BL175" s="40"/>
      <c r="BM175" s="40"/>
      <c r="BN175" s="40"/>
      <c r="BO175" s="40"/>
      <c r="BP175" s="40"/>
      <c r="BQ175" s="40"/>
      <c r="BR175" s="21"/>
    </row>
    <row r="176" spans="28:71" x14ac:dyDescent="0.2">
      <c r="AB176" s="579" t="s">
        <v>1726</v>
      </c>
      <c r="AC176" s="580">
        <v>19.600000000000001</v>
      </c>
      <c r="AD176" s="583">
        <v>2.19</v>
      </c>
      <c r="AE176" s="580">
        <v>17</v>
      </c>
      <c r="AF176" s="582">
        <v>3.5</v>
      </c>
      <c r="AN176" s="579" t="s">
        <v>255</v>
      </c>
      <c r="AO176" s="583">
        <v>9.8000000000000007</v>
      </c>
      <c r="AP176" s="583">
        <v>2.19</v>
      </c>
      <c r="AQ176" s="580">
        <v>17</v>
      </c>
      <c r="AR176" s="582">
        <v>3.5</v>
      </c>
      <c r="AY176" s="579" t="s">
        <v>701</v>
      </c>
      <c r="AZ176" s="606">
        <v>8</v>
      </c>
      <c r="BA176" s="606">
        <v>6</v>
      </c>
      <c r="BB176" s="606">
        <v>0.3125</v>
      </c>
      <c r="BC176" s="584">
        <v>0.29099999999999998</v>
      </c>
      <c r="BH176" s="337"/>
    </row>
    <row r="177" spans="28:71" x14ac:dyDescent="0.2">
      <c r="AB177" s="579" t="s">
        <v>1727</v>
      </c>
      <c r="AC177" s="580">
        <v>19</v>
      </c>
      <c r="AD177" s="583">
        <v>2.02</v>
      </c>
      <c r="AE177" s="580">
        <v>16.8</v>
      </c>
      <c r="AF177" s="582">
        <v>3.21</v>
      </c>
      <c r="AN177" s="579" t="s">
        <v>256</v>
      </c>
      <c r="AO177" s="583">
        <v>9.51</v>
      </c>
      <c r="AP177" s="583">
        <v>2.02</v>
      </c>
      <c r="AQ177" s="580">
        <v>16.8</v>
      </c>
      <c r="AR177" s="582">
        <v>3.21</v>
      </c>
      <c r="AY177" s="579" t="s">
        <v>702</v>
      </c>
      <c r="AZ177" s="606">
        <v>8</v>
      </c>
      <c r="BA177" s="606">
        <v>6</v>
      </c>
      <c r="BB177" s="606">
        <v>0.25</v>
      </c>
      <c r="BC177" s="584">
        <v>0.23300000000000001</v>
      </c>
      <c r="BH177" s="337"/>
    </row>
    <row r="178" spans="28:71" x14ac:dyDescent="0.2">
      <c r="AB178" s="579" t="s">
        <v>1728</v>
      </c>
      <c r="AC178" s="580">
        <v>18.7</v>
      </c>
      <c r="AD178" s="583">
        <v>1.88</v>
      </c>
      <c r="AE178" s="580">
        <v>16.7</v>
      </c>
      <c r="AF178" s="582">
        <v>3.04</v>
      </c>
      <c r="AN178" s="579" t="s">
        <v>257</v>
      </c>
      <c r="AO178" s="583">
        <v>9.34</v>
      </c>
      <c r="AP178" s="583">
        <v>1.88</v>
      </c>
      <c r="AQ178" s="580">
        <v>16.7</v>
      </c>
      <c r="AR178" s="582">
        <v>3.04</v>
      </c>
      <c r="AY178" s="579" t="s">
        <v>703</v>
      </c>
      <c r="AZ178" s="606">
        <v>8</v>
      </c>
      <c r="BA178" s="606">
        <v>6</v>
      </c>
      <c r="BB178" s="606">
        <v>0.1875</v>
      </c>
      <c r="BC178" s="584">
        <v>0.17399999999999999</v>
      </c>
      <c r="BH178" s="45" t="s">
        <v>1544</v>
      </c>
      <c r="BI178" s="337"/>
      <c r="BJ178" s="337"/>
      <c r="BK178" s="337"/>
      <c r="BL178" s="337"/>
      <c r="BM178" s="337"/>
      <c r="BN178" s="337"/>
      <c r="BO178" s="337"/>
      <c r="BP178" s="337"/>
      <c r="BQ178" s="337"/>
    </row>
    <row r="179" spans="28:71" x14ac:dyDescent="0.2">
      <c r="AB179" s="579" t="s">
        <v>1729</v>
      </c>
      <c r="AC179" s="580">
        <v>18.3</v>
      </c>
      <c r="AD179" s="583">
        <v>1.77</v>
      </c>
      <c r="AE179" s="580">
        <v>16.600000000000001</v>
      </c>
      <c r="AF179" s="582">
        <v>2.85</v>
      </c>
      <c r="AN179" s="579" t="s">
        <v>258</v>
      </c>
      <c r="AO179" s="583">
        <v>9.15</v>
      </c>
      <c r="AP179" s="583">
        <v>1.77</v>
      </c>
      <c r="AQ179" s="580">
        <v>16.600000000000001</v>
      </c>
      <c r="AR179" s="582">
        <v>2.85</v>
      </c>
      <c r="AY179" s="579" t="s">
        <v>704</v>
      </c>
      <c r="AZ179" s="606">
        <v>8</v>
      </c>
      <c r="BA179" s="606">
        <v>4</v>
      </c>
      <c r="BB179" s="606">
        <v>0.625</v>
      </c>
      <c r="BC179" s="584">
        <v>0.58099999999999996</v>
      </c>
      <c r="BH179" s="337"/>
      <c r="BI179" s="42"/>
      <c r="BJ179" s="42"/>
      <c r="BK179" s="42"/>
      <c r="BL179" s="42"/>
      <c r="BM179" s="42"/>
      <c r="BN179" s="42"/>
      <c r="BO179" s="42"/>
      <c r="BP179" s="42"/>
      <c r="BQ179" s="42"/>
      <c r="BR179" s="21"/>
    </row>
    <row r="180" spans="28:71" x14ac:dyDescent="0.2">
      <c r="AB180" s="579" t="s">
        <v>1730</v>
      </c>
      <c r="AC180" s="580">
        <v>17.899999999999999</v>
      </c>
      <c r="AD180" s="583">
        <v>1.66</v>
      </c>
      <c r="AE180" s="580">
        <v>16.5</v>
      </c>
      <c r="AF180" s="582">
        <v>2.66</v>
      </c>
      <c r="AN180" s="579" t="s">
        <v>259</v>
      </c>
      <c r="AO180" s="583">
        <v>8.9600000000000009</v>
      </c>
      <c r="AP180" s="583">
        <v>1.66</v>
      </c>
      <c r="AQ180" s="580">
        <v>16.5</v>
      </c>
      <c r="AR180" s="582">
        <v>2.66</v>
      </c>
      <c r="AY180" s="579" t="s">
        <v>705</v>
      </c>
      <c r="AZ180" s="606">
        <v>8</v>
      </c>
      <c r="BA180" s="606">
        <v>4</v>
      </c>
      <c r="BB180" s="606">
        <v>0.5</v>
      </c>
      <c r="BC180" s="584">
        <v>0.46500000000000002</v>
      </c>
      <c r="BH180" s="337"/>
      <c r="BI180" s="567" t="s">
        <v>1545</v>
      </c>
      <c r="BJ180" s="37"/>
      <c r="BK180" s="37"/>
      <c r="BL180" s="37"/>
      <c r="BM180" s="37"/>
      <c r="BN180" s="37"/>
      <c r="BO180" s="37"/>
      <c r="BP180" s="37"/>
      <c r="BQ180" s="37"/>
      <c r="BR180" s="341"/>
    </row>
    <row r="181" spans="28:71" x14ac:dyDescent="0.2">
      <c r="AB181" s="579" t="s">
        <v>1731</v>
      </c>
      <c r="AC181" s="580">
        <v>17.5</v>
      </c>
      <c r="AD181" s="583">
        <v>1.54</v>
      </c>
      <c r="AE181" s="580">
        <v>16.399999999999999</v>
      </c>
      <c r="AF181" s="582">
        <v>2.4700000000000002</v>
      </c>
      <c r="AN181" s="579" t="s">
        <v>260</v>
      </c>
      <c r="AO181" s="583">
        <v>8.77</v>
      </c>
      <c r="AP181" s="583">
        <v>1.54</v>
      </c>
      <c r="AQ181" s="580">
        <v>16.399999999999999</v>
      </c>
      <c r="AR181" s="582">
        <v>2.4700000000000002</v>
      </c>
      <c r="AY181" s="579" t="s">
        <v>706</v>
      </c>
      <c r="AZ181" s="606">
        <v>8</v>
      </c>
      <c r="BA181" s="606">
        <v>4</v>
      </c>
      <c r="BB181" s="606">
        <v>0.375</v>
      </c>
      <c r="BC181" s="584">
        <v>0.34899999999999998</v>
      </c>
      <c r="BH181" s="337"/>
      <c r="BI181" s="41"/>
      <c r="BO181" s="40"/>
    </row>
    <row r="182" spans="28:71" x14ac:dyDescent="0.2">
      <c r="AB182" s="579" t="s">
        <v>1732</v>
      </c>
      <c r="AC182" s="580">
        <v>17.100000000000001</v>
      </c>
      <c r="AD182" s="583">
        <v>1.41</v>
      </c>
      <c r="AE182" s="580">
        <v>16.2</v>
      </c>
      <c r="AF182" s="582">
        <v>2.2599999999999998</v>
      </c>
      <c r="AN182" s="579" t="s">
        <v>261</v>
      </c>
      <c r="AO182" s="583">
        <v>8.56</v>
      </c>
      <c r="AP182" s="583">
        <v>1.41</v>
      </c>
      <c r="AQ182" s="580">
        <v>16.2</v>
      </c>
      <c r="AR182" s="582">
        <v>2.2599999999999998</v>
      </c>
      <c r="AY182" s="579" t="s">
        <v>707</v>
      </c>
      <c r="AZ182" s="606">
        <v>8</v>
      </c>
      <c r="BA182" s="606">
        <v>4</v>
      </c>
      <c r="BB182" s="606">
        <v>0.3125</v>
      </c>
      <c r="BC182" s="584">
        <v>0.29099999999999998</v>
      </c>
      <c r="BH182" s="337"/>
      <c r="BI182" s="69" t="s">
        <v>731</v>
      </c>
      <c r="BJ182" s="610" t="s">
        <v>700</v>
      </c>
      <c r="BK182" s="40"/>
      <c r="BO182" s="40"/>
      <c r="BP182" s="40"/>
      <c r="BQ182" s="568" t="str">
        <f>"  b="&amp;$BJ$184</f>
        <v xml:space="preserve">  b=6</v>
      </c>
      <c r="BR182" s="569" t="str">
        <f>"        c="&amp;$BJ$185</f>
        <v xml:space="preserve">        c=0.75</v>
      </c>
    </row>
    <row r="183" spans="28:71" x14ac:dyDescent="0.2">
      <c r="AB183" s="579" t="s">
        <v>1733</v>
      </c>
      <c r="AC183" s="580">
        <v>16.7</v>
      </c>
      <c r="AD183" s="583">
        <v>1.29</v>
      </c>
      <c r="AE183" s="580">
        <v>16.100000000000001</v>
      </c>
      <c r="AF183" s="582">
        <v>2.0699999999999998</v>
      </c>
      <c r="AN183" s="579" t="s">
        <v>262</v>
      </c>
      <c r="AO183" s="583">
        <v>8.3699999999999992</v>
      </c>
      <c r="AP183" s="583">
        <v>1.29</v>
      </c>
      <c r="AQ183" s="580">
        <v>16.100000000000001</v>
      </c>
      <c r="AR183" s="582">
        <v>2.0699999999999998</v>
      </c>
      <c r="AY183" s="579" t="s">
        <v>708</v>
      </c>
      <c r="AZ183" s="606">
        <v>8</v>
      </c>
      <c r="BA183" s="606">
        <v>4</v>
      </c>
      <c r="BB183" s="606">
        <v>0.25</v>
      </c>
      <c r="BC183" s="584">
        <v>0.23300000000000001</v>
      </c>
      <c r="BH183" s="337"/>
      <c r="BI183" s="232" t="s">
        <v>740</v>
      </c>
      <c r="BJ183" s="611">
        <f>VLOOKUP($BJ$182,$AY$4:$BC$370,2,FALSE)</f>
        <v>8</v>
      </c>
      <c r="BK183" s="237" t="s">
        <v>1172</v>
      </c>
      <c r="BO183" s="40"/>
      <c r="BP183" s="40"/>
      <c r="BR183" s="21"/>
      <c r="BS183" s="21"/>
    </row>
    <row r="184" spans="28:71" x14ac:dyDescent="0.2">
      <c r="AB184" s="579" t="s">
        <v>1734</v>
      </c>
      <c r="AC184" s="580">
        <v>16.399999999999999</v>
      </c>
      <c r="AD184" s="583">
        <v>1.18</v>
      </c>
      <c r="AE184" s="580">
        <v>16</v>
      </c>
      <c r="AF184" s="582">
        <v>1.89</v>
      </c>
      <c r="AN184" s="579" t="s">
        <v>263</v>
      </c>
      <c r="AO184" s="583">
        <v>8.19</v>
      </c>
      <c r="AP184" s="583">
        <v>1.18</v>
      </c>
      <c r="AQ184" s="580">
        <v>16</v>
      </c>
      <c r="AR184" s="582">
        <v>1.89</v>
      </c>
      <c r="AY184" s="579" t="s">
        <v>709</v>
      </c>
      <c r="AZ184" s="606">
        <v>8</v>
      </c>
      <c r="BA184" s="606">
        <v>4</v>
      </c>
      <c r="BB184" s="606">
        <v>0.1875</v>
      </c>
      <c r="BC184" s="584">
        <v>0.17399999999999999</v>
      </c>
      <c r="BH184" s="337"/>
      <c r="BI184" s="232" t="s">
        <v>738</v>
      </c>
      <c r="BJ184" s="612">
        <f>VLOOKUP($BJ$182,$AY$4:$BC$370,3,FALSE)</f>
        <v>6</v>
      </c>
      <c r="BK184" s="237" t="s">
        <v>1172</v>
      </c>
      <c r="BP184" s="40"/>
      <c r="BQ184" s="40"/>
      <c r="BR184" s="21"/>
      <c r="BS184" s="21"/>
    </row>
    <row r="185" spans="28:71" x14ac:dyDescent="0.2">
      <c r="AB185" s="579" t="s">
        <v>1735</v>
      </c>
      <c r="AC185" s="580">
        <v>16</v>
      </c>
      <c r="AD185" s="583">
        <v>1.07</v>
      </c>
      <c r="AE185" s="580">
        <v>15.9</v>
      </c>
      <c r="AF185" s="582">
        <v>1.72</v>
      </c>
      <c r="AN185" s="579" t="s">
        <v>264</v>
      </c>
      <c r="AO185" s="583">
        <v>8.02</v>
      </c>
      <c r="AP185" s="583">
        <v>1.07</v>
      </c>
      <c r="AQ185" s="580">
        <v>15.9</v>
      </c>
      <c r="AR185" s="582">
        <v>1.72</v>
      </c>
      <c r="AY185" s="579" t="s">
        <v>710</v>
      </c>
      <c r="AZ185" s="606">
        <v>8</v>
      </c>
      <c r="BA185" s="606">
        <v>4</v>
      </c>
      <c r="BB185" s="606">
        <v>0.125</v>
      </c>
      <c r="BC185" s="584">
        <v>0.11600000000000001</v>
      </c>
      <c r="BH185" s="337"/>
      <c r="BI185" s="614" t="s">
        <v>741</v>
      </c>
      <c r="BJ185" s="613">
        <f>2*VLOOKUP($BJ$182,$AY$4:$BC$370,4,FALSE)</f>
        <v>0.75</v>
      </c>
      <c r="BK185" s="237" t="s">
        <v>1172</v>
      </c>
      <c r="BS185" s="21"/>
    </row>
    <row r="186" spans="28:71" x14ac:dyDescent="0.2">
      <c r="AB186" s="579" t="s">
        <v>1736</v>
      </c>
      <c r="AC186" s="580">
        <v>15.7</v>
      </c>
      <c r="AD186" s="581">
        <v>0.98</v>
      </c>
      <c r="AE186" s="580">
        <v>15.8</v>
      </c>
      <c r="AF186" s="582">
        <v>1.56</v>
      </c>
      <c r="AN186" s="579" t="s">
        <v>265</v>
      </c>
      <c r="AO186" s="583">
        <v>7.86</v>
      </c>
      <c r="AP186" s="581">
        <v>0.98</v>
      </c>
      <c r="AQ186" s="580">
        <v>15.8</v>
      </c>
      <c r="AR186" s="582">
        <v>1.56</v>
      </c>
      <c r="AY186" s="579" t="s">
        <v>711</v>
      </c>
      <c r="AZ186" s="606">
        <v>8</v>
      </c>
      <c r="BA186" s="606">
        <v>3</v>
      </c>
      <c r="BB186" s="606">
        <v>0.5</v>
      </c>
      <c r="BC186" s="584">
        <v>0.46500000000000002</v>
      </c>
      <c r="BH186" s="337"/>
      <c r="BI186" s="41"/>
      <c r="BJ186" s="40"/>
      <c r="BK186" s="137" t="s">
        <v>1240</v>
      </c>
      <c r="BL186" s="37"/>
      <c r="BM186" s="37"/>
      <c r="BN186" s="37"/>
      <c r="BO186" s="40"/>
      <c r="BS186" s="21"/>
    </row>
    <row r="187" spans="28:71" x14ac:dyDescent="0.2">
      <c r="AB187" s="579" t="s">
        <v>1737</v>
      </c>
      <c r="AC187" s="580">
        <v>15.5</v>
      </c>
      <c r="AD187" s="581">
        <v>0.89</v>
      </c>
      <c r="AE187" s="580">
        <v>15.7</v>
      </c>
      <c r="AF187" s="582">
        <v>1.44</v>
      </c>
      <c r="AN187" s="579" t="s">
        <v>266</v>
      </c>
      <c r="AO187" s="583">
        <v>7.74</v>
      </c>
      <c r="AP187" s="581">
        <v>0.89</v>
      </c>
      <c r="AQ187" s="580">
        <v>15.7</v>
      </c>
      <c r="AR187" s="582">
        <v>1.44</v>
      </c>
      <c r="AY187" s="579" t="s">
        <v>712</v>
      </c>
      <c r="AZ187" s="606">
        <v>8</v>
      </c>
      <c r="BA187" s="606">
        <v>3</v>
      </c>
      <c r="BB187" s="606">
        <v>0.375</v>
      </c>
      <c r="BC187" s="584">
        <v>0.34899999999999998</v>
      </c>
      <c r="BH187" s="337"/>
      <c r="BI187" s="41"/>
      <c r="BJ187" s="42"/>
      <c r="BK187" s="137" t="s">
        <v>1243</v>
      </c>
      <c r="BL187" s="37"/>
      <c r="BM187" s="137" t="s">
        <v>1244</v>
      </c>
      <c r="BN187" s="37"/>
      <c r="BO187" s="40"/>
      <c r="BP187" s="40"/>
      <c r="BQ187" s="40"/>
      <c r="BR187" s="21"/>
      <c r="BS187" s="566" t="str">
        <f>" h="&amp;$BJ$183</f>
        <v xml:space="preserve"> h=8</v>
      </c>
    </row>
    <row r="188" spans="28:71" x14ac:dyDescent="0.2">
      <c r="AB188" s="579" t="s">
        <v>1738</v>
      </c>
      <c r="AC188" s="580">
        <v>15.2</v>
      </c>
      <c r="AD188" s="581">
        <v>0.83</v>
      </c>
      <c r="AE188" s="580">
        <v>15.7</v>
      </c>
      <c r="AF188" s="582">
        <v>1.31</v>
      </c>
      <c r="AN188" s="579" t="s">
        <v>267</v>
      </c>
      <c r="AO188" s="583">
        <v>7.61</v>
      </c>
      <c r="AP188" s="581">
        <v>0.83</v>
      </c>
      <c r="AQ188" s="580">
        <v>15.7</v>
      </c>
      <c r="AR188" s="582">
        <v>1.31</v>
      </c>
      <c r="AY188" s="579" t="s">
        <v>713</v>
      </c>
      <c r="AZ188" s="606">
        <v>8</v>
      </c>
      <c r="BA188" s="606">
        <v>3</v>
      </c>
      <c r="BB188" s="606">
        <v>0.3125</v>
      </c>
      <c r="BC188" s="584">
        <v>0.29099999999999998</v>
      </c>
      <c r="BH188" s="337"/>
      <c r="BI188" s="41"/>
      <c r="BJ188" s="42"/>
      <c r="BK188" s="41" t="s">
        <v>1246</v>
      </c>
      <c r="BL188" s="41" t="s">
        <v>1247</v>
      </c>
      <c r="BM188" s="41" t="s">
        <v>1248</v>
      </c>
      <c r="BN188" s="41" t="s">
        <v>1249</v>
      </c>
      <c r="BO188" s="40"/>
      <c r="BP188" s="40"/>
      <c r="BQ188" s="40"/>
      <c r="BR188" s="21"/>
      <c r="BS188" s="21"/>
    </row>
    <row r="189" spans="28:71" x14ac:dyDescent="0.2">
      <c r="AB189" s="579" t="s">
        <v>1739</v>
      </c>
      <c r="AC189" s="580">
        <v>15</v>
      </c>
      <c r="AD189" s="581">
        <v>0.745</v>
      </c>
      <c r="AE189" s="580">
        <v>15.6</v>
      </c>
      <c r="AF189" s="582">
        <v>1.19</v>
      </c>
      <c r="AN189" s="579" t="s">
        <v>268</v>
      </c>
      <c r="AO189" s="583">
        <v>7.49</v>
      </c>
      <c r="AP189" s="581">
        <v>0.745</v>
      </c>
      <c r="AQ189" s="580">
        <v>15.6</v>
      </c>
      <c r="AR189" s="582">
        <v>1.19</v>
      </c>
      <c r="AY189" s="579" t="s">
        <v>714</v>
      </c>
      <c r="AZ189" s="606">
        <v>8</v>
      </c>
      <c r="BA189" s="606">
        <v>3</v>
      </c>
      <c r="BB189" s="606">
        <v>0.25</v>
      </c>
      <c r="BC189" s="584">
        <v>0.23300000000000001</v>
      </c>
      <c r="BH189" s="337"/>
      <c r="BI189" s="41"/>
      <c r="BJ189" s="232" t="s">
        <v>1231</v>
      </c>
      <c r="BK189" s="372">
        <f>$BJ$185</f>
        <v>0.75</v>
      </c>
      <c r="BL189" s="372">
        <v>0</v>
      </c>
      <c r="BM189" s="372">
        <f>$BJ$184-$BJ$185</f>
        <v>5.25</v>
      </c>
      <c r="BN189" s="373">
        <f>0</f>
        <v>0</v>
      </c>
      <c r="BO189" s="40"/>
      <c r="BP189" s="40"/>
      <c r="BQ189" s="40"/>
      <c r="BR189" s="21"/>
      <c r="BS189" s="569" t="str">
        <f>"       c="&amp;$BJ$185</f>
        <v xml:space="preserve">       c=0.75</v>
      </c>
    </row>
    <row r="190" spans="28:71" x14ac:dyDescent="0.2">
      <c r="AB190" s="579" t="s">
        <v>1740</v>
      </c>
      <c r="AC190" s="580">
        <v>14.8</v>
      </c>
      <c r="AD190" s="581">
        <v>0.68</v>
      </c>
      <c r="AE190" s="580">
        <v>15.5</v>
      </c>
      <c r="AF190" s="582">
        <v>1.0900000000000001</v>
      </c>
      <c r="AN190" s="579" t="s">
        <v>269</v>
      </c>
      <c r="AO190" s="583">
        <v>7.39</v>
      </c>
      <c r="AP190" s="581">
        <v>0.68</v>
      </c>
      <c r="AQ190" s="580">
        <v>15.5</v>
      </c>
      <c r="AR190" s="582">
        <v>1.0900000000000001</v>
      </c>
      <c r="AY190" s="579" t="s">
        <v>715</v>
      </c>
      <c r="AZ190" s="606">
        <v>8</v>
      </c>
      <c r="BA190" s="606">
        <v>3</v>
      </c>
      <c r="BB190" s="606">
        <v>0.1875</v>
      </c>
      <c r="BC190" s="584">
        <v>0.17399999999999999</v>
      </c>
      <c r="BH190" s="337"/>
      <c r="BI190" s="41"/>
      <c r="BJ190" s="232" t="s">
        <v>1232</v>
      </c>
      <c r="BK190" s="374">
        <f>0</f>
        <v>0</v>
      </c>
      <c r="BL190" s="374">
        <f>$BJ$185</f>
        <v>0.75</v>
      </c>
      <c r="BM190" s="374">
        <f>$BJ$185</f>
        <v>0.75</v>
      </c>
      <c r="BN190" s="374">
        <f>0</f>
        <v>0</v>
      </c>
      <c r="BO190" s="40"/>
      <c r="BP190" s="40"/>
      <c r="BQ190" s="40"/>
      <c r="BR190" s="21"/>
      <c r="BS190" s="21"/>
    </row>
    <row r="191" spans="28:71" x14ac:dyDescent="0.2">
      <c r="AB191" s="579" t="s">
        <v>1741</v>
      </c>
      <c r="AC191" s="580">
        <v>14.7</v>
      </c>
      <c r="AD191" s="581">
        <v>0.64500000000000002</v>
      </c>
      <c r="AE191" s="580">
        <v>14.7</v>
      </c>
      <c r="AF191" s="582">
        <v>1.03</v>
      </c>
      <c r="AN191" s="579" t="s">
        <v>270</v>
      </c>
      <c r="AO191" s="583">
        <v>7.33</v>
      </c>
      <c r="AP191" s="581">
        <v>0.64500000000000002</v>
      </c>
      <c r="AQ191" s="580">
        <v>14.7</v>
      </c>
      <c r="AR191" s="582">
        <v>1.03</v>
      </c>
      <c r="AY191" s="579" t="s">
        <v>716</v>
      </c>
      <c r="AZ191" s="606">
        <v>8</v>
      </c>
      <c r="BA191" s="606">
        <v>3</v>
      </c>
      <c r="BB191" s="606">
        <v>0.125</v>
      </c>
      <c r="BC191" s="584">
        <v>0.11600000000000001</v>
      </c>
      <c r="BH191" s="337"/>
      <c r="BI191" s="41"/>
      <c r="BJ191" s="232" t="s">
        <v>1234</v>
      </c>
      <c r="BK191" s="374">
        <f>$BJ$184-$BJ$185</f>
        <v>5.25</v>
      </c>
      <c r="BL191" s="374">
        <f>0</f>
        <v>0</v>
      </c>
      <c r="BM191" s="374">
        <f>$BJ$184</f>
        <v>6</v>
      </c>
      <c r="BN191" s="375">
        <f>$BJ$185</f>
        <v>0.75</v>
      </c>
      <c r="BO191" s="40"/>
      <c r="BP191" s="40"/>
      <c r="BQ191" s="40"/>
      <c r="BR191" s="21"/>
    </row>
    <row r="192" spans="28:71" x14ac:dyDescent="0.2">
      <c r="AB192" s="579" t="s">
        <v>1742</v>
      </c>
      <c r="AC192" s="580">
        <v>14.5</v>
      </c>
      <c r="AD192" s="581">
        <v>0.59</v>
      </c>
      <c r="AE192" s="580">
        <v>14.7</v>
      </c>
      <c r="AF192" s="584">
        <v>0.94</v>
      </c>
      <c r="AN192" s="579" t="s">
        <v>271</v>
      </c>
      <c r="AO192" s="583">
        <v>7.24</v>
      </c>
      <c r="AP192" s="581">
        <v>0.59</v>
      </c>
      <c r="AQ192" s="580">
        <v>14.7</v>
      </c>
      <c r="AR192" s="584">
        <v>0.94</v>
      </c>
      <c r="AY192" s="579" t="s">
        <v>717</v>
      </c>
      <c r="AZ192" s="606">
        <v>8</v>
      </c>
      <c r="BA192" s="606">
        <v>2</v>
      </c>
      <c r="BB192" s="606">
        <v>0.375</v>
      </c>
      <c r="BC192" s="584">
        <v>0.34899999999999998</v>
      </c>
      <c r="BH192" s="337"/>
      <c r="BI192" s="41"/>
      <c r="BJ192" s="232" t="s">
        <v>1235</v>
      </c>
      <c r="BK192" s="374">
        <f>0</f>
        <v>0</v>
      </c>
      <c r="BL192" s="374">
        <f>$BJ$185</f>
        <v>0.75</v>
      </c>
      <c r="BM192" s="374">
        <f>0</f>
        <v>0</v>
      </c>
      <c r="BN192" s="375">
        <f>$BJ$183-$BJ$185</f>
        <v>7.25</v>
      </c>
      <c r="BO192" s="40"/>
      <c r="BP192" s="40" t="s">
        <v>1344</v>
      </c>
      <c r="BQ192" s="40"/>
      <c r="BR192" s="21"/>
    </row>
    <row r="193" spans="28:70" x14ac:dyDescent="0.2">
      <c r="AB193" s="579" t="s">
        <v>1743</v>
      </c>
      <c r="AC193" s="580">
        <v>14.3</v>
      </c>
      <c r="AD193" s="581">
        <v>0.52500000000000002</v>
      </c>
      <c r="AE193" s="580">
        <v>14.6</v>
      </c>
      <c r="AF193" s="584">
        <v>0.86</v>
      </c>
      <c r="AN193" s="579" t="s">
        <v>272</v>
      </c>
      <c r="AO193" s="583">
        <v>7.16</v>
      </c>
      <c r="AP193" s="581">
        <v>0.52500000000000002</v>
      </c>
      <c r="AQ193" s="580">
        <v>14.6</v>
      </c>
      <c r="AR193" s="584">
        <v>0.86</v>
      </c>
      <c r="AY193" s="579" t="s">
        <v>718</v>
      </c>
      <c r="AZ193" s="606">
        <v>8</v>
      </c>
      <c r="BA193" s="606">
        <v>2</v>
      </c>
      <c r="BB193" s="606">
        <v>0.3125</v>
      </c>
      <c r="BC193" s="584">
        <v>0.29099999999999998</v>
      </c>
      <c r="BH193" s="337"/>
      <c r="BI193" s="41"/>
      <c r="BJ193" s="232" t="s">
        <v>1238</v>
      </c>
      <c r="BK193" s="374">
        <f>$BJ$184</f>
        <v>6</v>
      </c>
      <c r="BL193" s="374">
        <f>$BJ$185</f>
        <v>0.75</v>
      </c>
      <c r="BM193" s="374">
        <f>$BJ$184</f>
        <v>6</v>
      </c>
      <c r="BN193" s="375">
        <f>$BJ$183-$BJ$185</f>
        <v>7.25</v>
      </c>
      <c r="BO193" s="40"/>
      <c r="BP193" s="40" t="s">
        <v>1345</v>
      </c>
      <c r="BQ193" s="40"/>
      <c r="BR193" s="21"/>
    </row>
    <row r="194" spans="28:70" x14ac:dyDescent="0.2">
      <c r="AB194" s="579" t="s">
        <v>1744</v>
      </c>
      <c r="AC194" s="580">
        <v>14.2</v>
      </c>
      <c r="AD194" s="581">
        <v>0.48499999999999999</v>
      </c>
      <c r="AE194" s="580">
        <v>14.6</v>
      </c>
      <c r="AF194" s="584">
        <v>0.78</v>
      </c>
      <c r="AN194" s="579" t="s">
        <v>273</v>
      </c>
      <c r="AO194" s="583">
        <v>7.08</v>
      </c>
      <c r="AP194" s="581">
        <v>0.48499999999999999</v>
      </c>
      <c r="AQ194" s="580">
        <v>14.6</v>
      </c>
      <c r="AR194" s="584">
        <v>0.78</v>
      </c>
      <c r="AY194" s="579" t="s">
        <v>719</v>
      </c>
      <c r="AZ194" s="606">
        <v>8</v>
      </c>
      <c r="BA194" s="606">
        <v>2</v>
      </c>
      <c r="BB194" s="606">
        <v>0.25</v>
      </c>
      <c r="BC194" s="584">
        <v>0.23300000000000001</v>
      </c>
      <c r="BH194" s="337"/>
      <c r="BI194" s="41"/>
      <c r="BJ194" s="232" t="s">
        <v>1241</v>
      </c>
      <c r="BK194" s="374">
        <f>0</f>
        <v>0</v>
      </c>
      <c r="BL194" s="375">
        <f>$BJ$183-$BJ$185</f>
        <v>7.25</v>
      </c>
      <c r="BM194" s="374">
        <f>$BJ$185</f>
        <v>0.75</v>
      </c>
      <c r="BN194" s="375">
        <f>$BJ$183</f>
        <v>8</v>
      </c>
      <c r="BO194" s="40"/>
      <c r="BP194" s="40"/>
      <c r="BQ194" s="40"/>
      <c r="BR194" s="21"/>
    </row>
    <row r="195" spans="28:70" x14ac:dyDescent="0.2">
      <c r="AB195" s="579" t="s">
        <v>1745</v>
      </c>
      <c r="AC195" s="580">
        <v>14</v>
      </c>
      <c r="AD195" s="581">
        <v>0.44</v>
      </c>
      <c r="AE195" s="580">
        <v>14.5</v>
      </c>
      <c r="AF195" s="584">
        <v>0.71</v>
      </c>
      <c r="AN195" s="579" t="s">
        <v>274</v>
      </c>
      <c r="AO195" s="583">
        <v>7.01</v>
      </c>
      <c r="AP195" s="581">
        <v>0.44</v>
      </c>
      <c r="AQ195" s="580">
        <v>14.5</v>
      </c>
      <c r="AR195" s="584">
        <v>0.71</v>
      </c>
      <c r="AY195" s="579" t="s">
        <v>720</v>
      </c>
      <c r="AZ195" s="606">
        <v>8</v>
      </c>
      <c r="BA195" s="606">
        <v>2</v>
      </c>
      <c r="BB195" s="606">
        <v>0.1875</v>
      </c>
      <c r="BC195" s="584">
        <v>0.17399999999999999</v>
      </c>
      <c r="BH195" s="337"/>
      <c r="BI195" s="41"/>
      <c r="BJ195" s="232" t="s">
        <v>1245</v>
      </c>
      <c r="BK195" s="374">
        <f>$BJ$184</f>
        <v>6</v>
      </c>
      <c r="BL195" s="375">
        <f>$BJ$183-$BJ$185</f>
        <v>7.25</v>
      </c>
      <c r="BM195" s="374">
        <f>$BJ$184-$BJ$185</f>
        <v>5.25</v>
      </c>
      <c r="BN195" s="375">
        <f>$BJ$183</f>
        <v>8</v>
      </c>
      <c r="BO195" s="40"/>
      <c r="BP195" s="40"/>
      <c r="BQ195" s="40"/>
      <c r="BR195" s="21"/>
    </row>
    <row r="196" spans="28:70" x14ac:dyDescent="0.2">
      <c r="AB196" s="579" t="s">
        <v>1746</v>
      </c>
      <c r="AC196" s="580">
        <v>14.3</v>
      </c>
      <c r="AD196" s="581">
        <v>0.51</v>
      </c>
      <c r="AE196" s="580">
        <v>10.1</v>
      </c>
      <c r="AF196" s="584">
        <v>0.85499999999999998</v>
      </c>
      <c r="AN196" s="579" t="s">
        <v>275</v>
      </c>
      <c r="AO196" s="583">
        <v>7.16</v>
      </c>
      <c r="AP196" s="581">
        <v>0.51</v>
      </c>
      <c r="AQ196" s="580">
        <v>10.1</v>
      </c>
      <c r="AR196" s="584">
        <v>0.85499999999999998</v>
      </c>
      <c r="AY196" s="579" t="s">
        <v>721</v>
      </c>
      <c r="AZ196" s="606">
        <v>8</v>
      </c>
      <c r="BA196" s="606">
        <v>2</v>
      </c>
      <c r="BB196" s="606">
        <v>0.125</v>
      </c>
      <c r="BC196" s="584">
        <v>0.11600000000000001</v>
      </c>
      <c r="BH196" s="337"/>
      <c r="BI196" s="41"/>
      <c r="BJ196" s="232" t="s">
        <v>1250</v>
      </c>
      <c r="BK196" s="408">
        <f>$BJ$185</f>
        <v>0.75</v>
      </c>
      <c r="BL196" s="409">
        <f>$BJ$183</f>
        <v>8</v>
      </c>
      <c r="BM196" s="408">
        <f>$BJ$184-$BJ$185</f>
        <v>5.25</v>
      </c>
      <c r="BN196" s="409">
        <f>$BJ$183</f>
        <v>8</v>
      </c>
      <c r="BO196" s="40"/>
      <c r="BP196" s="66"/>
      <c r="BQ196" s="40"/>
      <c r="BR196" s="21"/>
    </row>
    <row r="197" spans="28:70" x14ac:dyDescent="0.2">
      <c r="AB197" s="579" t="s">
        <v>1747</v>
      </c>
      <c r="AC197" s="580">
        <v>14.2</v>
      </c>
      <c r="AD197" s="581">
        <v>0.45</v>
      </c>
      <c r="AE197" s="580">
        <v>10.1</v>
      </c>
      <c r="AF197" s="584">
        <v>0.78500000000000003</v>
      </c>
      <c r="AN197" s="579" t="s">
        <v>276</v>
      </c>
      <c r="AO197" s="583">
        <v>7.09</v>
      </c>
      <c r="AP197" s="581">
        <v>0.45</v>
      </c>
      <c r="AQ197" s="580">
        <v>10.1</v>
      </c>
      <c r="AR197" s="584">
        <v>0.78500000000000003</v>
      </c>
      <c r="AY197" s="579" t="s">
        <v>722</v>
      </c>
      <c r="AZ197" s="606">
        <v>7</v>
      </c>
      <c r="BA197" s="606">
        <v>7</v>
      </c>
      <c r="BB197" s="606">
        <v>0.625</v>
      </c>
      <c r="BC197" s="584">
        <v>0.58099999999999996</v>
      </c>
      <c r="BH197" s="337"/>
      <c r="BI197" s="41"/>
      <c r="BJ197" s="232"/>
      <c r="BK197" s="11"/>
      <c r="BL197" s="11"/>
      <c r="BM197" s="11"/>
      <c r="BN197" s="11"/>
      <c r="BO197" s="40"/>
      <c r="BP197" s="66"/>
      <c r="BQ197" s="40"/>
      <c r="BR197" s="21"/>
    </row>
    <row r="198" spans="28:70" x14ac:dyDescent="0.2">
      <c r="AB198" s="579" t="s">
        <v>1748</v>
      </c>
      <c r="AC198" s="580">
        <v>14</v>
      </c>
      <c r="AD198" s="581">
        <v>0.41499999999999998</v>
      </c>
      <c r="AE198" s="580">
        <v>10</v>
      </c>
      <c r="AF198" s="584">
        <v>0.72</v>
      </c>
      <c r="AN198" s="579" t="s">
        <v>277</v>
      </c>
      <c r="AO198" s="583">
        <v>7.02</v>
      </c>
      <c r="AP198" s="581">
        <v>0.41499999999999998</v>
      </c>
      <c r="AQ198" s="580">
        <v>10</v>
      </c>
      <c r="AR198" s="584">
        <v>0.72</v>
      </c>
      <c r="AY198" s="579" t="s">
        <v>723</v>
      </c>
      <c r="AZ198" s="606">
        <v>7</v>
      </c>
      <c r="BA198" s="606">
        <v>7</v>
      </c>
      <c r="BB198" s="606">
        <v>0.5</v>
      </c>
      <c r="BC198" s="584">
        <v>0.46500000000000002</v>
      </c>
      <c r="BH198" s="337"/>
      <c r="BI198" s="410" t="s">
        <v>1532</v>
      </c>
      <c r="BJ198" s="40"/>
      <c r="BK198" s="40"/>
      <c r="BL198" s="40"/>
      <c r="BM198" s="40"/>
      <c r="BN198" s="40"/>
      <c r="BO198" s="40"/>
      <c r="BP198" s="40"/>
      <c r="BQ198" s="40"/>
      <c r="BR198" s="21"/>
    </row>
    <row r="199" spans="28:70" x14ac:dyDescent="0.2">
      <c r="AB199" s="579" t="s">
        <v>1749</v>
      </c>
      <c r="AC199" s="580">
        <v>13.9</v>
      </c>
      <c r="AD199" s="581">
        <v>0.375</v>
      </c>
      <c r="AE199" s="580">
        <v>10</v>
      </c>
      <c r="AF199" s="584">
        <v>0.64500000000000002</v>
      </c>
      <c r="AN199" s="579" t="s">
        <v>278</v>
      </c>
      <c r="AO199" s="583">
        <v>6.95</v>
      </c>
      <c r="AP199" s="581">
        <v>0.375</v>
      </c>
      <c r="AQ199" s="580">
        <v>10</v>
      </c>
      <c r="AR199" s="584">
        <v>0.64500000000000002</v>
      </c>
      <c r="AY199" s="579" t="s">
        <v>742</v>
      </c>
      <c r="AZ199" s="606">
        <v>7</v>
      </c>
      <c r="BA199" s="606">
        <v>7</v>
      </c>
      <c r="BB199" s="606">
        <v>0.375</v>
      </c>
      <c r="BC199" s="584">
        <v>0.34899999999999998</v>
      </c>
      <c r="BH199" s="337"/>
      <c r="BI199" s="59" t="s">
        <v>1526</v>
      </c>
      <c r="BJ199" s="40"/>
      <c r="BK199" s="40"/>
      <c r="BL199" s="40"/>
      <c r="BM199" s="40"/>
      <c r="BN199" s="40"/>
      <c r="BO199" s="40"/>
      <c r="BP199" s="40"/>
      <c r="BQ199" s="40"/>
      <c r="BR199" s="21"/>
    </row>
    <row r="200" spans="28:70" x14ac:dyDescent="0.2">
      <c r="AB200" s="579" t="s">
        <v>1750</v>
      </c>
      <c r="AC200" s="580">
        <v>13.9</v>
      </c>
      <c r="AD200" s="581">
        <v>0.37</v>
      </c>
      <c r="AE200" s="583">
        <v>8.06</v>
      </c>
      <c r="AF200" s="584">
        <v>0.66</v>
      </c>
      <c r="AN200" s="579" t="s">
        <v>279</v>
      </c>
      <c r="AO200" s="583">
        <v>6.96</v>
      </c>
      <c r="AP200" s="581">
        <v>0.37</v>
      </c>
      <c r="AQ200" s="583">
        <v>8.06</v>
      </c>
      <c r="AR200" s="584">
        <v>0.66</v>
      </c>
      <c r="AY200" s="579" t="s">
        <v>743</v>
      </c>
      <c r="AZ200" s="606">
        <v>7</v>
      </c>
      <c r="BA200" s="606">
        <v>7</v>
      </c>
      <c r="BB200" s="606">
        <v>0.3125</v>
      </c>
      <c r="BC200" s="584">
        <v>0.29099999999999998</v>
      </c>
      <c r="BH200" s="337"/>
      <c r="BI200" s="59" t="s">
        <v>1542</v>
      </c>
      <c r="BJ200" s="40"/>
      <c r="BK200" s="40"/>
      <c r="BL200" s="40"/>
      <c r="BM200" s="40"/>
      <c r="BN200" s="40"/>
      <c r="BO200" s="40"/>
      <c r="BP200" s="40"/>
      <c r="BQ200" s="40"/>
      <c r="BR200" s="21"/>
    </row>
    <row r="201" spans="28:70" x14ac:dyDescent="0.2">
      <c r="AB201" s="579" t="s">
        <v>1751</v>
      </c>
      <c r="AC201" s="580">
        <v>13.8</v>
      </c>
      <c r="AD201" s="581">
        <v>0.34</v>
      </c>
      <c r="AE201" s="583">
        <v>8.0299999999999994</v>
      </c>
      <c r="AF201" s="584">
        <v>0.59499999999999997</v>
      </c>
      <c r="AN201" s="579" t="s">
        <v>280</v>
      </c>
      <c r="AO201" s="583">
        <v>6.9</v>
      </c>
      <c r="AP201" s="581">
        <v>0.34</v>
      </c>
      <c r="AQ201" s="583">
        <v>8.0299999999999994</v>
      </c>
      <c r="AR201" s="584">
        <v>0.59499999999999997</v>
      </c>
      <c r="AY201" s="579" t="s">
        <v>744</v>
      </c>
      <c r="AZ201" s="606">
        <v>7</v>
      </c>
      <c r="BA201" s="606">
        <v>7</v>
      </c>
      <c r="BB201" s="606">
        <v>0.25</v>
      </c>
      <c r="BC201" s="584">
        <v>0.23300000000000001</v>
      </c>
      <c r="BH201" s="337"/>
    </row>
    <row r="202" spans="28:70" x14ac:dyDescent="0.2">
      <c r="AB202" s="579" t="s">
        <v>1752</v>
      </c>
      <c r="AC202" s="580">
        <v>13.7</v>
      </c>
      <c r="AD202" s="581">
        <v>0.30499999999999999</v>
      </c>
      <c r="AE202" s="583">
        <v>8</v>
      </c>
      <c r="AF202" s="584">
        <v>0.53</v>
      </c>
      <c r="AN202" s="579" t="s">
        <v>281</v>
      </c>
      <c r="AO202" s="583">
        <v>6.83</v>
      </c>
      <c r="AP202" s="581">
        <v>0.30499999999999999</v>
      </c>
      <c r="AQ202" s="583">
        <v>8</v>
      </c>
      <c r="AR202" s="584">
        <v>0.53</v>
      </c>
      <c r="AY202" s="579" t="s">
        <v>745</v>
      </c>
      <c r="AZ202" s="606">
        <v>7</v>
      </c>
      <c r="BA202" s="606">
        <v>7</v>
      </c>
      <c r="BB202" s="606">
        <v>0.1875</v>
      </c>
      <c r="BC202" s="584">
        <v>0.17399999999999999</v>
      </c>
    </row>
    <row r="203" spans="28:70" x14ac:dyDescent="0.2">
      <c r="AB203" s="579" t="s">
        <v>1753</v>
      </c>
      <c r="AC203" s="580">
        <v>14.1</v>
      </c>
      <c r="AD203" s="581">
        <v>0.31</v>
      </c>
      <c r="AE203" s="583">
        <v>6.77</v>
      </c>
      <c r="AF203" s="584">
        <v>0.51500000000000001</v>
      </c>
      <c r="AN203" s="579" t="s">
        <v>282</v>
      </c>
      <c r="AO203" s="583">
        <v>7.05</v>
      </c>
      <c r="AP203" s="581">
        <v>0.31</v>
      </c>
      <c r="AQ203" s="583">
        <v>6.77</v>
      </c>
      <c r="AR203" s="584">
        <v>0.51500000000000001</v>
      </c>
      <c r="AY203" s="579" t="s">
        <v>746</v>
      </c>
      <c r="AZ203" s="606">
        <v>7</v>
      </c>
      <c r="BA203" s="606">
        <v>7</v>
      </c>
      <c r="BB203" s="606">
        <v>0.125</v>
      </c>
      <c r="BC203" s="584">
        <v>0.11600000000000001</v>
      </c>
    </row>
    <row r="204" spans="28:70" x14ac:dyDescent="0.2">
      <c r="AB204" s="579" t="s">
        <v>1754</v>
      </c>
      <c r="AC204" s="580">
        <v>14</v>
      </c>
      <c r="AD204" s="581">
        <v>0.28499999999999998</v>
      </c>
      <c r="AE204" s="583">
        <v>6.75</v>
      </c>
      <c r="AF204" s="584">
        <v>0.45500000000000002</v>
      </c>
      <c r="AN204" s="579" t="s">
        <v>283</v>
      </c>
      <c r="AO204" s="583">
        <v>6.99</v>
      </c>
      <c r="AP204" s="581">
        <v>0.28499999999999998</v>
      </c>
      <c r="AQ204" s="583">
        <v>6.75</v>
      </c>
      <c r="AR204" s="584">
        <v>0.45500000000000002</v>
      </c>
      <c r="AY204" s="579" t="s">
        <v>747</v>
      </c>
      <c r="AZ204" s="606">
        <v>7</v>
      </c>
      <c r="BA204" s="606">
        <v>5</v>
      </c>
      <c r="BB204" s="606">
        <v>0.5</v>
      </c>
      <c r="BC204" s="584">
        <v>0.46500000000000002</v>
      </c>
    </row>
    <row r="205" spans="28:70" x14ac:dyDescent="0.2">
      <c r="AB205" s="579" t="s">
        <v>1755</v>
      </c>
      <c r="AC205" s="580">
        <v>13.8</v>
      </c>
      <c r="AD205" s="581">
        <v>0.27</v>
      </c>
      <c r="AE205" s="583">
        <v>6.73</v>
      </c>
      <c r="AF205" s="584">
        <v>0.38500000000000001</v>
      </c>
      <c r="AN205" s="579" t="s">
        <v>284</v>
      </c>
      <c r="AO205" s="583">
        <v>6.92</v>
      </c>
      <c r="AP205" s="581">
        <v>0.27</v>
      </c>
      <c r="AQ205" s="583">
        <v>6.73</v>
      </c>
      <c r="AR205" s="584">
        <v>0.38500000000000001</v>
      </c>
      <c r="AY205" s="579" t="s">
        <v>748</v>
      </c>
      <c r="AZ205" s="606">
        <v>7</v>
      </c>
      <c r="BA205" s="606">
        <v>5</v>
      </c>
      <c r="BB205" s="606">
        <v>0.375</v>
      </c>
      <c r="BC205" s="584">
        <v>0.34899999999999998</v>
      </c>
    </row>
    <row r="206" spans="28:70" x14ac:dyDescent="0.2">
      <c r="AB206" s="579" t="s">
        <v>1756</v>
      </c>
      <c r="AC206" s="580">
        <v>13.9</v>
      </c>
      <c r="AD206" s="581">
        <v>0.255</v>
      </c>
      <c r="AE206" s="583">
        <v>5.03</v>
      </c>
      <c r="AF206" s="584">
        <v>0.42</v>
      </c>
      <c r="AN206" s="579" t="s">
        <v>285</v>
      </c>
      <c r="AO206" s="583">
        <v>6.96</v>
      </c>
      <c r="AP206" s="581">
        <v>0.255</v>
      </c>
      <c r="AQ206" s="583">
        <v>5.03</v>
      </c>
      <c r="AR206" s="584">
        <v>0.42</v>
      </c>
      <c r="AY206" s="579" t="s">
        <v>749</v>
      </c>
      <c r="AZ206" s="606">
        <v>7</v>
      </c>
      <c r="BA206" s="606">
        <v>5</v>
      </c>
      <c r="BB206" s="606">
        <v>0.3125</v>
      </c>
      <c r="BC206" s="584">
        <v>0.29099999999999998</v>
      </c>
    </row>
    <row r="207" spans="28:70" x14ac:dyDescent="0.2">
      <c r="AB207" s="579" t="s">
        <v>1757</v>
      </c>
      <c r="AC207" s="580">
        <v>13.7</v>
      </c>
      <c r="AD207" s="581">
        <v>0.23</v>
      </c>
      <c r="AE207" s="583">
        <v>5</v>
      </c>
      <c r="AF207" s="584">
        <v>0.33500000000000002</v>
      </c>
      <c r="AN207" s="579" t="s">
        <v>286</v>
      </c>
      <c r="AO207" s="583">
        <v>6.87</v>
      </c>
      <c r="AP207" s="581">
        <v>0.23</v>
      </c>
      <c r="AQ207" s="583">
        <v>5</v>
      </c>
      <c r="AR207" s="584">
        <v>0.33500000000000002</v>
      </c>
      <c r="AY207" s="579" t="s">
        <v>750</v>
      </c>
      <c r="AZ207" s="606">
        <v>7</v>
      </c>
      <c r="BA207" s="606">
        <v>5</v>
      </c>
      <c r="BB207" s="606">
        <v>0.25</v>
      </c>
      <c r="BC207" s="584">
        <v>0.23300000000000001</v>
      </c>
    </row>
    <row r="208" spans="28:70" x14ac:dyDescent="0.2">
      <c r="AB208" s="579" t="s">
        <v>1758</v>
      </c>
      <c r="AC208" s="580">
        <v>16.8</v>
      </c>
      <c r="AD208" s="583">
        <v>1.78</v>
      </c>
      <c r="AE208" s="580">
        <v>13.4</v>
      </c>
      <c r="AF208" s="582">
        <v>2.96</v>
      </c>
      <c r="AN208" s="579" t="s">
        <v>287</v>
      </c>
      <c r="AO208" s="583">
        <v>8.41</v>
      </c>
      <c r="AP208" s="583">
        <v>1.78</v>
      </c>
      <c r="AQ208" s="580">
        <v>13.4</v>
      </c>
      <c r="AR208" s="582">
        <v>2.96</v>
      </c>
      <c r="AY208" s="579" t="s">
        <v>751</v>
      </c>
      <c r="AZ208" s="606">
        <v>7</v>
      </c>
      <c r="BA208" s="606">
        <v>5</v>
      </c>
      <c r="BB208" s="606">
        <v>0.1875</v>
      </c>
      <c r="BC208" s="584">
        <v>0.17399999999999999</v>
      </c>
    </row>
    <row r="209" spans="28:55" x14ac:dyDescent="0.2">
      <c r="AB209" s="579" t="s">
        <v>1759</v>
      </c>
      <c r="AC209" s="580">
        <v>16.3</v>
      </c>
      <c r="AD209" s="583">
        <v>1.63</v>
      </c>
      <c r="AE209" s="580">
        <v>13.2</v>
      </c>
      <c r="AF209" s="582">
        <v>2.71</v>
      </c>
      <c r="AN209" s="579" t="s">
        <v>288</v>
      </c>
      <c r="AO209" s="583">
        <v>8.16</v>
      </c>
      <c r="AP209" s="583">
        <v>1.63</v>
      </c>
      <c r="AQ209" s="580">
        <v>13.2</v>
      </c>
      <c r="AR209" s="582">
        <v>2.71</v>
      </c>
      <c r="AY209" s="579" t="s">
        <v>752</v>
      </c>
      <c r="AZ209" s="606">
        <v>7</v>
      </c>
      <c r="BA209" s="606">
        <v>5</v>
      </c>
      <c r="BB209" s="606">
        <v>0.125</v>
      </c>
      <c r="BC209" s="584">
        <v>0.11600000000000001</v>
      </c>
    </row>
    <row r="210" spans="28:55" x14ac:dyDescent="0.2">
      <c r="AB210" s="579" t="s">
        <v>1760</v>
      </c>
      <c r="AC210" s="580">
        <v>15.9</v>
      </c>
      <c r="AD210" s="583">
        <v>1.53</v>
      </c>
      <c r="AE210" s="580">
        <v>13.1</v>
      </c>
      <c r="AF210" s="582">
        <v>2.4700000000000002</v>
      </c>
      <c r="AN210" s="579" t="s">
        <v>289</v>
      </c>
      <c r="AO210" s="583">
        <v>7.93</v>
      </c>
      <c r="AP210" s="583">
        <v>1.53</v>
      </c>
      <c r="AQ210" s="580">
        <v>13.1</v>
      </c>
      <c r="AR210" s="582">
        <v>2.4700000000000002</v>
      </c>
      <c r="AY210" s="579" t="s">
        <v>753</v>
      </c>
      <c r="AZ210" s="606">
        <v>7</v>
      </c>
      <c r="BA210" s="606">
        <v>4</v>
      </c>
      <c r="BB210" s="606">
        <v>0.5</v>
      </c>
      <c r="BC210" s="584">
        <v>0.46500000000000002</v>
      </c>
    </row>
    <row r="211" spans="28:55" x14ac:dyDescent="0.2">
      <c r="AB211" s="579" t="s">
        <v>1761</v>
      </c>
      <c r="AC211" s="580">
        <v>15.4</v>
      </c>
      <c r="AD211" s="583">
        <v>1.4</v>
      </c>
      <c r="AE211" s="580">
        <v>13</v>
      </c>
      <c r="AF211" s="582">
        <v>2.25</v>
      </c>
      <c r="AN211" s="579" t="s">
        <v>290</v>
      </c>
      <c r="AO211" s="583">
        <v>7.71</v>
      </c>
      <c r="AP211" s="583">
        <v>1.4</v>
      </c>
      <c r="AQ211" s="580">
        <v>13</v>
      </c>
      <c r="AR211" s="582">
        <v>2.25</v>
      </c>
      <c r="AY211" s="579" t="s">
        <v>754</v>
      </c>
      <c r="AZ211" s="606">
        <v>7</v>
      </c>
      <c r="BA211" s="606">
        <v>4</v>
      </c>
      <c r="BB211" s="606">
        <v>0.375</v>
      </c>
      <c r="BC211" s="584">
        <v>0.34899999999999998</v>
      </c>
    </row>
    <row r="212" spans="28:55" x14ac:dyDescent="0.2">
      <c r="AB212" s="579" t="s">
        <v>1762</v>
      </c>
      <c r="AC212" s="580">
        <v>15.1</v>
      </c>
      <c r="AD212" s="583">
        <v>1.29</v>
      </c>
      <c r="AE212" s="580">
        <v>12.9</v>
      </c>
      <c r="AF212" s="582">
        <v>2.0699999999999998</v>
      </c>
      <c r="AN212" s="579" t="s">
        <v>291</v>
      </c>
      <c r="AO212" s="583">
        <v>7.53</v>
      </c>
      <c r="AP212" s="583">
        <v>1.29</v>
      </c>
      <c r="AQ212" s="580">
        <v>12.9</v>
      </c>
      <c r="AR212" s="582">
        <v>2.0699999999999998</v>
      </c>
      <c r="AY212" s="579" t="s">
        <v>755</v>
      </c>
      <c r="AZ212" s="606">
        <v>7</v>
      </c>
      <c r="BA212" s="606">
        <v>4</v>
      </c>
      <c r="BB212" s="606">
        <v>0.3125</v>
      </c>
      <c r="BC212" s="584">
        <v>0.29099999999999998</v>
      </c>
    </row>
    <row r="213" spans="28:55" x14ac:dyDescent="0.2">
      <c r="AB213" s="579" t="s">
        <v>1763</v>
      </c>
      <c r="AC213" s="580">
        <v>14.7</v>
      </c>
      <c r="AD213" s="583">
        <v>1.18</v>
      </c>
      <c r="AE213" s="580">
        <v>12.8</v>
      </c>
      <c r="AF213" s="582">
        <v>1.9</v>
      </c>
      <c r="AN213" s="579" t="s">
        <v>292</v>
      </c>
      <c r="AO213" s="583">
        <v>7.36</v>
      </c>
      <c r="AP213" s="583">
        <v>1.18</v>
      </c>
      <c r="AQ213" s="580">
        <v>12.8</v>
      </c>
      <c r="AR213" s="582">
        <v>1.9</v>
      </c>
      <c r="AY213" s="579" t="s">
        <v>756</v>
      </c>
      <c r="AZ213" s="606">
        <v>7</v>
      </c>
      <c r="BA213" s="606">
        <v>4</v>
      </c>
      <c r="BB213" s="606">
        <v>0.25</v>
      </c>
      <c r="BC213" s="584">
        <v>0.23300000000000001</v>
      </c>
    </row>
    <row r="214" spans="28:55" x14ac:dyDescent="0.2">
      <c r="AB214" s="579" t="s">
        <v>1764</v>
      </c>
      <c r="AC214" s="580">
        <v>14.4</v>
      </c>
      <c r="AD214" s="583">
        <v>1.06</v>
      </c>
      <c r="AE214" s="580">
        <v>12.7</v>
      </c>
      <c r="AF214" s="582">
        <v>1.74</v>
      </c>
      <c r="AN214" s="579" t="s">
        <v>293</v>
      </c>
      <c r="AO214" s="583">
        <v>7.19</v>
      </c>
      <c r="AP214" s="583">
        <v>1.06</v>
      </c>
      <c r="AQ214" s="580">
        <v>12.7</v>
      </c>
      <c r="AR214" s="582">
        <v>1.74</v>
      </c>
      <c r="AY214" s="579" t="s">
        <v>757</v>
      </c>
      <c r="AZ214" s="606">
        <v>7</v>
      </c>
      <c r="BA214" s="606">
        <v>4</v>
      </c>
      <c r="BB214" s="606">
        <v>0.1875</v>
      </c>
      <c r="BC214" s="584">
        <v>0.17399999999999999</v>
      </c>
    </row>
    <row r="215" spans="28:55" x14ac:dyDescent="0.2">
      <c r="AB215" s="579" t="s">
        <v>1765</v>
      </c>
      <c r="AC215" s="580">
        <v>14</v>
      </c>
      <c r="AD215" s="581">
        <v>0.96</v>
      </c>
      <c r="AE215" s="580">
        <v>12.6</v>
      </c>
      <c r="AF215" s="582">
        <v>1.56</v>
      </c>
      <c r="AN215" s="579" t="s">
        <v>294</v>
      </c>
      <c r="AO215" s="583">
        <v>7.02</v>
      </c>
      <c r="AP215" s="581">
        <v>0.96</v>
      </c>
      <c r="AQ215" s="580">
        <v>12.6</v>
      </c>
      <c r="AR215" s="582">
        <v>1.56</v>
      </c>
      <c r="AY215" s="579" t="s">
        <v>758</v>
      </c>
      <c r="AZ215" s="606">
        <v>7</v>
      </c>
      <c r="BA215" s="606">
        <v>4</v>
      </c>
      <c r="BB215" s="606">
        <v>0.125</v>
      </c>
      <c r="BC215" s="584">
        <v>0.11600000000000001</v>
      </c>
    </row>
    <row r="216" spans="28:55" x14ac:dyDescent="0.2">
      <c r="AB216" s="579" t="s">
        <v>1766</v>
      </c>
      <c r="AC216" s="580">
        <v>13.7</v>
      </c>
      <c r="AD216" s="581">
        <v>0.87</v>
      </c>
      <c r="AE216" s="580">
        <v>12.5</v>
      </c>
      <c r="AF216" s="582">
        <v>1.4</v>
      </c>
      <c r="AN216" s="579" t="s">
        <v>295</v>
      </c>
      <c r="AO216" s="583">
        <v>6.86</v>
      </c>
      <c r="AP216" s="581">
        <v>0.87</v>
      </c>
      <c r="AQ216" s="580">
        <v>12.5</v>
      </c>
      <c r="AR216" s="582">
        <v>1.4</v>
      </c>
      <c r="AY216" s="579" t="s">
        <v>759</v>
      </c>
      <c r="AZ216" s="606">
        <v>7</v>
      </c>
      <c r="BA216" s="606">
        <v>3</v>
      </c>
      <c r="BB216" s="606">
        <v>0.5</v>
      </c>
      <c r="BC216" s="584">
        <v>0.46500000000000002</v>
      </c>
    </row>
    <row r="217" spans="28:55" x14ac:dyDescent="0.2">
      <c r="AB217" s="579" t="s">
        <v>1767</v>
      </c>
      <c r="AC217" s="580">
        <v>13.4</v>
      </c>
      <c r="AD217" s="581">
        <v>0.79</v>
      </c>
      <c r="AE217" s="580">
        <v>12.4</v>
      </c>
      <c r="AF217" s="582">
        <v>1.25</v>
      </c>
      <c r="AN217" s="579" t="s">
        <v>296</v>
      </c>
      <c r="AO217" s="583">
        <v>6.71</v>
      </c>
      <c r="AP217" s="581">
        <v>0.79</v>
      </c>
      <c r="AQ217" s="580">
        <v>12.4</v>
      </c>
      <c r="AR217" s="582">
        <v>1.25</v>
      </c>
      <c r="AY217" s="579" t="s">
        <v>760</v>
      </c>
      <c r="AZ217" s="606">
        <v>7</v>
      </c>
      <c r="BA217" s="606">
        <v>3</v>
      </c>
      <c r="BB217" s="606">
        <v>0.375</v>
      </c>
      <c r="BC217" s="584">
        <v>0.34899999999999998</v>
      </c>
    </row>
    <row r="218" spans="28:55" x14ac:dyDescent="0.2">
      <c r="AB218" s="579" t="s">
        <v>1768</v>
      </c>
      <c r="AC218" s="580">
        <v>13.1</v>
      </c>
      <c r="AD218" s="581">
        <v>0.71</v>
      </c>
      <c r="AE218" s="580">
        <v>12.3</v>
      </c>
      <c r="AF218" s="582">
        <v>1.1100000000000001</v>
      </c>
      <c r="AN218" s="579" t="s">
        <v>297</v>
      </c>
      <c r="AO218" s="583">
        <v>6.56</v>
      </c>
      <c r="AP218" s="581">
        <v>0.71</v>
      </c>
      <c r="AQ218" s="580">
        <v>12.3</v>
      </c>
      <c r="AR218" s="582">
        <v>1.1100000000000001</v>
      </c>
      <c r="AY218" s="579" t="s">
        <v>761</v>
      </c>
      <c r="AZ218" s="606">
        <v>7</v>
      </c>
      <c r="BA218" s="606">
        <v>3</v>
      </c>
      <c r="BB218" s="606">
        <v>0.3125</v>
      </c>
      <c r="BC218" s="584">
        <v>0.29099999999999998</v>
      </c>
    </row>
    <row r="219" spans="28:55" x14ac:dyDescent="0.2">
      <c r="AB219" s="579" t="s">
        <v>1769</v>
      </c>
      <c r="AC219" s="580">
        <v>12.9</v>
      </c>
      <c r="AD219" s="581">
        <v>0.61</v>
      </c>
      <c r="AE219" s="580">
        <v>12.2</v>
      </c>
      <c r="AF219" s="584">
        <v>0.99</v>
      </c>
      <c r="AN219" s="579" t="s">
        <v>298</v>
      </c>
      <c r="AO219" s="583">
        <v>6.45</v>
      </c>
      <c r="AP219" s="581">
        <v>0.61</v>
      </c>
      <c r="AQ219" s="580">
        <v>12.2</v>
      </c>
      <c r="AR219" s="584">
        <v>0.99</v>
      </c>
      <c r="AY219" s="579" t="s">
        <v>762</v>
      </c>
      <c r="AZ219" s="606">
        <v>7</v>
      </c>
      <c r="BA219" s="606">
        <v>3</v>
      </c>
      <c r="BB219" s="606">
        <v>0.25</v>
      </c>
      <c r="BC219" s="584">
        <v>0.23300000000000001</v>
      </c>
    </row>
    <row r="220" spans="28:55" x14ac:dyDescent="0.2">
      <c r="AB220" s="579" t="s">
        <v>1770</v>
      </c>
      <c r="AC220" s="580">
        <v>12.7</v>
      </c>
      <c r="AD220" s="581">
        <v>0.55000000000000004</v>
      </c>
      <c r="AE220" s="580">
        <v>12.2</v>
      </c>
      <c r="AF220" s="584">
        <v>0.9</v>
      </c>
      <c r="AN220" s="579" t="s">
        <v>299</v>
      </c>
      <c r="AO220" s="583">
        <v>6.36</v>
      </c>
      <c r="AP220" s="581">
        <v>0.55000000000000004</v>
      </c>
      <c r="AQ220" s="580">
        <v>12.2</v>
      </c>
      <c r="AR220" s="584">
        <v>0.9</v>
      </c>
      <c r="AY220" s="579" t="s">
        <v>763</v>
      </c>
      <c r="AZ220" s="606">
        <v>7</v>
      </c>
      <c r="BA220" s="606">
        <v>3</v>
      </c>
      <c r="BB220" s="606">
        <v>0.1875</v>
      </c>
      <c r="BC220" s="584">
        <v>0.17399999999999999</v>
      </c>
    </row>
    <row r="221" spans="28:55" x14ac:dyDescent="0.2">
      <c r="AB221" s="579" t="s">
        <v>1771</v>
      </c>
      <c r="AC221" s="580">
        <v>12.5</v>
      </c>
      <c r="AD221" s="581">
        <v>0.51500000000000001</v>
      </c>
      <c r="AE221" s="580">
        <v>12.1</v>
      </c>
      <c r="AF221" s="584">
        <v>0.81</v>
      </c>
      <c r="AN221" s="579" t="s">
        <v>300</v>
      </c>
      <c r="AO221" s="583">
        <v>6.27</v>
      </c>
      <c r="AP221" s="581">
        <v>0.51500000000000001</v>
      </c>
      <c r="AQ221" s="580">
        <v>12.1</v>
      </c>
      <c r="AR221" s="584">
        <v>0.81</v>
      </c>
      <c r="AY221" s="579" t="s">
        <v>764</v>
      </c>
      <c r="AZ221" s="606">
        <v>7</v>
      </c>
      <c r="BA221" s="606">
        <v>3</v>
      </c>
      <c r="BB221" s="606">
        <v>0.125</v>
      </c>
      <c r="BC221" s="584">
        <v>0.11600000000000001</v>
      </c>
    </row>
    <row r="222" spans="28:55" x14ac:dyDescent="0.2">
      <c r="AB222" s="579" t="s">
        <v>1772</v>
      </c>
      <c r="AC222" s="580">
        <v>12.4</v>
      </c>
      <c r="AD222" s="581">
        <v>0.47</v>
      </c>
      <c r="AE222" s="580">
        <v>12.1</v>
      </c>
      <c r="AF222" s="584">
        <v>0.73499999999999999</v>
      </c>
      <c r="AN222" s="579" t="s">
        <v>301</v>
      </c>
      <c r="AO222" s="583">
        <v>6.19</v>
      </c>
      <c r="AP222" s="581">
        <v>0.47</v>
      </c>
      <c r="AQ222" s="580">
        <v>12.1</v>
      </c>
      <c r="AR222" s="584">
        <v>0.73499999999999999</v>
      </c>
      <c r="AY222" s="579" t="s">
        <v>765</v>
      </c>
      <c r="AZ222" s="606">
        <v>7</v>
      </c>
      <c r="BA222" s="606">
        <v>2</v>
      </c>
      <c r="BB222" s="606">
        <v>0.25</v>
      </c>
      <c r="BC222" s="584">
        <v>0.23300000000000001</v>
      </c>
    </row>
    <row r="223" spans="28:55" x14ac:dyDescent="0.2">
      <c r="AB223" s="579" t="s">
        <v>1773</v>
      </c>
      <c r="AC223" s="580">
        <v>12.3</v>
      </c>
      <c r="AD223" s="581">
        <v>0.43</v>
      </c>
      <c r="AE223" s="580">
        <v>12</v>
      </c>
      <c r="AF223" s="584">
        <v>0.67</v>
      </c>
      <c r="AN223" s="579" t="s">
        <v>302</v>
      </c>
      <c r="AO223" s="583">
        <v>6.13</v>
      </c>
      <c r="AP223" s="581">
        <v>0.43</v>
      </c>
      <c r="AQ223" s="580">
        <v>12</v>
      </c>
      <c r="AR223" s="584">
        <v>0.67</v>
      </c>
      <c r="AY223" s="579" t="s">
        <v>766</v>
      </c>
      <c r="AZ223" s="606">
        <v>7</v>
      </c>
      <c r="BA223" s="606">
        <v>2</v>
      </c>
      <c r="BB223" s="606">
        <v>0.1875</v>
      </c>
      <c r="BC223" s="584">
        <v>0.17399999999999999</v>
      </c>
    </row>
    <row r="224" spans="28:55" x14ac:dyDescent="0.2">
      <c r="AB224" s="579" t="s">
        <v>1774</v>
      </c>
      <c r="AC224" s="580">
        <v>12.1</v>
      </c>
      <c r="AD224" s="581">
        <v>0.39</v>
      </c>
      <c r="AE224" s="580">
        <v>12</v>
      </c>
      <c r="AF224" s="584">
        <v>0.60499999999999998</v>
      </c>
      <c r="AN224" s="579" t="s">
        <v>303</v>
      </c>
      <c r="AO224" s="583">
        <v>6.06</v>
      </c>
      <c r="AP224" s="581">
        <v>0.39</v>
      </c>
      <c r="AQ224" s="580">
        <v>12</v>
      </c>
      <c r="AR224" s="584">
        <v>0.60499999999999998</v>
      </c>
      <c r="AY224" s="579" t="s">
        <v>767</v>
      </c>
      <c r="AZ224" s="606">
        <v>7</v>
      </c>
      <c r="BA224" s="606">
        <v>2</v>
      </c>
      <c r="BB224" s="606">
        <v>0.125</v>
      </c>
      <c r="BC224" s="584">
        <v>0.11600000000000001</v>
      </c>
    </row>
    <row r="225" spans="28:55" x14ac:dyDescent="0.2">
      <c r="AB225" s="579" t="s">
        <v>1775</v>
      </c>
      <c r="AC225" s="580">
        <v>12.2</v>
      </c>
      <c r="AD225" s="581">
        <v>0.36</v>
      </c>
      <c r="AE225" s="580">
        <v>10</v>
      </c>
      <c r="AF225" s="584">
        <v>0.64</v>
      </c>
      <c r="AN225" s="579" t="s">
        <v>304</v>
      </c>
      <c r="AO225" s="583">
        <v>6.1</v>
      </c>
      <c r="AP225" s="581">
        <v>0.36</v>
      </c>
      <c r="AQ225" s="580">
        <v>10</v>
      </c>
      <c r="AR225" s="584">
        <v>0.64</v>
      </c>
      <c r="AY225" s="579" t="s">
        <v>768</v>
      </c>
      <c r="AZ225" s="606">
        <v>6</v>
      </c>
      <c r="BA225" s="606">
        <v>6</v>
      </c>
      <c r="BB225" s="606">
        <v>0.625</v>
      </c>
      <c r="BC225" s="584">
        <v>0.58099999999999996</v>
      </c>
    </row>
    <row r="226" spans="28:55" x14ac:dyDescent="0.2">
      <c r="AB226" s="579" t="s">
        <v>1776</v>
      </c>
      <c r="AC226" s="580">
        <v>12.1</v>
      </c>
      <c r="AD226" s="581">
        <v>0.34499999999999997</v>
      </c>
      <c r="AE226" s="580">
        <v>10</v>
      </c>
      <c r="AF226" s="584">
        <v>0.57499999999999996</v>
      </c>
      <c r="AN226" s="579" t="s">
        <v>305</v>
      </c>
      <c r="AO226" s="583">
        <v>6.03</v>
      </c>
      <c r="AP226" s="581">
        <v>0.34499999999999997</v>
      </c>
      <c r="AQ226" s="580">
        <v>10</v>
      </c>
      <c r="AR226" s="584">
        <v>0.57499999999999996</v>
      </c>
      <c r="AY226" s="579" t="s">
        <v>769</v>
      </c>
      <c r="AZ226" s="606">
        <v>6</v>
      </c>
      <c r="BA226" s="606">
        <v>6</v>
      </c>
      <c r="BB226" s="606">
        <v>0.5</v>
      </c>
      <c r="BC226" s="584">
        <v>0.46500000000000002</v>
      </c>
    </row>
    <row r="227" spans="28:55" x14ac:dyDescent="0.2">
      <c r="AB227" s="579" t="s">
        <v>1777</v>
      </c>
      <c r="AC227" s="580">
        <v>12.2</v>
      </c>
      <c r="AD227" s="581">
        <v>0.37</v>
      </c>
      <c r="AE227" s="583">
        <v>8.08</v>
      </c>
      <c r="AF227" s="584">
        <v>0.64</v>
      </c>
      <c r="AN227" s="579" t="s">
        <v>306</v>
      </c>
      <c r="AO227" s="583">
        <v>6.1</v>
      </c>
      <c r="AP227" s="581">
        <v>0.37</v>
      </c>
      <c r="AQ227" s="583">
        <v>8.08</v>
      </c>
      <c r="AR227" s="584">
        <v>0.64</v>
      </c>
      <c r="AY227" s="579" t="s">
        <v>770</v>
      </c>
      <c r="AZ227" s="606">
        <v>6</v>
      </c>
      <c r="BA227" s="606">
        <v>6</v>
      </c>
      <c r="BB227" s="606">
        <v>0.375</v>
      </c>
      <c r="BC227" s="584">
        <v>0.34899999999999998</v>
      </c>
    </row>
    <row r="228" spans="28:55" x14ac:dyDescent="0.2">
      <c r="AB228" s="579" t="s">
        <v>1778</v>
      </c>
      <c r="AC228" s="580">
        <v>12.1</v>
      </c>
      <c r="AD228" s="581">
        <v>0.33500000000000002</v>
      </c>
      <c r="AE228" s="583">
        <v>8.0500000000000007</v>
      </c>
      <c r="AF228" s="584">
        <v>0.57499999999999996</v>
      </c>
      <c r="AN228" s="579" t="s">
        <v>307</v>
      </c>
      <c r="AO228" s="583">
        <v>6.03</v>
      </c>
      <c r="AP228" s="581">
        <v>0.33500000000000002</v>
      </c>
      <c r="AQ228" s="583">
        <v>8.0500000000000007</v>
      </c>
      <c r="AR228" s="584">
        <v>0.57499999999999996</v>
      </c>
      <c r="AY228" s="579" t="s">
        <v>771</v>
      </c>
      <c r="AZ228" s="606">
        <v>6</v>
      </c>
      <c r="BA228" s="606">
        <v>6</v>
      </c>
      <c r="BB228" s="606">
        <v>0.3125</v>
      </c>
      <c r="BC228" s="584">
        <v>0.29099999999999998</v>
      </c>
    </row>
    <row r="229" spans="28:55" x14ac:dyDescent="0.2">
      <c r="AB229" s="579" t="s">
        <v>1779</v>
      </c>
      <c r="AC229" s="580">
        <v>11.9</v>
      </c>
      <c r="AD229" s="581">
        <v>0.29499999999999998</v>
      </c>
      <c r="AE229" s="583">
        <v>8.01</v>
      </c>
      <c r="AF229" s="584">
        <v>0.51500000000000001</v>
      </c>
      <c r="AN229" s="579" t="s">
        <v>308</v>
      </c>
      <c r="AO229" s="583">
        <v>5.97</v>
      </c>
      <c r="AP229" s="581">
        <v>0.29499999999999998</v>
      </c>
      <c r="AQ229" s="583">
        <v>8.01</v>
      </c>
      <c r="AR229" s="584">
        <v>0.51500000000000001</v>
      </c>
      <c r="AY229" s="579" t="s">
        <v>772</v>
      </c>
      <c r="AZ229" s="606">
        <v>6</v>
      </c>
      <c r="BA229" s="606">
        <v>6</v>
      </c>
      <c r="BB229" s="606">
        <v>0.25</v>
      </c>
      <c r="BC229" s="584">
        <v>0.23300000000000001</v>
      </c>
    </row>
    <row r="230" spans="28:55" x14ac:dyDescent="0.2">
      <c r="AB230" s="579" t="s">
        <v>1780</v>
      </c>
      <c r="AC230" s="580">
        <v>12.5</v>
      </c>
      <c r="AD230" s="581">
        <v>0.3</v>
      </c>
      <c r="AE230" s="583">
        <v>6.56</v>
      </c>
      <c r="AF230" s="584">
        <v>0.52</v>
      </c>
      <c r="AN230" s="579" t="s">
        <v>309</v>
      </c>
      <c r="AO230" s="583">
        <v>6.25</v>
      </c>
      <c r="AP230" s="581">
        <v>0.3</v>
      </c>
      <c r="AQ230" s="583">
        <v>6.56</v>
      </c>
      <c r="AR230" s="584">
        <v>0.52</v>
      </c>
      <c r="AY230" s="579" t="s">
        <v>773</v>
      </c>
      <c r="AZ230" s="606">
        <v>6</v>
      </c>
      <c r="BA230" s="606">
        <v>6</v>
      </c>
      <c r="BB230" s="606">
        <v>0.1875</v>
      </c>
      <c r="BC230" s="584">
        <v>0.17399999999999999</v>
      </c>
    </row>
    <row r="231" spans="28:55" x14ac:dyDescent="0.2">
      <c r="AB231" s="579" t="s">
        <v>1781</v>
      </c>
      <c r="AC231" s="580">
        <v>12.3</v>
      </c>
      <c r="AD231" s="581">
        <v>0.26</v>
      </c>
      <c r="AE231" s="583">
        <v>6.52</v>
      </c>
      <c r="AF231" s="584">
        <v>0.44</v>
      </c>
      <c r="AN231" s="579" t="s">
        <v>310</v>
      </c>
      <c r="AO231" s="583">
        <v>6.17</v>
      </c>
      <c r="AP231" s="581">
        <v>0.26</v>
      </c>
      <c r="AQ231" s="583">
        <v>6.52</v>
      </c>
      <c r="AR231" s="584">
        <v>0.44</v>
      </c>
      <c r="AY231" s="579" t="s">
        <v>774</v>
      </c>
      <c r="AZ231" s="606">
        <v>6</v>
      </c>
      <c r="BA231" s="606">
        <v>6</v>
      </c>
      <c r="BB231" s="606">
        <v>0.125</v>
      </c>
      <c r="BC231" s="584">
        <v>0.11600000000000001</v>
      </c>
    </row>
    <row r="232" spans="28:55" x14ac:dyDescent="0.2">
      <c r="AB232" s="579" t="s">
        <v>1782</v>
      </c>
      <c r="AC232" s="580">
        <v>12.2</v>
      </c>
      <c r="AD232" s="581">
        <v>0.23</v>
      </c>
      <c r="AE232" s="583">
        <v>6.49</v>
      </c>
      <c r="AF232" s="584">
        <v>0.38</v>
      </c>
      <c r="AN232" s="579" t="s">
        <v>311</v>
      </c>
      <c r="AO232" s="583">
        <v>6.11</v>
      </c>
      <c r="AP232" s="581">
        <v>0.23</v>
      </c>
      <c r="AQ232" s="583">
        <v>6.49</v>
      </c>
      <c r="AR232" s="584">
        <v>0.38</v>
      </c>
      <c r="AY232" s="579" t="s">
        <v>775</v>
      </c>
      <c r="AZ232" s="606">
        <v>6</v>
      </c>
      <c r="BA232" s="606">
        <v>5</v>
      </c>
      <c r="BB232" s="606">
        <v>0.5</v>
      </c>
      <c r="BC232" s="584">
        <v>0.46500000000000002</v>
      </c>
    </row>
    <row r="233" spans="28:55" x14ac:dyDescent="0.2">
      <c r="AB233" s="579" t="s">
        <v>1783</v>
      </c>
      <c r="AC233" s="580">
        <v>12.3</v>
      </c>
      <c r="AD233" s="581">
        <v>0.26</v>
      </c>
      <c r="AE233" s="583">
        <v>4.03</v>
      </c>
      <c r="AF233" s="584">
        <v>0.42499999999999999</v>
      </c>
      <c r="AN233" s="579" t="s">
        <v>312</v>
      </c>
      <c r="AO233" s="583">
        <v>6.16</v>
      </c>
      <c r="AP233" s="581">
        <v>0.26</v>
      </c>
      <c r="AQ233" s="583">
        <v>4.03</v>
      </c>
      <c r="AR233" s="584">
        <v>0.42499999999999999</v>
      </c>
      <c r="AY233" s="579" t="s">
        <v>776</v>
      </c>
      <c r="AZ233" s="606">
        <v>6</v>
      </c>
      <c r="BA233" s="606">
        <v>5</v>
      </c>
      <c r="BB233" s="606">
        <v>0.375</v>
      </c>
      <c r="BC233" s="584">
        <v>0.34899999999999998</v>
      </c>
    </row>
    <row r="234" spans="28:55" x14ac:dyDescent="0.2">
      <c r="AB234" s="579" t="s">
        <v>1784</v>
      </c>
      <c r="AC234" s="580">
        <v>12.2</v>
      </c>
      <c r="AD234" s="581">
        <v>0.23499999999999999</v>
      </c>
      <c r="AE234" s="583">
        <v>4.01</v>
      </c>
      <c r="AF234" s="584">
        <v>0.35</v>
      </c>
      <c r="AN234" s="579" t="s">
        <v>313</v>
      </c>
      <c r="AO234" s="583">
        <v>6.08</v>
      </c>
      <c r="AP234" s="581">
        <v>0.23499999999999999</v>
      </c>
      <c r="AQ234" s="583">
        <v>4.01</v>
      </c>
      <c r="AR234" s="584">
        <v>0.35</v>
      </c>
      <c r="AY234" s="579" t="s">
        <v>777</v>
      </c>
      <c r="AZ234" s="606">
        <v>6</v>
      </c>
      <c r="BA234" s="606">
        <v>5</v>
      </c>
      <c r="BB234" s="606">
        <v>0.3125</v>
      </c>
      <c r="BC234" s="584">
        <v>0.29099999999999998</v>
      </c>
    </row>
    <row r="235" spans="28:55" x14ac:dyDescent="0.2">
      <c r="AB235" s="579" t="s">
        <v>1785</v>
      </c>
      <c r="AC235" s="580">
        <v>12</v>
      </c>
      <c r="AD235" s="581">
        <v>0.22</v>
      </c>
      <c r="AE235" s="583">
        <v>3.99</v>
      </c>
      <c r="AF235" s="584">
        <v>0.26500000000000001</v>
      </c>
      <c r="AN235" s="579" t="s">
        <v>314</v>
      </c>
      <c r="AO235" s="583">
        <v>6</v>
      </c>
      <c r="AP235" s="581">
        <v>0.22</v>
      </c>
      <c r="AQ235" s="583">
        <v>3.99</v>
      </c>
      <c r="AR235" s="584">
        <v>0.26500000000000001</v>
      </c>
      <c r="AY235" s="579" t="s">
        <v>778</v>
      </c>
      <c r="AZ235" s="606">
        <v>6</v>
      </c>
      <c r="BA235" s="606">
        <v>5</v>
      </c>
      <c r="BB235" s="606">
        <v>0.25</v>
      </c>
      <c r="BC235" s="584">
        <v>0.23300000000000001</v>
      </c>
    </row>
    <row r="236" spans="28:55" x14ac:dyDescent="0.2">
      <c r="AB236" s="579" t="s">
        <v>1786</v>
      </c>
      <c r="AC236" s="580">
        <v>11.9</v>
      </c>
      <c r="AD236" s="581">
        <v>0.2</v>
      </c>
      <c r="AE236" s="583">
        <v>3.97</v>
      </c>
      <c r="AF236" s="584">
        <v>0.22500000000000001</v>
      </c>
      <c r="AN236" s="579" t="s">
        <v>315</v>
      </c>
      <c r="AO236" s="583">
        <v>5.96</v>
      </c>
      <c r="AP236" s="581">
        <v>0.2</v>
      </c>
      <c r="AQ236" s="583">
        <v>3.97</v>
      </c>
      <c r="AR236" s="584">
        <v>0.22500000000000001</v>
      </c>
      <c r="AY236" s="579" t="s">
        <v>779</v>
      </c>
      <c r="AZ236" s="606">
        <v>6</v>
      </c>
      <c r="BA236" s="606">
        <v>5</v>
      </c>
      <c r="BB236" s="606">
        <v>0.1875</v>
      </c>
      <c r="BC236" s="584">
        <v>0.17399999999999999</v>
      </c>
    </row>
    <row r="237" spans="28:55" x14ac:dyDescent="0.2">
      <c r="AB237" s="579" t="s">
        <v>1787</v>
      </c>
      <c r="AC237" s="580">
        <v>11.4</v>
      </c>
      <c r="AD237" s="581">
        <v>0.755</v>
      </c>
      <c r="AE237" s="580">
        <v>10.4</v>
      </c>
      <c r="AF237" s="582">
        <v>1.25</v>
      </c>
      <c r="AN237" s="579" t="s">
        <v>316</v>
      </c>
      <c r="AO237" s="583">
        <v>5.68</v>
      </c>
      <c r="AP237" s="581">
        <v>0.755</v>
      </c>
      <c r="AQ237" s="580">
        <v>10.4</v>
      </c>
      <c r="AR237" s="582">
        <v>1.25</v>
      </c>
      <c r="AY237" s="579" t="s">
        <v>780</v>
      </c>
      <c r="AZ237" s="606">
        <v>6</v>
      </c>
      <c r="BA237" s="606">
        <v>5</v>
      </c>
      <c r="BB237" s="606">
        <v>0.125</v>
      </c>
      <c r="BC237" s="584">
        <v>0.11600000000000001</v>
      </c>
    </row>
    <row r="238" spans="28:55" x14ac:dyDescent="0.2">
      <c r="AB238" s="579" t="s">
        <v>1788</v>
      </c>
      <c r="AC238" s="580">
        <v>11.1</v>
      </c>
      <c r="AD238" s="581">
        <v>0.68</v>
      </c>
      <c r="AE238" s="580">
        <v>10.3</v>
      </c>
      <c r="AF238" s="582">
        <v>1.1200000000000001</v>
      </c>
      <c r="AN238" s="579" t="s">
        <v>317</v>
      </c>
      <c r="AO238" s="583">
        <v>5.55</v>
      </c>
      <c r="AP238" s="581">
        <v>0.68</v>
      </c>
      <c r="AQ238" s="580">
        <v>10.3</v>
      </c>
      <c r="AR238" s="582">
        <v>1.1200000000000001</v>
      </c>
      <c r="AY238" s="579" t="s">
        <v>781</v>
      </c>
      <c r="AZ238" s="606">
        <v>6</v>
      </c>
      <c r="BA238" s="606">
        <v>4</v>
      </c>
      <c r="BB238" s="606">
        <v>0.5</v>
      </c>
      <c r="BC238" s="584">
        <v>0.46500000000000002</v>
      </c>
    </row>
    <row r="239" spans="28:55" x14ac:dyDescent="0.2">
      <c r="AB239" s="579" t="s">
        <v>1789</v>
      </c>
      <c r="AC239" s="580">
        <v>10.8</v>
      </c>
      <c r="AD239" s="581">
        <v>0.60499999999999998</v>
      </c>
      <c r="AE239" s="580">
        <v>10.3</v>
      </c>
      <c r="AF239" s="584">
        <v>0.99</v>
      </c>
      <c r="AN239" s="579" t="s">
        <v>318</v>
      </c>
      <c r="AO239" s="583">
        <v>5.42</v>
      </c>
      <c r="AP239" s="581">
        <v>0.60499999999999998</v>
      </c>
      <c r="AQ239" s="580">
        <v>10.3</v>
      </c>
      <c r="AR239" s="584">
        <v>0.99</v>
      </c>
      <c r="AY239" s="579" t="s">
        <v>782</v>
      </c>
      <c r="AZ239" s="606">
        <v>6</v>
      </c>
      <c r="BA239" s="606">
        <v>4</v>
      </c>
      <c r="BB239" s="606">
        <v>0.375</v>
      </c>
      <c r="BC239" s="584">
        <v>0.34899999999999998</v>
      </c>
    </row>
    <row r="240" spans="28:55" x14ac:dyDescent="0.2">
      <c r="AB240" s="579" t="s">
        <v>1790</v>
      </c>
      <c r="AC240" s="580">
        <v>10.6</v>
      </c>
      <c r="AD240" s="581">
        <v>0.53</v>
      </c>
      <c r="AE240" s="580">
        <v>10.199999999999999</v>
      </c>
      <c r="AF240" s="584">
        <v>0.87</v>
      </c>
      <c r="AN240" s="579" t="s">
        <v>319</v>
      </c>
      <c r="AO240" s="583">
        <v>5.3</v>
      </c>
      <c r="AP240" s="581">
        <v>0.53</v>
      </c>
      <c r="AQ240" s="580">
        <v>10.199999999999999</v>
      </c>
      <c r="AR240" s="584">
        <v>0.87</v>
      </c>
      <c r="AY240" s="579" t="s">
        <v>783</v>
      </c>
      <c r="AZ240" s="606">
        <v>6</v>
      </c>
      <c r="BA240" s="606">
        <v>4</v>
      </c>
      <c r="BB240" s="606">
        <v>0.3125</v>
      </c>
      <c r="BC240" s="584">
        <v>0.29099999999999998</v>
      </c>
    </row>
    <row r="241" spans="28:55" x14ac:dyDescent="0.2">
      <c r="AB241" s="579" t="s">
        <v>1791</v>
      </c>
      <c r="AC241" s="580">
        <v>10.4</v>
      </c>
      <c r="AD241" s="581">
        <v>0.47</v>
      </c>
      <c r="AE241" s="580">
        <v>10.1</v>
      </c>
      <c r="AF241" s="584">
        <v>0.77</v>
      </c>
      <c r="AN241" s="579" t="s">
        <v>320</v>
      </c>
      <c r="AO241" s="583">
        <v>5.2</v>
      </c>
      <c r="AP241" s="581">
        <v>0.47</v>
      </c>
      <c r="AQ241" s="580">
        <v>10.1</v>
      </c>
      <c r="AR241" s="584">
        <v>0.77</v>
      </c>
      <c r="AY241" s="579" t="s">
        <v>784</v>
      </c>
      <c r="AZ241" s="606">
        <v>6</v>
      </c>
      <c r="BA241" s="606">
        <v>4</v>
      </c>
      <c r="BB241" s="606">
        <v>0.25</v>
      </c>
      <c r="BC241" s="584">
        <v>0.23300000000000001</v>
      </c>
    </row>
    <row r="242" spans="28:55" x14ac:dyDescent="0.2">
      <c r="AB242" s="579" t="s">
        <v>1792</v>
      </c>
      <c r="AC242" s="580">
        <v>10.199999999999999</v>
      </c>
      <c r="AD242" s="581">
        <v>0.42</v>
      </c>
      <c r="AE242" s="580">
        <v>10.1</v>
      </c>
      <c r="AF242" s="584">
        <v>0.68</v>
      </c>
      <c r="AN242" s="579" t="s">
        <v>321</v>
      </c>
      <c r="AO242" s="583">
        <v>5.1100000000000003</v>
      </c>
      <c r="AP242" s="581">
        <v>0.42</v>
      </c>
      <c r="AQ242" s="580">
        <v>10.1</v>
      </c>
      <c r="AR242" s="584">
        <v>0.68</v>
      </c>
      <c r="AY242" s="579" t="s">
        <v>785</v>
      </c>
      <c r="AZ242" s="606">
        <v>6</v>
      </c>
      <c r="BA242" s="606">
        <v>4</v>
      </c>
      <c r="BB242" s="606">
        <v>0.1875</v>
      </c>
      <c r="BC242" s="584">
        <v>0.17399999999999999</v>
      </c>
    </row>
    <row r="243" spans="28:55" x14ac:dyDescent="0.2">
      <c r="AB243" s="579" t="s">
        <v>1793</v>
      </c>
      <c r="AC243" s="580">
        <v>10.1</v>
      </c>
      <c r="AD243" s="581">
        <v>0.37</v>
      </c>
      <c r="AE243" s="580">
        <v>10</v>
      </c>
      <c r="AF243" s="584">
        <v>0.61499999999999999</v>
      </c>
      <c r="AN243" s="579" t="s">
        <v>322</v>
      </c>
      <c r="AO243" s="583">
        <v>5.05</v>
      </c>
      <c r="AP243" s="581">
        <v>0.37</v>
      </c>
      <c r="AQ243" s="580">
        <v>10</v>
      </c>
      <c r="AR243" s="584">
        <v>0.61499999999999999</v>
      </c>
      <c r="AY243" s="579" t="s">
        <v>786</v>
      </c>
      <c r="AZ243" s="606">
        <v>6</v>
      </c>
      <c r="BA243" s="606">
        <v>4</v>
      </c>
      <c r="BB243" s="606">
        <v>0.125</v>
      </c>
      <c r="BC243" s="584">
        <v>0.11600000000000001</v>
      </c>
    </row>
    <row r="244" spans="28:55" x14ac:dyDescent="0.2">
      <c r="AB244" s="579" t="s">
        <v>1794</v>
      </c>
      <c r="AC244" s="580">
        <v>10</v>
      </c>
      <c r="AD244" s="581">
        <v>0.34</v>
      </c>
      <c r="AE244" s="580">
        <v>10</v>
      </c>
      <c r="AF244" s="584">
        <v>0.56000000000000005</v>
      </c>
      <c r="AN244" s="579" t="s">
        <v>323</v>
      </c>
      <c r="AO244" s="583">
        <v>4.99</v>
      </c>
      <c r="AP244" s="581">
        <v>0.34</v>
      </c>
      <c r="AQ244" s="580">
        <v>10</v>
      </c>
      <c r="AR244" s="584">
        <v>0.56000000000000005</v>
      </c>
      <c r="AY244" s="579" t="s">
        <v>787</v>
      </c>
      <c r="AZ244" s="606">
        <v>6</v>
      </c>
      <c r="BA244" s="606">
        <v>3</v>
      </c>
      <c r="BB244" s="606">
        <v>0.5</v>
      </c>
      <c r="BC244" s="584">
        <v>0.46500000000000002</v>
      </c>
    </row>
    <row r="245" spans="28:55" x14ac:dyDescent="0.2">
      <c r="AB245" s="579" t="s">
        <v>1795</v>
      </c>
      <c r="AC245" s="580">
        <v>10.1</v>
      </c>
      <c r="AD245" s="581">
        <v>0.35</v>
      </c>
      <c r="AE245" s="583">
        <v>8.02</v>
      </c>
      <c r="AF245" s="584">
        <v>0.62</v>
      </c>
      <c r="AN245" s="579" t="s">
        <v>324</v>
      </c>
      <c r="AO245" s="583">
        <v>5.05</v>
      </c>
      <c r="AP245" s="581">
        <v>0.35</v>
      </c>
      <c r="AQ245" s="583">
        <v>8.02</v>
      </c>
      <c r="AR245" s="584">
        <v>0.62</v>
      </c>
      <c r="AY245" s="579" t="s">
        <v>788</v>
      </c>
      <c r="AZ245" s="606">
        <v>6</v>
      </c>
      <c r="BA245" s="606">
        <v>3</v>
      </c>
      <c r="BB245" s="606">
        <v>0.375</v>
      </c>
      <c r="BC245" s="584">
        <v>0.34899999999999998</v>
      </c>
    </row>
    <row r="246" spans="28:55" x14ac:dyDescent="0.2">
      <c r="AB246" s="579" t="s">
        <v>1796</v>
      </c>
      <c r="AC246" s="583">
        <v>9.92</v>
      </c>
      <c r="AD246" s="581">
        <v>0.315</v>
      </c>
      <c r="AE246" s="583">
        <v>7.99</v>
      </c>
      <c r="AF246" s="584">
        <v>0.53</v>
      </c>
      <c r="AN246" s="579" t="s">
        <v>325</v>
      </c>
      <c r="AO246" s="583">
        <v>4.96</v>
      </c>
      <c r="AP246" s="581">
        <v>0.315</v>
      </c>
      <c r="AQ246" s="583">
        <v>7.99</v>
      </c>
      <c r="AR246" s="584">
        <v>0.53</v>
      </c>
      <c r="AY246" s="579" t="s">
        <v>789</v>
      </c>
      <c r="AZ246" s="606">
        <v>6</v>
      </c>
      <c r="BA246" s="606">
        <v>3</v>
      </c>
      <c r="BB246" s="606">
        <v>0.3125</v>
      </c>
      <c r="BC246" s="584">
        <v>0.29099999999999998</v>
      </c>
    </row>
    <row r="247" spans="28:55" x14ac:dyDescent="0.2">
      <c r="AB247" s="579" t="s">
        <v>1797</v>
      </c>
      <c r="AC247" s="583">
        <v>9.73</v>
      </c>
      <c r="AD247" s="581">
        <v>0.28999999999999998</v>
      </c>
      <c r="AE247" s="583">
        <v>7.96</v>
      </c>
      <c r="AF247" s="584">
        <v>0.435</v>
      </c>
      <c r="AN247" s="579" t="s">
        <v>326</v>
      </c>
      <c r="AO247" s="583">
        <v>4.87</v>
      </c>
      <c r="AP247" s="581">
        <v>0.28999999999999998</v>
      </c>
      <c r="AQ247" s="583">
        <v>7.96</v>
      </c>
      <c r="AR247" s="584">
        <v>0.435</v>
      </c>
      <c r="AY247" s="579" t="s">
        <v>790</v>
      </c>
      <c r="AZ247" s="606">
        <v>6</v>
      </c>
      <c r="BA247" s="606">
        <v>3</v>
      </c>
      <c r="BB247" s="606">
        <v>0.25</v>
      </c>
      <c r="BC247" s="584">
        <v>0.23300000000000001</v>
      </c>
    </row>
    <row r="248" spans="28:55" x14ac:dyDescent="0.2">
      <c r="AB248" s="579" t="s">
        <v>1798</v>
      </c>
      <c r="AC248" s="580">
        <v>10.5</v>
      </c>
      <c r="AD248" s="581">
        <v>0.3</v>
      </c>
      <c r="AE248" s="583">
        <v>5.81</v>
      </c>
      <c r="AF248" s="584">
        <v>0.51</v>
      </c>
      <c r="AN248" s="579" t="s">
        <v>327</v>
      </c>
      <c r="AO248" s="583">
        <v>5.24</v>
      </c>
      <c r="AP248" s="581">
        <v>0.3</v>
      </c>
      <c r="AQ248" s="583">
        <v>5.81</v>
      </c>
      <c r="AR248" s="584">
        <v>0.51</v>
      </c>
      <c r="AY248" s="579" t="s">
        <v>791</v>
      </c>
      <c r="AZ248" s="606">
        <v>6</v>
      </c>
      <c r="BA248" s="606">
        <v>3</v>
      </c>
      <c r="BB248" s="606">
        <v>0.1875</v>
      </c>
      <c r="BC248" s="584">
        <v>0.17399999999999999</v>
      </c>
    </row>
    <row r="249" spans="28:55" x14ac:dyDescent="0.2">
      <c r="AB249" s="579" t="s">
        <v>1799</v>
      </c>
      <c r="AC249" s="580">
        <v>10.3</v>
      </c>
      <c r="AD249" s="581">
        <v>0.26</v>
      </c>
      <c r="AE249" s="583">
        <v>5.77</v>
      </c>
      <c r="AF249" s="584">
        <v>0.44</v>
      </c>
      <c r="AN249" s="579" t="s">
        <v>328</v>
      </c>
      <c r="AO249" s="583">
        <v>5.17</v>
      </c>
      <c r="AP249" s="581">
        <v>0.26</v>
      </c>
      <c r="AQ249" s="583">
        <v>5.77</v>
      </c>
      <c r="AR249" s="584">
        <v>0.44</v>
      </c>
      <c r="AY249" s="579" t="s">
        <v>792</v>
      </c>
      <c r="AZ249" s="606">
        <v>6</v>
      </c>
      <c r="BA249" s="606">
        <v>3</v>
      </c>
      <c r="BB249" s="606">
        <v>0.125</v>
      </c>
      <c r="BC249" s="584">
        <v>0.11600000000000001</v>
      </c>
    </row>
    <row r="250" spans="28:55" x14ac:dyDescent="0.2">
      <c r="AB250" s="579" t="s">
        <v>1800</v>
      </c>
      <c r="AC250" s="580">
        <v>10.199999999999999</v>
      </c>
      <c r="AD250" s="581">
        <v>0.24</v>
      </c>
      <c r="AE250" s="583">
        <v>5.75</v>
      </c>
      <c r="AF250" s="584">
        <v>0.36</v>
      </c>
      <c r="AN250" s="579" t="s">
        <v>329</v>
      </c>
      <c r="AO250" s="583">
        <v>5.09</v>
      </c>
      <c r="AP250" s="581">
        <v>0.24</v>
      </c>
      <c r="AQ250" s="583">
        <v>5.75</v>
      </c>
      <c r="AR250" s="584">
        <v>0.36</v>
      </c>
      <c r="AY250" s="579" t="s">
        <v>793</v>
      </c>
      <c r="AZ250" s="606">
        <v>6</v>
      </c>
      <c r="BA250" s="606">
        <v>2</v>
      </c>
      <c r="BB250" s="606">
        <v>0.375</v>
      </c>
      <c r="BC250" s="584">
        <v>0.34899999999999998</v>
      </c>
    </row>
    <row r="251" spans="28:55" x14ac:dyDescent="0.2">
      <c r="AB251" s="579" t="s">
        <v>1801</v>
      </c>
      <c r="AC251" s="580">
        <v>10.199999999999999</v>
      </c>
      <c r="AD251" s="581">
        <v>0.25</v>
      </c>
      <c r="AE251" s="583">
        <v>4.0199999999999996</v>
      </c>
      <c r="AF251" s="584">
        <v>0.39500000000000002</v>
      </c>
      <c r="AN251" s="579" t="s">
        <v>330</v>
      </c>
      <c r="AO251" s="583">
        <v>5.12</v>
      </c>
      <c r="AP251" s="581">
        <v>0.25</v>
      </c>
      <c r="AQ251" s="583">
        <v>4.0199999999999996</v>
      </c>
      <c r="AR251" s="584">
        <v>0.39500000000000002</v>
      </c>
      <c r="AY251" s="579" t="s">
        <v>794</v>
      </c>
      <c r="AZ251" s="606">
        <v>6</v>
      </c>
      <c r="BA251" s="606">
        <v>2</v>
      </c>
      <c r="BB251" s="606">
        <v>0.3125</v>
      </c>
      <c r="BC251" s="584">
        <v>0.29099999999999998</v>
      </c>
    </row>
    <row r="252" spans="28:55" x14ac:dyDescent="0.2">
      <c r="AB252" s="579" t="s">
        <v>1802</v>
      </c>
      <c r="AC252" s="580">
        <v>10.1</v>
      </c>
      <c r="AD252" s="581">
        <v>0.24</v>
      </c>
      <c r="AE252" s="583">
        <v>4.01</v>
      </c>
      <c r="AF252" s="584">
        <v>0.33</v>
      </c>
      <c r="AN252" s="579" t="s">
        <v>331</v>
      </c>
      <c r="AO252" s="583">
        <v>5.0599999999999996</v>
      </c>
      <c r="AP252" s="581">
        <v>0.24</v>
      </c>
      <c r="AQ252" s="583">
        <v>4.01</v>
      </c>
      <c r="AR252" s="584">
        <v>0.33</v>
      </c>
      <c r="AY252" s="579" t="s">
        <v>795</v>
      </c>
      <c r="AZ252" s="606">
        <v>6</v>
      </c>
      <c r="BA252" s="606">
        <v>2</v>
      </c>
      <c r="BB252" s="606">
        <v>0.25</v>
      </c>
      <c r="BC252" s="584">
        <v>0.23300000000000001</v>
      </c>
    </row>
    <row r="253" spans="28:55" x14ac:dyDescent="0.2">
      <c r="AB253" s="579" t="s">
        <v>1803</v>
      </c>
      <c r="AC253" s="580">
        <v>10</v>
      </c>
      <c r="AD253" s="581">
        <v>0.23</v>
      </c>
      <c r="AE253" s="583">
        <v>4</v>
      </c>
      <c r="AF253" s="584">
        <v>0.27</v>
      </c>
      <c r="AN253" s="579" t="s">
        <v>332</v>
      </c>
      <c r="AO253" s="583">
        <v>5</v>
      </c>
      <c r="AP253" s="581">
        <v>0.23</v>
      </c>
      <c r="AQ253" s="583">
        <v>4</v>
      </c>
      <c r="AR253" s="584">
        <v>0.27</v>
      </c>
      <c r="AY253" s="579" t="s">
        <v>796</v>
      </c>
      <c r="AZ253" s="606">
        <v>6</v>
      </c>
      <c r="BA253" s="606">
        <v>2</v>
      </c>
      <c r="BB253" s="606">
        <v>0.1875</v>
      </c>
      <c r="BC253" s="584">
        <v>0.17399999999999999</v>
      </c>
    </row>
    <row r="254" spans="28:55" x14ac:dyDescent="0.2">
      <c r="AB254" s="579" t="s">
        <v>1804</v>
      </c>
      <c r="AC254" s="583">
        <v>9.8699999999999992</v>
      </c>
      <c r="AD254" s="581">
        <v>0.19</v>
      </c>
      <c r="AE254" s="583">
        <v>3.96</v>
      </c>
      <c r="AF254" s="584">
        <v>0.21</v>
      </c>
      <c r="AN254" s="579" t="s">
        <v>333</v>
      </c>
      <c r="AO254" s="583">
        <v>4.9400000000000004</v>
      </c>
      <c r="AP254" s="581">
        <v>0.19</v>
      </c>
      <c r="AQ254" s="583">
        <v>3.96</v>
      </c>
      <c r="AR254" s="584">
        <v>0.21</v>
      </c>
      <c r="AY254" s="579" t="s">
        <v>797</v>
      </c>
      <c r="AZ254" s="606">
        <v>6</v>
      </c>
      <c r="BA254" s="606">
        <v>2</v>
      </c>
      <c r="BB254" s="606">
        <v>0.125</v>
      </c>
      <c r="BC254" s="584">
        <v>0.11600000000000001</v>
      </c>
    </row>
    <row r="255" spans="28:55" x14ac:dyDescent="0.2">
      <c r="AB255" s="579" t="s">
        <v>1805</v>
      </c>
      <c r="AC255" s="583">
        <v>9</v>
      </c>
      <c r="AD255" s="581">
        <v>0.56999999999999995</v>
      </c>
      <c r="AE255" s="583">
        <v>8.2799999999999994</v>
      </c>
      <c r="AF255" s="584">
        <v>0.93500000000000005</v>
      </c>
      <c r="AN255" s="579" t="s">
        <v>334</v>
      </c>
      <c r="AO255" s="583">
        <v>4.5</v>
      </c>
      <c r="AP255" s="581">
        <v>0.56999999999999995</v>
      </c>
      <c r="AQ255" s="583">
        <v>8.2799999999999994</v>
      </c>
      <c r="AR255" s="584">
        <v>0.93500000000000005</v>
      </c>
      <c r="AY255" s="579" t="s">
        <v>798</v>
      </c>
      <c r="AZ255" s="606">
        <v>5.5</v>
      </c>
      <c r="BA255" s="606">
        <v>5.5</v>
      </c>
      <c r="BB255" s="606">
        <v>0.375</v>
      </c>
      <c r="BC255" s="584">
        <v>0.34899999999999998</v>
      </c>
    </row>
    <row r="256" spans="28:55" x14ac:dyDescent="0.2">
      <c r="AB256" s="579" t="s">
        <v>1806</v>
      </c>
      <c r="AC256" s="583">
        <v>8.75</v>
      </c>
      <c r="AD256" s="581">
        <v>0.51</v>
      </c>
      <c r="AE256" s="583">
        <v>8.2200000000000006</v>
      </c>
      <c r="AF256" s="584">
        <v>0.81</v>
      </c>
      <c r="AN256" s="579" t="s">
        <v>335</v>
      </c>
      <c r="AO256" s="583">
        <v>4.38</v>
      </c>
      <c r="AP256" s="581">
        <v>0.51</v>
      </c>
      <c r="AQ256" s="583">
        <v>8.2200000000000006</v>
      </c>
      <c r="AR256" s="584">
        <v>0.81</v>
      </c>
      <c r="AY256" s="579" t="s">
        <v>799</v>
      </c>
      <c r="AZ256" s="606">
        <v>5.5</v>
      </c>
      <c r="BA256" s="606">
        <v>5.5</v>
      </c>
      <c r="BB256" s="606">
        <v>0.3125</v>
      </c>
      <c r="BC256" s="584">
        <v>0.29099999999999998</v>
      </c>
    </row>
    <row r="257" spans="28:55" x14ac:dyDescent="0.2">
      <c r="AB257" s="579" t="s">
        <v>1807</v>
      </c>
      <c r="AC257" s="583">
        <v>8.5</v>
      </c>
      <c r="AD257" s="581">
        <v>0.4</v>
      </c>
      <c r="AE257" s="583">
        <v>8.11</v>
      </c>
      <c r="AF257" s="584">
        <v>0.68500000000000005</v>
      </c>
      <c r="AN257" s="579" t="s">
        <v>336</v>
      </c>
      <c r="AO257" s="583">
        <v>4.25</v>
      </c>
      <c r="AP257" s="581">
        <v>0.4</v>
      </c>
      <c r="AQ257" s="583">
        <v>8.11</v>
      </c>
      <c r="AR257" s="584">
        <v>0.68500000000000005</v>
      </c>
      <c r="AY257" s="579" t="s">
        <v>800</v>
      </c>
      <c r="AZ257" s="606">
        <v>5.5</v>
      </c>
      <c r="BA257" s="606">
        <v>5.5</v>
      </c>
      <c r="BB257" s="606">
        <v>0.25</v>
      </c>
      <c r="BC257" s="584">
        <v>0.23300000000000001</v>
      </c>
    </row>
    <row r="258" spans="28:55" x14ac:dyDescent="0.2">
      <c r="AB258" s="579" t="s">
        <v>1808</v>
      </c>
      <c r="AC258" s="583">
        <v>8.25</v>
      </c>
      <c r="AD258" s="581">
        <v>0.36</v>
      </c>
      <c r="AE258" s="583">
        <v>8.07</v>
      </c>
      <c r="AF258" s="584">
        <v>0.56000000000000005</v>
      </c>
      <c r="AN258" s="579" t="s">
        <v>337</v>
      </c>
      <c r="AO258" s="583">
        <v>4.13</v>
      </c>
      <c r="AP258" s="581">
        <v>0.36</v>
      </c>
      <c r="AQ258" s="583">
        <v>8.07</v>
      </c>
      <c r="AR258" s="584">
        <v>0.56000000000000005</v>
      </c>
      <c r="AY258" s="579" t="s">
        <v>801</v>
      </c>
      <c r="AZ258" s="606">
        <v>5.5</v>
      </c>
      <c r="BA258" s="606">
        <v>5.5</v>
      </c>
      <c r="BB258" s="606">
        <v>0.1875</v>
      </c>
      <c r="BC258" s="584">
        <v>0.17399999999999999</v>
      </c>
    </row>
    <row r="259" spans="28:55" x14ac:dyDescent="0.2">
      <c r="AB259" s="579" t="s">
        <v>1809</v>
      </c>
      <c r="AC259" s="583">
        <v>8.1199999999999992</v>
      </c>
      <c r="AD259" s="581">
        <v>0.31</v>
      </c>
      <c r="AE259" s="583">
        <v>8.02</v>
      </c>
      <c r="AF259" s="584">
        <v>0.495</v>
      </c>
      <c r="AN259" s="579" t="s">
        <v>338</v>
      </c>
      <c r="AO259" s="583">
        <v>4.0599999999999996</v>
      </c>
      <c r="AP259" s="581">
        <v>0.31</v>
      </c>
      <c r="AQ259" s="583">
        <v>8.02</v>
      </c>
      <c r="AR259" s="584">
        <v>0.495</v>
      </c>
      <c r="AY259" s="579" t="s">
        <v>802</v>
      </c>
      <c r="AZ259" s="606">
        <v>5.5</v>
      </c>
      <c r="BA259" s="606">
        <v>5.5</v>
      </c>
      <c r="BB259" s="606">
        <v>0.125</v>
      </c>
      <c r="BC259" s="584">
        <v>0.11600000000000001</v>
      </c>
    </row>
    <row r="260" spans="28:55" x14ac:dyDescent="0.2">
      <c r="AB260" s="579" t="s">
        <v>1810</v>
      </c>
      <c r="AC260" s="583">
        <v>8</v>
      </c>
      <c r="AD260" s="581">
        <v>0.28499999999999998</v>
      </c>
      <c r="AE260" s="583">
        <v>8</v>
      </c>
      <c r="AF260" s="584">
        <v>0.435</v>
      </c>
      <c r="AN260" s="579" t="s">
        <v>339</v>
      </c>
      <c r="AO260" s="583">
        <v>4</v>
      </c>
      <c r="AP260" s="581">
        <v>0.28499999999999998</v>
      </c>
      <c r="AQ260" s="583">
        <v>8</v>
      </c>
      <c r="AR260" s="584">
        <v>0.435</v>
      </c>
      <c r="AY260" s="579" t="s">
        <v>803</v>
      </c>
      <c r="AZ260" s="606">
        <v>5</v>
      </c>
      <c r="BA260" s="606">
        <v>5</v>
      </c>
      <c r="BB260" s="606">
        <v>0.5</v>
      </c>
      <c r="BC260" s="584">
        <v>0.46500000000000002</v>
      </c>
    </row>
    <row r="261" spans="28:55" x14ac:dyDescent="0.2">
      <c r="AB261" s="579" t="s">
        <v>1811</v>
      </c>
      <c r="AC261" s="583">
        <v>8.06</v>
      </c>
      <c r="AD261" s="581">
        <v>0.28499999999999998</v>
      </c>
      <c r="AE261" s="583">
        <v>6.54</v>
      </c>
      <c r="AF261" s="584">
        <v>0.46500000000000002</v>
      </c>
      <c r="AN261" s="579" t="s">
        <v>340</v>
      </c>
      <c r="AO261" s="583">
        <v>4.03</v>
      </c>
      <c r="AP261" s="581">
        <v>0.28499999999999998</v>
      </c>
      <c r="AQ261" s="583">
        <v>6.54</v>
      </c>
      <c r="AR261" s="584">
        <v>0.46500000000000002</v>
      </c>
      <c r="AY261" s="579" t="s">
        <v>804</v>
      </c>
      <c r="AZ261" s="606">
        <v>5</v>
      </c>
      <c r="BA261" s="606">
        <v>5</v>
      </c>
      <c r="BB261" s="606">
        <v>0.375</v>
      </c>
      <c r="BC261" s="584">
        <v>0.34899999999999998</v>
      </c>
    </row>
    <row r="262" spans="28:55" x14ac:dyDescent="0.2">
      <c r="AB262" s="579" t="s">
        <v>1812</v>
      </c>
      <c r="AC262" s="583">
        <v>7.93</v>
      </c>
      <c r="AD262" s="581">
        <v>0.245</v>
      </c>
      <c r="AE262" s="583">
        <v>6.5</v>
      </c>
      <c r="AF262" s="584">
        <v>0.4</v>
      </c>
      <c r="AN262" s="579" t="s">
        <v>341</v>
      </c>
      <c r="AO262" s="583">
        <v>3.97</v>
      </c>
      <c r="AP262" s="581">
        <v>0.245</v>
      </c>
      <c r="AQ262" s="583">
        <v>6.5</v>
      </c>
      <c r="AR262" s="584">
        <v>0.4</v>
      </c>
      <c r="AY262" s="579" t="s">
        <v>805</v>
      </c>
      <c r="AZ262" s="606">
        <v>5</v>
      </c>
      <c r="BA262" s="606">
        <v>5</v>
      </c>
      <c r="BB262" s="606">
        <v>0.3125</v>
      </c>
      <c r="BC262" s="584">
        <v>0.29099999999999998</v>
      </c>
    </row>
    <row r="263" spans="28:55" x14ac:dyDescent="0.2">
      <c r="AB263" s="579" t="s">
        <v>1813</v>
      </c>
      <c r="AC263" s="583">
        <v>8.2799999999999994</v>
      </c>
      <c r="AD263" s="581">
        <v>0.25</v>
      </c>
      <c r="AE263" s="583">
        <v>5.27</v>
      </c>
      <c r="AF263" s="584">
        <v>0.4</v>
      </c>
      <c r="AN263" s="579" t="s">
        <v>342</v>
      </c>
      <c r="AO263" s="583">
        <v>4.1399999999999997</v>
      </c>
      <c r="AP263" s="581">
        <v>0.25</v>
      </c>
      <c r="AQ263" s="583">
        <v>5.27</v>
      </c>
      <c r="AR263" s="584">
        <v>0.4</v>
      </c>
      <c r="AY263" s="579" t="s">
        <v>806</v>
      </c>
      <c r="AZ263" s="606">
        <v>5</v>
      </c>
      <c r="BA263" s="606">
        <v>5</v>
      </c>
      <c r="BB263" s="606">
        <v>0.25</v>
      </c>
      <c r="BC263" s="584">
        <v>0.23300000000000001</v>
      </c>
    </row>
    <row r="264" spans="28:55" x14ac:dyDescent="0.2">
      <c r="AB264" s="579" t="s">
        <v>1814</v>
      </c>
      <c r="AC264" s="583">
        <v>8.14</v>
      </c>
      <c r="AD264" s="581">
        <v>0.23</v>
      </c>
      <c r="AE264" s="583">
        <v>5.25</v>
      </c>
      <c r="AF264" s="584">
        <v>0.33</v>
      </c>
      <c r="AN264" s="579" t="s">
        <v>343</v>
      </c>
      <c r="AO264" s="583">
        <v>4.07</v>
      </c>
      <c r="AP264" s="581">
        <v>0.23</v>
      </c>
      <c r="AQ264" s="583">
        <v>5.25</v>
      </c>
      <c r="AR264" s="584">
        <v>0.33</v>
      </c>
      <c r="AY264" s="579" t="s">
        <v>807</v>
      </c>
      <c r="AZ264" s="606">
        <v>5</v>
      </c>
      <c r="BA264" s="606">
        <v>5</v>
      </c>
      <c r="BB264" s="606">
        <v>0.1875</v>
      </c>
      <c r="BC264" s="584">
        <v>0.17399999999999999</v>
      </c>
    </row>
    <row r="265" spans="28:55" x14ac:dyDescent="0.2">
      <c r="AB265" s="579" t="s">
        <v>1815</v>
      </c>
      <c r="AC265" s="583">
        <v>8.11</v>
      </c>
      <c r="AD265" s="581">
        <v>0.245</v>
      </c>
      <c r="AE265" s="583">
        <v>4.01</v>
      </c>
      <c r="AF265" s="584">
        <v>0.315</v>
      </c>
      <c r="AN265" s="579" t="s">
        <v>344</v>
      </c>
      <c r="AO265" s="583">
        <v>4.0599999999999996</v>
      </c>
      <c r="AP265" s="581">
        <v>0.245</v>
      </c>
      <c r="AQ265" s="583">
        <v>4.0199999999999996</v>
      </c>
      <c r="AR265" s="584">
        <v>0.315</v>
      </c>
      <c r="AY265" s="579" t="s">
        <v>808</v>
      </c>
      <c r="AZ265" s="606">
        <v>5</v>
      </c>
      <c r="BA265" s="606">
        <v>5</v>
      </c>
      <c r="BB265" s="606">
        <v>0.125</v>
      </c>
      <c r="BC265" s="584">
        <v>0.11600000000000001</v>
      </c>
    </row>
    <row r="266" spans="28:55" x14ac:dyDescent="0.2">
      <c r="AB266" s="579" t="s">
        <v>1816</v>
      </c>
      <c r="AC266" s="583">
        <v>7.99</v>
      </c>
      <c r="AD266" s="581">
        <v>0.23</v>
      </c>
      <c r="AE266" s="583">
        <v>4</v>
      </c>
      <c r="AF266" s="584">
        <v>0.255</v>
      </c>
      <c r="AN266" s="579" t="s">
        <v>345</v>
      </c>
      <c r="AO266" s="583">
        <v>4</v>
      </c>
      <c r="AP266" s="581">
        <v>0.23</v>
      </c>
      <c r="AQ266" s="583">
        <v>4</v>
      </c>
      <c r="AR266" s="584">
        <v>0.255</v>
      </c>
      <c r="AY266" s="579" t="s">
        <v>809</v>
      </c>
      <c r="AZ266" s="606">
        <v>5</v>
      </c>
      <c r="BA266" s="606">
        <v>4</v>
      </c>
      <c r="BB266" s="606">
        <v>0.5</v>
      </c>
      <c r="BC266" s="584">
        <v>0.46500000000000002</v>
      </c>
    </row>
    <row r="267" spans="28:55" x14ac:dyDescent="0.2">
      <c r="AB267" s="579" t="s">
        <v>1817</v>
      </c>
      <c r="AC267" s="583">
        <v>7.89</v>
      </c>
      <c r="AD267" s="581">
        <v>0.17</v>
      </c>
      <c r="AE267" s="583">
        <v>3.94</v>
      </c>
      <c r="AF267" s="584">
        <v>0.20499999999999999</v>
      </c>
      <c r="AN267" s="579" t="s">
        <v>346</v>
      </c>
      <c r="AO267" s="583">
        <v>3.95</v>
      </c>
      <c r="AP267" s="581">
        <v>0.17</v>
      </c>
      <c r="AQ267" s="583">
        <v>3.94</v>
      </c>
      <c r="AR267" s="584">
        <v>0.20499999999999999</v>
      </c>
      <c r="AY267" s="579" t="s">
        <v>810</v>
      </c>
      <c r="AZ267" s="606">
        <v>5</v>
      </c>
      <c r="BA267" s="606">
        <v>4</v>
      </c>
      <c r="BB267" s="606">
        <v>0.375</v>
      </c>
      <c r="BC267" s="584">
        <v>0.34899999999999998</v>
      </c>
    </row>
    <row r="268" spans="28:55" x14ac:dyDescent="0.2">
      <c r="AB268" s="579" t="s">
        <v>1818</v>
      </c>
      <c r="AC268" s="583">
        <v>6.38</v>
      </c>
      <c r="AD268" s="581">
        <v>0.32</v>
      </c>
      <c r="AE268" s="583">
        <v>6.08</v>
      </c>
      <c r="AF268" s="584">
        <v>0.45500000000000002</v>
      </c>
      <c r="AN268" s="579" t="s">
        <v>347</v>
      </c>
      <c r="AO268" s="583">
        <v>3.19</v>
      </c>
      <c r="AP268" s="581">
        <v>0.32</v>
      </c>
      <c r="AQ268" s="583">
        <v>6.08</v>
      </c>
      <c r="AR268" s="584">
        <v>0.45500000000000002</v>
      </c>
      <c r="AY268" s="579" t="s">
        <v>811</v>
      </c>
      <c r="AZ268" s="606">
        <v>5</v>
      </c>
      <c r="BA268" s="606">
        <v>4</v>
      </c>
      <c r="BB268" s="606">
        <v>0.3125</v>
      </c>
      <c r="BC268" s="584">
        <v>0.29099999999999998</v>
      </c>
    </row>
    <row r="269" spans="28:55" x14ac:dyDescent="0.2">
      <c r="AB269" s="579" t="s">
        <v>1819</v>
      </c>
      <c r="AC269" s="583">
        <v>6.2</v>
      </c>
      <c r="AD269" s="581">
        <v>0.26</v>
      </c>
      <c r="AE269" s="583">
        <v>6.02</v>
      </c>
      <c r="AF269" s="584">
        <v>0.36499999999999999</v>
      </c>
      <c r="AN269" s="579" t="s">
        <v>348</v>
      </c>
      <c r="AO269" s="583">
        <v>3.1</v>
      </c>
      <c r="AP269" s="581">
        <v>0.26</v>
      </c>
      <c r="AQ269" s="583">
        <v>6.02</v>
      </c>
      <c r="AR269" s="584">
        <v>0.36499999999999999</v>
      </c>
      <c r="AY269" s="579" t="s">
        <v>812</v>
      </c>
      <c r="AZ269" s="606">
        <v>5</v>
      </c>
      <c r="BA269" s="606">
        <v>4</v>
      </c>
      <c r="BB269" s="606">
        <v>0.25</v>
      </c>
      <c r="BC269" s="584">
        <v>0.23300000000000001</v>
      </c>
    </row>
    <row r="270" spans="28:55" x14ac:dyDescent="0.2">
      <c r="AB270" s="579" t="s">
        <v>1820</v>
      </c>
      <c r="AC270" s="583">
        <v>5.99</v>
      </c>
      <c r="AD270" s="581">
        <v>0.23</v>
      </c>
      <c r="AE270" s="583">
        <v>5.99</v>
      </c>
      <c r="AF270" s="584">
        <v>0.26</v>
      </c>
      <c r="AN270" s="579" t="s">
        <v>349</v>
      </c>
      <c r="AO270" s="583">
        <v>3</v>
      </c>
      <c r="AP270" s="581">
        <v>0.23</v>
      </c>
      <c r="AQ270" s="583">
        <v>5.99</v>
      </c>
      <c r="AR270" s="584">
        <v>0.26</v>
      </c>
      <c r="AY270" s="579" t="s">
        <v>813</v>
      </c>
      <c r="AZ270" s="606">
        <v>5</v>
      </c>
      <c r="BA270" s="606">
        <v>4</v>
      </c>
      <c r="BB270" s="606">
        <v>0.1875</v>
      </c>
      <c r="BC270" s="584">
        <v>0.17399999999999999</v>
      </c>
    </row>
    <row r="271" spans="28:55" x14ac:dyDescent="0.2">
      <c r="AB271" s="579" t="s">
        <v>1821</v>
      </c>
      <c r="AC271" s="583">
        <v>6.28</v>
      </c>
      <c r="AD271" s="581">
        <v>0.26</v>
      </c>
      <c r="AE271" s="583">
        <v>4.03</v>
      </c>
      <c r="AF271" s="584">
        <v>0.40500000000000003</v>
      </c>
      <c r="AN271" s="579" t="s">
        <v>350</v>
      </c>
      <c r="AO271" s="583">
        <v>3.14</v>
      </c>
      <c r="AP271" s="581">
        <v>0.26</v>
      </c>
      <c r="AQ271" s="583">
        <v>4.03</v>
      </c>
      <c r="AR271" s="584">
        <v>0.40500000000000003</v>
      </c>
      <c r="AY271" s="579" t="s">
        <v>814</v>
      </c>
      <c r="AZ271" s="606">
        <v>5</v>
      </c>
      <c r="BA271" s="606">
        <v>4</v>
      </c>
      <c r="BB271" s="606">
        <v>0.125</v>
      </c>
      <c r="BC271" s="584">
        <v>0.11600000000000001</v>
      </c>
    </row>
    <row r="272" spans="28:55" x14ac:dyDescent="0.2">
      <c r="AB272" s="579" t="s">
        <v>1822</v>
      </c>
      <c r="AC272" s="583">
        <v>6.03</v>
      </c>
      <c r="AD272" s="581">
        <v>0.23</v>
      </c>
      <c r="AE272" s="583">
        <v>4</v>
      </c>
      <c r="AF272" s="584">
        <v>0.28000000000000003</v>
      </c>
      <c r="AN272" s="579" t="s">
        <v>351</v>
      </c>
      <c r="AO272" s="583">
        <v>3.02</v>
      </c>
      <c r="AP272" s="581">
        <v>0.23</v>
      </c>
      <c r="AQ272" s="583">
        <v>4</v>
      </c>
      <c r="AR272" s="584">
        <v>0.28000000000000003</v>
      </c>
      <c r="AY272" s="579" t="s">
        <v>815</v>
      </c>
      <c r="AZ272" s="606">
        <v>5</v>
      </c>
      <c r="BA272" s="606">
        <v>3</v>
      </c>
      <c r="BB272" s="606">
        <v>0.5</v>
      </c>
      <c r="BC272" s="584">
        <v>0.46500000000000002</v>
      </c>
    </row>
    <row r="273" spans="28:55" x14ac:dyDescent="0.2">
      <c r="AB273" s="579" t="s">
        <v>1823</v>
      </c>
      <c r="AC273" s="583">
        <v>5.9</v>
      </c>
      <c r="AD273" s="581">
        <v>0.17</v>
      </c>
      <c r="AE273" s="583">
        <v>3.94</v>
      </c>
      <c r="AF273" s="584">
        <v>0.215</v>
      </c>
      <c r="AN273" s="579" t="s">
        <v>352</v>
      </c>
      <c r="AO273" s="583">
        <v>2.95</v>
      </c>
      <c r="AP273" s="581">
        <v>0.17</v>
      </c>
      <c r="AQ273" s="583">
        <v>3.94</v>
      </c>
      <c r="AR273" s="584">
        <v>0.215</v>
      </c>
      <c r="AY273" s="579" t="s">
        <v>816</v>
      </c>
      <c r="AZ273" s="606">
        <v>5</v>
      </c>
      <c r="BA273" s="606">
        <v>3</v>
      </c>
      <c r="BB273" s="606">
        <v>0.375</v>
      </c>
      <c r="BC273" s="584">
        <v>0.34899999999999998</v>
      </c>
    </row>
    <row r="274" spans="28:55" x14ac:dyDescent="0.2">
      <c r="AB274" s="579" t="s">
        <v>1824</v>
      </c>
      <c r="AC274" s="583">
        <v>5.83</v>
      </c>
      <c r="AD274" s="581">
        <v>0.17</v>
      </c>
      <c r="AE274" s="583">
        <v>3.94</v>
      </c>
      <c r="AF274" s="584">
        <v>0.19500000000000001</v>
      </c>
      <c r="AN274" s="579" t="s">
        <v>353</v>
      </c>
      <c r="AO274" s="583">
        <v>2.92</v>
      </c>
      <c r="AP274" s="581">
        <v>0.17</v>
      </c>
      <c r="AQ274" s="583">
        <v>3.94</v>
      </c>
      <c r="AR274" s="584">
        <v>0.19500000000000001</v>
      </c>
      <c r="AY274" s="579" t="s">
        <v>817</v>
      </c>
      <c r="AZ274" s="606">
        <v>5</v>
      </c>
      <c r="BA274" s="606">
        <v>3</v>
      </c>
      <c r="BB274" s="606">
        <v>0.3125</v>
      </c>
      <c r="BC274" s="584">
        <v>0.29099999999999998</v>
      </c>
    </row>
    <row r="275" spans="28:55" x14ac:dyDescent="0.2">
      <c r="AB275" s="579" t="s">
        <v>1825</v>
      </c>
      <c r="AC275" s="583">
        <v>5.15</v>
      </c>
      <c r="AD275" s="581">
        <v>0.27</v>
      </c>
      <c r="AE275" s="583">
        <v>5.03</v>
      </c>
      <c r="AF275" s="584">
        <v>0.43</v>
      </c>
      <c r="AN275" s="579" t="s">
        <v>354</v>
      </c>
      <c r="AO275" s="583">
        <v>2.58</v>
      </c>
      <c r="AP275" s="581">
        <v>0.27</v>
      </c>
      <c r="AQ275" s="583">
        <v>5.03</v>
      </c>
      <c r="AR275" s="584">
        <v>0.43</v>
      </c>
      <c r="AY275" s="579" t="s">
        <v>818</v>
      </c>
      <c r="AZ275" s="606">
        <v>5</v>
      </c>
      <c r="BA275" s="606">
        <v>3</v>
      </c>
      <c r="BB275" s="606">
        <v>0.25</v>
      </c>
      <c r="BC275" s="584">
        <v>0.23300000000000001</v>
      </c>
    </row>
    <row r="276" spans="28:55" x14ac:dyDescent="0.2">
      <c r="AB276" s="579" t="s">
        <v>1826</v>
      </c>
      <c r="AC276" s="583">
        <v>5.01</v>
      </c>
      <c r="AD276" s="581">
        <v>0.24</v>
      </c>
      <c r="AE276" s="583">
        <v>5</v>
      </c>
      <c r="AF276" s="584">
        <v>0.36</v>
      </c>
      <c r="AN276" s="579" t="s">
        <v>355</v>
      </c>
      <c r="AO276" s="583">
        <v>2.5099999999999998</v>
      </c>
      <c r="AP276" s="581">
        <v>0.24</v>
      </c>
      <c r="AQ276" s="583">
        <v>5</v>
      </c>
      <c r="AR276" s="584">
        <v>0.36</v>
      </c>
      <c r="AY276" s="579" t="s">
        <v>819</v>
      </c>
      <c r="AZ276" s="606">
        <v>5</v>
      </c>
      <c r="BA276" s="606">
        <v>3</v>
      </c>
      <c r="BB276" s="606">
        <v>0.1875</v>
      </c>
      <c r="BC276" s="584">
        <v>0.17399999999999999</v>
      </c>
    </row>
    <row r="277" spans="28:55" x14ac:dyDescent="0.2">
      <c r="AB277" s="585" t="s">
        <v>1827</v>
      </c>
      <c r="AC277" s="586">
        <v>4.16</v>
      </c>
      <c r="AD277" s="587">
        <v>0.28000000000000003</v>
      </c>
      <c r="AE277" s="586">
        <v>4.0599999999999996</v>
      </c>
      <c r="AF277" s="588">
        <v>0.34499999999999997</v>
      </c>
      <c r="AN277" s="585" t="s">
        <v>356</v>
      </c>
      <c r="AO277" s="586">
        <v>2.08</v>
      </c>
      <c r="AP277" s="587">
        <v>0.28000000000000003</v>
      </c>
      <c r="AQ277" s="586">
        <v>4.0599999999999996</v>
      </c>
      <c r="AR277" s="588">
        <v>0.34499999999999997</v>
      </c>
      <c r="AY277" s="579" t="s">
        <v>820</v>
      </c>
      <c r="AZ277" s="606">
        <v>5</v>
      </c>
      <c r="BA277" s="606">
        <v>3</v>
      </c>
      <c r="BB277" s="606">
        <v>0.125</v>
      </c>
      <c r="BC277" s="584">
        <v>0.11600000000000001</v>
      </c>
    </row>
    <row r="278" spans="28:55" x14ac:dyDescent="0.2">
      <c r="AB278" s="589" t="s">
        <v>1828</v>
      </c>
      <c r="AC278" s="590">
        <v>12.5</v>
      </c>
      <c r="AD278" s="591">
        <v>0.155</v>
      </c>
      <c r="AE278" s="592">
        <v>3.75</v>
      </c>
      <c r="AF278" s="593">
        <v>0.22800000000000001</v>
      </c>
      <c r="AN278" s="589" t="s">
        <v>357</v>
      </c>
      <c r="AO278" s="592">
        <v>6.27</v>
      </c>
      <c r="AP278" s="591">
        <v>0.155</v>
      </c>
      <c r="AQ278" s="592">
        <v>3.75</v>
      </c>
      <c r="AR278" s="593">
        <v>0.22800000000000001</v>
      </c>
      <c r="AY278" s="579" t="s">
        <v>821</v>
      </c>
      <c r="AZ278" s="606">
        <v>5</v>
      </c>
      <c r="BA278" s="606">
        <v>2.5</v>
      </c>
      <c r="BB278" s="606">
        <v>0.25</v>
      </c>
      <c r="BC278" s="584">
        <v>0.23300000000000001</v>
      </c>
    </row>
    <row r="279" spans="28:55" x14ac:dyDescent="0.2">
      <c r="AB279" s="579" t="s">
        <v>1829</v>
      </c>
      <c r="AC279" s="580">
        <v>12.5</v>
      </c>
      <c r="AD279" s="581">
        <v>0.155</v>
      </c>
      <c r="AE279" s="583">
        <v>3.5</v>
      </c>
      <c r="AF279" s="584">
        <v>0.21099999999999999</v>
      </c>
      <c r="AN279" s="579" t="s">
        <v>358</v>
      </c>
      <c r="AO279" s="583">
        <v>6.25</v>
      </c>
      <c r="AP279" s="581">
        <v>0.155</v>
      </c>
      <c r="AQ279" s="583">
        <v>3.5</v>
      </c>
      <c r="AR279" s="584">
        <v>0.21099999999999999</v>
      </c>
      <c r="AY279" s="579" t="s">
        <v>822</v>
      </c>
      <c r="AZ279" s="606">
        <v>5</v>
      </c>
      <c r="BA279" s="606">
        <v>2.5</v>
      </c>
      <c r="BB279" s="606">
        <v>0.1875</v>
      </c>
      <c r="BC279" s="584">
        <v>0.17399999999999999</v>
      </c>
    </row>
    <row r="280" spans="28:55" x14ac:dyDescent="0.2">
      <c r="AB280" s="579" t="s">
        <v>1830</v>
      </c>
      <c r="AC280" s="580">
        <v>12</v>
      </c>
      <c r="AD280" s="581">
        <v>0.17699999999999999</v>
      </c>
      <c r="AE280" s="583">
        <v>3.07</v>
      </c>
      <c r="AF280" s="584">
        <v>0.22500000000000001</v>
      </c>
      <c r="AN280" s="579" t="s">
        <v>359</v>
      </c>
      <c r="AO280" s="583">
        <v>6</v>
      </c>
      <c r="AP280" s="581">
        <v>0.17699999999999999</v>
      </c>
      <c r="AQ280" s="583">
        <v>3.07</v>
      </c>
      <c r="AR280" s="584">
        <v>0.22500000000000001</v>
      </c>
      <c r="AY280" s="579" t="s">
        <v>823</v>
      </c>
      <c r="AZ280" s="606">
        <v>5</v>
      </c>
      <c r="BA280" s="606">
        <v>2.5</v>
      </c>
      <c r="BB280" s="606">
        <v>0.125</v>
      </c>
      <c r="BC280" s="584">
        <v>0.11600000000000001</v>
      </c>
    </row>
    <row r="281" spans="28:55" x14ac:dyDescent="0.2">
      <c r="AB281" s="579" t="s">
        <v>1831</v>
      </c>
      <c r="AC281" s="580">
        <v>12</v>
      </c>
      <c r="AD281" s="581">
        <v>0.16</v>
      </c>
      <c r="AE281" s="583">
        <v>3.07</v>
      </c>
      <c r="AF281" s="584">
        <v>0.21</v>
      </c>
      <c r="AN281" s="579" t="s">
        <v>360</v>
      </c>
      <c r="AO281" s="583">
        <v>5.99</v>
      </c>
      <c r="AP281" s="581">
        <v>0.16</v>
      </c>
      <c r="AQ281" s="583">
        <v>3.07</v>
      </c>
      <c r="AR281" s="584">
        <v>0.21</v>
      </c>
      <c r="AY281" s="579" t="s">
        <v>824</v>
      </c>
      <c r="AZ281" s="606">
        <v>5</v>
      </c>
      <c r="BA281" s="606">
        <v>2</v>
      </c>
      <c r="BB281" s="606">
        <v>0.375</v>
      </c>
      <c r="BC281" s="584">
        <v>0.34899999999999998</v>
      </c>
    </row>
    <row r="282" spans="28:55" x14ac:dyDescent="0.2">
      <c r="AB282" s="579" t="s">
        <v>1832</v>
      </c>
      <c r="AC282" s="580">
        <v>12</v>
      </c>
      <c r="AD282" s="581">
        <v>0.14899999999999999</v>
      </c>
      <c r="AE282" s="583">
        <v>3.25</v>
      </c>
      <c r="AF282" s="584">
        <v>0.18</v>
      </c>
      <c r="AN282" s="579" t="s">
        <v>361</v>
      </c>
      <c r="AO282" s="583">
        <v>5.99</v>
      </c>
      <c r="AP282" s="581">
        <v>0.14899999999999999</v>
      </c>
      <c r="AQ282" s="583">
        <v>3.25</v>
      </c>
      <c r="AR282" s="584">
        <v>0.18</v>
      </c>
      <c r="AY282" s="579" t="s">
        <v>825</v>
      </c>
      <c r="AZ282" s="606">
        <v>5</v>
      </c>
      <c r="BA282" s="606">
        <v>2</v>
      </c>
      <c r="BB282" s="606">
        <v>0.3125</v>
      </c>
      <c r="BC282" s="584">
        <v>0.29099999999999998</v>
      </c>
    </row>
    <row r="283" spans="28:55" x14ac:dyDescent="0.2">
      <c r="AB283" s="579" t="s">
        <v>1833</v>
      </c>
      <c r="AC283" s="580">
        <v>10</v>
      </c>
      <c r="AD283" s="581">
        <v>0.157</v>
      </c>
      <c r="AE283" s="583">
        <v>2.69</v>
      </c>
      <c r="AF283" s="584">
        <v>0.20599999999999999</v>
      </c>
      <c r="AN283" s="579" t="s">
        <v>362</v>
      </c>
      <c r="AO283" s="583">
        <v>5</v>
      </c>
      <c r="AP283" s="581">
        <v>0.157</v>
      </c>
      <c r="AQ283" s="583">
        <v>2.69</v>
      </c>
      <c r="AR283" s="584">
        <v>0.20599999999999999</v>
      </c>
      <c r="AY283" s="579" t="s">
        <v>826</v>
      </c>
      <c r="AZ283" s="606">
        <v>5</v>
      </c>
      <c r="BA283" s="606">
        <v>2</v>
      </c>
      <c r="BB283" s="606">
        <v>0.25</v>
      </c>
      <c r="BC283" s="584">
        <v>0.23300000000000001</v>
      </c>
    </row>
    <row r="284" spans="28:55" x14ac:dyDescent="0.2">
      <c r="AB284" s="579" t="s">
        <v>1834</v>
      </c>
      <c r="AC284" s="580">
        <v>10</v>
      </c>
      <c r="AD284" s="581">
        <v>0.14099999999999999</v>
      </c>
      <c r="AE284" s="583">
        <v>2.69</v>
      </c>
      <c r="AF284" s="584">
        <v>0.182</v>
      </c>
      <c r="AN284" s="579" t="s">
        <v>363</v>
      </c>
      <c r="AO284" s="583">
        <v>4.9800000000000004</v>
      </c>
      <c r="AP284" s="581">
        <v>0.14099999999999999</v>
      </c>
      <c r="AQ284" s="583">
        <v>2.69</v>
      </c>
      <c r="AR284" s="584">
        <v>0.182</v>
      </c>
      <c r="AY284" s="579" t="s">
        <v>827</v>
      </c>
      <c r="AZ284" s="606">
        <v>5</v>
      </c>
      <c r="BA284" s="606">
        <v>2</v>
      </c>
      <c r="BB284" s="606">
        <v>0.1875</v>
      </c>
      <c r="BC284" s="584">
        <v>0.17399999999999999</v>
      </c>
    </row>
    <row r="285" spans="28:55" x14ac:dyDescent="0.2">
      <c r="AB285" s="579" t="s">
        <v>1835</v>
      </c>
      <c r="AC285" s="580">
        <v>10</v>
      </c>
      <c r="AD285" s="581">
        <v>0.13</v>
      </c>
      <c r="AE285" s="583">
        <v>2.69</v>
      </c>
      <c r="AF285" s="584">
        <v>0.17299999999999999</v>
      </c>
      <c r="AN285" s="579" t="s">
        <v>364</v>
      </c>
      <c r="AO285" s="583">
        <v>5</v>
      </c>
      <c r="AP285" s="581">
        <v>0.13</v>
      </c>
      <c r="AQ285" s="583">
        <v>2.69</v>
      </c>
      <c r="AR285" s="584">
        <v>0.17299999999999999</v>
      </c>
      <c r="AY285" s="579" t="s">
        <v>828</v>
      </c>
      <c r="AZ285" s="606">
        <v>5</v>
      </c>
      <c r="BA285" s="606">
        <v>2</v>
      </c>
      <c r="BB285" s="606">
        <v>0.125</v>
      </c>
      <c r="BC285" s="584">
        <v>0.11600000000000001</v>
      </c>
    </row>
    <row r="286" spans="28:55" x14ac:dyDescent="0.2">
      <c r="AB286" s="579" t="s">
        <v>1836</v>
      </c>
      <c r="AC286" s="583">
        <v>8</v>
      </c>
      <c r="AD286" s="581">
        <v>0.13500000000000001</v>
      </c>
      <c r="AE286" s="583">
        <v>2.2799999999999998</v>
      </c>
      <c r="AF286" s="584">
        <v>0.189</v>
      </c>
      <c r="AN286" s="579" t="s">
        <v>365</v>
      </c>
      <c r="AO286" s="583">
        <v>4</v>
      </c>
      <c r="AP286" s="581">
        <v>0.13500000000000001</v>
      </c>
      <c r="AQ286" s="583">
        <v>2.2799999999999998</v>
      </c>
      <c r="AR286" s="584">
        <v>0.189</v>
      </c>
      <c r="AY286" s="579" t="s">
        <v>829</v>
      </c>
      <c r="AZ286" s="606">
        <v>4.5</v>
      </c>
      <c r="BA286" s="606">
        <v>4.5</v>
      </c>
      <c r="BB286" s="606">
        <v>0.5</v>
      </c>
      <c r="BC286" s="584">
        <v>0.46500000000000002</v>
      </c>
    </row>
    <row r="287" spans="28:55" x14ac:dyDescent="0.2">
      <c r="AB287" s="579" t="s">
        <v>1837</v>
      </c>
      <c r="AC287" s="583">
        <v>8</v>
      </c>
      <c r="AD287" s="581">
        <v>0.129</v>
      </c>
      <c r="AE287" s="583">
        <v>2.2799999999999998</v>
      </c>
      <c r="AF287" s="584">
        <v>0.17699999999999999</v>
      </c>
      <c r="AN287" s="579" t="s">
        <v>366</v>
      </c>
      <c r="AO287" s="583">
        <v>4</v>
      </c>
      <c r="AP287" s="581">
        <v>0.129</v>
      </c>
      <c r="AQ287" s="583">
        <v>2.2799999999999998</v>
      </c>
      <c r="AR287" s="584">
        <v>0.17699999999999999</v>
      </c>
      <c r="AY287" s="579" t="s">
        <v>830</v>
      </c>
      <c r="AZ287" s="606">
        <v>4.5</v>
      </c>
      <c r="BA287" s="606">
        <v>4.5</v>
      </c>
      <c r="BB287" s="606">
        <v>0.375</v>
      </c>
      <c r="BC287" s="584">
        <v>0.34899999999999998</v>
      </c>
    </row>
    <row r="288" spans="28:55" x14ac:dyDescent="0.2">
      <c r="AB288" s="579" t="s">
        <v>1838</v>
      </c>
      <c r="AC288" s="583">
        <v>6</v>
      </c>
      <c r="AD288" s="581">
        <v>0.114</v>
      </c>
      <c r="AE288" s="583">
        <v>1.84</v>
      </c>
      <c r="AF288" s="584">
        <v>0.17100000000000001</v>
      </c>
      <c r="AN288" s="579" t="s">
        <v>367</v>
      </c>
      <c r="AO288" s="583">
        <v>3</v>
      </c>
      <c r="AP288" s="581">
        <v>0.114</v>
      </c>
      <c r="AQ288" s="583">
        <v>1.84</v>
      </c>
      <c r="AR288" s="584">
        <v>0.17100000000000001</v>
      </c>
      <c r="AY288" s="579" t="s">
        <v>831</v>
      </c>
      <c r="AZ288" s="606">
        <v>4.5</v>
      </c>
      <c r="BA288" s="606">
        <v>4.5</v>
      </c>
      <c r="BB288" s="606">
        <v>0.3125</v>
      </c>
      <c r="BC288" s="584">
        <v>0.29099999999999998</v>
      </c>
    </row>
    <row r="289" spans="28:55" x14ac:dyDescent="0.2">
      <c r="AB289" s="579" t="s">
        <v>1839</v>
      </c>
      <c r="AC289" s="583">
        <v>5.92</v>
      </c>
      <c r="AD289" s="594">
        <v>9.8000000000000004E-2</v>
      </c>
      <c r="AE289" s="583">
        <v>2</v>
      </c>
      <c r="AF289" s="584">
        <v>0.129</v>
      </c>
      <c r="AN289" s="579" t="s">
        <v>368</v>
      </c>
      <c r="AO289" s="583">
        <v>2.96</v>
      </c>
      <c r="AP289" s="594">
        <v>9.8000000000000004E-2</v>
      </c>
      <c r="AQ289" s="583">
        <v>2</v>
      </c>
      <c r="AR289" s="584">
        <v>0.129</v>
      </c>
      <c r="AY289" s="579" t="s">
        <v>832</v>
      </c>
      <c r="AZ289" s="606">
        <v>4.5</v>
      </c>
      <c r="BA289" s="606">
        <v>4.5</v>
      </c>
      <c r="BB289" s="606">
        <v>0.25</v>
      </c>
      <c r="BC289" s="584">
        <v>0.23300000000000001</v>
      </c>
    </row>
    <row r="290" spans="28:55" x14ac:dyDescent="0.2">
      <c r="AB290" s="579" t="s">
        <v>1840</v>
      </c>
      <c r="AC290" s="583">
        <v>5</v>
      </c>
      <c r="AD290" s="581">
        <v>0.316</v>
      </c>
      <c r="AE290" s="583">
        <v>5</v>
      </c>
      <c r="AF290" s="584">
        <v>0.41599999999999998</v>
      </c>
      <c r="AN290" s="579" t="s">
        <v>369</v>
      </c>
      <c r="AO290" s="583">
        <v>2.5</v>
      </c>
      <c r="AP290" s="581">
        <v>0.316</v>
      </c>
      <c r="AQ290" s="583">
        <v>5</v>
      </c>
      <c r="AR290" s="584">
        <v>0.41599999999999998</v>
      </c>
      <c r="AY290" s="579" t="s">
        <v>833</v>
      </c>
      <c r="AZ290" s="606">
        <v>4.5</v>
      </c>
      <c r="BA290" s="606">
        <v>4.5</v>
      </c>
      <c r="BB290" s="606">
        <v>0.1875</v>
      </c>
      <c r="BC290" s="584">
        <v>0.17399999999999999</v>
      </c>
    </row>
    <row r="291" spans="28:55" x14ac:dyDescent="0.2">
      <c r="AB291" s="579" t="s">
        <v>1841</v>
      </c>
      <c r="AC291" s="583">
        <v>3.8</v>
      </c>
      <c r="AD291" s="581">
        <v>0.13</v>
      </c>
      <c r="AE291" s="583">
        <v>3.8</v>
      </c>
      <c r="AF291" s="584">
        <v>0.16</v>
      </c>
      <c r="AN291" s="585" t="s">
        <v>370</v>
      </c>
      <c r="AO291" s="586">
        <v>1.9</v>
      </c>
      <c r="AP291" s="587">
        <v>0.13</v>
      </c>
      <c r="AQ291" s="586">
        <v>3.8</v>
      </c>
      <c r="AR291" s="588">
        <v>0.16</v>
      </c>
      <c r="AY291" s="579" t="s">
        <v>834</v>
      </c>
      <c r="AZ291" s="606">
        <v>4.5</v>
      </c>
      <c r="BA291" s="606">
        <v>4.5</v>
      </c>
      <c r="BB291" s="606">
        <v>0.125</v>
      </c>
      <c r="BC291" s="584">
        <v>0.11600000000000001</v>
      </c>
    </row>
    <row r="292" spans="28:55" x14ac:dyDescent="0.2">
      <c r="AB292" s="579" t="s">
        <v>1842</v>
      </c>
      <c r="AC292" s="583">
        <v>4</v>
      </c>
      <c r="AD292" s="581">
        <v>0.115</v>
      </c>
      <c r="AE292" s="583">
        <v>2.25</v>
      </c>
      <c r="AF292" s="584">
        <v>0.17</v>
      </c>
      <c r="AN292" s="589" t="s">
        <v>371</v>
      </c>
      <c r="AO292" s="590">
        <v>12.3</v>
      </c>
      <c r="AP292" s="591">
        <v>0.8</v>
      </c>
      <c r="AQ292" s="592">
        <v>8.0500000000000007</v>
      </c>
      <c r="AR292" s="596">
        <v>1.0900000000000001</v>
      </c>
      <c r="AY292" s="579" t="s">
        <v>835</v>
      </c>
      <c r="AZ292" s="606">
        <v>4</v>
      </c>
      <c r="BA292" s="606">
        <v>4</v>
      </c>
      <c r="BB292" s="606">
        <v>0.5</v>
      </c>
      <c r="BC292" s="584">
        <v>0.46500000000000002</v>
      </c>
    </row>
    <row r="293" spans="28:55" x14ac:dyDescent="0.2">
      <c r="AB293" s="579" t="s">
        <v>1843</v>
      </c>
      <c r="AC293" s="583">
        <v>4</v>
      </c>
      <c r="AD293" s="594">
        <v>9.1999999999999998E-2</v>
      </c>
      <c r="AE293" s="583">
        <v>2.25</v>
      </c>
      <c r="AF293" s="584">
        <v>0.13</v>
      </c>
      <c r="AN293" s="579" t="s">
        <v>372</v>
      </c>
      <c r="AO293" s="580">
        <v>12.3</v>
      </c>
      <c r="AP293" s="581">
        <v>0.62</v>
      </c>
      <c r="AQ293" s="583">
        <v>7.87</v>
      </c>
      <c r="AR293" s="582">
        <v>1.0900000000000001</v>
      </c>
      <c r="AY293" s="579" t="s">
        <v>836</v>
      </c>
      <c r="AZ293" s="606">
        <v>4</v>
      </c>
      <c r="BA293" s="606">
        <v>4</v>
      </c>
      <c r="BB293" s="606">
        <v>0.375</v>
      </c>
      <c r="BC293" s="584">
        <v>0.34899999999999998</v>
      </c>
    </row>
    <row r="294" spans="28:55" x14ac:dyDescent="0.2">
      <c r="AB294" s="579" t="s">
        <v>1844</v>
      </c>
      <c r="AC294" s="583">
        <v>4</v>
      </c>
      <c r="AD294" s="594">
        <v>9.1999999999999998E-2</v>
      </c>
      <c r="AE294" s="583">
        <v>2.25</v>
      </c>
      <c r="AF294" s="584">
        <v>0.13</v>
      </c>
      <c r="AN294" s="579" t="s">
        <v>373</v>
      </c>
      <c r="AO294" s="580">
        <v>12</v>
      </c>
      <c r="AP294" s="581">
        <v>0.745</v>
      </c>
      <c r="AQ294" s="583">
        <v>7.25</v>
      </c>
      <c r="AR294" s="584">
        <v>0.87</v>
      </c>
      <c r="AY294" s="579" t="s">
        <v>837</v>
      </c>
      <c r="AZ294" s="606">
        <v>4</v>
      </c>
      <c r="BA294" s="606">
        <v>4</v>
      </c>
      <c r="BB294" s="606">
        <v>0.3125</v>
      </c>
      <c r="BC294" s="584">
        <v>0.29099999999999998</v>
      </c>
    </row>
    <row r="295" spans="28:55" x14ac:dyDescent="0.2">
      <c r="AB295" s="585" t="s">
        <v>1845</v>
      </c>
      <c r="AC295" s="586">
        <v>3</v>
      </c>
      <c r="AD295" s="595">
        <v>0.09</v>
      </c>
      <c r="AE295" s="586">
        <v>2.25</v>
      </c>
      <c r="AF295" s="588">
        <v>0.13</v>
      </c>
      <c r="AN295" s="579" t="s">
        <v>374</v>
      </c>
      <c r="AO295" s="580">
        <v>12</v>
      </c>
      <c r="AP295" s="581">
        <v>0.625</v>
      </c>
      <c r="AQ295" s="583">
        <v>7.13</v>
      </c>
      <c r="AR295" s="584">
        <v>0.87</v>
      </c>
      <c r="AY295" s="579" t="s">
        <v>838</v>
      </c>
      <c r="AZ295" s="606">
        <v>4</v>
      </c>
      <c r="BA295" s="606">
        <v>4</v>
      </c>
      <c r="BB295" s="606">
        <v>0.25</v>
      </c>
      <c r="BC295" s="584">
        <v>0.23300000000000001</v>
      </c>
    </row>
    <row r="296" spans="28:55" x14ac:dyDescent="0.2">
      <c r="AB296" s="589" t="s">
        <v>1846</v>
      </c>
      <c r="AC296" s="590">
        <v>24.5</v>
      </c>
      <c r="AD296" s="591">
        <v>0.8</v>
      </c>
      <c r="AE296" s="592">
        <v>8.0500000000000007</v>
      </c>
      <c r="AF296" s="596">
        <v>1.0900000000000001</v>
      </c>
      <c r="AN296" s="579" t="s">
        <v>375</v>
      </c>
      <c r="AO296" s="580">
        <v>12</v>
      </c>
      <c r="AP296" s="581">
        <v>0.5</v>
      </c>
      <c r="AQ296" s="583">
        <v>7</v>
      </c>
      <c r="AR296" s="584">
        <v>0.87</v>
      </c>
      <c r="AY296" s="579" t="s">
        <v>839</v>
      </c>
      <c r="AZ296" s="606">
        <v>4</v>
      </c>
      <c r="BA296" s="606">
        <v>4</v>
      </c>
      <c r="BB296" s="606">
        <v>0.1875</v>
      </c>
      <c r="BC296" s="584">
        <v>0.17399999999999999</v>
      </c>
    </row>
    <row r="297" spans="28:55" x14ac:dyDescent="0.2">
      <c r="AB297" s="579" t="s">
        <v>1847</v>
      </c>
      <c r="AC297" s="580">
        <v>24.5</v>
      </c>
      <c r="AD297" s="581">
        <v>0.62</v>
      </c>
      <c r="AE297" s="583">
        <v>7.87</v>
      </c>
      <c r="AF297" s="582">
        <v>1.0900000000000001</v>
      </c>
      <c r="AN297" s="579" t="s">
        <v>376</v>
      </c>
      <c r="AO297" s="580">
        <v>10.199999999999999</v>
      </c>
      <c r="AP297" s="581">
        <v>0.8</v>
      </c>
      <c r="AQ297" s="583">
        <v>7.2</v>
      </c>
      <c r="AR297" s="584">
        <v>0.92</v>
      </c>
      <c r="AY297" s="579" t="s">
        <v>840</v>
      </c>
      <c r="AZ297" s="606">
        <v>4</v>
      </c>
      <c r="BA297" s="606">
        <v>4</v>
      </c>
      <c r="BB297" s="606">
        <v>0.125</v>
      </c>
      <c r="BC297" s="584">
        <v>0.11600000000000001</v>
      </c>
    </row>
    <row r="298" spans="28:55" x14ac:dyDescent="0.2">
      <c r="AB298" s="579" t="s">
        <v>1848</v>
      </c>
      <c r="AC298" s="580">
        <v>24</v>
      </c>
      <c r="AD298" s="581">
        <v>0.745</v>
      </c>
      <c r="AE298" s="583">
        <v>7.25</v>
      </c>
      <c r="AF298" s="584">
        <v>0.87</v>
      </c>
      <c r="AN298" s="579" t="s">
        <v>377</v>
      </c>
      <c r="AO298" s="580">
        <v>10.199999999999999</v>
      </c>
      <c r="AP298" s="581">
        <v>0.66</v>
      </c>
      <c r="AQ298" s="583">
        <v>7.06</v>
      </c>
      <c r="AR298" s="584">
        <v>0.92</v>
      </c>
      <c r="AY298" s="579" t="s">
        <v>841</v>
      </c>
      <c r="AZ298" s="606">
        <v>4</v>
      </c>
      <c r="BA298" s="606">
        <v>3</v>
      </c>
      <c r="BB298" s="606">
        <v>0.375</v>
      </c>
      <c r="BC298" s="584">
        <v>0.34899999999999998</v>
      </c>
    </row>
    <row r="299" spans="28:55" x14ac:dyDescent="0.2">
      <c r="AB299" s="579" t="s">
        <v>1849</v>
      </c>
      <c r="AC299" s="580">
        <v>24</v>
      </c>
      <c r="AD299" s="581">
        <v>0.625</v>
      </c>
      <c r="AE299" s="583">
        <v>7.13</v>
      </c>
      <c r="AF299" s="584">
        <v>0.87</v>
      </c>
      <c r="AN299" s="579" t="s">
        <v>378</v>
      </c>
      <c r="AO299" s="580">
        <v>10</v>
      </c>
      <c r="AP299" s="581">
        <v>0.63500000000000001</v>
      </c>
      <c r="AQ299" s="583">
        <v>6.39</v>
      </c>
      <c r="AR299" s="584">
        <v>0.79500000000000004</v>
      </c>
      <c r="AY299" s="579" t="s">
        <v>842</v>
      </c>
      <c r="AZ299" s="606">
        <v>4</v>
      </c>
      <c r="BA299" s="606">
        <v>3</v>
      </c>
      <c r="BB299" s="606">
        <v>0.3125</v>
      </c>
      <c r="BC299" s="584">
        <v>0.29099999999999998</v>
      </c>
    </row>
    <row r="300" spans="28:55" x14ac:dyDescent="0.2">
      <c r="AB300" s="579" t="s">
        <v>1850</v>
      </c>
      <c r="AC300" s="580">
        <v>24</v>
      </c>
      <c r="AD300" s="581">
        <v>0.5</v>
      </c>
      <c r="AE300" s="583">
        <v>7</v>
      </c>
      <c r="AF300" s="584">
        <v>0.87</v>
      </c>
      <c r="AN300" s="579" t="s">
        <v>379</v>
      </c>
      <c r="AO300" s="580">
        <v>10</v>
      </c>
      <c r="AP300" s="581">
        <v>0.505</v>
      </c>
      <c r="AQ300" s="583">
        <v>6.26</v>
      </c>
      <c r="AR300" s="584">
        <v>0.79500000000000004</v>
      </c>
      <c r="AY300" s="579" t="s">
        <v>843</v>
      </c>
      <c r="AZ300" s="606">
        <v>4</v>
      </c>
      <c r="BA300" s="606">
        <v>3</v>
      </c>
      <c r="BB300" s="606">
        <v>0.25</v>
      </c>
      <c r="BC300" s="584">
        <v>0.23300000000000001</v>
      </c>
    </row>
    <row r="301" spans="28:55" x14ac:dyDescent="0.2">
      <c r="AB301" s="579" t="s">
        <v>1851</v>
      </c>
      <c r="AC301" s="580">
        <v>20.3</v>
      </c>
      <c r="AD301" s="581">
        <v>0.8</v>
      </c>
      <c r="AE301" s="583">
        <v>7.2</v>
      </c>
      <c r="AF301" s="584">
        <v>0.92</v>
      </c>
      <c r="AN301" s="579" t="s">
        <v>380</v>
      </c>
      <c r="AO301" s="583">
        <v>9</v>
      </c>
      <c r="AP301" s="581">
        <v>0.71099999999999997</v>
      </c>
      <c r="AQ301" s="583">
        <v>6.25</v>
      </c>
      <c r="AR301" s="584">
        <v>0.69099999999999995</v>
      </c>
      <c r="AY301" s="579" t="s">
        <v>844</v>
      </c>
      <c r="AZ301" s="606">
        <v>4</v>
      </c>
      <c r="BA301" s="606">
        <v>3</v>
      </c>
      <c r="BB301" s="606">
        <v>0.1875</v>
      </c>
      <c r="BC301" s="584">
        <v>0.17399999999999999</v>
      </c>
    </row>
    <row r="302" spans="28:55" x14ac:dyDescent="0.2">
      <c r="AB302" s="579" t="s">
        <v>1852</v>
      </c>
      <c r="AC302" s="580">
        <v>20.3</v>
      </c>
      <c r="AD302" s="581">
        <v>0.66</v>
      </c>
      <c r="AE302" s="583">
        <v>7.06</v>
      </c>
      <c r="AF302" s="584">
        <v>0.92</v>
      </c>
      <c r="AN302" s="579" t="s">
        <v>381</v>
      </c>
      <c r="AO302" s="583">
        <v>9</v>
      </c>
      <c r="AP302" s="581">
        <v>0.46100000000000002</v>
      </c>
      <c r="AQ302" s="583">
        <v>6</v>
      </c>
      <c r="AR302" s="584">
        <v>0.69099999999999995</v>
      </c>
      <c r="AY302" s="579" t="s">
        <v>845</v>
      </c>
      <c r="AZ302" s="606">
        <v>4</v>
      </c>
      <c r="BA302" s="606">
        <v>3</v>
      </c>
      <c r="BB302" s="606">
        <v>0.125</v>
      </c>
      <c r="BC302" s="584">
        <v>0.11600000000000001</v>
      </c>
    </row>
    <row r="303" spans="28:55" x14ac:dyDescent="0.2">
      <c r="AB303" s="579" t="s">
        <v>1853</v>
      </c>
      <c r="AC303" s="580">
        <v>20</v>
      </c>
      <c r="AD303" s="581">
        <v>0.63500000000000001</v>
      </c>
      <c r="AE303" s="583">
        <v>6.39</v>
      </c>
      <c r="AF303" s="584">
        <v>0.79500000000000004</v>
      </c>
      <c r="AN303" s="579" t="s">
        <v>382</v>
      </c>
      <c r="AO303" s="583">
        <v>7.5</v>
      </c>
      <c r="AP303" s="581">
        <v>0.55000000000000004</v>
      </c>
      <c r="AQ303" s="583">
        <v>5.64</v>
      </c>
      <c r="AR303" s="584">
        <v>0.622</v>
      </c>
      <c r="AY303" s="579" t="s">
        <v>846</v>
      </c>
      <c r="AZ303" s="606">
        <v>4</v>
      </c>
      <c r="BA303" s="606">
        <v>2.5</v>
      </c>
      <c r="BB303" s="606">
        <v>0.375</v>
      </c>
      <c r="BC303" s="584">
        <v>0.34899999999999998</v>
      </c>
    </row>
    <row r="304" spans="28:55" x14ac:dyDescent="0.2">
      <c r="AB304" s="579" t="s">
        <v>1854</v>
      </c>
      <c r="AC304" s="580">
        <v>20</v>
      </c>
      <c r="AD304" s="581">
        <v>0.505</v>
      </c>
      <c r="AE304" s="583">
        <v>6.26</v>
      </c>
      <c r="AF304" s="584">
        <v>0.79500000000000004</v>
      </c>
      <c r="AN304" s="579" t="s">
        <v>383</v>
      </c>
      <c r="AO304" s="583">
        <v>7.5</v>
      </c>
      <c r="AP304" s="581">
        <v>0.41099999999999998</v>
      </c>
      <c r="AQ304" s="583">
        <v>5.5</v>
      </c>
      <c r="AR304" s="584">
        <v>0.622</v>
      </c>
      <c r="AY304" s="579" t="s">
        <v>847</v>
      </c>
      <c r="AZ304" s="606">
        <v>4</v>
      </c>
      <c r="BA304" s="606">
        <v>2.5</v>
      </c>
      <c r="BB304" s="606">
        <v>0.3125</v>
      </c>
      <c r="BC304" s="584">
        <v>0.29099999999999998</v>
      </c>
    </row>
    <row r="305" spans="28:55" x14ac:dyDescent="0.2">
      <c r="AB305" s="579" t="s">
        <v>1855</v>
      </c>
      <c r="AC305" s="580">
        <v>18</v>
      </c>
      <c r="AD305" s="581">
        <v>0.71099999999999997</v>
      </c>
      <c r="AE305" s="583">
        <v>6.25</v>
      </c>
      <c r="AF305" s="584">
        <v>0.69099999999999995</v>
      </c>
      <c r="AN305" s="579" t="s">
        <v>384</v>
      </c>
      <c r="AO305" s="583">
        <v>6</v>
      </c>
      <c r="AP305" s="581">
        <v>0.68700000000000006</v>
      </c>
      <c r="AQ305" s="583">
        <v>5.48</v>
      </c>
      <c r="AR305" s="584">
        <v>0.65900000000000003</v>
      </c>
      <c r="AY305" s="579" t="s">
        <v>848</v>
      </c>
      <c r="AZ305" s="606">
        <v>4</v>
      </c>
      <c r="BA305" s="606">
        <v>2.5</v>
      </c>
      <c r="BB305" s="606">
        <v>0.25</v>
      </c>
      <c r="BC305" s="584">
        <v>0.23300000000000001</v>
      </c>
    </row>
    <row r="306" spans="28:55" x14ac:dyDescent="0.2">
      <c r="AB306" s="579" t="s">
        <v>1856</v>
      </c>
      <c r="AC306" s="580">
        <v>18</v>
      </c>
      <c r="AD306" s="581">
        <v>0.46100000000000002</v>
      </c>
      <c r="AE306" s="583">
        <v>6</v>
      </c>
      <c r="AF306" s="584">
        <v>0.69099999999999995</v>
      </c>
      <c r="AN306" s="579" t="s">
        <v>385</v>
      </c>
      <c r="AO306" s="583">
        <v>6</v>
      </c>
      <c r="AP306" s="581">
        <v>0.46200000000000002</v>
      </c>
      <c r="AQ306" s="583">
        <v>5.25</v>
      </c>
      <c r="AR306" s="584">
        <v>0.65900000000000003</v>
      </c>
      <c r="AY306" s="579" t="s">
        <v>849</v>
      </c>
      <c r="AZ306" s="606">
        <v>4</v>
      </c>
      <c r="BA306" s="606">
        <v>2.5</v>
      </c>
      <c r="BB306" s="606">
        <v>0.1875</v>
      </c>
      <c r="BC306" s="584">
        <v>0.17399999999999999</v>
      </c>
    </row>
    <row r="307" spans="28:55" x14ac:dyDescent="0.2">
      <c r="AB307" s="579" t="s">
        <v>1857</v>
      </c>
      <c r="AC307" s="580">
        <v>15</v>
      </c>
      <c r="AD307" s="581">
        <v>0.55000000000000004</v>
      </c>
      <c r="AE307" s="583">
        <v>5.64</v>
      </c>
      <c r="AF307" s="584">
        <v>0.622</v>
      </c>
      <c r="AN307" s="579" t="s">
        <v>386</v>
      </c>
      <c r="AO307" s="583">
        <v>6</v>
      </c>
      <c r="AP307" s="581">
        <v>0.42799999999999999</v>
      </c>
      <c r="AQ307" s="583">
        <v>5.08</v>
      </c>
      <c r="AR307" s="584">
        <v>0.54400000000000004</v>
      </c>
      <c r="AY307" s="579" t="s">
        <v>850</v>
      </c>
      <c r="AZ307" s="606">
        <v>4</v>
      </c>
      <c r="BA307" s="606">
        <v>2.5</v>
      </c>
      <c r="BB307" s="606">
        <v>0.125</v>
      </c>
      <c r="BC307" s="584">
        <v>0.11600000000000001</v>
      </c>
    </row>
    <row r="308" spans="28:55" x14ac:dyDescent="0.2">
      <c r="AB308" s="579" t="s">
        <v>1858</v>
      </c>
      <c r="AC308" s="580">
        <v>15</v>
      </c>
      <c r="AD308" s="581">
        <v>0.41099999999999998</v>
      </c>
      <c r="AE308" s="583">
        <v>5.5</v>
      </c>
      <c r="AF308" s="584">
        <v>0.622</v>
      </c>
      <c r="AN308" s="579" t="s">
        <v>387</v>
      </c>
      <c r="AO308" s="583">
        <v>6</v>
      </c>
      <c r="AP308" s="581">
        <v>0.35</v>
      </c>
      <c r="AQ308" s="583">
        <v>5</v>
      </c>
      <c r="AR308" s="584">
        <v>0.54400000000000004</v>
      </c>
      <c r="AY308" s="579" t="s">
        <v>851</v>
      </c>
      <c r="AZ308" s="606">
        <v>4</v>
      </c>
      <c r="BA308" s="606">
        <v>2</v>
      </c>
      <c r="BB308" s="606">
        <v>0.375</v>
      </c>
      <c r="BC308" s="584">
        <v>0.34899999999999998</v>
      </c>
    </row>
    <row r="309" spans="28:55" x14ac:dyDescent="0.2">
      <c r="AB309" s="579" t="s">
        <v>1859</v>
      </c>
      <c r="AC309" s="580">
        <v>12</v>
      </c>
      <c r="AD309" s="581">
        <v>0.68700000000000006</v>
      </c>
      <c r="AE309" s="583">
        <v>5.48</v>
      </c>
      <c r="AF309" s="584">
        <v>0.65900000000000003</v>
      </c>
      <c r="AN309" s="579" t="s">
        <v>388</v>
      </c>
      <c r="AO309" s="583">
        <v>5</v>
      </c>
      <c r="AP309" s="581">
        <v>0.59399999999999997</v>
      </c>
      <c r="AQ309" s="583">
        <v>4.9400000000000004</v>
      </c>
      <c r="AR309" s="584">
        <v>0.49099999999999999</v>
      </c>
      <c r="AY309" s="579" t="s">
        <v>852</v>
      </c>
      <c r="AZ309" s="606">
        <v>4</v>
      </c>
      <c r="BA309" s="606">
        <v>2</v>
      </c>
      <c r="BB309" s="606">
        <v>0.3125</v>
      </c>
      <c r="BC309" s="584">
        <v>0.29099999999999998</v>
      </c>
    </row>
    <row r="310" spans="28:55" x14ac:dyDescent="0.2">
      <c r="AB310" s="579" t="s">
        <v>1860</v>
      </c>
      <c r="AC310" s="580">
        <v>12</v>
      </c>
      <c r="AD310" s="581">
        <v>0.46200000000000002</v>
      </c>
      <c r="AE310" s="583">
        <v>5.25</v>
      </c>
      <c r="AF310" s="584">
        <v>0.65900000000000003</v>
      </c>
      <c r="AN310" s="579" t="s">
        <v>389</v>
      </c>
      <c r="AO310" s="583">
        <v>5</v>
      </c>
      <c r="AP310" s="581">
        <v>0.311</v>
      </c>
      <c r="AQ310" s="583">
        <v>4.66</v>
      </c>
      <c r="AR310" s="584">
        <v>0.49099999999999999</v>
      </c>
      <c r="AY310" s="579" t="s">
        <v>853</v>
      </c>
      <c r="AZ310" s="606">
        <v>4</v>
      </c>
      <c r="BA310" s="606">
        <v>2</v>
      </c>
      <c r="BB310" s="606">
        <v>0.25</v>
      </c>
      <c r="BC310" s="584">
        <v>0.23300000000000001</v>
      </c>
    </row>
    <row r="311" spans="28:55" x14ac:dyDescent="0.2">
      <c r="AB311" s="579" t="s">
        <v>1861</v>
      </c>
      <c r="AC311" s="580">
        <v>12</v>
      </c>
      <c r="AD311" s="581">
        <v>0.42799999999999999</v>
      </c>
      <c r="AE311" s="583">
        <v>5.08</v>
      </c>
      <c r="AF311" s="584">
        <v>0.54400000000000004</v>
      </c>
      <c r="AN311" s="579" t="s">
        <v>390</v>
      </c>
      <c r="AO311" s="583">
        <v>4</v>
      </c>
      <c r="AP311" s="581">
        <v>0.441</v>
      </c>
      <c r="AQ311" s="583">
        <v>4.17</v>
      </c>
      <c r="AR311" s="584">
        <v>0.42499999999999999</v>
      </c>
      <c r="AY311" s="579" t="s">
        <v>854</v>
      </c>
      <c r="AZ311" s="606">
        <v>4</v>
      </c>
      <c r="BA311" s="606">
        <v>2</v>
      </c>
      <c r="BB311" s="606">
        <v>0.1875</v>
      </c>
      <c r="BC311" s="584">
        <v>0.17399999999999999</v>
      </c>
    </row>
    <row r="312" spans="28:55" x14ac:dyDescent="0.2">
      <c r="AB312" s="579" t="s">
        <v>1862</v>
      </c>
      <c r="AC312" s="580">
        <v>12</v>
      </c>
      <c r="AD312" s="581">
        <v>0.35</v>
      </c>
      <c r="AE312" s="583">
        <v>5</v>
      </c>
      <c r="AF312" s="584">
        <v>0.54400000000000004</v>
      </c>
      <c r="AN312" s="579" t="s">
        <v>391</v>
      </c>
      <c r="AO312" s="583">
        <v>4</v>
      </c>
      <c r="AP312" s="581">
        <v>0.27100000000000002</v>
      </c>
      <c r="AQ312" s="583">
        <v>4</v>
      </c>
      <c r="AR312" s="584">
        <v>0.42499999999999999</v>
      </c>
      <c r="AY312" s="579" t="s">
        <v>855</v>
      </c>
      <c r="AZ312" s="606">
        <v>4</v>
      </c>
      <c r="BA312" s="606">
        <v>2</v>
      </c>
      <c r="BB312" s="606">
        <v>0.125</v>
      </c>
      <c r="BC312" s="584">
        <v>0.11600000000000001</v>
      </c>
    </row>
    <row r="313" spans="28:55" x14ac:dyDescent="0.2">
      <c r="AB313" s="579" t="s">
        <v>1863</v>
      </c>
      <c r="AC313" s="580">
        <v>10</v>
      </c>
      <c r="AD313" s="581">
        <v>0.59399999999999997</v>
      </c>
      <c r="AE313" s="583">
        <v>4.9400000000000004</v>
      </c>
      <c r="AF313" s="584">
        <v>0.49099999999999999</v>
      </c>
      <c r="AN313" s="579" t="s">
        <v>392</v>
      </c>
      <c r="AO313" s="583">
        <v>3</v>
      </c>
      <c r="AP313" s="581">
        <v>0.46500000000000002</v>
      </c>
      <c r="AQ313" s="583">
        <v>3.57</v>
      </c>
      <c r="AR313" s="584">
        <v>0.35899999999999999</v>
      </c>
      <c r="AY313" s="579" t="s">
        <v>856</v>
      </c>
      <c r="AZ313" s="606">
        <v>3.5</v>
      </c>
      <c r="BA313" s="606">
        <v>2.5</v>
      </c>
      <c r="BB313" s="606">
        <v>0.375</v>
      </c>
      <c r="BC313" s="584">
        <v>0.34899999999999998</v>
      </c>
    </row>
    <row r="314" spans="28:55" x14ac:dyDescent="0.2">
      <c r="AB314" s="579" t="s">
        <v>1864</v>
      </c>
      <c r="AC314" s="580">
        <v>10</v>
      </c>
      <c r="AD314" s="581">
        <v>0.311</v>
      </c>
      <c r="AE314" s="583">
        <v>4.66</v>
      </c>
      <c r="AF314" s="584">
        <v>0.49099999999999999</v>
      </c>
      <c r="AN314" s="579" t="s">
        <v>393</v>
      </c>
      <c r="AO314" s="583">
        <v>3</v>
      </c>
      <c r="AP314" s="581">
        <v>0.23200000000000001</v>
      </c>
      <c r="AQ314" s="583">
        <v>3.33</v>
      </c>
      <c r="AR314" s="584">
        <v>0.35899999999999999</v>
      </c>
      <c r="AY314" s="579" t="s">
        <v>857</v>
      </c>
      <c r="AZ314" s="606">
        <v>3.5</v>
      </c>
      <c r="BA314" s="606">
        <v>2.5</v>
      </c>
      <c r="BB314" s="606">
        <v>0.3125</v>
      </c>
      <c r="BC314" s="584">
        <v>0.29099999999999998</v>
      </c>
    </row>
    <row r="315" spans="28:55" x14ac:dyDescent="0.2">
      <c r="AB315" s="579" t="s">
        <v>1865</v>
      </c>
      <c r="AC315" s="583">
        <v>8</v>
      </c>
      <c r="AD315" s="581">
        <v>0.441</v>
      </c>
      <c r="AE315" s="583">
        <v>4.17</v>
      </c>
      <c r="AF315" s="584">
        <v>0.42499999999999999</v>
      </c>
      <c r="AN315" s="579" t="s">
        <v>394</v>
      </c>
      <c r="AO315" s="583">
        <v>2.5</v>
      </c>
      <c r="AP315" s="581">
        <v>0.214</v>
      </c>
      <c r="AQ315" s="583">
        <v>3</v>
      </c>
      <c r="AR315" s="584">
        <v>0.32600000000000001</v>
      </c>
      <c r="AY315" s="579" t="s">
        <v>858</v>
      </c>
      <c r="AZ315" s="606">
        <v>3.5</v>
      </c>
      <c r="BA315" s="606">
        <v>2.5</v>
      </c>
      <c r="BB315" s="606">
        <v>0.25</v>
      </c>
      <c r="BC315" s="584">
        <v>0.23300000000000001</v>
      </c>
    </row>
    <row r="316" spans="28:55" x14ac:dyDescent="0.2">
      <c r="AB316" s="579" t="s">
        <v>1866</v>
      </c>
      <c r="AC316" s="583">
        <v>8</v>
      </c>
      <c r="AD316" s="581">
        <v>0.27100000000000002</v>
      </c>
      <c r="AE316" s="583">
        <v>4</v>
      </c>
      <c r="AF316" s="584">
        <v>0.42499999999999999</v>
      </c>
      <c r="AN316" s="579" t="s">
        <v>395</v>
      </c>
      <c r="AO316" s="583">
        <v>2</v>
      </c>
      <c r="AP316" s="581">
        <v>0.32600000000000001</v>
      </c>
      <c r="AQ316" s="583">
        <v>2.8</v>
      </c>
      <c r="AR316" s="584">
        <v>0.29299999999999998</v>
      </c>
      <c r="AY316" s="579" t="s">
        <v>859</v>
      </c>
      <c r="AZ316" s="606">
        <v>3.5</v>
      </c>
      <c r="BA316" s="606">
        <v>2.5</v>
      </c>
      <c r="BB316" s="606">
        <v>0.1875</v>
      </c>
      <c r="BC316" s="584">
        <v>0.17399999999999999</v>
      </c>
    </row>
    <row r="317" spans="28:55" x14ac:dyDescent="0.2">
      <c r="AB317" s="579" t="s">
        <v>1867</v>
      </c>
      <c r="AC317" s="583">
        <v>6</v>
      </c>
      <c r="AD317" s="581">
        <v>0.46500000000000002</v>
      </c>
      <c r="AE317" s="583">
        <v>3.57</v>
      </c>
      <c r="AF317" s="584">
        <v>0.35899999999999999</v>
      </c>
      <c r="AN317" s="579" t="s">
        <v>396</v>
      </c>
      <c r="AO317" s="583">
        <v>2</v>
      </c>
      <c r="AP317" s="581">
        <v>0.193</v>
      </c>
      <c r="AQ317" s="583">
        <v>2.66</v>
      </c>
      <c r="AR317" s="584">
        <v>0.29299999999999998</v>
      </c>
      <c r="AY317" s="579" t="s">
        <v>860</v>
      </c>
      <c r="AZ317" s="606">
        <v>3.5</v>
      </c>
      <c r="BA317" s="606">
        <v>2.5</v>
      </c>
      <c r="BB317" s="606">
        <v>0.125</v>
      </c>
      <c r="BC317" s="584">
        <v>0.11600000000000001</v>
      </c>
    </row>
    <row r="318" spans="28:55" x14ac:dyDescent="0.2">
      <c r="AB318" s="579" t="s">
        <v>1868</v>
      </c>
      <c r="AC318" s="583">
        <v>6</v>
      </c>
      <c r="AD318" s="581">
        <v>0.23200000000000001</v>
      </c>
      <c r="AE318" s="583">
        <v>3.33</v>
      </c>
      <c r="AF318" s="584">
        <v>0.35899999999999999</v>
      </c>
      <c r="AN318" s="579" t="s">
        <v>397</v>
      </c>
      <c r="AO318" s="583">
        <v>1.5</v>
      </c>
      <c r="AP318" s="581">
        <v>0.34899999999999998</v>
      </c>
      <c r="AQ318" s="583">
        <v>2.5099999999999998</v>
      </c>
      <c r="AR318" s="584">
        <v>0.26</v>
      </c>
      <c r="AY318" s="579" t="s">
        <v>861</v>
      </c>
      <c r="AZ318" s="606">
        <v>3.5</v>
      </c>
      <c r="BA318" s="606">
        <v>3.5</v>
      </c>
      <c r="BB318" s="606">
        <v>0.375</v>
      </c>
      <c r="BC318" s="584">
        <v>0.34899999999999998</v>
      </c>
    </row>
    <row r="319" spans="28:55" x14ac:dyDescent="0.2">
      <c r="AB319" s="579" t="s">
        <v>1869</v>
      </c>
      <c r="AC319" s="583">
        <v>5</v>
      </c>
      <c r="AD319" s="581">
        <v>0.214</v>
      </c>
      <c r="AE319" s="583">
        <v>3</v>
      </c>
      <c r="AF319" s="584">
        <v>0.32600000000000001</v>
      </c>
      <c r="AN319" s="585" t="s">
        <v>398</v>
      </c>
      <c r="AO319" s="586">
        <v>1.5</v>
      </c>
      <c r="AP319" s="587">
        <v>0.17</v>
      </c>
      <c r="AQ319" s="586">
        <v>2.33</v>
      </c>
      <c r="AR319" s="588">
        <v>0.26</v>
      </c>
      <c r="AY319" s="579" t="s">
        <v>862</v>
      </c>
      <c r="AZ319" s="606">
        <v>3.5</v>
      </c>
      <c r="BA319" s="606">
        <v>3.5</v>
      </c>
      <c r="BB319" s="606">
        <v>0.3125</v>
      </c>
      <c r="BC319" s="584">
        <v>0.29099999999999998</v>
      </c>
    </row>
    <row r="320" spans="28:55" x14ac:dyDescent="0.2">
      <c r="AB320" s="579" t="s">
        <v>1870</v>
      </c>
      <c r="AC320" s="583">
        <v>4</v>
      </c>
      <c r="AD320" s="581">
        <v>0.32600000000000001</v>
      </c>
      <c r="AE320" s="583">
        <v>2.8</v>
      </c>
      <c r="AF320" s="584">
        <v>0.29299999999999998</v>
      </c>
      <c r="AY320" s="579" t="s">
        <v>863</v>
      </c>
      <c r="AZ320" s="606">
        <v>3.5</v>
      </c>
      <c r="BA320" s="606">
        <v>3.5</v>
      </c>
      <c r="BB320" s="606">
        <v>0.25</v>
      </c>
      <c r="BC320" s="584">
        <v>0.23300000000000001</v>
      </c>
    </row>
    <row r="321" spans="28:55" x14ac:dyDescent="0.2">
      <c r="AB321" s="579" t="s">
        <v>1871</v>
      </c>
      <c r="AC321" s="583">
        <v>4</v>
      </c>
      <c r="AD321" s="581">
        <v>0.193</v>
      </c>
      <c r="AE321" s="583">
        <v>2.66</v>
      </c>
      <c r="AF321" s="584">
        <v>0.29299999999999998</v>
      </c>
      <c r="AY321" s="579" t="s">
        <v>864</v>
      </c>
      <c r="AZ321" s="606">
        <v>3.5</v>
      </c>
      <c r="BA321" s="606">
        <v>3.5</v>
      </c>
      <c r="BB321" s="606">
        <v>0.1875</v>
      </c>
      <c r="BC321" s="584">
        <v>0.17399999999999999</v>
      </c>
    </row>
    <row r="322" spans="28:55" x14ac:dyDescent="0.2">
      <c r="AB322" s="579" t="s">
        <v>0</v>
      </c>
      <c r="AC322" s="583">
        <v>3</v>
      </c>
      <c r="AD322" s="581">
        <v>0.34899999999999998</v>
      </c>
      <c r="AE322" s="583">
        <v>2.5099999999999998</v>
      </c>
      <c r="AF322" s="584">
        <v>0.26</v>
      </c>
      <c r="AY322" s="579" t="s">
        <v>865</v>
      </c>
      <c r="AZ322" s="606">
        <v>3.5</v>
      </c>
      <c r="BA322" s="606">
        <v>3.5</v>
      </c>
      <c r="BB322" s="606">
        <v>0.125</v>
      </c>
      <c r="BC322" s="584">
        <v>0.11600000000000001</v>
      </c>
    </row>
    <row r="323" spans="28:55" x14ac:dyDescent="0.2">
      <c r="AB323" s="585" t="s">
        <v>1</v>
      </c>
      <c r="AC323" s="586">
        <v>3</v>
      </c>
      <c r="AD323" s="587">
        <v>0.17</v>
      </c>
      <c r="AE323" s="586">
        <v>2.33</v>
      </c>
      <c r="AF323" s="588">
        <v>0.26</v>
      </c>
      <c r="AY323" s="579" t="s">
        <v>866</v>
      </c>
      <c r="AZ323" s="606">
        <v>3.5</v>
      </c>
      <c r="BA323" s="606">
        <v>2</v>
      </c>
      <c r="BB323" s="606">
        <v>0.25</v>
      </c>
      <c r="BC323" s="584">
        <v>0.23300000000000001</v>
      </c>
    </row>
    <row r="324" spans="28:55" x14ac:dyDescent="0.2">
      <c r="AB324" s="589" t="s">
        <v>2</v>
      </c>
      <c r="AC324" s="590">
        <v>14.2</v>
      </c>
      <c r="AD324" s="591">
        <v>0.80500000000000005</v>
      </c>
      <c r="AE324" s="590">
        <v>14.9</v>
      </c>
      <c r="AF324" s="593">
        <v>0.80500000000000005</v>
      </c>
      <c r="AY324" s="579" t="s">
        <v>867</v>
      </c>
      <c r="AZ324" s="606">
        <v>3.5</v>
      </c>
      <c r="BA324" s="606">
        <v>2</v>
      </c>
      <c r="BB324" s="606">
        <v>0.1875</v>
      </c>
      <c r="BC324" s="584">
        <v>0.17399999999999999</v>
      </c>
    </row>
    <row r="325" spans="28:55" x14ac:dyDescent="0.2">
      <c r="AB325" s="579" t="s">
        <v>3</v>
      </c>
      <c r="AC325" s="580">
        <v>14</v>
      </c>
      <c r="AD325" s="581">
        <v>0.70499999999999996</v>
      </c>
      <c r="AE325" s="580">
        <v>14.8</v>
      </c>
      <c r="AF325" s="584">
        <v>0.70499999999999996</v>
      </c>
      <c r="AY325" s="579" t="s">
        <v>868</v>
      </c>
      <c r="AZ325" s="606">
        <v>3.5</v>
      </c>
      <c r="BA325" s="606">
        <v>2</v>
      </c>
      <c r="BB325" s="606">
        <v>0.125</v>
      </c>
      <c r="BC325" s="584">
        <v>0.11600000000000001</v>
      </c>
    </row>
    <row r="326" spans="28:55" x14ac:dyDescent="0.2">
      <c r="AB326" s="579" t="s">
        <v>4</v>
      </c>
      <c r="AC326" s="580">
        <v>13.8</v>
      </c>
      <c r="AD326" s="581">
        <v>0.61499999999999999</v>
      </c>
      <c r="AE326" s="580">
        <v>14.7</v>
      </c>
      <c r="AF326" s="584">
        <v>0.61499999999999999</v>
      </c>
      <c r="AY326" s="579" t="s">
        <v>869</v>
      </c>
      <c r="AZ326" s="606">
        <v>3.5</v>
      </c>
      <c r="BA326" s="606">
        <v>1.5</v>
      </c>
      <c r="BB326" s="606">
        <v>0.25</v>
      </c>
      <c r="BC326" s="584">
        <v>0.23300000000000001</v>
      </c>
    </row>
    <row r="327" spans="28:55" x14ac:dyDescent="0.2">
      <c r="AB327" s="579" t="s">
        <v>5</v>
      </c>
      <c r="AC327" s="580">
        <v>13.6</v>
      </c>
      <c r="AD327" s="581">
        <v>0.505</v>
      </c>
      <c r="AE327" s="580">
        <v>14.6</v>
      </c>
      <c r="AF327" s="584">
        <v>0.505</v>
      </c>
      <c r="AY327" s="579" t="s">
        <v>870</v>
      </c>
      <c r="AZ327" s="606">
        <v>3.5</v>
      </c>
      <c r="BA327" s="606">
        <v>1.5</v>
      </c>
      <c r="BB327" s="606">
        <v>0.1875</v>
      </c>
      <c r="BC327" s="584">
        <v>0.17399999999999999</v>
      </c>
    </row>
    <row r="328" spans="28:55" x14ac:dyDescent="0.2">
      <c r="AB328" s="579" t="s">
        <v>6</v>
      </c>
      <c r="AC328" s="580">
        <v>12.3</v>
      </c>
      <c r="AD328" s="581">
        <v>0.68500000000000005</v>
      </c>
      <c r="AE328" s="580">
        <v>12.3</v>
      </c>
      <c r="AF328" s="584">
        <v>0.68500000000000005</v>
      </c>
      <c r="AY328" s="579" t="s">
        <v>871</v>
      </c>
      <c r="AZ328" s="606">
        <v>3.5</v>
      </c>
      <c r="BA328" s="606">
        <v>1.5</v>
      </c>
      <c r="BB328" s="606">
        <v>0.125</v>
      </c>
      <c r="BC328" s="584">
        <v>0.11600000000000001</v>
      </c>
    </row>
    <row r="329" spans="28:55" x14ac:dyDescent="0.2">
      <c r="AB329" s="579" t="s">
        <v>7</v>
      </c>
      <c r="AC329" s="580">
        <v>12.1</v>
      </c>
      <c r="AD329" s="581">
        <v>0.60499999999999998</v>
      </c>
      <c r="AE329" s="580">
        <v>12.2</v>
      </c>
      <c r="AF329" s="584">
        <v>0.61</v>
      </c>
      <c r="AY329" s="579" t="s">
        <v>872</v>
      </c>
      <c r="AZ329" s="606">
        <v>3</v>
      </c>
      <c r="BA329" s="606">
        <v>3</v>
      </c>
      <c r="BB329" s="606">
        <v>0.375</v>
      </c>
      <c r="BC329" s="584">
        <v>0.34899999999999998</v>
      </c>
    </row>
    <row r="330" spans="28:55" x14ac:dyDescent="0.2">
      <c r="AB330" s="579" t="s">
        <v>8</v>
      </c>
      <c r="AC330" s="580">
        <v>11.9</v>
      </c>
      <c r="AD330" s="581">
        <v>0.51500000000000001</v>
      </c>
      <c r="AE330" s="580">
        <v>12.1</v>
      </c>
      <c r="AF330" s="584">
        <v>0.51500000000000001</v>
      </c>
      <c r="AY330" s="579" t="s">
        <v>873</v>
      </c>
      <c r="AZ330" s="606">
        <v>3</v>
      </c>
      <c r="BA330" s="606">
        <v>3</v>
      </c>
      <c r="BB330" s="606">
        <v>0.3125</v>
      </c>
      <c r="BC330" s="584">
        <v>0.29099999999999998</v>
      </c>
    </row>
    <row r="331" spans="28:55" x14ac:dyDescent="0.2">
      <c r="AB331" s="579" t="s">
        <v>9</v>
      </c>
      <c r="AC331" s="580">
        <v>11.8</v>
      </c>
      <c r="AD331" s="581">
        <v>0.435</v>
      </c>
      <c r="AE331" s="580">
        <v>12</v>
      </c>
      <c r="AF331" s="584">
        <v>0.435</v>
      </c>
      <c r="AY331" s="579" t="s">
        <v>874</v>
      </c>
      <c r="AZ331" s="606">
        <v>3</v>
      </c>
      <c r="BA331" s="606">
        <v>3</v>
      </c>
      <c r="BB331" s="606">
        <v>0.25</v>
      </c>
      <c r="BC331" s="584">
        <v>0.23300000000000001</v>
      </c>
    </row>
    <row r="332" spans="28:55" x14ac:dyDescent="0.2">
      <c r="AB332" s="579" t="s">
        <v>10</v>
      </c>
      <c r="AC332" s="580">
        <v>10</v>
      </c>
      <c r="AD332" s="581">
        <v>0.56499999999999995</v>
      </c>
      <c r="AE332" s="580">
        <v>10.199999999999999</v>
      </c>
      <c r="AF332" s="584">
        <v>0.56499999999999995</v>
      </c>
      <c r="AY332" s="579" t="s">
        <v>875</v>
      </c>
      <c r="AZ332" s="606">
        <v>3</v>
      </c>
      <c r="BA332" s="606">
        <v>3</v>
      </c>
      <c r="BB332" s="606">
        <v>0.1875</v>
      </c>
      <c r="BC332" s="584">
        <v>0.17399999999999999</v>
      </c>
    </row>
    <row r="333" spans="28:55" x14ac:dyDescent="0.2">
      <c r="AB333" s="579" t="s">
        <v>11</v>
      </c>
      <c r="AC333" s="583">
        <v>9.6999999999999993</v>
      </c>
      <c r="AD333" s="581">
        <v>0.41499999999999998</v>
      </c>
      <c r="AE333" s="580">
        <v>10.1</v>
      </c>
      <c r="AF333" s="584">
        <v>0.42</v>
      </c>
      <c r="AY333" s="579" t="s">
        <v>876</v>
      </c>
      <c r="AZ333" s="606">
        <v>3</v>
      </c>
      <c r="BA333" s="606">
        <v>3</v>
      </c>
      <c r="BB333" s="606">
        <v>0.125</v>
      </c>
      <c r="BC333" s="584">
        <v>0.11600000000000001</v>
      </c>
    </row>
    <row r="334" spans="28:55" x14ac:dyDescent="0.2">
      <c r="AB334" s="585" t="s">
        <v>12</v>
      </c>
      <c r="AC334" s="586">
        <v>8.02</v>
      </c>
      <c r="AD334" s="587">
        <v>0.44500000000000001</v>
      </c>
      <c r="AE334" s="586">
        <v>8.16</v>
      </c>
      <c r="AF334" s="588">
        <v>0.44500000000000001</v>
      </c>
      <c r="AY334" s="579" t="s">
        <v>877</v>
      </c>
      <c r="AZ334" s="606">
        <v>3</v>
      </c>
      <c r="BA334" s="606">
        <v>2.5</v>
      </c>
      <c r="BB334" s="606">
        <v>0.3125</v>
      </c>
      <c r="BC334" s="584">
        <v>0.29099999999999998</v>
      </c>
    </row>
    <row r="335" spans="28:55" x14ac:dyDescent="0.2">
      <c r="AY335" s="579" t="s">
        <v>878</v>
      </c>
      <c r="AZ335" s="606">
        <v>3</v>
      </c>
      <c r="BA335" s="606">
        <v>2.5</v>
      </c>
      <c r="BB335" s="606">
        <v>0.25</v>
      </c>
      <c r="BC335" s="584">
        <v>0.23300000000000001</v>
      </c>
    </row>
    <row r="336" spans="28:55" x14ac:dyDescent="0.2">
      <c r="AY336" s="579" t="s">
        <v>879</v>
      </c>
      <c r="AZ336" s="606">
        <v>3</v>
      </c>
      <c r="BA336" s="606">
        <v>2.5</v>
      </c>
      <c r="BB336" s="606">
        <v>0.1875</v>
      </c>
      <c r="BC336" s="584">
        <v>0.17399999999999999</v>
      </c>
    </row>
    <row r="337" spans="51:55" x14ac:dyDescent="0.2">
      <c r="AY337" s="579" t="s">
        <v>880</v>
      </c>
      <c r="AZ337" s="606">
        <v>3</v>
      </c>
      <c r="BA337" s="606">
        <v>2.5</v>
      </c>
      <c r="BB337" s="606">
        <v>0.125</v>
      </c>
      <c r="BC337" s="584">
        <v>0.11600000000000001</v>
      </c>
    </row>
    <row r="338" spans="51:55" x14ac:dyDescent="0.2">
      <c r="AY338" s="579" t="s">
        <v>881</v>
      </c>
      <c r="AZ338" s="606">
        <v>3</v>
      </c>
      <c r="BA338" s="606">
        <v>2</v>
      </c>
      <c r="BB338" s="606">
        <v>0.3125</v>
      </c>
      <c r="BC338" s="584">
        <v>0.29099999999999998</v>
      </c>
    </row>
    <row r="339" spans="51:55" x14ac:dyDescent="0.2">
      <c r="AY339" s="579" t="s">
        <v>882</v>
      </c>
      <c r="AZ339" s="606">
        <v>3</v>
      </c>
      <c r="BA339" s="606">
        <v>2</v>
      </c>
      <c r="BB339" s="606">
        <v>0.25</v>
      </c>
      <c r="BC339" s="584">
        <v>0.23300000000000001</v>
      </c>
    </row>
    <row r="340" spans="51:55" x14ac:dyDescent="0.2">
      <c r="AY340" s="579" t="s">
        <v>883</v>
      </c>
      <c r="AZ340" s="606">
        <v>3</v>
      </c>
      <c r="BA340" s="606">
        <v>2</v>
      </c>
      <c r="BB340" s="606">
        <v>0.1875</v>
      </c>
      <c r="BC340" s="584">
        <v>0.17399999999999999</v>
      </c>
    </row>
    <row r="341" spans="51:55" x14ac:dyDescent="0.2">
      <c r="AY341" s="579" t="s">
        <v>884</v>
      </c>
      <c r="AZ341" s="606">
        <v>3</v>
      </c>
      <c r="BA341" s="606">
        <v>2</v>
      </c>
      <c r="BB341" s="606">
        <v>0.125</v>
      </c>
      <c r="BC341" s="584">
        <v>0.11600000000000001</v>
      </c>
    </row>
    <row r="342" spans="51:55" x14ac:dyDescent="0.2">
      <c r="AY342" s="579" t="s">
        <v>885</v>
      </c>
      <c r="AZ342" s="606">
        <v>3</v>
      </c>
      <c r="BA342" s="606">
        <v>1.5</v>
      </c>
      <c r="BB342" s="606">
        <v>0.25</v>
      </c>
      <c r="BC342" s="584">
        <v>0.23300000000000001</v>
      </c>
    </row>
    <row r="343" spans="51:55" x14ac:dyDescent="0.2">
      <c r="AY343" s="579" t="s">
        <v>886</v>
      </c>
      <c r="AZ343" s="606">
        <v>3</v>
      </c>
      <c r="BA343" s="606">
        <v>1.5</v>
      </c>
      <c r="BB343" s="606">
        <v>0.1875</v>
      </c>
      <c r="BC343" s="584">
        <v>0.17399999999999999</v>
      </c>
    </row>
    <row r="344" spans="51:55" x14ac:dyDescent="0.2">
      <c r="AY344" s="579" t="s">
        <v>887</v>
      </c>
      <c r="AZ344" s="606">
        <v>3</v>
      </c>
      <c r="BA344" s="606">
        <v>1.5</v>
      </c>
      <c r="BB344" s="606">
        <v>0.125</v>
      </c>
      <c r="BC344" s="584">
        <v>0.11600000000000001</v>
      </c>
    </row>
    <row r="345" spans="51:55" x14ac:dyDescent="0.2">
      <c r="AY345" s="579" t="s">
        <v>888</v>
      </c>
      <c r="AZ345" s="606">
        <v>3</v>
      </c>
      <c r="BA345" s="606">
        <v>1</v>
      </c>
      <c r="BB345" s="606">
        <v>0.1875</v>
      </c>
      <c r="BC345" s="584">
        <v>0.17399999999999999</v>
      </c>
    </row>
    <row r="346" spans="51:55" x14ac:dyDescent="0.2">
      <c r="AY346" s="579" t="s">
        <v>889</v>
      </c>
      <c r="AZ346" s="606">
        <v>3</v>
      </c>
      <c r="BA346" s="606">
        <v>1</v>
      </c>
      <c r="BB346" s="606">
        <v>0.125</v>
      </c>
      <c r="BC346" s="584">
        <v>0.11600000000000001</v>
      </c>
    </row>
    <row r="347" spans="51:55" x14ac:dyDescent="0.2">
      <c r="AY347" s="579" t="s">
        <v>890</v>
      </c>
      <c r="AZ347" s="606">
        <v>2.5</v>
      </c>
      <c r="BA347" s="606">
        <v>2.5</v>
      </c>
      <c r="BB347" s="606">
        <v>0.3125</v>
      </c>
      <c r="BC347" s="584">
        <v>0.29099999999999998</v>
      </c>
    </row>
    <row r="348" spans="51:55" x14ac:dyDescent="0.2">
      <c r="AY348" s="579" t="s">
        <v>891</v>
      </c>
      <c r="AZ348" s="606">
        <v>2.5</v>
      </c>
      <c r="BA348" s="606">
        <v>2.5</v>
      </c>
      <c r="BB348" s="606">
        <v>0.25</v>
      </c>
      <c r="BC348" s="584">
        <v>0.23300000000000001</v>
      </c>
    </row>
    <row r="349" spans="51:55" x14ac:dyDescent="0.2">
      <c r="AY349" s="579" t="s">
        <v>892</v>
      </c>
      <c r="AZ349" s="606">
        <v>2.5</v>
      </c>
      <c r="BA349" s="606">
        <v>2.5</v>
      </c>
      <c r="BB349" s="606">
        <v>0.1875</v>
      </c>
      <c r="BC349" s="584">
        <v>0.17399999999999999</v>
      </c>
    </row>
    <row r="350" spans="51:55" x14ac:dyDescent="0.2">
      <c r="AY350" s="579" t="s">
        <v>893</v>
      </c>
      <c r="AZ350" s="606">
        <v>2.5</v>
      </c>
      <c r="BA350" s="606">
        <v>2.5</v>
      </c>
      <c r="BB350" s="606">
        <v>0.125</v>
      </c>
      <c r="BC350" s="584">
        <v>0.11600000000000001</v>
      </c>
    </row>
    <row r="351" spans="51:55" x14ac:dyDescent="0.2">
      <c r="AY351" s="579" t="s">
        <v>894</v>
      </c>
      <c r="AZ351" s="606">
        <v>2.5</v>
      </c>
      <c r="BA351" s="606">
        <v>2</v>
      </c>
      <c r="BB351" s="606">
        <v>0.25</v>
      </c>
      <c r="BC351" s="584">
        <v>0.23300000000000001</v>
      </c>
    </row>
    <row r="352" spans="51:55" x14ac:dyDescent="0.2">
      <c r="AY352" s="579" t="s">
        <v>895</v>
      </c>
      <c r="AZ352" s="606">
        <v>2.5</v>
      </c>
      <c r="BA352" s="606">
        <v>2</v>
      </c>
      <c r="BB352" s="606">
        <v>0.1875</v>
      </c>
      <c r="BC352" s="584">
        <v>0.17399999999999999</v>
      </c>
    </row>
    <row r="353" spans="51:55" x14ac:dyDescent="0.2">
      <c r="AY353" s="579" t="s">
        <v>896</v>
      </c>
      <c r="AZ353" s="606">
        <v>2.5</v>
      </c>
      <c r="BA353" s="606">
        <v>2</v>
      </c>
      <c r="BB353" s="606">
        <v>0.125</v>
      </c>
      <c r="BC353" s="584">
        <v>0.11600000000000001</v>
      </c>
    </row>
    <row r="354" spans="51:55" x14ac:dyDescent="0.2">
      <c r="AY354" s="579" t="s">
        <v>897</v>
      </c>
      <c r="AZ354" s="606">
        <v>2.5</v>
      </c>
      <c r="BA354" s="606">
        <v>1.5</v>
      </c>
      <c r="BB354" s="606">
        <v>0.25</v>
      </c>
      <c r="BC354" s="584">
        <v>0.23300000000000001</v>
      </c>
    </row>
    <row r="355" spans="51:55" x14ac:dyDescent="0.2">
      <c r="AY355" s="579" t="s">
        <v>898</v>
      </c>
      <c r="AZ355" s="606">
        <v>2.5</v>
      </c>
      <c r="BA355" s="606">
        <v>1.5</v>
      </c>
      <c r="BB355" s="606">
        <v>0.1875</v>
      </c>
      <c r="BC355" s="584">
        <v>0.17399999999999999</v>
      </c>
    </row>
    <row r="356" spans="51:55" x14ac:dyDescent="0.2">
      <c r="AY356" s="579" t="s">
        <v>899</v>
      </c>
      <c r="AZ356" s="606">
        <v>2.5</v>
      </c>
      <c r="BA356" s="606">
        <v>1.5</v>
      </c>
      <c r="BB356" s="606">
        <v>0.125</v>
      </c>
      <c r="BC356" s="584">
        <v>0.11600000000000001</v>
      </c>
    </row>
    <row r="357" spans="51:55" x14ac:dyDescent="0.2">
      <c r="AY357" s="579" t="s">
        <v>900</v>
      </c>
      <c r="AZ357" s="606">
        <v>2.5</v>
      </c>
      <c r="BA357" s="606">
        <v>1</v>
      </c>
      <c r="BB357" s="606">
        <v>0.1875</v>
      </c>
      <c r="BC357" s="584">
        <v>0.17399999999999999</v>
      </c>
    </row>
    <row r="358" spans="51:55" x14ac:dyDescent="0.2">
      <c r="AY358" s="579" t="s">
        <v>901</v>
      </c>
      <c r="AZ358" s="606">
        <v>2.5</v>
      </c>
      <c r="BA358" s="606">
        <v>1</v>
      </c>
      <c r="BB358" s="606">
        <v>0.125</v>
      </c>
      <c r="BC358" s="584">
        <v>0.11600000000000001</v>
      </c>
    </row>
    <row r="359" spans="51:55" x14ac:dyDescent="0.2">
      <c r="AY359" s="579" t="s">
        <v>902</v>
      </c>
      <c r="AZ359" s="606">
        <v>2.25</v>
      </c>
      <c r="BA359" s="606">
        <v>2.25</v>
      </c>
      <c r="BB359" s="606">
        <v>0.25</v>
      </c>
      <c r="BC359" s="584">
        <v>0.23300000000000001</v>
      </c>
    </row>
    <row r="360" spans="51:55" x14ac:dyDescent="0.2">
      <c r="AY360" s="579" t="s">
        <v>903</v>
      </c>
      <c r="AZ360" s="606">
        <v>2.25</v>
      </c>
      <c r="BA360" s="606">
        <v>2.25</v>
      </c>
      <c r="BB360" s="606">
        <v>0.1875</v>
      </c>
      <c r="BC360" s="584">
        <v>0.17399999999999999</v>
      </c>
    </row>
    <row r="361" spans="51:55" x14ac:dyDescent="0.2">
      <c r="AY361" s="579" t="s">
        <v>904</v>
      </c>
      <c r="AZ361" s="606">
        <v>2.25</v>
      </c>
      <c r="BA361" s="606">
        <v>2.25</v>
      </c>
      <c r="BB361" s="606">
        <v>0.125</v>
      </c>
      <c r="BC361" s="584">
        <v>0.11600000000000001</v>
      </c>
    </row>
    <row r="362" spans="51:55" x14ac:dyDescent="0.2">
      <c r="AY362" s="579" t="s">
        <v>905</v>
      </c>
      <c r="AZ362" s="606">
        <v>2.25</v>
      </c>
      <c r="BA362" s="606">
        <v>2</v>
      </c>
      <c r="BB362" s="606">
        <v>0.1875</v>
      </c>
      <c r="BC362" s="584">
        <v>0.17399999999999999</v>
      </c>
    </row>
    <row r="363" spans="51:55" x14ac:dyDescent="0.2">
      <c r="AY363" s="579" t="s">
        <v>906</v>
      </c>
      <c r="AZ363" s="606">
        <v>2.25</v>
      </c>
      <c r="BA363" s="606">
        <v>2</v>
      </c>
      <c r="BB363" s="606">
        <v>0.125</v>
      </c>
      <c r="BC363" s="584">
        <v>0.11600000000000001</v>
      </c>
    </row>
    <row r="364" spans="51:55" x14ac:dyDescent="0.2">
      <c r="AY364" s="579" t="s">
        <v>907</v>
      </c>
      <c r="AZ364" s="606">
        <v>2</v>
      </c>
      <c r="BA364" s="606">
        <v>2</v>
      </c>
      <c r="BB364" s="606">
        <v>0.25</v>
      </c>
      <c r="BC364" s="584">
        <v>0.23300000000000001</v>
      </c>
    </row>
    <row r="365" spans="51:55" x14ac:dyDescent="0.2">
      <c r="AY365" s="579" t="s">
        <v>908</v>
      </c>
      <c r="AZ365" s="606">
        <v>2</v>
      </c>
      <c r="BA365" s="606">
        <v>2</v>
      </c>
      <c r="BB365" s="606">
        <v>0.1875</v>
      </c>
      <c r="BC365" s="584">
        <v>0.17399999999999999</v>
      </c>
    </row>
    <row r="366" spans="51:55" x14ac:dyDescent="0.2">
      <c r="AY366" s="579" t="s">
        <v>909</v>
      </c>
      <c r="AZ366" s="606">
        <v>2</v>
      </c>
      <c r="BA366" s="606">
        <v>2</v>
      </c>
      <c r="BB366" s="606">
        <v>0.125</v>
      </c>
      <c r="BC366" s="584">
        <v>0.11600000000000001</v>
      </c>
    </row>
    <row r="367" spans="51:55" x14ac:dyDescent="0.2">
      <c r="AY367" s="579" t="s">
        <v>910</v>
      </c>
      <c r="AZ367" s="606">
        <v>2</v>
      </c>
      <c r="BA367" s="606">
        <v>1.5</v>
      </c>
      <c r="BB367" s="606">
        <v>0.1875</v>
      </c>
      <c r="BC367" s="584">
        <v>0.17399999999999999</v>
      </c>
    </row>
    <row r="368" spans="51:55" x14ac:dyDescent="0.2">
      <c r="AY368" s="579" t="s">
        <v>911</v>
      </c>
      <c r="AZ368" s="606">
        <v>2</v>
      </c>
      <c r="BA368" s="606">
        <v>1.5</v>
      </c>
      <c r="BB368" s="606">
        <v>0.125</v>
      </c>
      <c r="BC368" s="584">
        <v>0.11600000000000001</v>
      </c>
    </row>
    <row r="369" spans="51:55" x14ac:dyDescent="0.2">
      <c r="AY369" s="579" t="s">
        <v>912</v>
      </c>
      <c r="AZ369" s="606">
        <v>2</v>
      </c>
      <c r="BA369" s="606">
        <v>1</v>
      </c>
      <c r="BB369" s="606">
        <v>0.1875</v>
      </c>
      <c r="BC369" s="584">
        <v>0.17399999999999999</v>
      </c>
    </row>
    <row r="370" spans="51:55" x14ac:dyDescent="0.2">
      <c r="AY370" s="585" t="s">
        <v>913</v>
      </c>
      <c r="AZ370" s="608">
        <v>2</v>
      </c>
      <c r="BA370" s="608">
        <v>1</v>
      </c>
      <c r="BB370" s="608">
        <v>0.125</v>
      </c>
      <c r="BC370" s="588">
        <v>0.11600000000000001</v>
      </c>
    </row>
  </sheetData>
  <sheetProtection sheet="1" objects="1" scenarios="1"/>
  <phoneticPr fontId="0" type="noConversion"/>
  <conditionalFormatting sqref="E52">
    <cfRule type="cellIs" dxfId="0" priority="1" stopIfTrue="1" operator="notEqual">
      <formula>"OK"</formula>
    </cfRule>
  </conditionalFormatting>
  <dataValidations count="9">
    <dataValidation type="list" allowBlank="1" showInputMessage="1" showErrorMessage="1" errorTitle="Warning!" error="Invalid input for number of welds_x000a_(must input a value between 1 and 24)" sqref="C9">
      <formula1>$K$3:$K$26</formula1>
    </dataValidation>
    <dataValidation type="list" allowBlank="1" showInputMessage="1" showErrorMessage="1" errorTitle="Warning!" error="Invalid input for number of load points_x000a_(must input a value between 1 and 4)" sqref="C38">
      <formula1>$K$3:$K$6</formula1>
    </dataValidation>
    <dataValidation type="decimal" operator="greaterThanOrEqual" allowBlank="1" showInputMessage="1" showErrorMessage="1" prompt="The corners of a tube section have an outside radius equal to 2 times the nominal tube wall thickness.  Thus, a &quot;Corner Clip&quot; c = 2*t(nom) is used to approximate the rounded corners of a tube section.  " sqref="BJ185">
      <formula1>0</formula1>
    </dataValidation>
    <dataValidation type="list" allowBlank="1" showInputMessage="1" showErrorMessage="1" sqref="BJ38">
      <formula1>$BE$4:$BE$168</formula1>
    </dataValidation>
    <dataValidation type="list" allowBlank="1" showInputMessage="1" showErrorMessage="1" sqref="BJ77">
      <formula1>$AB$4:$AB$334</formula1>
    </dataValidation>
    <dataValidation type="list" allowBlank="1" showInputMessage="1" showErrorMessage="1" sqref="BJ107">
      <formula1>$AN$4:$AN$319</formula1>
    </dataValidation>
    <dataValidation type="list" allowBlank="1" showInputMessage="1" showErrorMessage="1" sqref="BJ133">
      <formula1>$AH$4:$AH$73</formula1>
    </dataValidation>
    <dataValidation type="list" allowBlank="1" showInputMessage="1" showErrorMessage="1" sqref="BJ159">
      <formula1>$AT$4:$AT$130</formula1>
    </dataValidation>
    <dataValidation type="list" allowBlank="1" showInputMessage="1" showErrorMessage="1" sqref="BJ182">
      <formula1>$AY$4:$AY$370</formula1>
    </dataValidation>
  </dataValidations>
  <pageMargins left="1" right="0.5" top="1" bottom="1" header="0.5" footer="0.5"/>
  <pageSetup scale="98" orientation="portrait" r:id="rId1"/>
  <headerFooter alignWithMargins="0">
    <oddHeader>&amp;R"WELDGRP.xls" Program
Version 2.3</oddHeader>
    <oddFooter>&amp;C&amp;P of &amp;N&amp;R&amp;D  &amp;T</oddFooter>
  </headerFooter>
  <rowBreaks count="1" manualBreakCount="1">
    <brk id="50" max="8" man="1"/>
  </rowBreaks>
  <drawing r:id="rId2"/>
  <legacyDrawing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11"/>
  <dimension ref="A1:AA216"/>
  <sheetViews>
    <sheetView zoomScaleNormal="100" workbookViewId="0">
      <selection activeCell="A217" sqref="A217"/>
    </sheetView>
  </sheetViews>
  <sheetFormatPr defaultRowHeight="12.75" x14ac:dyDescent="0.2"/>
  <cols>
    <col min="1" max="9" width="9.140625" style="18"/>
    <col min="10" max="10" width="5.7109375" style="18" customWidth="1"/>
    <col min="11" max="26" width="0" style="18" hidden="1" customWidth="1"/>
    <col min="27" max="16384" width="9.140625" style="18"/>
  </cols>
  <sheetData>
    <row r="1" spans="1:27" x14ac:dyDescent="0.2">
      <c r="A1" s="21"/>
      <c r="B1" s="21"/>
      <c r="C1" s="21"/>
      <c r="D1" s="21"/>
      <c r="E1" s="21"/>
      <c r="F1" s="21"/>
      <c r="G1" s="21"/>
      <c r="H1" s="21"/>
      <c r="I1" s="21"/>
      <c r="J1" s="21"/>
      <c r="AA1" s="480"/>
    </row>
    <row r="2" spans="1:27" ht="15.75" x14ac:dyDescent="0.25">
      <c r="A2" s="21"/>
      <c r="B2" s="21"/>
      <c r="C2" s="481" t="s">
        <v>1410</v>
      </c>
      <c r="D2" s="341"/>
      <c r="E2" s="341"/>
      <c r="F2" s="341"/>
      <c r="G2" s="341"/>
      <c r="H2" s="341"/>
      <c r="I2" s="21"/>
      <c r="J2" s="21"/>
    </row>
    <row r="3" spans="1:27" x14ac:dyDescent="0.2">
      <c r="A3" s="21"/>
      <c r="B3" s="21"/>
      <c r="C3" s="39"/>
      <c r="D3" s="21"/>
      <c r="E3" s="21"/>
      <c r="F3" s="21"/>
      <c r="G3" s="21"/>
      <c r="H3" s="21"/>
      <c r="I3" s="21"/>
      <c r="J3" s="21"/>
    </row>
    <row r="4" spans="1:27" x14ac:dyDescent="0.2">
      <c r="A4" s="21"/>
      <c r="B4" s="21"/>
      <c r="C4" s="21"/>
      <c r="D4" s="21"/>
      <c r="E4" s="21"/>
      <c r="F4" s="21"/>
      <c r="G4" s="21"/>
      <c r="H4" s="21"/>
      <c r="I4" s="21"/>
      <c r="J4" s="21"/>
    </row>
    <row r="5" spans="1:27" x14ac:dyDescent="0.2">
      <c r="A5" s="21"/>
      <c r="B5" s="21"/>
      <c r="C5" s="482" t="s">
        <v>1411</v>
      </c>
      <c r="D5" s="26"/>
      <c r="E5" s="26"/>
      <c r="F5" s="26"/>
      <c r="G5" s="26"/>
      <c r="H5" s="285"/>
      <c r="I5" s="21"/>
      <c r="J5" s="21"/>
    </row>
    <row r="6" spans="1:27" x14ac:dyDescent="0.2">
      <c r="A6" s="21"/>
      <c r="B6" s="21"/>
      <c r="C6" s="483" t="s">
        <v>1412</v>
      </c>
      <c r="D6" s="34"/>
      <c r="E6" s="34"/>
      <c r="F6" s="34"/>
      <c r="G6" s="34"/>
      <c r="H6" s="326"/>
      <c r="I6" s="21"/>
      <c r="J6" s="21"/>
    </row>
    <row r="7" spans="1:27" x14ac:dyDescent="0.2">
      <c r="A7" s="21"/>
      <c r="B7" s="21"/>
      <c r="C7" s="484" t="s">
        <v>1413</v>
      </c>
      <c r="D7" s="28"/>
      <c r="E7" s="292"/>
      <c r="F7" s="28" t="s">
        <v>1414</v>
      </c>
      <c r="G7" s="28"/>
      <c r="H7" s="292"/>
      <c r="I7" s="21"/>
      <c r="J7" s="21"/>
    </row>
    <row r="8" spans="1:27" x14ac:dyDescent="0.2">
      <c r="A8" s="21"/>
      <c r="B8" s="21"/>
      <c r="C8" s="484" t="s">
        <v>1415</v>
      </c>
      <c r="D8" s="28"/>
      <c r="E8" s="292"/>
      <c r="F8" s="28" t="s">
        <v>1416</v>
      </c>
      <c r="G8" s="28"/>
      <c r="H8" s="292"/>
      <c r="I8" s="21"/>
      <c r="J8" s="21"/>
    </row>
    <row r="9" spans="1:27" x14ac:dyDescent="0.2">
      <c r="A9" s="21"/>
      <c r="B9" s="21"/>
      <c r="C9" s="512" t="s">
        <v>1417</v>
      </c>
      <c r="D9" s="513"/>
      <c r="E9" s="515"/>
      <c r="F9" s="524" t="s">
        <v>1418</v>
      </c>
      <c r="G9" s="514"/>
      <c r="H9" s="515"/>
      <c r="I9" s="21"/>
      <c r="J9" s="21"/>
    </row>
    <row r="10" spans="1:27" x14ac:dyDescent="0.2">
      <c r="A10" s="21"/>
      <c r="B10" s="21"/>
      <c r="C10" s="516" t="s">
        <v>1419</v>
      </c>
      <c r="D10" s="517"/>
      <c r="E10" s="519"/>
      <c r="F10" s="525" t="s">
        <v>1420</v>
      </c>
      <c r="G10" s="518"/>
      <c r="H10" s="519"/>
      <c r="I10" s="21"/>
      <c r="J10" s="21"/>
    </row>
    <row r="11" spans="1:27" x14ac:dyDescent="0.2">
      <c r="A11" s="21"/>
      <c r="B11" s="21"/>
      <c r="C11" s="516" t="s">
        <v>1421</v>
      </c>
      <c r="D11" s="517"/>
      <c r="E11" s="519"/>
      <c r="F11" s="525" t="s">
        <v>1422</v>
      </c>
      <c r="G11" s="518"/>
      <c r="H11" s="519"/>
      <c r="I11" s="21"/>
      <c r="J11" s="21"/>
    </row>
    <row r="12" spans="1:27" x14ac:dyDescent="0.2">
      <c r="A12" s="21"/>
      <c r="B12" s="21"/>
      <c r="C12" s="516" t="s">
        <v>1423</v>
      </c>
      <c r="D12" s="517"/>
      <c r="E12" s="519"/>
      <c r="F12" s="525" t="s">
        <v>1424</v>
      </c>
      <c r="G12" s="518"/>
      <c r="H12" s="519"/>
      <c r="I12" s="21"/>
      <c r="J12" s="21"/>
    </row>
    <row r="13" spans="1:27" x14ac:dyDescent="0.2">
      <c r="A13" s="21"/>
      <c r="B13" s="21"/>
      <c r="C13" s="516" t="s">
        <v>1425</v>
      </c>
      <c r="D13" s="517"/>
      <c r="E13" s="519"/>
      <c r="F13" s="525" t="s">
        <v>1426</v>
      </c>
      <c r="G13" s="518"/>
      <c r="H13" s="519"/>
      <c r="I13" s="21"/>
      <c r="J13" s="21"/>
    </row>
    <row r="14" spans="1:27" x14ac:dyDescent="0.2">
      <c r="A14" s="21"/>
      <c r="B14" s="21"/>
      <c r="C14" s="516" t="s">
        <v>1427</v>
      </c>
      <c r="D14" s="517"/>
      <c r="E14" s="519"/>
      <c r="F14" s="525" t="s">
        <v>1428</v>
      </c>
      <c r="G14" s="518"/>
      <c r="H14" s="519"/>
      <c r="I14" s="21"/>
      <c r="J14" s="21"/>
    </row>
    <row r="15" spans="1:27" x14ac:dyDescent="0.2">
      <c r="A15" s="21"/>
      <c r="B15" s="21"/>
      <c r="C15" s="520" t="s">
        <v>1429</v>
      </c>
      <c r="D15" s="521"/>
      <c r="E15" s="523"/>
      <c r="F15" s="526" t="s">
        <v>1430</v>
      </c>
      <c r="G15" s="522"/>
      <c r="H15" s="523"/>
      <c r="I15" s="21"/>
      <c r="J15" s="21"/>
    </row>
    <row r="16" spans="1:27" x14ac:dyDescent="0.2">
      <c r="A16" s="21"/>
      <c r="B16" s="21"/>
      <c r="C16" s="21"/>
      <c r="D16" s="21"/>
      <c r="E16" s="21"/>
      <c r="F16" s="21"/>
      <c r="G16" s="21"/>
      <c r="H16" s="21"/>
      <c r="I16" s="21"/>
      <c r="J16" s="21"/>
    </row>
    <row r="17" spans="1:10" x14ac:dyDescent="0.2">
      <c r="A17" s="21"/>
      <c r="B17" s="21"/>
      <c r="C17" s="399" t="s">
        <v>1431</v>
      </c>
      <c r="D17" s="485"/>
      <c r="E17" s="485"/>
      <c r="F17" s="485"/>
      <c r="G17" s="485"/>
      <c r="H17" s="323"/>
      <c r="I17" s="21"/>
      <c r="J17" s="21"/>
    </row>
    <row r="18" spans="1:10" x14ac:dyDescent="0.2">
      <c r="A18" s="21"/>
      <c r="B18" s="21"/>
      <c r="C18" s="486" t="s">
        <v>1413</v>
      </c>
      <c r="D18" s="26"/>
      <c r="E18" s="285"/>
      <c r="F18" s="26" t="s">
        <v>1432</v>
      </c>
      <c r="G18" s="26"/>
      <c r="H18" s="285"/>
      <c r="I18" s="21"/>
      <c r="J18" s="21"/>
    </row>
    <row r="19" spans="1:10" x14ac:dyDescent="0.2">
      <c r="A19" s="21"/>
      <c r="B19" s="21"/>
      <c r="C19" s="484" t="s">
        <v>1415</v>
      </c>
      <c r="D19" s="28"/>
      <c r="E19" s="292"/>
      <c r="F19" s="28" t="s">
        <v>1433</v>
      </c>
      <c r="G19" s="28"/>
      <c r="H19" s="292"/>
      <c r="I19" s="21"/>
      <c r="J19" s="21"/>
    </row>
    <row r="20" spans="1:10" x14ac:dyDescent="0.2">
      <c r="A20" s="21"/>
      <c r="B20" s="21"/>
      <c r="C20" s="512" t="s">
        <v>1417</v>
      </c>
      <c r="D20" s="513"/>
      <c r="E20" s="515"/>
      <c r="F20" s="524" t="s">
        <v>1418</v>
      </c>
      <c r="G20" s="514"/>
      <c r="H20" s="515"/>
      <c r="I20" s="21"/>
      <c r="J20" s="21"/>
    </row>
    <row r="21" spans="1:10" x14ac:dyDescent="0.2">
      <c r="A21" s="21"/>
      <c r="B21" s="21"/>
      <c r="C21" s="516" t="s">
        <v>1419</v>
      </c>
      <c r="D21" s="517"/>
      <c r="E21" s="519"/>
      <c r="F21" s="525" t="s">
        <v>1420</v>
      </c>
      <c r="G21" s="518"/>
      <c r="H21" s="519"/>
      <c r="I21" s="21"/>
      <c r="J21" s="21"/>
    </row>
    <row r="22" spans="1:10" x14ac:dyDescent="0.2">
      <c r="A22" s="21"/>
      <c r="B22" s="21"/>
      <c r="C22" s="516" t="s">
        <v>1421</v>
      </c>
      <c r="D22" s="517"/>
      <c r="E22" s="519"/>
      <c r="F22" s="525" t="s">
        <v>1422</v>
      </c>
      <c r="G22" s="518"/>
      <c r="H22" s="519"/>
      <c r="I22" s="21"/>
      <c r="J22" s="21"/>
    </row>
    <row r="23" spans="1:10" x14ac:dyDescent="0.2">
      <c r="A23" s="21"/>
      <c r="B23" s="21"/>
      <c r="C23" s="520" t="s">
        <v>1434</v>
      </c>
      <c r="D23" s="521"/>
      <c r="E23" s="523"/>
      <c r="F23" s="526" t="s">
        <v>1424</v>
      </c>
      <c r="G23" s="522"/>
      <c r="H23" s="523"/>
      <c r="I23" s="21"/>
      <c r="J23" s="21"/>
    </row>
    <row r="24" spans="1:10" x14ac:dyDescent="0.2">
      <c r="A24" s="21"/>
      <c r="B24" s="21"/>
      <c r="C24" s="487" t="s">
        <v>1435</v>
      </c>
      <c r="D24" s="21" t="s">
        <v>1436</v>
      </c>
      <c r="E24" s="21"/>
      <c r="F24" s="21"/>
      <c r="G24" s="21"/>
      <c r="H24" s="24"/>
      <c r="I24" s="21"/>
      <c r="J24" s="21"/>
    </row>
    <row r="25" spans="1:10" x14ac:dyDescent="0.2">
      <c r="A25" s="21"/>
      <c r="B25" s="21"/>
      <c r="C25" s="31"/>
      <c r="D25" s="32" t="s">
        <v>1437</v>
      </c>
      <c r="E25" s="32"/>
      <c r="F25" s="32"/>
      <c r="G25" s="32"/>
      <c r="H25" s="33"/>
      <c r="I25" s="21"/>
      <c r="J25" s="21"/>
    </row>
    <row r="26" spans="1:10" x14ac:dyDescent="0.2">
      <c r="A26" s="21"/>
      <c r="B26" s="21"/>
      <c r="C26" s="21"/>
      <c r="D26" s="21"/>
      <c r="E26" s="21"/>
      <c r="F26" s="21"/>
      <c r="G26" s="21"/>
      <c r="H26" s="21"/>
      <c r="I26" s="21"/>
      <c r="J26" s="21"/>
    </row>
    <row r="27" spans="1:10" x14ac:dyDescent="0.2">
      <c r="A27" s="21"/>
      <c r="B27" s="21"/>
      <c r="C27" s="399" t="s">
        <v>1438</v>
      </c>
      <c r="D27" s="485"/>
      <c r="E27" s="485"/>
      <c r="F27" s="485"/>
      <c r="G27" s="485"/>
      <c r="H27" s="323"/>
      <c r="I27" s="21"/>
      <c r="J27" s="21"/>
    </row>
    <row r="28" spans="1:10" x14ac:dyDescent="0.2">
      <c r="A28" s="21"/>
      <c r="B28" s="21"/>
      <c r="C28" s="488" t="s">
        <v>1439</v>
      </c>
      <c r="D28" s="485"/>
      <c r="E28" s="323"/>
      <c r="F28" s="488" t="s">
        <v>1440</v>
      </c>
      <c r="G28" s="485"/>
      <c r="H28" s="323"/>
      <c r="I28" s="21"/>
      <c r="J28" s="21"/>
    </row>
    <row r="29" spans="1:10" x14ac:dyDescent="0.2">
      <c r="A29" s="21"/>
      <c r="B29" s="21"/>
      <c r="C29" s="527" t="s">
        <v>1418</v>
      </c>
      <c r="D29" s="514"/>
      <c r="E29" s="515"/>
      <c r="F29" s="530">
        <v>1.8560000000000001</v>
      </c>
      <c r="G29" s="514"/>
      <c r="H29" s="515"/>
      <c r="I29" s="21"/>
      <c r="J29" s="21"/>
    </row>
    <row r="30" spans="1:10" x14ac:dyDescent="0.2">
      <c r="A30" s="21"/>
      <c r="B30" s="21"/>
      <c r="C30" s="528" t="s">
        <v>1420</v>
      </c>
      <c r="D30" s="518"/>
      <c r="E30" s="519"/>
      <c r="F30" s="531">
        <v>2.7850000000000001</v>
      </c>
      <c r="G30" s="518"/>
      <c r="H30" s="519"/>
      <c r="I30" s="21"/>
      <c r="J30" s="21"/>
    </row>
    <row r="31" spans="1:10" x14ac:dyDescent="0.2">
      <c r="A31" s="21"/>
      <c r="B31" s="21"/>
      <c r="C31" s="528" t="s">
        <v>1422</v>
      </c>
      <c r="D31" s="518"/>
      <c r="E31" s="519"/>
      <c r="F31" s="531">
        <v>3.7130000000000001</v>
      </c>
      <c r="G31" s="518"/>
      <c r="H31" s="519"/>
      <c r="I31" s="21"/>
      <c r="J31" s="21"/>
    </row>
    <row r="32" spans="1:10" x14ac:dyDescent="0.2">
      <c r="A32" s="21"/>
      <c r="B32" s="21"/>
      <c r="C32" s="528" t="s">
        <v>1424</v>
      </c>
      <c r="D32" s="518"/>
      <c r="E32" s="519"/>
      <c r="F32" s="531">
        <v>4.641</v>
      </c>
      <c r="G32" s="518"/>
      <c r="H32" s="519"/>
      <c r="I32" s="21"/>
      <c r="J32" s="21"/>
    </row>
    <row r="33" spans="1:10" x14ac:dyDescent="0.2">
      <c r="A33" s="21"/>
      <c r="B33" s="21"/>
      <c r="C33" s="528" t="s">
        <v>1426</v>
      </c>
      <c r="D33" s="518"/>
      <c r="E33" s="519"/>
      <c r="F33" s="531">
        <v>5.569</v>
      </c>
      <c r="G33" s="518"/>
      <c r="H33" s="519"/>
      <c r="I33" s="21"/>
      <c r="J33" s="21"/>
    </row>
    <row r="34" spans="1:10" x14ac:dyDescent="0.2">
      <c r="A34" s="21"/>
      <c r="B34" s="21"/>
      <c r="C34" s="528" t="s">
        <v>1441</v>
      </c>
      <c r="D34" s="518"/>
      <c r="E34" s="519"/>
      <c r="F34" s="531">
        <v>6.4969999999999999</v>
      </c>
      <c r="G34" s="518"/>
      <c r="H34" s="519"/>
      <c r="I34" s="21"/>
      <c r="J34" s="21"/>
    </row>
    <row r="35" spans="1:10" x14ac:dyDescent="0.2">
      <c r="A35" s="21"/>
      <c r="B35" s="21"/>
      <c r="C35" s="529" t="s">
        <v>1428</v>
      </c>
      <c r="D35" s="522"/>
      <c r="E35" s="523"/>
      <c r="F35" s="532">
        <v>7.4260000000000002</v>
      </c>
      <c r="G35" s="522"/>
      <c r="H35" s="523"/>
      <c r="I35" s="21"/>
      <c r="J35" s="21"/>
    </row>
    <row r="36" spans="1:10" x14ac:dyDescent="0.2">
      <c r="A36" s="21"/>
      <c r="B36" s="21"/>
      <c r="C36" s="489" t="s">
        <v>1442</v>
      </c>
      <c r="D36" s="381" t="s">
        <v>1443</v>
      </c>
      <c r="E36" s="381"/>
      <c r="F36" s="381"/>
      <c r="G36" s="381"/>
      <c r="H36" s="490"/>
      <c r="I36" s="21"/>
      <c r="J36" s="21"/>
    </row>
    <row r="37" spans="1:10" x14ac:dyDescent="0.2">
      <c r="A37" s="21"/>
      <c r="B37" s="21"/>
      <c r="C37" s="31"/>
      <c r="D37" s="32" t="s">
        <v>1444</v>
      </c>
      <c r="E37" s="32"/>
      <c r="F37" s="32"/>
      <c r="G37" s="32"/>
      <c r="H37" s="33"/>
      <c r="I37" s="21"/>
      <c r="J37" s="21"/>
    </row>
    <row r="38" spans="1:10" x14ac:dyDescent="0.2">
      <c r="A38" s="21"/>
      <c r="B38" s="21"/>
      <c r="I38" s="21"/>
      <c r="J38" s="21"/>
    </row>
    <row r="39" spans="1:10" x14ac:dyDescent="0.2">
      <c r="A39" s="21"/>
      <c r="B39" s="21"/>
      <c r="C39" s="399" t="s">
        <v>1445</v>
      </c>
      <c r="D39" s="485"/>
      <c r="E39" s="485"/>
      <c r="F39" s="485"/>
      <c r="G39" s="485"/>
      <c r="H39" s="323"/>
      <c r="I39" s="21"/>
      <c r="J39" s="21"/>
    </row>
    <row r="40" spans="1:10" x14ac:dyDescent="0.2">
      <c r="A40" s="21"/>
      <c r="B40" s="21"/>
      <c r="C40" s="484" t="s">
        <v>1446</v>
      </c>
      <c r="D40" s="28"/>
      <c r="E40" s="292"/>
      <c r="F40" s="486" t="s">
        <v>1447</v>
      </c>
      <c r="G40" s="26"/>
      <c r="H40" s="285"/>
      <c r="I40" s="21"/>
      <c r="J40" s="21"/>
    </row>
    <row r="41" spans="1:10" x14ac:dyDescent="0.2">
      <c r="A41" s="21"/>
      <c r="B41" s="21"/>
      <c r="C41" s="512">
        <v>75</v>
      </c>
      <c r="D41" s="514"/>
      <c r="E41" s="533"/>
      <c r="F41" s="536" t="s">
        <v>1448</v>
      </c>
      <c r="G41" s="536" t="s">
        <v>1449</v>
      </c>
      <c r="H41" s="540" t="s">
        <v>1448</v>
      </c>
      <c r="I41" s="21"/>
      <c r="J41" s="21"/>
    </row>
    <row r="42" spans="1:10" x14ac:dyDescent="0.2">
      <c r="A42" s="21"/>
      <c r="B42" s="21"/>
      <c r="C42" s="516">
        <v>66</v>
      </c>
      <c r="D42" s="518"/>
      <c r="E42" s="534"/>
      <c r="F42" s="537" t="s">
        <v>1448</v>
      </c>
      <c r="G42" s="537" t="s">
        <v>1448</v>
      </c>
      <c r="H42" s="541" t="s">
        <v>1450</v>
      </c>
      <c r="I42" s="21"/>
      <c r="J42" s="21"/>
    </row>
    <row r="43" spans="1:10" x14ac:dyDescent="0.2">
      <c r="A43" s="21"/>
      <c r="B43" s="21"/>
      <c r="C43" s="516">
        <v>60</v>
      </c>
      <c r="D43" s="518"/>
      <c r="E43" s="534"/>
      <c r="F43" s="537" t="s">
        <v>1448</v>
      </c>
      <c r="G43" s="537" t="s">
        <v>1451</v>
      </c>
      <c r="H43" s="541" t="s">
        <v>1448</v>
      </c>
      <c r="I43" s="21"/>
      <c r="J43" s="21"/>
    </row>
    <row r="44" spans="1:10" x14ac:dyDescent="0.2">
      <c r="A44" s="21"/>
      <c r="B44" s="21"/>
      <c r="C44" s="516">
        <v>50</v>
      </c>
      <c r="D44" s="518"/>
      <c r="E44" s="534"/>
      <c r="F44" s="538" t="s">
        <v>1452</v>
      </c>
      <c r="G44" s="537" t="s">
        <v>1453</v>
      </c>
      <c r="H44" s="541" t="s">
        <v>1454</v>
      </c>
      <c r="I44" s="21"/>
      <c r="J44" s="21"/>
    </row>
    <row r="45" spans="1:10" x14ac:dyDescent="0.2">
      <c r="A45" s="21"/>
      <c r="B45" s="21"/>
      <c r="C45" s="516">
        <v>44</v>
      </c>
      <c r="D45" s="518"/>
      <c r="E45" s="534"/>
      <c r="F45" s="537" t="s">
        <v>1448</v>
      </c>
      <c r="G45" s="537" t="s">
        <v>1448</v>
      </c>
      <c r="H45" s="541" t="s">
        <v>1455</v>
      </c>
      <c r="I45" s="21"/>
      <c r="J45" s="21"/>
    </row>
    <row r="46" spans="1:10" x14ac:dyDescent="0.2">
      <c r="A46" s="21"/>
      <c r="B46" s="21"/>
      <c r="C46" s="516">
        <v>40</v>
      </c>
      <c r="D46" s="518"/>
      <c r="E46" s="534"/>
      <c r="F46" s="537" t="s">
        <v>1456</v>
      </c>
      <c r="G46" s="537" t="s">
        <v>1448</v>
      </c>
      <c r="H46" s="541" t="s">
        <v>1457</v>
      </c>
      <c r="I46" s="21"/>
      <c r="J46" s="21"/>
    </row>
    <row r="47" spans="1:10" x14ac:dyDescent="0.2">
      <c r="A47" s="21"/>
      <c r="B47" s="21"/>
      <c r="C47" s="516">
        <v>37</v>
      </c>
      <c r="D47" s="518"/>
      <c r="E47" s="534"/>
      <c r="F47" s="537" t="s">
        <v>1448</v>
      </c>
      <c r="G47" s="537" t="s">
        <v>1458</v>
      </c>
      <c r="H47" s="541" t="s">
        <v>1448</v>
      </c>
      <c r="I47" s="21"/>
      <c r="J47" s="21"/>
    </row>
    <row r="48" spans="1:10" x14ac:dyDescent="0.2">
      <c r="A48" s="21"/>
      <c r="B48" s="21"/>
      <c r="C48" s="516">
        <v>33</v>
      </c>
      <c r="D48" s="518"/>
      <c r="E48" s="534"/>
      <c r="F48" s="537" t="s">
        <v>1459</v>
      </c>
      <c r="G48" s="537" t="s">
        <v>1460</v>
      </c>
      <c r="H48" s="541" t="s">
        <v>1461</v>
      </c>
      <c r="I48" s="21"/>
      <c r="J48" s="21"/>
    </row>
    <row r="49" spans="1:10" x14ac:dyDescent="0.2">
      <c r="A49" s="21"/>
      <c r="B49" s="21"/>
      <c r="C49" s="516">
        <v>30</v>
      </c>
      <c r="D49" s="518"/>
      <c r="E49" s="534"/>
      <c r="F49" s="537" t="s">
        <v>1448</v>
      </c>
      <c r="G49" s="537" t="s">
        <v>1462</v>
      </c>
      <c r="H49" s="541" t="s">
        <v>1448</v>
      </c>
      <c r="I49" s="21"/>
      <c r="J49" s="21"/>
    </row>
    <row r="50" spans="1:10" x14ac:dyDescent="0.2">
      <c r="A50" s="21"/>
      <c r="B50" s="21"/>
      <c r="C50" s="516">
        <v>25</v>
      </c>
      <c r="D50" s="518"/>
      <c r="E50" s="534"/>
      <c r="F50" s="537" t="s">
        <v>1463</v>
      </c>
      <c r="G50" s="537" t="s">
        <v>1464</v>
      </c>
      <c r="H50" s="541" t="s">
        <v>1448</v>
      </c>
      <c r="I50" s="21"/>
      <c r="J50" s="21"/>
    </row>
    <row r="51" spans="1:10" x14ac:dyDescent="0.2">
      <c r="A51" s="21"/>
      <c r="B51" s="21"/>
      <c r="C51" s="516">
        <v>20</v>
      </c>
      <c r="D51" s="518"/>
      <c r="E51" s="534"/>
      <c r="F51" s="537" t="s">
        <v>1465</v>
      </c>
      <c r="G51" s="537" t="s">
        <v>1448</v>
      </c>
      <c r="H51" s="541" t="s">
        <v>1448</v>
      </c>
      <c r="I51" s="21"/>
      <c r="J51" s="21"/>
    </row>
    <row r="52" spans="1:10" x14ac:dyDescent="0.2">
      <c r="A52" s="21"/>
      <c r="B52" s="21"/>
      <c r="C52" s="520">
        <v>16</v>
      </c>
      <c r="D52" s="522"/>
      <c r="E52" s="535"/>
      <c r="F52" s="539" t="s">
        <v>1466</v>
      </c>
      <c r="G52" s="539" t="s">
        <v>1448</v>
      </c>
      <c r="H52" s="542" t="s">
        <v>1448</v>
      </c>
      <c r="I52" s="21"/>
      <c r="J52" s="21"/>
    </row>
    <row r="53" spans="1:10" x14ac:dyDescent="0.2">
      <c r="A53" s="21"/>
      <c r="B53" s="21"/>
      <c r="I53" s="21"/>
      <c r="J53" s="21"/>
    </row>
    <row r="54" spans="1:10" x14ac:dyDescent="0.2">
      <c r="A54" s="21"/>
      <c r="B54" s="21"/>
      <c r="C54" s="21"/>
      <c r="D54" s="21"/>
      <c r="E54" s="21"/>
      <c r="F54" s="21"/>
      <c r="G54" s="21"/>
      <c r="H54" s="21"/>
      <c r="I54" s="21"/>
      <c r="J54" s="21"/>
    </row>
    <row r="55" spans="1:10" x14ac:dyDescent="0.2">
      <c r="A55" s="21"/>
      <c r="B55" s="21"/>
      <c r="C55" s="21"/>
      <c r="D55" s="21"/>
      <c r="E55" s="21"/>
      <c r="F55" s="21"/>
      <c r="G55" s="21"/>
      <c r="H55" s="21"/>
      <c r="I55" s="21"/>
      <c r="J55" s="21"/>
    </row>
    <row r="109" spans="1:10" x14ac:dyDescent="0.2">
      <c r="A109" s="380"/>
      <c r="B109" s="381"/>
      <c r="C109" s="381"/>
      <c r="D109" s="381"/>
      <c r="E109" s="381"/>
      <c r="F109" s="381"/>
      <c r="G109" s="381"/>
      <c r="H109" s="381"/>
      <c r="I109" s="381"/>
      <c r="J109" s="490"/>
    </row>
    <row r="110" spans="1:10" x14ac:dyDescent="0.2">
      <c r="A110" s="30"/>
      <c r="B110" s="21"/>
      <c r="C110" s="21"/>
      <c r="D110" s="21"/>
      <c r="E110" s="21"/>
      <c r="F110" s="21"/>
      <c r="G110" s="21"/>
      <c r="H110" s="21"/>
      <c r="I110" s="21"/>
      <c r="J110" s="24"/>
    </row>
    <row r="111" spans="1:10" x14ac:dyDescent="0.2">
      <c r="A111" s="30"/>
      <c r="B111" s="21"/>
      <c r="C111" s="21"/>
      <c r="D111" s="21"/>
      <c r="E111" s="21"/>
      <c r="F111" s="21"/>
      <c r="G111" s="21"/>
      <c r="H111" s="21"/>
      <c r="I111" s="21"/>
      <c r="J111" s="24"/>
    </row>
    <row r="112" spans="1:10" x14ac:dyDescent="0.2">
      <c r="A112" s="30"/>
      <c r="B112" s="21"/>
      <c r="C112" s="21"/>
      <c r="D112" s="21"/>
      <c r="E112" s="21"/>
      <c r="F112" s="21"/>
      <c r="G112" s="21"/>
      <c r="H112" s="21"/>
      <c r="I112" s="21"/>
      <c r="J112" s="24"/>
    </row>
    <row r="113" spans="1:10" x14ac:dyDescent="0.2">
      <c r="A113" s="30"/>
      <c r="B113" s="21"/>
      <c r="C113" s="21"/>
      <c r="D113" s="21"/>
      <c r="E113" s="21"/>
      <c r="F113" s="21"/>
      <c r="G113" s="21"/>
      <c r="H113" s="21"/>
      <c r="I113" s="21"/>
      <c r="J113" s="24"/>
    </row>
    <row r="114" spans="1:10" x14ac:dyDescent="0.2">
      <c r="A114" s="30"/>
      <c r="B114" s="21"/>
      <c r="C114" s="21"/>
      <c r="D114" s="21"/>
      <c r="E114" s="21"/>
      <c r="F114" s="21"/>
      <c r="G114" s="21"/>
      <c r="H114" s="21"/>
      <c r="I114" s="21"/>
      <c r="J114" s="24"/>
    </row>
    <row r="115" spans="1:10" x14ac:dyDescent="0.2">
      <c r="A115" s="30"/>
      <c r="B115" s="21"/>
      <c r="C115" s="21"/>
      <c r="D115" s="21"/>
      <c r="E115" s="21"/>
      <c r="F115" s="21"/>
      <c r="G115" s="21"/>
      <c r="H115" s="21"/>
      <c r="I115" s="21"/>
      <c r="J115" s="24"/>
    </row>
    <row r="116" spans="1:10" x14ac:dyDescent="0.2">
      <c r="A116" s="30"/>
      <c r="B116" s="21"/>
      <c r="C116" s="21"/>
      <c r="D116" s="21"/>
      <c r="E116" s="21"/>
      <c r="F116" s="21"/>
      <c r="G116" s="21"/>
      <c r="H116" s="21"/>
      <c r="I116" s="21"/>
      <c r="J116" s="24"/>
    </row>
    <row r="117" spans="1:10" x14ac:dyDescent="0.2">
      <c r="A117" s="30"/>
      <c r="B117" s="21"/>
      <c r="C117" s="21"/>
      <c r="D117" s="21"/>
      <c r="E117" s="21"/>
      <c r="F117" s="21"/>
      <c r="G117" s="21"/>
      <c r="H117" s="21"/>
      <c r="I117" s="21"/>
      <c r="J117" s="24"/>
    </row>
    <row r="118" spans="1:10" x14ac:dyDescent="0.2">
      <c r="A118" s="30"/>
      <c r="B118" s="21"/>
      <c r="C118" s="21"/>
      <c r="D118" s="21"/>
      <c r="E118" s="21"/>
      <c r="F118" s="21"/>
      <c r="G118" s="21"/>
      <c r="H118" s="21"/>
      <c r="I118" s="21"/>
      <c r="J118" s="24"/>
    </row>
    <row r="119" spans="1:10" x14ac:dyDescent="0.2">
      <c r="A119" s="30"/>
      <c r="B119" s="21"/>
      <c r="C119" s="21"/>
      <c r="D119" s="21"/>
      <c r="E119" s="21"/>
      <c r="F119" s="21"/>
      <c r="G119" s="21"/>
      <c r="H119" s="21"/>
      <c r="I119" s="21"/>
      <c r="J119" s="24"/>
    </row>
    <row r="120" spans="1:10" x14ac:dyDescent="0.2">
      <c r="A120" s="30"/>
      <c r="B120" s="21"/>
      <c r="C120" s="21"/>
      <c r="D120" s="21"/>
      <c r="E120" s="21"/>
      <c r="F120" s="21"/>
      <c r="G120" s="21"/>
      <c r="H120" s="21"/>
      <c r="I120" s="21"/>
      <c r="J120" s="24"/>
    </row>
    <row r="121" spans="1:10" x14ac:dyDescent="0.2">
      <c r="A121" s="30"/>
      <c r="B121" s="21"/>
      <c r="C121" s="21"/>
      <c r="D121" s="21"/>
      <c r="E121" s="21"/>
      <c r="F121" s="21"/>
      <c r="G121" s="21"/>
      <c r="H121" s="21"/>
      <c r="I121" s="21"/>
      <c r="J121" s="24"/>
    </row>
    <row r="122" spans="1:10" x14ac:dyDescent="0.2">
      <c r="A122" s="30"/>
      <c r="B122" s="21"/>
      <c r="C122" s="21"/>
      <c r="D122" s="21"/>
      <c r="E122" s="21"/>
      <c r="F122" s="21"/>
      <c r="G122" s="21"/>
      <c r="H122" s="21"/>
      <c r="I122" s="21"/>
      <c r="J122" s="24"/>
    </row>
    <row r="123" spans="1:10" x14ac:dyDescent="0.2">
      <c r="A123" s="30"/>
      <c r="B123" s="21"/>
      <c r="C123" s="21"/>
      <c r="D123" s="21"/>
      <c r="E123" s="21"/>
      <c r="F123" s="21"/>
      <c r="G123" s="21"/>
      <c r="H123" s="21"/>
      <c r="I123" s="21"/>
      <c r="J123" s="24"/>
    </row>
    <row r="124" spans="1:10" x14ac:dyDescent="0.2">
      <c r="A124" s="30"/>
      <c r="B124" s="21"/>
      <c r="C124" s="21"/>
      <c r="D124" s="21"/>
      <c r="E124" s="21"/>
      <c r="F124" s="21"/>
      <c r="G124" s="21"/>
      <c r="H124" s="21"/>
      <c r="I124" s="21"/>
      <c r="J124" s="24"/>
    </row>
    <row r="125" spans="1:10" x14ac:dyDescent="0.2">
      <c r="A125" s="30"/>
      <c r="B125" s="21"/>
      <c r="C125" s="21"/>
      <c r="D125" s="21"/>
      <c r="E125" s="21"/>
      <c r="F125" s="21"/>
      <c r="G125" s="21"/>
      <c r="H125" s="21"/>
      <c r="I125" s="21"/>
      <c r="J125" s="24"/>
    </row>
    <row r="126" spans="1:10" x14ac:dyDescent="0.2">
      <c r="A126" s="30"/>
      <c r="B126" s="21"/>
      <c r="C126" s="21"/>
      <c r="D126" s="21"/>
      <c r="E126" s="21"/>
      <c r="F126" s="21"/>
      <c r="G126" s="21"/>
      <c r="H126" s="21"/>
      <c r="I126" s="21"/>
      <c r="J126" s="24"/>
    </row>
    <row r="127" spans="1:10" x14ac:dyDescent="0.2">
      <c r="A127" s="30"/>
      <c r="B127" s="21"/>
      <c r="C127" s="21"/>
      <c r="D127" s="21"/>
      <c r="E127" s="21"/>
      <c r="F127" s="21"/>
      <c r="G127" s="21"/>
      <c r="H127" s="21"/>
      <c r="I127" s="21"/>
      <c r="J127" s="24"/>
    </row>
    <row r="128" spans="1:10" x14ac:dyDescent="0.2">
      <c r="A128" s="30"/>
      <c r="B128" s="21"/>
      <c r="C128" s="21"/>
      <c r="D128" s="21"/>
      <c r="E128" s="21"/>
      <c r="F128" s="21"/>
      <c r="G128" s="21"/>
      <c r="H128" s="21"/>
      <c r="I128" s="21"/>
      <c r="J128" s="24"/>
    </row>
    <row r="129" spans="1:10" x14ac:dyDescent="0.2">
      <c r="A129" s="30"/>
      <c r="B129" s="21"/>
      <c r="C129" s="21"/>
      <c r="D129" s="21"/>
      <c r="E129" s="21"/>
      <c r="F129" s="21"/>
      <c r="G129" s="21"/>
      <c r="H129" s="21"/>
      <c r="I129" s="21"/>
      <c r="J129" s="24"/>
    </row>
    <row r="130" spans="1:10" x14ac:dyDescent="0.2">
      <c r="A130" s="30"/>
      <c r="B130" s="21"/>
      <c r="C130" s="21"/>
      <c r="D130" s="21"/>
      <c r="E130" s="21"/>
      <c r="F130" s="21"/>
      <c r="G130" s="21"/>
      <c r="H130" s="21"/>
      <c r="I130" s="21"/>
      <c r="J130" s="24"/>
    </row>
    <row r="131" spans="1:10" x14ac:dyDescent="0.2">
      <c r="A131" s="30"/>
      <c r="B131" s="21"/>
      <c r="C131" s="21"/>
      <c r="D131" s="21"/>
      <c r="E131" s="21"/>
      <c r="F131" s="21"/>
      <c r="G131" s="21"/>
      <c r="H131" s="21"/>
      <c r="I131" s="21"/>
      <c r="J131" s="24"/>
    </row>
    <row r="132" spans="1:10" x14ac:dyDescent="0.2">
      <c r="A132" s="30"/>
      <c r="B132" s="21"/>
      <c r="C132" s="21"/>
      <c r="D132" s="21"/>
      <c r="E132" s="21"/>
      <c r="F132" s="21"/>
      <c r="G132" s="21"/>
      <c r="H132" s="21"/>
      <c r="I132" s="21"/>
      <c r="J132" s="24"/>
    </row>
    <row r="133" spans="1:10" x14ac:dyDescent="0.2">
      <c r="A133" s="30"/>
      <c r="B133" s="21"/>
      <c r="C133" s="21"/>
      <c r="D133" s="21"/>
      <c r="E133" s="21"/>
      <c r="F133" s="21"/>
      <c r="G133" s="21"/>
      <c r="H133" s="21"/>
      <c r="I133" s="21"/>
      <c r="J133" s="24"/>
    </row>
    <row r="134" spans="1:10" x14ac:dyDescent="0.2">
      <c r="A134" s="30"/>
      <c r="B134" s="21"/>
      <c r="C134" s="21"/>
      <c r="D134" s="21"/>
      <c r="E134" s="21"/>
      <c r="F134" s="21"/>
      <c r="G134" s="21"/>
      <c r="H134" s="21"/>
      <c r="I134" s="21"/>
      <c r="J134" s="24"/>
    </row>
    <row r="135" spans="1:10" x14ac:dyDescent="0.2">
      <c r="A135" s="30"/>
      <c r="B135" s="21"/>
      <c r="C135" s="21"/>
      <c r="D135" s="21"/>
      <c r="E135" s="21"/>
      <c r="F135" s="21"/>
      <c r="G135" s="21"/>
      <c r="H135" s="21"/>
      <c r="I135" s="21"/>
      <c r="J135" s="24"/>
    </row>
    <row r="136" spans="1:10" x14ac:dyDescent="0.2">
      <c r="A136" s="30"/>
      <c r="B136" s="21"/>
      <c r="C136" s="21"/>
      <c r="D136" s="21"/>
      <c r="E136" s="21"/>
      <c r="F136" s="21"/>
      <c r="G136" s="21"/>
      <c r="H136" s="21"/>
      <c r="I136" s="21"/>
      <c r="J136" s="24"/>
    </row>
    <row r="137" spans="1:10" x14ac:dyDescent="0.2">
      <c r="A137" s="30"/>
      <c r="B137" s="21"/>
      <c r="C137" s="21"/>
      <c r="D137" s="21"/>
      <c r="E137" s="21"/>
      <c r="F137" s="21"/>
      <c r="G137" s="21"/>
      <c r="H137" s="21"/>
      <c r="I137" s="21"/>
      <c r="J137" s="24"/>
    </row>
    <row r="138" spans="1:10" x14ac:dyDescent="0.2">
      <c r="A138" s="30"/>
      <c r="B138" s="21"/>
      <c r="C138" s="21"/>
      <c r="D138" s="21"/>
      <c r="E138" s="21"/>
      <c r="F138" s="21"/>
      <c r="G138" s="21"/>
      <c r="H138" s="21"/>
      <c r="I138" s="21"/>
      <c r="J138" s="24"/>
    </row>
    <row r="139" spans="1:10" x14ac:dyDescent="0.2">
      <c r="A139" s="30"/>
      <c r="B139" s="21"/>
      <c r="C139" s="21"/>
      <c r="D139" s="21"/>
      <c r="E139" s="21"/>
      <c r="F139" s="21"/>
      <c r="G139" s="21"/>
      <c r="H139" s="21"/>
      <c r="I139" s="21"/>
      <c r="J139" s="24"/>
    </row>
    <row r="140" spans="1:10" x14ac:dyDescent="0.2">
      <c r="A140" s="30"/>
      <c r="B140" s="21"/>
      <c r="C140" s="21"/>
      <c r="D140" s="21"/>
      <c r="E140" s="21"/>
      <c r="F140" s="21"/>
      <c r="G140" s="21"/>
      <c r="H140" s="21"/>
      <c r="I140" s="21"/>
      <c r="J140" s="24"/>
    </row>
    <row r="141" spans="1:10" x14ac:dyDescent="0.2">
      <c r="A141" s="30"/>
      <c r="B141" s="21"/>
      <c r="C141" s="21"/>
      <c r="D141" s="21"/>
      <c r="E141" s="21"/>
      <c r="F141" s="21"/>
      <c r="G141" s="21"/>
      <c r="H141" s="21"/>
      <c r="I141" s="21"/>
      <c r="J141" s="24"/>
    </row>
    <row r="142" spans="1:10" x14ac:dyDescent="0.2">
      <c r="A142" s="30"/>
      <c r="B142" s="21"/>
      <c r="C142" s="21"/>
      <c r="D142" s="21"/>
      <c r="E142" s="21"/>
      <c r="F142" s="21"/>
      <c r="G142" s="21"/>
      <c r="H142" s="21"/>
      <c r="I142" s="21"/>
      <c r="J142" s="24"/>
    </row>
    <row r="143" spans="1:10" x14ac:dyDescent="0.2">
      <c r="A143" s="30"/>
      <c r="B143" s="21"/>
      <c r="C143" s="21"/>
      <c r="D143" s="21"/>
      <c r="E143" s="21"/>
      <c r="F143" s="21"/>
      <c r="G143" s="21"/>
      <c r="H143" s="21"/>
      <c r="I143" s="21"/>
      <c r="J143" s="24"/>
    </row>
    <row r="144" spans="1:10" x14ac:dyDescent="0.2">
      <c r="A144" s="30"/>
      <c r="B144" s="21"/>
      <c r="C144" s="21"/>
      <c r="D144" s="21"/>
      <c r="E144" s="21"/>
      <c r="F144" s="21"/>
      <c r="G144" s="21"/>
      <c r="H144" s="21"/>
      <c r="I144" s="21"/>
      <c r="J144" s="24"/>
    </row>
    <row r="145" spans="1:10" x14ac:dyDescent="0.2">
      <c r="A145" s="30"/>
      <c r="B145" s="21"/>
      <c r="C145" s="21"/>
      <c r="D145" s="21"/>
      <c r="E145" s="21"/>
      <c r="F145" s="21"/>
      <c r="G145" s="21"/>
      <c r="H145" s="21"/>
      <c r="I145" s="21"/>
      <c r="J145" s="24"/>
    </row>
    <row r="146" spans="1:10" x14ac:dyDescent="0.2">
      <c r="A146" s="30"/>
      <c r="B146" s="21"/>
      <c r="C146" s="21"/>
      <c r="D146" s="21"/>
      <c r="E146" s="21"/>
      <c r="F146" s="21"/>
      <c r="G146" s="21"/>
      <c r="H146" s="21"/>
      <c r="I146" s="21"/>
      <c r="J146" s="24"/>
    </row>
    <row r="147" spans="1:10" x14ac:dyDescent="0.2">
      <c r="A147" s="30"/>
      <c r="B147" s="21"/>
      <c r="C147" s="21"/>
      <c r="D147" s="21"/>
      <c r="E147" s="21"/>
      <c r="F147" s="21"/>
      <c r="G147" s="21"/>
      <c r="H147" s="21"/>
      <c r="I147" s="21"/>
      <c r="J147" s="24"/>
    </row>
    <row r="148" spans="1:10" x14ac:dyDescent="0.2">
      <c r="A148" s="30"/>
      <c r="B148" s="21"/>
      <c r="C148" s="21"/>
      <c r="D148" s="21"/>
      <c r="E148" s="21"/>
      <c r="F148" s="21"/>
      <c r="G148" s="21"/>
      <c r="H148" s="21"/>
      <c r="I148" s="21"/>
      <c r="J148" s="24"/>
    </row>
    <row r="149" spans="1:10" x14ac:dyDescent="0.2">
      <c r="A149" s="30"/>
      <c r="B149" s="21"/>
      <c r="C149" s="21"/>
      <c r="D149" s="21"/>
      <c r="E149" s="21"/>
      <c r="F149" s="21"/>
      <c r="G149" s="21"/>
      <c r="H149" s="21"/>
      <c r="I149" s="21"/>
      <c r="J149" s="24"/>
    </row>
    <row r="150" spans="1:10" x14ac:dyDescent="0.2">
      <c r="A150" s="30"/>
      <c r="B150" s="21"/>
      <c r="C150" s="21"/>
      <c r="D150" s="21"/>
      <c r="E150" s="21"/>
      <c r="F150" s="21"/>
      <c r="G150" s="21"/>
      <c r="H150" s="21"/>
      <c r="I150" s="21"/>
      <c r="J150" s="24"/>
    </row>
    <row r="151" spans="1:10" x14ac:dyDescent="0.2">
      <c r="A151" s="30"/>
      <c r="B151" s="21"/>
      <c r="C151" s="21"/>
      <c r="D151" s="21"/>
      <c r="E151" s="21"/>
      <c r="F151" s="21"/>
      <c r="G151" s="21"/>
      <c r="H151" s="21"/>
      <c r="I151" s="21"/>
      <c r="J151" s="24"/>
    </row>
    <row r="152" spans="1:10" x14ac:dyDescent="0.2">
      <c r="A152" s="30"/>
      <c r="B152" s="21"/>
      <c r="C152" s="21"/>
      <c r="D152" s="21"/>
      <c r="E152" s="21"/>
      <c r="F152" s="21"/>
      <c r="G152" s="21"/>
      <c r="H152" s="21"/>
      <c r="I152" s="21"/>
      <c r="J152" s="24"/>
    </row>
    <row r="153" spans="1:10" x14ac:dyDescent="0.2">
      <c r="A153" s="30"/>
      <c r="B153" s="21"/>
      <c r="C153" s="21"/>
      <c r="D153" s="21"/>
      <c r="E153" s="21"/>
      <c r="F153" s="21"/>
      <c r="G153" s="21"/>
      <c r="H153" s="21"/>
      <c r="I153" s="21"/>
      <c r="J153" s="24"/>
    </row>
    <row r="154" spans="1:10" x14ac:dyDescent="0.2">
      <c r="A154" s="30"/>
      <c r="B154" s="21"/>
      <c r="C154" s="21"/>
      <c r="D154" s="21"/>
      <c r="E154" s="21"/>
      <c r="F154" s="21"/>
      <c r="G154" s="21"/>
      <c r="H154" s="21"/>
      <c r="I154" s="21"/>
      <c r="J154" s="24"/>
    </row>
    <row r="155" spans="1:10" x14ac:dyDescent="0.2">
      <c r="A155" s="30"/>
      <c r="B155" s="21"/>
      <c r="C155" s="21"/>
      <c r="D155" s="21"/>
      <c r="E155" s="21"/>
      <c r="F155" s="21"/>
      <c r="G155" s="21"/>
      <c r="H155" s="21"/>
      <c r="I155" s="21"/>
      <c r="J155" s="24"/>
    </row>
    <row r="156" spans="1:10" x14ac:dyDescent="0.2">
      <c r="A156" s="30"/>
      <c r="B156" s="21"/>
      <c r="C156" s="21"/>
      <c r="D156" s="21"/>
      <c r="E156" s="21"/>
      <c r="F156" s="21"/>
      <c r="G156" s="21"/>
      <c r="H156" s="21"/>
      <c r="I156" s="21"/>
      <c r="J156" s="24"/>
    </row>
    <row r="157" spans="1:10" x14ac:dyDescent="0.2">
      <c r="A157" s="30"/>
      <c r="B157" s="21"/>
      <c r="C157" s="21"/>
      <c r="D157" s="21"/>
      <c r="E157" s="21"/>
      <c r="F157" s="21"/>
      <c r="G157" s="21"/>
      <c r="H157" s="21"/>
      <c r="I157" s="21"/>
      <c r="J157" s="24"/>
    </row>
    <row r="158" spans="1:10" x14ac:dyDescent="0.2">
      <c r="A158" s="30"/>
      <c r="B158" s="21"/>
      <c r="C158" s="21"/>
      <c r="D158" s="21"/>
      <c r="E158" s="21"/>
      <c r="F158" s="21"/>
      <c r="G158" s="21"/>
      <c r="H158" s="21"/>
      <c r="I158" s="21"/>
      <c r="J158" s="24"/>
    </row>
    <row r="159" spans="1:10" x14ac:dyDescent="0.2">
      <c r="A159" s="30"/>
      <c r="B159" s="21"/>
      <c r="C159" s="21"/>
      <c r="D159" s="21"/>
      <c r="E159" s="21"/>
      <c r="F159" s="21"/>
      <c r="G159" s="21"/>
      <c r="H159" s="21"/>
      <c r="I159" s="21"/>
      <c r="J159" s="24"/>
    </row>
    <row r="160" spans="1:10" x14ac:dyDescent="0.2">
      <c r="A160" s="30"/>
      <c r="B160" s="21"/>
      <c r="C160" s="21"/>
      <c r="D160" s="21"/>
      <c r="E160" s="21"/>
      <c r="F160" s="21"/>
      <c r="G160" s="21"/>
      <c r="H160" s="21"/>
      <c r="I160" s="21"/>
      <c r="J160" s="24"/>
    </row>
    <row r="161" spans="1:10" x14ac:dyDescent="0.2">
      <c r="A161" s="30"/>
      <c r="B161" s="21"/>
      <c r="C161" s="21"/>
      <c r="D161" s="21"/>
      <c r="E161" s="21"/>
      <c r="F161" s="21"/>
      <c r="G161" s="21"/>
      <c r="H161" s="21"/>
      <c r="I161" s="21"/>
      <c r="J161" s="24"/>
    </row>
    <row r="162" spans="1:10" x14ac:dyDescent="0.2">
      <c r="A162" s="31"/>
      <c r="B162" s="32"/>
      <c r="C162" s="32"/>
      <c r="D162" s="32"/>
      <c r="E162" s="32"/>
      <c r="F162" s="32"/>
      <c r="G162" s="32"/>
      <c r="H162" s="32"/>
      <c r="I162" s="32"/>
      <c r="J162" s="33"/>
    </row>
    <row r="163" spans="1:10" x14ac:dyDescent="0.2">
      <c r="A163" s="380"/>
      <c r="B163" s="381"/>
      <c r="C163" s="381"/>
      <c r="D163" s="381"/>
      <c r="E163" s="381"/>
      <c r="F163" s="381"/>
      <c r="G163" s="381"/>
      <c r="H163" s="381"/>
      <c r="I163" s="381"/>
      <c r="J163" s="490"/>
    </row>
    <row r="164" spans="1:10" x14ac:dyDescent="0.2">
      <c r="A164" s="30"/>
      <c r="B164" s="21"/>
      <c r="C164" s="21"/>
      <c r="D164" s="21"/>
      <c r="E164" s="21"/>
      <c r="F164" s="21"/>
      <c r="G164" s="21"/>
      <c r="H164" s="21"/>
      <c r="I164" s="21"/>
      <c r="J164" s="24"/>
    </row>
    <row r="165" spans="1:10" x14ac:dyDescent="0.2">
      <c r="A165" s="30"/>
      <c r="B165" s="21"/>
      <c r="C165" s="21"/>
      <c r="D165" s="21"/>
      <c r="E165" s="21"/>
      <c r="F165" s="21"/>
      <c r="G165" s="21"/>
      <c r="H165" s="21"/>
      <c r="I165" s="21"/>
      <c r="J165" s="24"/>
    </row>
    <row r="166" spans="1:10" x14ac:dyDescent="0.2">
      <c r="A166" s="30"/>
      <c r="B166" s="21"/>
      <c r="C166" s="21"/>
      <c r="D166" s="21"/>
      <c r="E166" s="21"/>
      <c r="F166" s="21"/>
      <c r="G166" s="21"/>
      <c r="H166" s="21"/>
      <c r="I166" s="21"/>
      <c r="J166" s="24"/>
    </row>
    <row r="167" spans="1:10" x14ac:dyDescent="0.2">
      <c r="A167" s="30"/>
      <c r="B167" s="21"/>
      <c r="C167" s="21"/>
      <c r="D167" s="21"/>
      <c r="E167" s="21"/>
      <c r="F167" s="21"/>
      <c r="G167" s="21"/>
      <c r="H167" s="21"/>
      <c r="I167" s="21"/>
      <c r="J167" s="24"/>
    </row>
    <row r="168" spans="1:10" x14ac:dyDescent="0.2">
      <c r="A168" s="30"/>
      <c r="B168" s="21"/>
      <c r="C168" s="21"/>
      <c r="D168" s="21"/>
      <c r="E168" s="21"/>
      <c r="F168" s="21"/>
      <c r="G168" s="21"/>
      <c r="H168" s="21"/>
      <c r="I168" s="21"/>
      <c r="J168" s="24"/>
    </row>
    <row r="169" spans="1:10" x14ac:dyDescent="0.2">
      <c r="A169" s="30"/>
      <c r="B169" s="21"/>
      <c r="C169" s="21"/>
      <c r="D169" s="21"/>
      <c r="E169" s="21"/>
      <c r="F169" s="21"/>
      <c r="G169" s="21"/>
      <c r="H169" s="21"/>
      <c r="I169" s="21"/>
      <c r="J169" s="24"/>
    </row>
    <row r="170" spans="1:10" x14ac:dyDescent="0.2">
      <c r="A170" s="30"/>
      <c r="B170" s="21"/>
      <c r="C170" s="21"/>
      <c r="D170" s="21"/>
      <c r="E170" s="21"/>
      <c r="F170" s="21"/>
      <c r="G170" s="21"/>
      <c r="H170" s="21"/>
      <c r="I170" s="21"/>
      <c r="J170" s="24"/>
    </row>
    <row r="171" spans="1:10" x14ac:dyDescent="0.2">
      <c r="A171" s="30"/>
      <c r="B171" s="21"/>
      <c r="C171" s="21"/>
      <c r="D171" s="21"/>
      <c r="E171" s="21"/>
      <c r="F171" s="21"/>
      <c r="G171" s="21"/>
      <c r="H171" s="21"/>
      <c r="I171" s="21"/>
      <c r="J171" s="24"/>
    </row>
    <row r="172" spans="1:10" x14ac:dyDescent="0.2">
      <c r="A172" s="30"/>
      <c r="B172" s="21"/>
      <c r="C172" s="21"/>
      <c r="D172" s="21"/>
      <c r="E172" s="21"/>
      <c r="F172" s="21"/>
      <c r="G172" s="21"/>
      <c r="H172" s="21"/>
      <c r="I172" s="21"/>
      <c r="J172" s="24"/>
    </row>
    <row r="173" spans="1:10" x14ac:dyDescent="0.2">
      <c r="A173" s="30"/>
      <c r="B173" s="21"/>
      <c r="C173" s="21"/>
      <c r="D173" s="21"/>
      <c r="E173" s="21"/>
      <c r="F173" s="21"/>
      <c r="G173" s="21"/>
      <c r="H173" s="21"/>
      <c r="I173" s="21"/>
      <c r="J173" s="24"/>
    </row>
    <row r="174" spans="1:10" x14ac:dyDescent="0.2">
      <c r="A174" s="30"/>
      <c r="B174" s="21"/>
      <c r="C174" s="21"/>
      <c r="D174" s="21"/>
      <c r="E174" s="21"/>
      <c r="F174" s="21"/>
      <c r="G174" s="21"/>
      <c r="H174" s="21"/>
      <c r="I174" s="21"/>
      <c r="J174" s="24"/>
    </row>
    <row r="175" spans="1:10" x14ac:dyDescent="0.2">
      <c r="A175" s="30"/>
      <c r="B175" s="21"/>
      <c r="C175" s="21"/>
      <c r="D175" s="21"/>
      <c r="E175" s="21"/>
      <c r="F175" s="21"/>
      <c r="G175" s="21"/>
      <c r="H175" s="21"/>
      <c r="I175" s="21"/>
      <c r="J175" s="24"/>
    </row>
    <row r="176" spans="1:10" x14ac:dyDescent="0.2">
      <c r="A176" s="30"/>
      <c r="B176" s="21"/>
      <c r="C176" s="21"/>
      <c r="D176" s="21"/>
      <c r="E176" s="21"/>
      <c r="F176" s="21"/>
      <c r="G176" s="21"/>
      <c r="H176" s="21"/>
      <c r="I176" s="21"/>
      <c r="J176" s="24"/>
    </row>
    <row r="177" spans="1:10" x14ac:dyDescent="0.2">
      <c r="A177" s="30"/>
      <c r="B177" s="21"/>
      <c r="C177" s="21"/>
      <c r="D177" s="21"/>
      <c r="E177" s="21"/>
      <c r="F177" s="21"/>
      <c r="G177" s="21"/>
      <c r="H177" s="21"/>
      <c r="I177" s="21"/>
      <c r="J177" s="24"/>
    </row>
    <row r="178" spans="1:10" x14ac:dyDescent="0.2">
      <c r="A178" s="30"/>
      <c r="B178" s="21"/>
      <c r="C178" s="21"/>
      <c r="D178" s="21"/>
      <c r="E178" s="21"/>
      <c r="F178" s="21"/>
      <c r="G178" s="21"/>
      <c r="H178" s="21"/>
      <c r="I178" s="21"/>
      <c r="J178" s="24"/>
    </row>
    <row r="179" spans="1:10" x14ac:dyDescent="0.2">
      <c r="A179" s="30"/>
      <c r="B179" s="21"/>
      <c r="C179" s="21"/>
      <c r="D179" s="21"/>
      <c r="E179" s="21"/>
      <c r="F179" s="21"/>
      <c r="G179" s="21"/>
      <c r="H179" s="21"/>
      <c r="I179" s="21"/>
      <c r="J179" s="24"/>
    </row>
    <row r="180" spans="1:10" x14ac:dyDescent="0.2">
      <c r="A180" s="30"/>
      <c r="B180" s="21"/>
      <c r="C180" s="21"/>
      <c r="D180" s="21"/>
      <c r="E180" s="21"/>
      <c r="F180" s="21"/>
      <c r="G180" s="21"/>
      <c r="H180" s="21"/>
      <c r="I180" s="21"/>
      <c r="J180" s="24"/>
    </row>
    <row r="181" spans="1:10" x14ac:dyDescent="0.2">
      <c r="A181" s="30"/>
      <c r="B181" s="21"/>
      <c r="C181" s="21"/>
      <c r="D181" s="21"/>
      <c r="E181" s="21"/>
      <c r="F181" s="21"/>
      <c r="G181" s="21"/>
      <c r="H181" s="21"/>
      <c r="I181" s="21"/>
      <c r="J181" s="24"/>
    </row>
    <row r="182" spans="1:10" x14ac:dyDescent="0.2">
      <c r="A182" s="30"/>
      <c r="B182" s="21"/>
      <c r="C182" s="21"/>
      <c r="D182" s="21"/>
      <c r="E182" s="21"/>
      <c r="F182" s="21"/>
      <c r="G182" s="21"/>
      <c r="H182" s="21"/>
      <c r="I182" s="21"/>
      <c r="J182" s="24"/>
    </row>
    <row r="183" spans="1:10" x14ac:dyDescent="0.2">
      <c r="A183" s="30"/>
      <c r="B183" s="21"/>
      <c r="C183" s="21"/>
      <c r="D183" s="21"/>
      <c r="E183" s="21"/>
      <c r="F183" s="21"/>
      <c r="G183" s="21"/>
      <c r="H183" s="21"/>
      <c r="I183" s="21"/>
      <c r="J183" s="24"/>
    </row>
    <row r="184" spans="1:10" x14ac:dyDescent="0.2">
      <c r="A184" s="30"/>
      <c r="B184" s="21"/>
      <c r="C184" s="21"/>
      <c r="D184" s="21"/>
      <c r="E184" s="21"/>
      <c r="F184" s="21"/>
      <c r="G184" s="21"/>
      <c r="H184" s="21"/>
      <c r="I184" s="21"/>
      <c r="J184" s="24"/>
    </row>
    <row r="185" spans="1:10" x14ac:dyDescent="0.2">
      <c r="A185" s="30"/>
      <c r="B185" s="21"/>
      <c r="C185" s="21"/>
      <c r="D185" s="21"/>
      <c r="E185" s="21"/>
      <c r="F185" s="21"/>
      <c r="G185" s="21"/>
      <c r="H185" s="21"/>
      <c r="I185" s="21"/>
      <c r="J185" s="24"/>
    </row>
    <row r="186" spans="1:10" x14ac:dyDescent="0.2">
      <c r="A186" s="30"/>
      <c r="B186" s="21"/>
      <c r="C186" s="21"/>
      <c r="D186" s="21"/>
      <c r="E186" s="21"/>
      <c r="F186" s="21"/>
      <c r="G186" s="21"/>
      <c r="H186" s="21"/>
      <c r="I186" s="21"/>
      <c r="J186" s="24"/>
    </row>
    <row r="187" spans="1:10" x14ac:dyDescent="0.2">
      <c r="A187" s="30"/>
      <c r="B187" s="21"/>
      <c r="C187" s="21"/>
      <c r="D187" s="21"/>
      <c r="E187" s="21"/>
      <c r="F187" s="21"/>
      <c r="G187" s="21"/>
      <c r="H187" s="21"/>
      <c r="I187" s="21"/>
      <c r="J187" s="24"/>
    </row>
    <row r="188" spans="1:10" x14ac:dyDescent="0.2">
      <c r="A188" s="30"/>
      <c r="B188" s="21"/>
      <c r="C188" s="21"/>
      <c r="D188" s="21"/>
      <c r="E188" s="21"/>
      <c r="F188" s="21"/>
      <c r="G188" s="21"/>
      <c r="H188" s="21"/>
      <c r="I188" s="21"/>
      <c r="J188" s="24"/>
    </row>
    <row r="189" spans="1:10" x14ac:dyDescent="0.2">
      <c r="A189" s="30"/>
      <c r="B189" s="21"/>
      <c r="C189" s="21"/>
      <c r="D189" s="21"/>
      <c r="E189" s="21"/>
      <c r="F189" s="21"/>
      <c r="G189" s="21"/>
      <c r="H189" s="21"/>
      <c r="I189" s="21"/>
      <c r="J189" s="24"/>
    </row>
    <row r="190" spans="1:10" x14ac:dyDescent="0.2">
      <c r="A190" s="30"/>
      <c r="B190" s="21"/>
      <c r="C190" s="21"/>
      <c r="D190" s="21"/>
      <c r="E190" s="21"/>
      <c r="F190" s="21"/>
      <c r="G190" s="21"/>
      <c r="H190" s="21"/>
      <c r="I190" s="21"/>
      <c r="J190" s="24"/>
    </row>
    <row r="191" spans="1:10" x14ac:dyDescent="0.2">
      <c r="A191" s="30"/>
      <c r="B191" s="21"/>
      <c r="C191" s="21"/>
      <c r="D191" s="21"/>
      <c r="E191" s="21"/>
      <c r="F191" s="21"/>
      <c r="G191" s="21"/>
      <c r="H191" s="21"/>
      <c r="I191" s="21"/>
      <c r="J191" s="24"/>
    </row>
    <row r="192" spans="1:10" x14ac:dyDescent="0.2">
      <c r="A192" s="30"/>
      <c r="B192" s="21"/>
      <c r="C192" s="21"/>
      <c r="D192" s="21"/>
      <c r="E192" s="21"/>
      <c r="F192" s="21"/>
      <c r="G192" s="21"/>
      <c r="H192" s="21"/>
      <c r="I192" s="21"/>
      <c r="J192" s="24"/>
    </row>
    <row r="193" spans="1:10" x14ac:dyDescent="0.2">
      <c r="A193" s="30"/>
      <c r="B193" s="21"/>
      <c r="C193" s="21"/>
      <c r="D193" s="21"/>
      <c r="E193" s="21"/>
      <c r="F193" s="21"/>
      <c r="G193" s="21"/>
      <c r="H193" s="21"/>
      <c r="I193" s="21"/>
      <c r="J193" s="24"/>
    </row>
    <row r="194" spans="1:10" x14ac:dyDescent="0.2">
      <c r="A194" s="30"/>
      <c r="B194" s="21"/>
      <c r="C194" s="21"/>
      <c r="D194" s="21"/>
      <c r="E194" s="21"/>
      <c r="F194" s="21"/>
      <c r="G194" s="21"/>
      <c r="H194" s="21"/>
      <c r="I194" s="21"/>
      <c r="J194" s="24"/>
    </row>
    <row r="195" spans="1:10" x14ac:dyDescent="0.2">
      <c r="A195" s="30"/>
      <c r="B195" s="21"/>
      <c r="C195" s="21"/>
      <c r="D195" s="21"/>
      <c r="E195" s="21"/>
      <c r="F195" s="21"/>
      <c r="G195" s="21"/>
      <c r="H195" s="21"/>
      <c r="I195" s="21"/>
      <c r="J195" s="24"/>
    </row>
    <row r="196" spans="1:10" x14ac:dyDescent="0.2">
      <c r="A196" s="30"/>
      <c r="B196" s="21"/>
      <c r="C196" s="21"/>
      <c r="D196" s="21"/>
      <c r="E196" s="21"/>
      <c r="F196" s="21"/>
      <c r="G196" s="21"/>
      <c r="H196" s="21"/>
      <c r="I196" s="21"/>
      <c r="J196" s="24"/>
    </row>
    <row r="197" spans="1:10" x14ac:dyDescent="0.2">
      <c r="A197" s="30"/>
      <c r="B197" s="21"/>
      <c r="C197" s="21"/>
      <c r="D197" s="21"/>
      <c r="E197" s="21"/>
      <c r="F197" s="21"/>
      <c r="G197" s="21"/>
      <c r="H197" s="21"/>
      <c r="I197" s="21"/>
      <c r="J197" s="24"/>
    </row>
    <row r="198" spans="1:10" x14ac:dyDescent="0.2">
      <c r="A198" s="30"/>
      <c r="B198" s="21"/>
      <c r="C198" s="21"/>
      <c r="D198" s="21"/>
      <c r="E198" s="21"/>
      <c r="F198" s="21"/>
      <c r="G198" s="21"/>
      <c r="H198" s="21"/>
      <c r="I198" s="21"/>
      <c r="J198" s="24"/>
    </row>
    <row r="199" spans="1:10" x14ac:dyDescent="0.2">
      <c r="A199" s="30"/>
      <c r="B199" s="21"/>
      <c r="C199" s="21"/>
      <c r="D199" s="21"/>
      <c r="E199" s="21"/>
      <c r="F199" s="21"/>
      <c r="G199" s="21"/>
      <c r="H199" s="21"/>
      <c r="I199" s="21"/>
      <c r="J199" s="24"/>
    </row>
    <row r="200" spans="1:10" x14ac:dyDescent="0.2">
      <c r="A200" s="30"/>
      <c r="B200" s="21"/>
      <c r="C200" s="21"/>
      <c r="D200" s="21"/>
      <c r="E200" s="21"/>
      <c r="F200" s="21"/>
      <c r="G200" s="21"/>
      <c r="H200" s="21"/>
      <c r="I200" s="21"/>
      <c r="J200" s="24"/>
    </row>
    <row r="201" spans="1:10" x14ac:dyDescent="0.2">
      <c r="A201" s="30"/>
      <c r="B201" s="21"/>
      <c r="C201" s="21"/>
      <c r="D201" s="21"/>
      <c r="E201" s="21"/>
      <c r="F201" s="21"/>
      <c r="G201" s="21"/>
      <c r="H201" s="21"/>
      <c r="I201" s="21"/>
      <c r="J201" s="24"/>
    </row>
    <row r="202" spans="1:10" x14ac:dyDescent="0.2">
      <c r="A202" s="30"/>
      <c r="B202" s="21"/>
      <c r="C202" s="21"/>
      <c r="D202" s="21"/>
      <c r="E202" s="21"/>
      <c r="F202" s="21"/>
      <c r="G202" s="21"/>
      <c r="H202" s="21"/>
      <c r="I202" s="21"/>
      <c r="J202" s="24"/>
    </row>
    <row r="203" spans="1:10" x14ac:dyDescent="0.2">
      <c r="A203" s="30"/>
      <c r="B203" s="21"/>
      <c r="C203" s="21"/>
      <c r="D203" s="21"/>
      <c r="E203" s="21"/>
      <c r="F203" s="21"/>
      <c r="G203" s="21"/>
      <c r="H203" s="21"/>
      <c r="I203" s="21"/>
      <c r="J203" s="24"/>
    </row>
    <row r="204" spans="1:10" x14ac:dyDescent="0.2">
      <c r="A204" s="30"/>
      <c r="B204" s="21"/>
      <c r="C204" s="21"/>
      <c r="D204" s="21"/>
      <c r="E204" s="21"/>
      <c r="F204" s="21"/>
      <c r="G204" s="21"/>
      <c r="H204" s="21"/>
      <c r="I204" s="21"/>
      <c r="J204" s="24"/>
    </row>
    <row r="205" spans="1:10" x14ac:dyDescent="0.2">
      <c r="A205" s="30"/>
      <c r="B205" s="21"/>
      <c r="C205" s="21"/>
      <c r="D205" s="21"/>
      <c r="E205" s="21"/>
      <c r="F205" s="21"/>
      <c r="G205" s="21"/>
      <c r="H205" s="21"/>
      <c r="I205" s="21"/>
      <c r="J205" s="24"/>
    </row>
    <row r="206" spans="1:10" x14ac:dyDescent="0.2">
      <c r="A206" s="30"/>
      <c r="B206" s="21"/>
      <c r="C206" s="21"/>
      <c r="D206" s="21"/>
      <c r="E206" s="21"/>
      <c r="F206" s="21"/>
      <c r="G206" s="21"/>
      <c r="H206" s="21"/>
      <c r="I206" s="21"/>
      <c r="J206" s="24"/>
    </row>
    <row r="207" spans="1:10" x14ac:dyDescent="0.2">
      <c r="A207" s="30"/>
      <c r="B207" s="21"/>
      <c r="C207" s="21"/>
      <c r="D207" s="21"/>
      <c r="E207" s="21"/>
      <c r="F207" s="21"/>
      <c r="G207" s="21"/>
      <c r="H207" s="21"/>
      <c r="I207" s="21"/>
      <c r="J207" s="24"/>
    </row>
    <row r="208" spans="1:10" x14ac:dyDescent="0.2">
      <c r="A208" s="30"/>
      <c r="B208" s="21"/>
      <c r="C208" s="21"/>
      <c r="D208" s="21"/>
      <c r="E208" s="21"/>
      <c r="F208" s="21"/>
      <c r="G208" s="21"/>
      <c r="H208" s="21"/>
      <c r="I208" s="21"/>
      <c r="J208" s="24"/>
    </row>
    <row r="209" spans="1:10" x14ac:dyDescent="0.2">
      <c r="A209" s="30"/>
      <c r="B209" s="21"/>
      <c r="C209" s="21"/>
      <c r="D209" s="21"/>
      <c r="E209" s="21"/>
      <c r="F209" s="21"/>
      <c r="G209" s="21"/>
      <c r="H209" s="21"/>
      <c r="I209" s="21"/>
      <c r="J209" s="24"/>
    </row>
    <row r="210" spans="1:10" x14ac:dyDescent="0.2">
      <c r="A210" s="30"/>
      <c r="B210" s="21"/>
      <c r="C210" s="21"/>
      <c r="D210" s="21"/>
      <c r="E210" s="21"/>
      <c r="F210" s="21"/>
      <c r="G210" s="21"/>
      <c r="H210" s="21"/>
      <c r="I210" s="21"/>
      <c r="J210" s="24"/>
    </row>
    <row r="211" spans="1:10" x14ac:dyDescent="0.2">
      <c r="A211" s="30"/>
      <c r="B211" s="21"/>
      <c r="C211" s="21"/>
      <c r="D211" s="21"/>
      <c r="E211" s="21"/>
      <c r="F211" s="21"/>
      <c r="G211" s="21"/>
      <c r="H211" s="21"/>
      <c r="I211" s="21"/>
      <c r="J211" s="24"/>
    </row>
    <row r="212" spans="1:10" x14ac:dyDescent="0.2">
      <c r="A212" s="30"/>
      <c r="B212" s="21"/>
      <c r="C212" s="21"/>
      <c r="D212" s="21"/>
      <c r="E212" s="21"/>
      <c r="F212" s="21"/>
      <c r="G212" s="21"/>
      <c r="H212" s="21"/>
      <c r="I212" s="21"/>
      <c r="J212" s="24"/>
    </row>
    <row r="213" spans="1:10" x14ac:dyDescent="0.2">
      <c r="A213" s="30"/>
      <c r="B213" s="21"/>
      <c r="C213" s="21"/>
      <c r="D213" s="21"/>
      <c r="E213" s="21"/>
      <c r="F213" s="21"/>
      <c r="G213" s="21"/>
      <c r="H213" s="21"/>
      <c r="I213" s="21"/>
      <c r="J213" s="24"/>
    </row>
    <row r="214" spans="1:10" x14ac:dyDescent="0.2">
      <c r="A214" s="30"/>
      <c r="B214" s="21"/>
      <c r="C214" s="21"/>
      <c r="D214" s="21"/>
      <c r="E214" s="21"/>
      <c r="F214" s="21"/>
      <c r="G214" s="21"/>
      <c r="H214" s="21"/>
      <c r="I214" s="21"/>
      <c r="J214" s="24"/>
    </row>
    <row r="215" spans="1:10" x14ac:dyDescent="0.2">
      <c r="A215" s="30"/>
      <c r="B215" s="21"/>
      <c r="C215" s="21"/>
      <c r="D215" s="21"/>
      <c r="E215" s="21"/>
      <c r="F215" s="21"/>
      <c r="G215" s="21"/>
      <c r="H215" s="21"/>
      <c r="I215" s="21"/>
      <c r="J215" s="24"/>
    </row>
    <row r="216" spans="1:10" x14ac:dyDescent="0.2">
      <c r="A216" s="31"/>
      <c r="B216" s="32"/>
      <c r="C216" s="32"/>
      <c r="D216" s="32"/>
      <c r="E216" s="32"/>
      <c r="F216" s="32"/>
      <c r="G216" s="32"/>
      <c r="H216" s="32"/>
      <c r="I216" s="32"/>
      <c r="J216" s="33"/>
    </row>
  </sheetData>
  <sheetProtection sheet="1" objects="1" scenarios="1"/>
  <phoneticPr fontId="0" type="noConversion"/>
  <pageMargins left="1" right="0.5" top="1" bottom="1" header="0.5" footer="0.5"/>
  <pageSetup scale="92" orientation="portrait" r:id="rId1"/>
  <headerFooter alignWithMargins="0"/>
  <rowBreaks count="4" manualBreakCount="4">
    <brk id="54" max="9" man="1"/>
    <brk id="108" max="9" man="1"/>
    <brk id="162" max="9" man="1"/>
    <brk id="216" max="9"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1211211111111121111"/>
  <dimension ref="A1:AK250"/>
  <sheetViews>
    <sheetView zoomScaleNormal="100" workbookViewId="0"/>
  </sheetViews>
  <sheetFormatPr defaultRowHeight="12.75" x14ac:dyDescent="0.2"/>
  <cols>
    <col min="1" max="1" width="11.28515625" style="18" customWidth="1"/>
    <col min="2" max="2" width="9.140625" style="18"/>
    <col min="3" max="4" width="10.7109375" style="18" customWidth="1"/>
    <col min="5" max="8" width="9.140625" style="18"/>
    <col min="9" max="9" width="12.140625" style="18" customWidth="1"/>
    <col min="10" max="13" width="9.140625" style="43" hidden="1" customWidth="1"/>
    <col min="14" max="14" width="9.140625" style="44" hidden="1" customWidth="1"/>
    <col min="15" max="23" width="9.140625" style="43" hidden="1" customWidth="1"/>
    <col min="24" max="32" width="9.140625" style="18" hidden="1" customWidth="1"/>
    <col min="33" max="16384" width="9.140625" style="18"/>
  </cols>
  <sheetData>
    <row r="1" spans="1:37" ht="15.75" x14ac:dyDescent="0.25">
      <c r="A1" s="17" t="s">
        <v>1098</v>
      </c>
      <c r="B1" s="26"/>
      <c r="C1" s="26"/>
      <c r="D1" s="26"/>
      <c r="E1" s="26"/>
      <c r="F1" s="26"/>
      <c r="G1" s="26"/>
      <c r="H1" s="26"/>
      <c r="I1" s="285"/>
      <c r="K1" s="245"/>
      <c r="L1" s="129"/>
      <c r="M1" s="82" t="s">
        <v>1181</v>
      </c>
      <c r="N1" s="43"/>
      <c r="O1" s="44"/>
      <c r="R1" s="51"/>
      <c r="AG1" s="317" t="s">
        <v>1266</v>
      </c>
    </row>
    <row r="2" spans="1:37" x14ac:dyDescent="0.2">
      <c r="A2" s="27" t="s">
        <v>1365</v>
      </c>
      <c r="B2" s="28"/>
      <c r="C2" s="28"/>
      <c r="D2" s="28"/>
      <c r="E2" s="28"/>
      <c r="F2" s="28"/>
      <c r="G2" s="28"/>
      <c r="H2" s="28"/>
      <c r="I2" s="292"/>
      <c r="J2" s="213"/>
      <c r="K2" s="41"/>
      <c r="L2" s="129"/>
      <c r="N2" s="43"/>
      <c r="O2" s="44"/>
      <c r="R2" s="51"/>
      <c r="AG2" s="43"/>
      <c r="AH2" s="43"/>
      <c r="AI2" s="43"/>
      <c r="AJ2" s="43"/>
      <c r="AK2" s="43"/>
    </row>
    <row r="3" spans="1:37" x14ac:dyDescent="0.2">
      <c r="A3" s="20" t="s">
        <v>1164</v>
      </c>
      <c r="B3" s="34"/>
      <c r="C3" s="34"/>
      <c r="D3" s="34"/>
      <c r="E3" s="34"/>
      <c r="F3" s="34"/>
      <c r="G3" s="34"/>
      <c r="H3" s="34"/>
      <c r="I3" s="326"/>
      <c r="J3" s="213"/>
      <c r="K3" s="208">
        <v>0.125</v>
      </c>
      <c r="M3" s="69" t="s">
        <v>1196</v>
      </c>
      <c r="N3" s="11">
        <f>$C$9</f>
        <v>8</v>
      </c>
      <c r="O3" s="59" t="s">
        <v>1172</v>
      </c>
      <c r="P3" s="59" t="s">
        <v>1178</v>
      </c>
      <c r="R3" s="51"/>
      <c r="AG3" s="43"/>
      <c r="AH3" s="43"/>
      <c r="AI3" s="43"/>
      <c r="AJ3" s="43"/>
      <c r="AK3" s="43"/>
    </row>
    <row r="4" spans="1:37" x14ac:dyDescent="0.2">
      <c r="A4" s="286" t="s">
        <v>1115</v>
      </c>
      <c r="B4" s="287"/>
      <c r="C4" s="288"/>
      <c r="D4" s="288"/>
      <c r="E4" s="288"/>
      <c r="F4" s="291" t="s">
        <v>1206</v>
      </c>
      <c r="G4" s="423"/>
      <c r="H4" s="424"/>
      <c r="I4" s="314"/>
      <c r="J4" s="121"/>
      <c r="K4" s="208">
        <v>0.1875</v>
      </c>
      <c r="M4" s="69" t="s">
        <v>1180</v>
      </c>
      <c r="N4" s="11">
        <f>$C$10</f>
        <v>4</v>
      </c>
      <c r="O4" s="59" t="s">
        <v>1172</v>
      </c>
      <c r="P4" s="59" t="s">
        <v>1134</v>
      </c>
      <c r="R4" s="51"/>
      <c r="AG4" s="45" t="s">
        <v>1174</v>
      </c>
      <c r="AH4" s="43"/>
      <c r="AI4" s="43"/>
      <c r="AJ4" s="43"/>
      <c r="AK4" s="43"/>
    </row>
    <row r="5" spans="1:37" x14ac:dyDescent="0.2">
      <c r="A5" s="286" t="s">
        <v>1111</v>
      </c>
      <c r="B5" s="313"/>
      <c r="C5" s="289"/>
      <c r="D5" s="289"/>
      <c r="E5" s="290"/>
      <c r="F5" s="291" t="s">
        <v>1207</v>
      </c>
      <c r="G5" s="312"/>
      <c r="H5" s="131" t="s">
        <v>1208</v>
      </c>
      <c r="I5" s="544"/>
      <c r="J5" s="121"/>
      <c r="K5" s="208">
        <v>0.25</v>
      </c>
      <c r="M5" s="69"/>
      <c r="N5" s="11"/>
      <c r="O5" s="59"/>
      <c r="P5" s="110"/>
      <c r="R5" s="51"/>
      <c r="AG5" s="12" t="s">
        <v>1173</v>
      </c>
      <c r="AH5" s="49" t="s">
        <v>1113</v>
      </c>
      <c r="AI5" s="43"/>
      <c r="AJ5" s="43"/>
      <c r="AK5" s="50" t="s">
        <v>1081</v>
      </c>
    </row>
    <row r="6" spans="1:37" x14ac:dyDescent="0.2">
      <c r="A6" s="30"/>
      <c r="B6" s="121"/>
      <c r="C6" s="121"/>
      <c r="D6" s="121"/>
      <c r="E6" s="121"/>
      <c r="F6" s="51"/>
      <c r="G6" s="25" t="str">
        <f>IF($C$15="No","     Pv="&amp;$C$12&amp;" k","       Pv")</f>
        <v xml:space="preserve">     Pv=22 k</v>
      </c>
      <c r="H6" s="51"/>
      <c r="I6" s="545"/>
      <c r="J6" s="51"/>
      <c r="K6" s="208">
        <v>0.3125</v>
      </c>
      <c r="M6" s="69" t="s">
        <v>1085</v>
      </c>
      <c r="N6" s="11">
        <f>$C$14</f>
        <v>6</v>
      </c>
      <c r="O6" s="59" t="s">
        <v>1172</v>
      </c>
      <c r="P6" s="110" t="s">
        <v>1118</v>
      </c>
      <c r="AG6" s="101" t="s">
        <v>1179</v>
      </c>
      <c r="AH6" s="43"/>
      <c r="AI6" s="43"/>
      <c r="AJ6" s="43"/>
      <c r="AK6" s="85"/>
    </row>
    <row r="7" spans="1:37" x14ac:dyDescent="0.2">
      <c r="A7" s="115" t="s">
        <v>1112</v>
      </c>
      <c r="B7" s="121"/>
      <c r="C7" s="121"/>
      <c r="D7" s="121"/>
      <c r="E7" s="121"/>
      <c r="F7" s="232" t="str">
        <f>IF($C$15="No","aL="&amp;$N$6&amp;"  ","aL  ")</f>
        <v xml:space="preserve">aL=6  </v>
      </c>
      <c r="G7" s="40" t="s">
        <v>1372</v>
      </c>
      <c r="H7" s="25" t="str">
        <f>IF($C$15="No","= "&amp;ROUND($N$12,2),"")</f>
        <v>= 0</v>
      </c>
      <c r="I7" s="545"/>
      <c r="K7" s="208">
        <v>0.375</v>
      </c>
      <c r="M7" s="69" t="s">
        <v>1124</v>
      </c>
      <c r="N7" s="11">
        <f>$N$6/$N$3</f>
        <v>0.75</v>
      </c>
      <c r="O7" s="59"/>
      <c r="P7" s="110" t="s">
        <v>1086</v>
      </c>
      <c r="AG7" s="48">
        <v>44</v>
      </c>
      <c r="AH7" s="63" t="str">
        <f>IF($C$11*16&gt;=$N$18,"D(prov'd) &gt;= D(req'd), O.K.","D(prov'd) &lt; D(req'd), Fail")</f>
        <v>D(prov'd) &gt;= D(req'd), O.K.</v>
      </c>
      <c r="AI7" s="43"/>
      <c r="AJ7" s="43"/>
      <c r="AK7" s="239">
        <f>$N$18/($C$11*16)</f>
        <v>0.96550000000000002</v>
      </c>
    </row>
    <row r="8" spans="1:37" x14ac:dyDescent="0.2">
      <c r="A8" s="30"/>
      <c r="B8" s="121"/>
      <c r="C8" s="121"/>
      <c r="D8" s="121"/>
      <c r="E8" s="121"/>
      <c r="F8" s="21"/>
      <c r="G8" s="51"/>
      <c r="H8" s="84"/>
      <c r="I8" s="545"/>
      <c r="K8" s="208">
        <v>0.4375</v>
      </c>
      <c r="M8" s="69" t="s">
        <v>1138</v>
      </c>
      <c r="N8" s="11">
        <f>IF($C$15="No",$N$4/$N$3,0)</f>
        <v>0.5</v>
      </c>
      <c r="O8" s="134" t="str">
        <f>IF($N$8&gt;2,"Value of 'k' exceeds 2.0, beyond scope of table!","")</f>
        <v/>
      </c>
      <c r="P8" s="110" t="str">
        <f>IF($C$15="No","k = (kL)/L","k = 0  (for Special Case)")</f>
        <v>k = (kL)/L</v>
      </c>
      <c r="AG8" s="48">
        <v>45</v>
      </c>
      <c r="AH8" s="63" t="str">
        <f>IF($N$3&gt;=$N$19,"L(prov'd) &gt;= L(req'd), O.K.","L(prov'd) &lt; L(req'd), Fail")</f>
        <v>L(prov'd) &gt;= L(req'd), O.K.</v>
      </c>
      <c r="AI8" s="43"/>
      <c r="AJ8" s="43"/>
      <c r="AK8" s="239">
        <f>$N$19/$N$3</f>
        <v>0.96562499999999996</v>
      </c>
    </row>
    <row r="9" spans="1:37" x14ac:dyDescent="0.2">
      <c r="A9" s="30"/>
      <c r="B9" s="56" t="s">
        <v>1091</v>
      </c>
      <c r="C9" s="280">
        <v>8</v>
      </c>
      <c r="D9" s="138" t="s">
        <v>1172</v>
      </c>
      <c r="E9" s="21"/>
      <c r="F9" s="21"/>
      <c r="G9" s="109"/>
      <c r="H9" s="25" t="str">
        <f>IF($C$15="No",IF($C$13&gt;0,"      P="&amp;$N$11&amp;" k","      P=Pv"),"      P")</f>
        <v xml:space="preserve">      P=Pv</v>
      </c>
      <c r="I9" s="546"/>
      <c r="K9" s="208">
        <v>0.5</v>
      </c>
      <c r="M9" s="46" t="s">
        <v>1184</v>
      </c>
      <c r="N9" s="136">
        <f>1</f>
        <v>1</v>
      </c>
      <c r="O9" s="44"/>
      <c r="P9" s="44" t="s">
        <v>1185</v>
      </c>
      <c r="AG9" s="48"/>
      <c r="AH9" s="63"/>
      <c r="AI9" s="43"/>
      <c r="AJ9" s="43"/>
      <c r="AK9" s="11"/>
    </row>
    <row r="10" spans="1:37" x14ac:dyDescent="0.2">
      <c r="A10" s="30"/>
      <c r="B10" s="56" t="s">
        <v>1186</v>
      </c>
      <c r="C10" s="281">
        <v>4</v>
      </c>
      <c r="D10" s="138" t="s">
        <v>1172</v>
      </c>
      <c r="E10" s="21"/>
      <c r="F10" s="21"/>
      <c r="G10" s="60"/>
      <c r="H10" s="102"/>
      <c r="I10" s="389"/>
      <c r="K10" s="208">
        <v>0.5625</v>
      </c>
      <c r="M10" s="69" t="s">
        <v>1122</v>
      </c>
      <c r="N10" s="11">
        <f>ROUND(IF($N$8&lt;=2,$AF$51,"N.A."),3)</f>
        <v>0.71199999999999997</v>
      </c>
      <c r="O10" s="137"/>
      <c r="P10" s="110" t="s">
        <v>1182</v>
      </c>
    </row>
    <row r="11" spans="1:37" x14ac:dyDescent="0.2">
      <c r="A11" s="30"/>
      <c r="B11" s="56" t="s">
        <v>1197</v>
      </c>
      <c r="C11" s="282">
        <v>0.25</v>
      </c>
      <c r="D11" s="138" t="str">
        <f>"in. = "&amp;$C$11*16&amp;" (1/16's)"</f>
        <v>in. = 4 (1/16's)</v>
      </c>
      <c r="E11" s="232" t="str">
        <f>IF($C$15="No","L=","L")</f>
        <v>L=</v>
      </c>
      <c r="F11" s="21"/>
      <c r="G11" s="60"/>
      <c r="H11" s="25"/>
      <c r="I11" s="294"/>
      <c r="K11" s="208">
        <v>0.625</v>
      </c>
      <c r="M11" s="46" t="s">
        <v>1187</v>
      </c>
      <c r="N11" s="54">
        <f>ROUND(SQRT($C$12^2+$C$13^2),2)</f>
        <v>22</v>
      </c>
      <c r="O11" s="44" t="s">
        <v>1114</v>
      </c>
      <c r="P11" s="44" t="s">
        <v>1120</v>
      </c>
      <c r="AH11" s="301" t="str">
        <f>IF(OR($N$18&gt;$C$11*16,$N$19&gt;$N$3),"Weld is overstressed!","Weld is adequate!")</f>
        <v>Weld is adequate!</v>
      </c>
      <c r="AI11" s="35"/>
      <c r="AJ11" s="428"/>
    </row>
    <row r="12" spans="1:37" x14ac:dyDescent="0.2">
      <c r="A12" s="30"/>
      <c r="B12" s="56" t="s">
        <v>1102</v>
      </c>
      <c r="C12" s="283">
        <v>22</v>
      </c>
      <c r="D12" s="138" t="s">
        <v>1114</v>
      </c>
      <c r="E12" s="231">
        <f>IF($C$15="No",$N$3,"")</f>
        <v>8</v>
      </c>
      <c r="F12" s="311" t="s">
        <v>1369</v>
      </c>
      <c r="G12" s="21"/>
      <c r="H12" s="25" t="str">
        <f>IF($C$15="No",IF($C$13&gt;0,"Ph="&amp;$C$13&amp;" k","Ph=0"),"Ph")</f>
        <v>Ph=0</v>
      </c>
      <c r="I12" s="24"/>
      <c r="K12" s="79" t="s">
        <v>1161</v>
      </c>
      <c r="M12" s="46" t="s">
        <v>1183</v>
      </c>
      <c r="N12" s="52">
        <f>IF($C$13&gt;0,ROUND(90-(ATAN($C$12/$C$13)*(180/PI())),3),0)</f>
        <v>0</v>
      </c>
      <c r="O12" s="44" t="s">
        <v>1103</v>
      </c>
      <c r="P12" s="102" t="s">
        <v>1157</v>
      </c>
      <c r="AH12" s="302" t="str">
        <f>IF($N$18&gt;$C$11*16,"D(req'd) = "&amp;$N$18&amp;" &gt; "&amp;$C$11*16&amp;" (1/16's)","D(req'd) = "&amp;$N$18&amp;" &lt;= "&amp;$C$11*16&amp;" (1/16's)")</f>
        <v>D(req'd) = 3.862 &lt;= 4 (1/16's)</v>
      </c>
      <c r="AI12" s="37"/>
      <c r="AJ12" s="345"/>
    </row>
    <row r="13" spans="1:37" x14ac:dyDescent="0.2">
      <c r="A13" s="30"/>
      <c r="B13" s="56" t="s">
        <v>1121</v>
      </c>
      <c r="C13" s="283">
        <v>0</v>
      </c>
      <c r="D13" s="138" t="s">
        <v>1114</v>
      </c>
      <c r="E13" s="231"/>
      <c r="F13" s="142"/>
      <c r="G13" s="21"/>
      <c r="H13" s="237" t="str">
        <f>IF($C$13&gt;0,"(@ C.G.)","")</f>
        <v/>
      </c>
      <c r="I13" s="293"/>
      <c r="K13" s="79" t="s">
        <v>1147</v>
      </c>
      <c r="M13" s="46" t="s">
        <v>1160</v>
      </c>
      <c r="N13" s="52" t="str">
        <f>IF($N$12&gt;0,$N$10,"N.A.")</f>
        <v>N.A.</v>
      </c>
      <c r="O13" s="44"/>
      <c r="P13" s="103" t="s">
        <v>1083</v>
      </c>
      <c r="AH13" s="304" t="str">
        <f>IF($N$19&gt;$N$3,"L(req'd) = "&amp;$N$19&amp;" &gt; "&amp;$N$3&amp;" in.","L(req'd) = "&amp;$N$19&amp;" &lt;= "&amp;$N$3&amp;" in.")</f>
        <v>L(req'd) = 7.725 &lt;= 8 in.</v>
      </c>
      <c r="AI13" s="305"/>
      <c r="AJ13" s="429"/>
    </row>
    <row r="14" spans="1:37" x14ac:dyDescent="0.2">
      <c r="A14" s="30"/>
      <c r="B14" s="56" t="s">
        <v>1128</v>
      </c>
      <c r="C14" s="281">
        <v>6</v>
      </c>
      <c r="D14" s="138" t="s">
        <v>1172</v>
      </c>
      <c r="E14" s="21"/>
      <c r="F14" s="21"/>
      <c r="G14" s="21"/>
      <c r="H14" s="51"/>
      <c r="I14" s="293"/>
      <c r="M14" s="46" t="s">
        <v>1130</v>
      </c>
      <c r="N14" s="52" t="str">
        <f>IF($N$12&gt;0,0.928*(2),"N.A.")</f>
        <v>N.A.</v>
      </c>
      <c r="O14" s="44"/>
      <c r="P14" s="103" t="s">
        <v>1169</v>
      </c>
    </row>
    <row r="15" spans="1:37" x14ac:dyDescent="0.2">
      <c r="A15" s="30"/>
      <c r="B15" s="56" t="s">
        <v>1200</v>
      </c>
      <c r="C15" s="427" t="s">
        <v>1147</v>
      </c>
      <c r="D15" s="142"/>
      <c r="E15" s="42" t="s">
        <v>1374</v>
      </c>
      <c r="F15" s="21"/>
      <c r="G15" s="42" t="s">
        <v>1156</v>
      </c>
      <c r="H15" s="62"/>
      <c r="I15" s="293"/>
      <c r="M15" s="46" t="s">
        <v>1188</v>
      </c>
      <c r="N15" s="52" t="str">
        <f>IF($N$12&gt;0,IF($N$14/$N$13&lt;1,1,$N$14/$N$13),"N.A.")</f>
        <v>N.A.</v>
      </c>
      <c r="O15" s="44"/>
      <c r="P15" s="103" t="s">
        <v>1132</v>
      </c>
    </row>
    <row r="16" spans="1:37" x14ac:dyDescent="0.2">
      <c r="A16" s="30"/>
      <c r="B16" s="21"/>
      <c r="C16" s="21"/>
      <c r="D16" s="21"/>
      <c r="E16" s="42" t="str">
        <f>IF($C$15="No","                 kL=   "&amp;$N$4,"                   kL")</f>
        <v xml:space="preserve">                 kL=   4</v>
      </c>
      <c r="F16" s="21"/>
      <c r="G16" s="21"/>
      <c r="H16" s="57"/>
      <c r="I16" s="293"/>
      <c r="M16" s="46" t="s">
        <v>1133</v>
      </c>
      <c r="N16" s="52" t="str">
        <f>IF($N$12&gt;0,IF($N$15/(SIN($N$12*PI()/180)+$N$15*COS($N$12*PI()/180))&lt;1,1,$N$15/(SIN($N$12*PI()/180)+$N$15*COS($N$12*PI()/180))),"N.A.")</f>
        <v>N.A.</v>
      </c>
      <c r="O16" s="44"/>
      <c r="P16" s="44" t="s">
        <v>1198</v>
      </c>
    </row>
    <row r="17" spans="1:32" ht="12.75" customHeight="1" x14ac:dyDescent="0.2">
      <c r="A17" s="22" t="s">
        <v>1201</v>
      </c>
      <c r="B17" s="21"/>
      <c r="C17" s="21"/>
      <c r="D17" s="21"/>
      <c r="E17" s="21"/>
      <c r="F17" s="7"/>
      <c r="G17" s="133"/>
      <c r="H17" s="72"/>
      <c r="I17" s="430"/>
      <c r="M17" s="46" t="s">
        <v>1143</v>
      </c>
      <c r="N17" s="52" t="str">
        <f>IF($N$12&gt;0,ROUND($N$16*$N$13,3),"N.A.")</f>
        <v>N.A.</v>
      </c>
      <c r="O17" s="44"/>
      <c r="P17" s="44" t="s">
        <v>1105</v>
      </c>
      <c r="S17" s="61"/>
      <c r="T17" s="110"/>
    </row>
    <row r="18" spans="1:32" x14ac:dyDescent="0.2">
      <c r="A18" s="30"/>
      <c r="B18" s="21"/>
      <c r="C18" s="21"/>
      <c r="D18" s="21"/>
      <c r="E18" s="21"/>
      <c r="F18" s="21"/>
      <c r="G18" s="42" t="str">
        <f>IF($C$15="Yes","      Pv="&amp;$C$12&amp;" k","            Pv")</f>
        <v xml:space="preserve">            Pv</v>
      </c>
      <c r="H18" s="21"/>
      <c r="I18" s="430"/>
      <c r="J18" s="51"/>
      <c r="M18" s="69" t="s">
        <v>1193</v>
      </c>
      <c r="N18" s="11">
        <f>IF($N$12&gt;0,ROUND($N$11/($N$17*$N$9*$N$3),3),ROUND($N$11/($N$10*$N$9*$N$3),3))</f>
        <v>3.8620000000000001</v>
      </c>
      <c r="O18" s="140" t="s">
        <v>1099</v>
      </c>
      <c r="P18" s="59" t="str">
        <f>IF($N$12&gt;0,"D(req'd) = P/(Ca*C1*L)","D(req'd) = P/(C*C1*L)")</f>
        <v>D(req'd) = P/(C*C1*L)</v>
      </c>
      <c r="S18" s="61"/>
      <c r="T18" s="110"/>
    </row>
    <row r="19" spans="1:32" x14ac:dyDescent="0.2">
      <c r="A19" s="105" t="str">
        <f>IF($C$13&gt;0,"P = Ca*C1*D*L  (for inclined load)","P = Pv = C*C1*D*L  (for vertical load only)")</f>
        <v>P = Pv = C*C1*D*L  (for vertical load only)</v>
      </c>
      <c r="B19" s="21"/>
      <c r="C19" s="21"/>
      <c r="D19" s="21"/>
      <c r="E19" s="130"/>
      <c r="F19" s="40"/>
      <c r="G19" s="40" t="s">
        <v>1372</v>
      </c>
      <c r="H19" s="25" t="str">
        <f>IF($C$15="Yes","= "&amp;ROUND($N$12,2),"")</f>
        <v/>
      </c>
      <c r="I19" s="430"/>
      <c r="J19" s="51"/>
      <c r="M19" s="69" t="s">
        <v>1190</v>
      </c>
      <c r="N19" s="11">
        <f>IF($N$12&gt;0,ROUND($N$11/($N$9*$N$17*($C$11*16)),3),ROUND($N$11/($N$9*$N$10*($C$11*16)),3))</f>
        <v>7.7249999999999996</v>
      </c>
      <c r="O19" s="59" t="s">
        <v>1172</v>
      </c>
      <c r="P19" s="59" t="str">
        <f>IF($N$12&gt;0,"L(req'd) = P/(Ca*C1*D)","L(req'd) = P/(C*C1*D)")</f>
        <v>L(req'd) = P/(C*C1*D)</v>
      </c>
    </row>
    <row r="20" spans="1:32" x14ac:dyDescent="0.2">
      <c r="A20" s="30" t="s">
        <v>1154</v>
      </c>
      <c r="B20" s="21"/>
      <c r="C20" s="21"/>
      <c r="D20" s="21"/>
      <c r="E20" s="6"/>
      <c r="F20" s="40"/>
      <c r="G20" s="25" t="str">
        <f>IF($C$15="Yes","  aL=   "&amp;$N$6,"  aL")</f>
        <v xml:space="preserve">  aL</v>
      </c>
      <c r="H20" s="21"/>
      <c r="I20" s="430"/>
      <c r="J20" s="51"/>
      <c r="N20" s="43"/>
      <c r="P20" s="44"/>
      <c r="T20" s="50"/>
    </row>
    <row r="21" spans="1:32" x14ac:dyDescent="0.2">
      <c r="A21" s="296" t="s">
        <v>1155</v>
      </c>
      <c r="B21" s="21"/>
      <c r="C21" s="21"/>
      <c r="D21" s="21"/>
      <c r="E21" s="21"/>
      <c r="F21" s="21"/>
      <c r="G21" s="21"/>
      <c r="H21" s="42" t="str">
        <f>IF($C$15="Yes",IF($C$13&gt;0,"    P="&amp;$N$11&amp;" k","    P=Pv"),"    P")</f>
        <v xml:space="preserve">    P</v>
      </c>
      <c r="I21" s="24"/>
      <c r="J21" s="51"/>
      <c r="M21" s="47"/>
      <c r="N21" s="47"/>
      <c r="O21" s="52"/>
      <c r="P21" s="47"/>
      <c r="Q21" s="18"/>
      <c r="R21" s="18"/>
      <c r="S21" s="18"/>
      <c r="T21" s="18"/>
      <c r="U21" s="18"/>
      <c r="V21" s="18"/>
      <c r="W21" s="18"/>
      <c r="AC21" s="148" t="s">
        <v>1092</v>
      </c>
      <c r="AD21" s="149"/>
      <c r="AE21" s="149"/>
      <c r="AF21" s="150"/>
    </row>
    <row r="22" spans="1:32" x14ac:dyDescent="0.2">
      <c r="A22" s="30" t="s">
        <v>1191</v>
      </c>
      <c r="B22" s="21"/>
      <c r="C22" s="21"/>
      <c r="D22" s="21"/>
      <c r="E22" s="21"/>
      <c r="F22" s="21"/>
      <c r="G22" s="21"/>
      <c r="H22" s="21"/>
      <c r="I22" s="24"/>
      <c r="J22" s="51"/>
      <c r="K22" s="120" t="s">
        <v>1129</v>
      </c>
      <c r="L22" s="209"/>
      <c r="M22" s="210"/>
      <c r="N22" s="210"/>
      <c r="O22" s="210"/>
      <c r="P22" s="210"/>
      <c r="Q22" s="210"/>
      <c r="R22" s="210"/>
      <c r="S22" s="210"/>
      <c r="T22" s="209"/>
      <c r="U22" s="210"/>
      <c r="V22" s="210"/>
      <c r="W22" s="210"/>
      <c r="X22" s="211"/>
      <c r="Y22" s="210"/>
      <c r="Z22" s="123"/>
      <c r="AA22" s="124"/>
      <c r="AB22" s="51"/>
      <c r="AC22" s="151"/>
      <c r="AD22" s="152" t="s">
        <v>1093</v>
      </c>
      <c r="AE22" s="153" t="s">
        <v>1148</v>
      </c>
      <c r="AF22" s="154" t="s">
        <v>1093</v>
      </c>
    </row>
    <row r="23" spans="1:32" x14ac:dyDescent="0.2">
      <c r="A23" s="30" t="s">
        <v>1135</v>
      </c>
      <c r="B23" s="1"/>
      <c r="C23" s="37"/>
      <c r="D23" s="37"/>
      <c r="E23" s="232" t="str">
        <f>IF($C$15="Yes","L=","L")</f>
        <v>L</v>
      </c>
      <c r="F23" s="21"/>
      <c r="G23" s="42"/>
      <c r="H23" s="21"/>
      <c r="I23" s="303"/>
      <c r="J23" s="37"/>
      <c r="K23" s="155"/>
      <c r="L23" s="156" t="s">
        <v>1148</v>
      </c>
      <c r="M23" s="116"/>
      <c r="N23" s="116"/>
      <c r="O23" s="116"/>
      <c r="P23" s="116"/>
      <c r="Q23" s="116"/>
      <c r="R23" s="116"/>
      <c r="S23" s="116"/>
      <c r="T23" s="157"/>
      <c r="U23" s="116"/>
      <c r="V23" s="116"/>
      <c r="W23" s="116"/>
      <c r="X23" s="116"/>
      <c r="Y23" s="116"/>
      <c r="Z23" s="116"/>
      <c r="AA23" s="117"/>
      <c r="AB23" s="51"/>
      <c r="AC23" s="151"/>
      <c r="AD23" s="158">
        <f>LOOKUP($AD$24,$L$24:$AA$24,$L$49:$AA$49)</f>
        <v>6</v>
      </c>
      <c r="AE23" s="158" t="s">
        <v>1094</v>
      </c>
      <c r="AF23" s="159">
        <f>LOOKUP($AD$23+1,$L$49:$AA$49)</f>
        <v>7</v>
      </c>
    </row>
    <row r="24" spans="1:32" x14ac:dyDescent="0.2">
      <c r="A24" s="30" t="s">
        <v>1178</v>
      </c>
      <c r="B24" s="21"/>
      <c r="C24" s="21"/>
      <c r="D24" s="21"/>
      <c r="E24" s="231" t="str">
        <f>IF($C$15="Yes",$N$3,"")</f>
        <v/>
      </c>
      <c r="F24" s="21"/>
      <c r="G24" s="42" t="str">
        <f>IF($C$15="Yes","               Ph="&amp;$C$13&amp;" k","                       Ph")</f>
        <v xml:space="preserve">                       Ph</v>
      </c>
      <c r="H24" s="21"/>
      <c r="I24" s="24"/>
      <c r="K24" s="160" t="s">
        <v>1095</v>
      </c>
      <c r="L24" s="161">
        <v>0</v>
      </c>
      <c r="M24" s="162">
        <v>0.1</v>
      </c>
      <c r="N24" s="161">
        <v>0.2</v>
      </c>
      <c r="O24" s="162">
        <v>0.3</v>
      </c>
      <c r="P24" s="161">
        <v>0.4</v>
      </c>
      <c r="Q24" s="162">
        <v>0.5</v>
      </c>
      <c r="R24" s="161">
        <v>0.6</v>
      </c>
      <c r="S24" s="162">
        <v>0.7</v>
      </c>
      <c r="T24" s="161">
        <v>0.8</v>
      </c>
      <c r="U24" s="162">
        <v>0.9</v>
      </c>
      <c r="V24" s="163">
        <v>1</v>
      </c>
      <c r="W24" s="162">
        <v>1.2</v>
      </c>
      <c r="X24" s="161">
        <v>1.4</v>
      </c>
      <c r="Y24" s="162">
        <v>1.6</v>
      </c>
      <c r="Z24" s="161">
        <v>1.8</v>
      </c>
      <c r="AA24" s="164">
        <v>2</v>
      </c>
      <c r="AB24" s="216" t="s">
        <v>1096</v>
      </c>
      <c r="AC24" s="165" t="s">
        <v>1096</v>
      </c>
      <c r="AD24" s="166">
        <f>LOOKUP($N$8,$L$24:$AA$24)</f>
        <v>0.5</v>
      </c>
      <c r="AE24" s="167">
        <f>$N$8</f>
        <v>0.5</v>
      </c>
      <c r="AF24" s="168">
        <f>LOOKUP($AF$23,$L$49:$AA$49,$L$24:$AA$24)</f>
        <v>0.6</v>
      </c>
    </row>
    <row r="25" spans="1:32" x14ac:dyDescent="0.2">
      <c r="A25" s="543" t="str">
        <f>IF($N$7&gt;3,"Value of 'a' exceeds 3.0, beyond scope of table!","")</f>
        <v/>
      </c>
      <c r="B25" s="21"/>
      <c r="C25" s="21"/>
      <c r="D25" s="21"/>
      <c r="E25" s="21"/>
      <c r="F25" s="21"/>
      <c r="G25" s="237" t="str">
        <f>IF($C$15="Yes","                (@ C.G.)","")</f>
        <v/>
      </c>
      <c r="H25" s="21"/>
      <c r="I25" s="24"/>
      <c r="K25" s="259">
        <v>0.06</v>
      </c>
      <c r="L25" s="246">
        <v>1.67</v>
      </c>
      <c r="M25" s="247">
        <v>1.67</v>
      </c>
      <c r="N25" s="247">
        <v>1.68</v>
      </c>
      <c r="O25" s="247">
        <v>1.68</v>
      </c>
      <c r="P25" s="247">
        <v>1.68</v>
      </c>
      <c r="Q25" s="247">
        <v>1.69</v>
      </c>
      <c r="R25" s="247">
        <v>1.69</v>
      </c>
      <c r="S25" s="247">
        <v>1.69</v>
      </c>
      <c r="T25" s="247">
        <v>1.69</v>
      </c>
      <c r="U25" s="247">
        <v>1.7</v>
      </c>
      <c r="V25" s="247">
        <v>1.7</v>
      </c>
      <c r="W25" s="247">
        <v>1.7</v>
      </c>
      <c r="X25" s="247">
        <v>1.71</v>
      </c>
      <c r="Y25" s="247">
        <v>1.71</v>
      </c>
      <c r="Z25" s="247">
        <v>1.71</v>
      </c>
      <c r="AA25" s="248">
        <v>1.71</v>
      </c>
      <c r="AB25" s="216">
        <v>1</v>
      </c>
      <c r="AC25" s="169">
        <v>1</v>
      </c>
      <c r="AD25" s="170">
        <f t="shared" ref="AD25:AD48" si="0">LOOKUP($AD$24,$L$24:$AA$24,$L25:$AA25)</f>
        <v>1.69</v>
      </c>
      <c r="AE25" s="171">
        <f t="shared" ref="AE25:AE48" si="1">IF($AD$24=$AF$24,$AD25,($AF25-$AD25)*($AE$24-$AD$24)/($AF$24-$AD$24)+$AD25)</f>
        <v>1.69</v>
      </c>
      <c r="AF25" s="172">
        <f t="shared" ref="AF25:AF48" si="2">LOOKUP($AF$24,$L$24:$AA$24,$L25:$AA25)</f>
        <v>1.69</v>
      </c>
    </row>
    <row r="26" spans="1:32" x14ac:dyDescent="0.2">
      <c r="A26" s="543" t="str">
        <f>IF($N$8&gt;2,"Value of 'k' exceeds 2.0, beyond scope of table!","")</f>
        <v/>
      </c>
      <c r="B26" s="21"/>
      <c r="C26" s="21"/>
      <c r="D26" s="21"/>
      <c r="E26" s="21"/>
      <c r="F26" s="21"/>
      <c r="G26" s="432" t="s">
        <v>1368</v>
      </c>
      <c r="H26" s="21"/>
      <c r="I26" s="24"/>
      <c r="K26" s="260">
        <v>0.08</v>
      </c>
      <c r="L26" s="249">
        <v>1.64</v>
      </c>
      <c r="M26" s="250">
        <v>1.65</v>
      </c>
      <c r="N26" s="250">
        <v>1.65</v>
      </c>
      <c r="O26" s="250">
        <v>1.65</v>
      </c>
      <c r="P26" s="250">
        <v>1.66</v>
      </c>
      <c r="Q26" s="250">
        <v>1.66</v>
      </c>
      <c r="R26" s="250">
        <v>1.66</v>
      </c>
      <c r="S26" s="250">
        <v>1.66</v>
      </c>
      <c r="T26" s="250">
        <v>1.67</v>
      </c>
      <c r="U26" s="250">
        <v>1.67</v>
      </c>
      <c r="V26" s="250">
        <v>1.67</v>
      </c>
      <c r="W26" s="250">
        <v>1.67</v>
      </c>
      <c r="X26" s="250">
        <v>1.68</v>
      </c>
      <c r="Y26" s="250">
        <v>1.68</v>
      </c>
      <c r="Z26" s="250">
        <v>1.69</v>
      </c>
      <c r="AA26" s="251">
        <v>1.69</v>
      </c>
      <c r="AB26" s="216">
        <v>2</v>
      </c>
      <c r="AC26" s="169">
        <v>2</v>
      </c>
      <c r="AD26" s="170">
        <f t="shared" si="0"/>
        <v>1.66</v>
      </c>
      <c r="AE26" s="171">
        <f t="shared" si="1"/>
        <v>1.66</v>
      </c>
      <c r="AF26" s="172">
        <f t="shared" si="2"/>
        <v>1.66</v>
      </c>
    </row>
    <row r="27" spans="1:32" x14ac:dyDescent="0.2">
      <c r="A27" s="30"/>
      <c r="B27" s="21"/>
      <c r="C27" s="21"/>
      <c r="D27" s="21"/>
      <c r="E27" s="236" t="s">
        <v>1373</v>
      </c>
      <c r="F27" s="146"/>
      <c r="G27" s="21"/>
      <c r="H27" s="21"/>
      <c r="I27" s="24"/>
      <c r="K27" s="260">
        <v>0.1</v>
      </c>
      <c r="L27" s="249">
        <v>1.61</v>
      </c>
      <c r="M27" s="250">
        <v>1.61</v>
      </c>
      <c r="N27" s="250">
        <v>1.62</v>
      </c>
      <c r="O27" s="250">
        <v>1.62</v>
      </c>
      <c r="P27" s="250">
        <v>1.62</v>
      </c>
      <c r="Q27" s="250">
        <v>1.63</v>
      </c>
      <c r="R27" s="250">
        <v>1.63</v>
      </c>
      <c r="S27" s="250">
        <v>1.63</v>
      </c>
      <c r="T27" s="250">
        <v>1.63</v>
      </c>
      <c r="U27" s="250">
        <v>1.64</v>
      </c>
      <c r="V27" s="250">
        <v>1.64</v>
      </c>
      <c r="W27" s="250">
        <v>1.65</v>
      </c>
      <c r="X27" s="250">
        <v>1.65</v>
      </c>
      <c r="Y27" s="250">
        <v>1.66</v>
      </c>
      <c r="Z27" s="250">
        <v>1.66</v>
      </c>
      <c r="AA27" s="251">
        <v>1.67</v>
      </c>
      <c r="AB27" s="216">
        <v>3</v>
      </c>
      <c r="AC27" s="169">
        <v>3</v>
      </c>
      <c r="AD27" s="170">
        <f t="shared" si="0"/>
        <v>1.63</v>
      </c>
      <c r="AE27" s="171">
        <f t="shared" si="1"/>
        <v>1.63</v>
      </c>
      <c r="AF27" s="172">
        <f t="shared" si="2"/>
        <v>1.63</v>
      </c>
    </row>
    <row r="28" spans="1:32" x14ac:dyDescent="0.2">
      <c r="A28" s="22" t="s">
        <v>1113</v>
      </c>
      <c r="B28" s="21"/>
      <c r="C28" s="21"/>
      <c r="D28" s="21"/>
      <c r="E28" s="21"/>
      <c r="F28" s="143"/>
      <c r="G28" s="21"/>
      <c r="H28" s="21"/>
      <c r="I28" s="24"/>
      <c r="K28" s="260">
        <v>0.15</v>
      </c>
      <c r="L28" s="249">
        <v>1.51</v>
      </c>
      <c r="M28" s="250">
        <v>1.51</v>
      </c>
      <c r="N28" s="250">
        <v>1.52</v>
      </c>
      <c r="O28" s="250">
        <v>1.52</v>
      </c>
      <c r="P28" s="250">
        <v>1.53</v>
      </c>
      <c r="Q28" s="250">
        <v>1.53</v>
      </c>
      <c r="R28" s="250">
        <v>1.54</v>
      </c>
      <c r="S28" s="250">
        <v>1.54</v>
      </c>
      <c r="T28" s="250">
        <v>1.55</v>
      </c>
      <c r="U28" s="250">
        <v>1.56</v>
      </c>
      <c r="V28" s="250">
        <v>1.56</v>
      </c>
      <c r="W28" s="250">
        <v>1.57</v>
      </c>
      <c r="X28" s="250">
        <v>1.58</v>
      </c>
      <c r="Y28" s="250">
        <v>1.59</v>
      </c>
      <c r="Z28" s="250">
        <v>1.6</v>
      </c>
      <c r="AA28" s="251">
        <v>1.61</v>
      </c>
      <c r="AB28" s="216">
        <v>4</v>
      </c>
      <c r="AC28" s="169">
        <v>4</v>
      </c>
      <c r="AD28" s="170">
        <f t="shared" si="0"/>
        <v>1.53</v>
      </c>
      <c r="AE28" s="171">
        <f t="shared" si="1"/>
        <v>1.53</v>
      </c>
      <c r="AF28" s="172">
        <f t="shared" si="2"/>
        <v>1.54</v>
      </c>
    </row>
    <row r="29" spans="1:32" x14ac:dyDescent="0.2">
      <c r="A29" s="30"/>
      <c r="B29" s="21"/>
      <c r="C29" s="21"/>
      <c r="D29" s="62" t="str">
        <f>IF($N$12&gt;0,"(Note: AISC Alternate Method 2 is used for inclined load)","(Note: AISC Alternate Method 2 is not used for P=Pv)")</f>
        <v>(Note: AISC Alternate Method 2 is not used for P=Pv)</v>
      </c>
      <c r="E29" s="21"/>
      <c r="F29" s="21"/>
      <c r="G29" s="203"/>
      <c r="H29" s="21"/>
      <c r="I29" s="24"/>
      <c r="K29" s="260">
        <v>0.2</v>
      </c>
      <c r="L29" s="249">
        <v>1.39</v>
      </c>
      <c r="M29" s="250">
        <v>1.39</v>
      </c>
      <c r="N29" s="250">
        <v>1.4</v>
      </c>
      <c r="O29" s="250">
        <v>1.41</v>
      </c>
      <c r="P29" s="250">
        <v>1.42</v>
      </c>
      <c r="Q29" s="250">
        <v>1.43</v>
      </c>
      <c r="R29" s="250">
        <v>1.44</v>
      </c>
      <c r="S29" s="250">
        <v>1.45</v>
      </c>
      <c r="T29" s="250">
        <v>1.46</v>
      </c>
      <c r="U29" s="250">
        <v>1.47</v>
      </c>
      <c r="V29" s="250">
        <v>1.48</v>
      </c>
      <c r="W29" s="250">
        <v>1.5</v>
      </c>
      <c r="X29" s="250">
        <v>1.52</v>
      </c>
      <c r="Y29" s="250">
        <v>1.53</v>
      </c>
      <c r="Z29" s="250">
        <v>1.54</v>
      </c>
      <c r="AA29" s="251">
        <v>1.56</v>
      </c>
      <c r="AB29" s="216">
        <v>5</v>
      </c>
      <c r="AC29" s="169">
        <v>5</v>
      </c>
      <c r="AD29" s="170">
        <f t="shared" si="0"/>
        <v>1.43</v>
      </c>
      <c r="AE29" s="171">
        <f t="shared" si="1"/>
        <v>1.43</v>
      </c>
      <c r="AF29" s="172">
        <f t="shared" si="2"/>
        <v>1.44</v>
      </c>
    </row>
    <row r="30" spans="1:32" ht="13.5" customHeight="1" x14ac:dyDescent="0.2">
      <c r="A30" s="298" t="s">
        <v>1196</v>
      </c>
      <c r="B30" s="276">
        <f>$N$3</f>
        <v>8</v>
      </c>
      <c r="C30" s="138" t="s">
        <v>1172</v>
      </c>
      <c r="D30" s="62" t="s">
        <v>1178</v>
      </c>
      <c r="E30" s="21"/>
      <c r="F30" s="203"/>
      <c r="G30" s="203"/>
      <c r="H30" s="21"/>
      <c r="I30" s="24"/>
      <c r="K30" s="260">
        <v>0.25</v>
      </c>
      <c r="L30" s="249">
        <v>1.26</v>
      </c>
      <c r="M30" s="250">
        <v>1.27</v>
      </c>
      <c r="N30" s="250">
        <v>1.28</v>
      </c>
      <c r="O30" s="250">
        <v>1.3</v>
      </c>
      <c r="P30" s="250">
        <v>1.31</v>
      </c>
      <c r="Q30" s="250">
        <v>1.33</v>
      </c>
      <c r="R30" s="250">
        <v>1.35</v>
      </c>
      <c r="S30" s="250">
        <v>1.36</v>
      </c>
      <c r="T30" s="250">
        <v>1.38</v>
      </c>
      <c r="U30" s="250">
        <v>1.39</v>
      </c>
      <c r="V30" s="250">
        <v>1.41</v>
      </c>
      <c r="W30" s="250">
        <v>1.43</v>
      </c>
      <c r="X30" s="250">
        <v>1.45</v>
      </c>
      <c r="Y30" s="250">
        <v>1.47</v>
      </c>
      <c r="Z30" s="250">
        <v>1.49</v>
      </c>
      <c r="AA30" s="251">
        <v>1.5</v>
      </c>
      <c r="AB30" s="216">
        <v>6</v>
      </c>
      <c r="AC30" s="169">
        <v>6</v>
      </c>
      <c r="AD30" s="170">
        <f t="shared" si="0"/>
        <v>1.33</v>
      </c>
      <c r="AE30" s="171">
        <f t="shared" si="1"/>
        <v>1.33</v>
      </c>
      <c r="AF30" s="172">
        <f t="shared" si="2"/>
        <v>1.35</v>
      </c>
    </row>
    <row r="31" spans="1:32" ht="13.5" customHeight="1" x14ac:dyDescent="0.2">
      <c r="A31" s="298" t="s">
        <v>1180</v>
      </c>
      <c r="B31" s="277">
        <f>$N$4</f>
        <v>4</v>
      </c>
      <c r="C31" s="138" t="s">
        <v>1172</v>
      </c>
      <c r="D31" s="62" t="s">
        <v>1134</v>
      </c>
      <c r="E31" s="21"/>
      <c r="F31" s="203"/>
      <c r="G31" s="203"/>
      <c r="H31" s="21"/>
      <c r="I31" s="24"/>
      <c r="K31" s="260">
        <v>0.3</v>
      </c>
      <c r="L31" s="249">
        <v>1.1399999999999999</v>
      </c>
      <c r="M31" s="250">
        <v>1.1499999999999999</v>
      </c>
      <c r="N31" s="250">
        <v>1.17</v>
      </c>
      <c r="O31" s="250">
        <v>1.19</v>
      </c>
      <c r="P31" s="250">
        <v>1.21</v>
      </c>
      <c r="Q31" s="250">
        <v>1.24</v>
      </c>
      <c r="R31" s="250">
        <v>1.26</v>
      </c>
      <c r="S31" s="250">
        <v>1.28</v>
      </c>
      <c r="T31" s="250">
        <v>1.3</v>
      </c>
      <c r="U31" s="250">
        <v>1.32</v>
      </c>
      <c r="V31" s="250">
        <v>1.33</v>
      </c>
      <c r="W31" s="250">
        <v>1.36</v>
      </c>
      <c r="X31" s="250">
        <v>1.39</v>
      </c>
      <c r="Y31" s="250">
        <v>1.41</v>
      </c>
      <c r="Z31" s="250">
        <v>1.43</v>
      </c>
      <c r="AA31" s="251">
        <v>1.45</v>
      </c>
      <c r="AB31" s="216">
        <v>7</v>
      </c>
      <c r="AC31" s="169">
        <v>7</v>
      </c>
      <c r="AD31" s="170">
        <f t="shared" si="0"/>
        <v>1.24</v>
      </c>
      <c r="AE31" s="171">
        <f t="shared" si="1"/>
        <v>1.24</v>
      </c>
      <c r="AF31" s="172">
        <f t="shared" si="2"/>
        <v>1.26</v>
      </c>
    </row>
    <row r="32" spans="1:32" x14ac:dyDescent="0.2">
      <c r="A32" s="298" t="s">
        <v>1085</v>
      </c>
      <c r="B32" s="277">
        <f>$N$6</f>
        <v>6</v>
      </c>
      <c r="C32" s="138" t="s">
        <v>1172</v>
      </c>
      <c r="D32" s="57" t="s">
        <v>1118</v>
      </c>
      <c r="E32" s="21"/>
      <c r="F32" s="203"/>
      <c r="G32" s="203"/>
      <c r="H32" s="21"/>
      <c r="I32" s="24"/>
      <c r="K32" s="260">
        <v>0.4</v>
      </c>
      <c r="L32" s="253">
        <v>0.93899999999999995</v>
      </c>
      <c r="M32" s="254">
        <v>0.95099999999999996</v>
      </c>
      <c r="N32" s="254">
        <v>0.97599999999999998</v>
      </c>
      <c r="O32" s="250">
        <v>1.01</v>
      </c>
      <c r="P32" s="250">
        <v>1.04</v>
      </c>
      <c r="Q32" s="250">
        <v>1.07</v>
      </c>
      <c r="R32" s="250">
        <v>1.1000000000000001</v>
      </c>
      <c r="S32" s="250">
        <v>1.1299999999999999</v>
      </c>
      <c r="T32" s="250">
        <v>1.1599999999999999</v>
      </c>
      <c r="U32" s="250">
        <v>1.18</v>
      </c>
      <c r="V32" s="250">
        <v>1.2</v>
      </c>
      <c r="W32" s="250">
        <v>1.24</v>
      </c>
      <c r="X32" s="250">
        <v>1.28</v>
      </c>
      <c r="Y32" s="250">
        <v>1.31</v>
      </c>
      <c r="Z32" s="250">
        <v>1.33</v>
      </c>
      <c r="AA32" s="251">
        <v>1.36</v>
      </c>
      <c r="AB32" s="216">
        <v>8</v>
      </c>
      <c r="AC32" s="169">
        <v>8</v>
      </c>
      <c r="AD32" s="170">
        <f t="shared" si="0"/>
        <v>1.07</v>
      </c>
      <c r="AE32" s="171">
        <f t="shared" si="1"/>
        <v>1.07</v>
      </c>
      <c r="AF32" s="172">
        <f t="shared" si="2"/>
        <v>1.1000000000000001</v>
      </c>
    </row>
    <row r="33" spans="1:32" x14ac:dyDescent="0.2">
      <c r="A33" s="298" t="s">
        <v>1124</v>
      </c>
      <c r="B33" s="277">
        <f>$N$7</f>
        <v>0.75</v>
      </c>
      <c r="C33" s="242" t="str">
        <f>IF($N$7&gt;3,"&gt; 3.0","")</f>
        <v/>
      </c>
      <c r="D33" s="98" t="s">
        <v>1086</v>
      </c>
      <c r="E33" s="21"/>
      <c r="F33" s="203"/>
      <c r="G33" s="205"/>
      <c r="H33" s="21"/>
      <c r="I33" s="24"/>
      <c r="K33" s="260">
        <v>0.5</v>
      </c>
      <c r="L33" s="253">
        <v>0.78700000000000003</v>
      </c>
      <c r="M33" s="254">
        <v>0.79200000000000004</v>
      </c>
      <c r="N33" s="254">
        <v>0.81299999999999994</v>
      </c>
      <c r="O33" s="254">
        <v>0.86499999999999999</v>
      </c>
      <c r="P33" s="254">
        <v>0.90300000000000002</v>
      </c>
      <c r="Q33" s="254">
        <v>0.94099999999999995</v>
      </c>
      <c r="R33" s="254">
        <v>0.97599999999999998</v>
      </c>
      <c r="S33" s="250">
        <v>1.01</v>
      </c>
      <c r="T33" s="250">
        <v>1.04</v>
      </c>
      <c r="U33" s="250">
        <v>1.07</v>
      </c>
      <c r="V33" s="250">
        <v>1.0900000000000001</v>
      </c>
      <c r="W33" s="250">
        <v>1.1399999999999999</v>
      </c>
      <c r="X33" s="250">
        <v>1.18</v>
      </c>
      <c r="Y33" s="250">
        <v>1.21</v>
      </c>
      <c r="Z33" s="250">
        <v>1.25</v>
      </c>
      <c r="AA33" s="251">
        <v>1.27</v>
      </c>
      <c r="AB33" s="216">
        <v>9</v>
      </c>
      <c r="AC33" s="169">
        <v>9</v>
      </c>
      <c r="AD33" s="170">
        <f t="shared" si="0"/>
        <v>0.94099999999999995</v>
      </c>
      <c r="AE33" s="171">
        <f t="shared" si="1"/>
        <v>0.94099999999999995</v>
      </c>
      <c r="AF33" s="172">
        <f t="shared" si="2"/>
        <v>0.97599999999999998</v>
      </c>
    </row>
    <row r="34" spans="1:32" x14ac:dyDescent="0.2">
      <c r="A34" s="298" t="s">
        <v>1138</v>
      </c>
      <c r="B34" s="277">
        <f>$N$8</f>
        <v>0.5</v>
      </c>
      <c r="C34" s="242" t="str">
        <f>IF($N$8&gt;2,"&gt; 2.0","")</f>
        <v/>
      </c>
      <c r="D34" s="98" t="str">
        <f>IF($C$15="No","k = (kL)/L","k = 0  (for Special Case)")</f>
        <v>k = (kL)/L</v>
      </c>
      <c r="E34" s="21"/>
      <c r="F34" s="58"/>
      <c r="G34" s="205"/>
      <c r="H34" s="21"/>
      <c r="I34" s="24"/>
      <c r="K34" s="260">
        <v>0.6</v>
      </c>
      <c r="L34" s="253">
        <v>0.67300000000000004</v>
      </c>
      <c r="M34" s="254">
        <v>0.67900000000000005</v>
      </c>
      <c r="N34" s="254">
        <v>0.70099999999999996</v>
      </c>
      <c r="O34" s="254">
        <v>0.73399999999999999</v>
      </c>
      <c r="P34" s="254">
        <v>0.79500000000000004</v>
      </c>
      <c r="Q34" s="254">
        <v>0.83399999999999996</v>
      </c>
      <c r="R34" s="254">
        <v>0.872</v>
      </c>
      <c r="S34" s="254">
        <v>0.90700000000000003</v>
      </c>
      <c r="T34" s="254">
        <v>0.94</v>
      </c>
      <c r="U34" s="254">
        <v>0.97</v>
      </c>
      <c r="V34" s="254">
        <v>0.998</v>
      </c>
      <c r="W34" s="250">
        <v>1.05</v>
      </c>
      <c r="X34" s="250">
        <v>1.0900000000000001</v>
      </c>
      <c r="Y34" s="250">
        <v>1.1299999999999999</v>
      </c>
      <c r="Z34" s="250">
        <v>1.17</v>
      </c>
      <c r="AA34" s="251">
        <v>1.2</v>
      </c>
      <c r="AB34" s="216">
        <v>10</v>
      </c>
      <c r="AC34" s="169">
        <v>10</v>
      </c>
      <c r="AD34" s="170">
        <f t="shared" si="0"/>
        <v>0.83399999999999996</v>
      </c>
      <c r="AE34" s="171">
        <f t="shared" si="1"/>
        <v>0.83399999999999996</v>
      </c>
      <c r="AF34" s="172">
        <f t="shared" si="2"/>
        <v>0.872</v>
      </c>
    </row>
    <row r="35" spans="1:32" x14ac:dyDescent="0.2">
      <c r="A35" s="299" t="s">
        <v>1184</v>
      </c>
      <c r="B35" s="278">
        <f>$N$9</f>
        <v>1</v>
      </c>
      <c r="C35" s="138"/>
      <c r="D35" s="73" t="s">
        <v>1185</v>
      </c>
      <c r="E35" s="21"/>
      <c r="F35" s="205"/>
      <c r="G35" s="205"/>
      <c r="H35" s="21"/>
      <c r="I35" s="24"/>
      <c r="K35" s="260">
        <v>0.7</v>
      </c>
      <c r="L35" s="253">
        <v>0.58499999999999996</v>
      </c>
      <c r="M35" s="254">
        <v>0.59199999999999997</v>
      </c>
      <c r="N35" s="254">
        <v>0.61499999999999999</v>
      </c>
      <c r="O35" s="254">
        <v>0.64700000000000002</v>
      </c>
      <c r="P35" s="254">
        <v>0.70799999999999996</v>
      </c>
      <c r="Q35" s="254">
        <v>0.748</v>
      </c>
      <c r="R35" s="254">
        <v>0.78700000000000003</v>
      </c>
      <c r="S35" s="254">
        <v>0.82299999999999995</v>
      </c>
      <c r="T35" s="254">
        <v>0.85699999999999998</v>
      </c>
      <c r="U35" s="254">
        <v>0.88800000000000001</v>
      </c>
      <c r="V35" s="254">
        <v>0.91800000000000004</v>
      </c>
      <c r="W35" s="254">
        <v>0.97099999999999997</v>
      </c>
      <c r="X35" s="250">
        <v>1.02</v>
      </c>
      <c r="Y35" s="250">
        <v>1.06</v>
      </c>
      <c r="Z35" s="250">
        <v>1.1000000000000001</v>
      </c>
      <c r="AA35" s="251">
        <v>1.1299999999999999</v>
      </c>
      <c r="AB35" s="216">
        <v>11</v>
      </c>
      <c r="AC35" s="169">
        <v>11</v>
      </c>
      <c r="AD35" s="170">
        <f t="shared" si="0"/>
        <v>0.748</v>
      </c>
      <c r="AE35" s="171">
        <f t="shared" si="1"/>
        <v>0.748</v>
      </c>
      <c r="AF35" s="172">
        <f t="shared" si="2"/>
        <v>0.78700000000000003</v>
      </c>
    </row>
    <row r="36" spans="1:32" ht="12.75" customHeight="1" x14ac:dyDescent="0.2">
      <c r="A36" s="298" t="s">
        <v>1122</v>
      </c>
      <c r="B36" s="277">
        <f>$N$10</f>
        <v>0.71199999999999997</v>
      </c>
      <c r="C36" s="243"/>
      <c r="D36" s="98" t="s">
        <v>1370</v>
      </c>
      <c r="E36" s="21"/>
      <c r="F36" s="205"/>
      <c r="G36" s="205"/>
      <c r="H36" s="21"/>
      <c r="I36" s="24"/>
      <c r="K36" s="260">
        <v>0.8</v>
      </c>
      <c r="L36" s="253">
        <v>0.51700000000000002</v>
      </c>
      <c r="M36" s="254">
        <v>0.52400000000000002</v>
      </c>
      <c r="N36" s="254">
        <v>0.54600000000000004</v>
      </c>
      <c r="O36" s="254">
        <v>0.57899999999999996</v>
      </c>
      <c r="P36" s="254">
        <v>0.63600000000000001</v>
      </c>
      <c r="Q36" s="254">
        <v>0.67600000000000005</v>
      </c>
      <c r="R36" s="254">
        <v>0.71399999999999997</v>
      </c>
      <c r="S36" s="254">
        <v>0.751</v>
      </c>
      <c r="T36" s="254">
        <v>0.78600000000000003</v>
      </c>
      <c r="U36" s="254">
        <v>0.81799999999999995</v>
      </c>
      <c r="V36" s="254">
        <v>0.84799999999999998</v>
      </c>
      <c r="W36" s="254">
        <v>0.90300000000000002</v>
      </c>
      <c r="X36" s="254">
        <v>0.95199999999999996</v>
      </c>
      <c r="Y36" s="254">
        <v>0.995</v>
      </c>
      <c r="Z36" s="250">
        <v>1.03</v>
      </c>
      <c r="AA36" s="251">
        <v>1.07</v>
      </c>
      <c r="AB36" s="216">
        <v>12</v>
      </c>
      <c r="AC36" s="169">
        <v>12</v>
      </c>
      <c r="AD36" s="170">
        <f t="shared" si="0"/>
        <v>0.67600000000000005</v>
      </c>
      <c r="AE36" s="171">
        <f t="shared" si="1"/>
        <v>0.67600000000000005</v>
      </c>
      <c r="AF36" s="172">
        <f t="shared" si="2"/>
        <v>0.71399999999999997</v>
      </c>
    </row>
    <row r="37" spans="1:32" ht="12.75" customHeight="1" x14ac:dyDescent="0.2">
      <c r="A37" s="299" t="s">
        <v>1187</v>
      </c>
      <c r="B37" s="392">
        <f>$N$11</f>
        <v>22</v>
      </c>
      <c r="C37" s="138" t="s">
        <v>1114</v>
      </c>
      <c r="D37" s="73" t="s">
        <v>1120</v>
      </c>
      <c r="E37" s="21"/>
      <c r="F37" s="205"/>
      <c r="G37" s="205"/>
      <c r="H37" s="21"/>
      <c r="I37" s="24"/>
      <c r="K37" s="260">
        <v>0.9</v>
      </c>
      <c r="L37" s="253">
        <v>0.46300000000000002</v>
      </c>
      <c r="M37" s="254">
        <v>0.46899999999999997</v>
      </c>
      <c r="N37" s="254">
        <v>0.49099999999999999</v>
      </c>
      <c r="O37" s="254">
        <v>0.52400000000000002</v>
      </c>
      <c r="P37" s="254">
        <v>0.57599999999999996</v>
      </c>
      <c r="Q37" s="254">
        <v>0.61499999999999999</v>
      </c>
      <c r="R37" s="254">
        <v>0.65400000000000003</v>
      </c>
      <c r="S37" s="254">
        <v>0.69</v>
      </c>
      <c r="T37" s="254">
        <v>0.72499999999999998</v>
      </c>
      <c r="U37" s="254">
        <v>0.75700000000000001</v>
      </c>
      <c r="V37" s="254">
        <v>0.78800000000000003</v>
      </c>
      <c r="W37" s="254">
        <v>0.84399999999999997</v>
      </c>
      <c r="X37" s="254">
        <v>0.89300000000000002</v>
      </c>
      <c r="Y37" s="254">
        <v>0.93799999999999994</v>
      </c>
      <c r="Z37" s="254">
        <v>0.97799999999999998</v>
      </c>
      <c r="AA37" s="251">
        <v>1.02</v>
      </c>
      <c r="AB37" s="216">
        <v>13</v>
      </c>
      <c r="AC37" s="169">
        <v>13</v>
      </c>
      <c r="AD37" s="170">
        <f t="shared" si="0"/>
        <v>0.61499999999999999</v>
      </c>
      <c r="AE37" s="171">
        <f t="shared" si="1"/>
        <v>0.61499999999999999</v>
      </c>
      <c r="AF37" s="172">
        <f t="shared" si="2"/>
        <v>0.65400000000000003</v>
      </c>
    </row>
    <row r="38" spans="1:32" ht="12.75" customHeight="1" x14ac:dyDescent="0.2">
      <c r="A38" s="299" t="s">
        <v>1125</v>
      </c>
      <c r="B38" s="277">
        <f>$N$12</f>
        <v>0</v>
      </c>
      <c r="C38" s="138" t="s">
        <v>1103</v>
      </c>
      <c r="D38" s="84" t="s">
        <v>1126</v>
      </c>
      <c r="E38" s="21"/>
      <c r="F38" s="205"/>
      <c r="G38" s="205"/>
      <c r="H38" s="21"/>
      <c r="I38" s="24"/>
      <c r="K38" s="260">
        <v>1</v>
      </c>
      <c r="L38" s="253">
        <v>0.41899999999999998</v>
      </c>
      <c r="M38" s="254">
        <v>0.42499999999999999</v>
      </c>
      <c r="N38" s="254">
        <v>0.44600000000000001</v>
      </c>
      <c r="O38" s="254">
        <v>0.47799999999999998</v>
      </c>
      <c r="P38" s="254">
        <v>0.52700000000000002</v>
      </c>
      <c r="Q38" s="254">
        <v>0.56499999999999995</v>
      </c>
      <c r="R38" s="254">
        <v>0.60199999999999998</v>
      </c>
      <c r="S38" s="254">
        <v>0.63800000000000001</v>
      </c>
      <c r="T38" s="254">
        <v>0.67200000000000004</v>
      </c>
      <c r="U38" s="254">
        <v>0.70399999999999996</v>
      </c>
      <c r="V38" s="254">
        <v>0.73499999999999999</v>
      </c>
      <c r="W38" s="254">
        <v>0.79100000000000004</v>
      </c>
      <c r="X38" s="254">
        <v>0.84199999999999997</v>
      </c>
      <c r="Y38" s="254">
        <v>0.88700000000000001</v>
      </c>
      <c r="Z38" s="254">
        <v>0.92800000000000005</v>
      </c>
      <c r="AA38" s="255">
        <v>0.96499999999999997</v>
      </c>
      <c r="AB38" s="216">
        <v>14</v>
      </c>
      <c r="AC38" s="169">
        <v>14</v>
      </c>
      <c r="AD38" s="170">
        <f t="shared" si="0"/>
        <v>0.56499999999999995</v>
      </c>
      <c r="AE38" s="171">
        <f t="shared" si="1"/>
        <v>0.56499999999999995</v>
      </c>
      <c r="AF38" s="172">
        <f t="shared" si="2"/>
        <v>0.60199999999999998</v>
      </c>
    </row>
    <row r="39" spans="1:32" ht="12.75" customHeight="1" x14ac:dyDescent="0.2">
      <c r="A39" s="77" t="s">
        <v>1160</v>
      </c>
      <c r="B39" s="277" t="str">
        <f>$N$13</f>
        <v>N.A.</v>
      </c>
      <c r="C39" s="138"/>
      <c r="D39" s="73" t="s">
        <v>1371</v>
      </c>
      <c r="E39" s="112"/>
      <c r="F39" s="51"/>
      <c r="G39" s="21"/>
      <c r="H39" s="21"/>
      <c r="I39" s="24"/>
      <c r="K39" s="260">
        <v>1.2</v>
      </c>
      <c r="L39" s="253">
        <v>0.35099999999999998</v>
      </c>
      <c r="M39" s="254">
        <v>0.35699999999999998</v>
      </c>
      <c r="N39" s="254">
        <v>0.377</v>
      </c>
      <c r="O39" s="254">
        <v>0.40600000000000003</v>
      </c>
      <c r="P39" s="254">
        <v>0.44800000000000001</v>
      </c>
      <c r="Q39" s="254">
        <v>0.48399999999999999</v>
      </c>
      <c r="R39" s="254">
        <v>0.51900000000000002</v>
      </c>
      <c r="S39" s="254">
        <v>0.55300000000000005</v>
      </c>
      <c r="T39" s="254">
        <v>0.58599999999999997</v>
      </c>
      <c r="U39" s="254">
        <v>0.61699999999999999</v>
      </c>
      <c r="V39" s="254">
        <v>0.64700000000000002</v>
      </c>
      <c r="W39" s="254">
        <v>0.70199999999999996</v>
      </c>
      <c r="X39" s="254">
        <v>0.752</v>
      </c>
      <c r="Y39" s="254">
        <v>0.79800000000000004</v>
      </c>
      <c r="Z39" s="254">
        <v>0.84</v>
      </c>
      <c r="AA39" s="255">
        <v>0.878</v>
      </c>
      <c r="AB39" s="216">
        <v>15</v>
      </c>
      <c r="AC39" s="169">
        <v>15</v>
      </c>
      <c r="AD39" s="170">
        <f t="shared" si="0"/>
        <v>0.48399999999999999</v>
      </c>
      <c r="AE39" s="171">
        <f t="shared" si="1"/>
        <v>0.48399999999999999</v>
      </c>
      <c r="AF39" s="172">
        <f t="shared" si="2"/>
        <v>0.51900000000000002</v>
      </c>
    </row>
    <row r="40" spans="1:32" ht="12.75" customHeight="1" x14ac:dyDescent="0.2">
      <c r="A40" s="77" t="s">
        <v>1130</v>
      </c>
      <c r="B40" s="277" t="str">
        <f>$N$14</f>
        <v>N.A.</v>
      </c>
      <c r="C40" s="138"/>
      <c r="D40" s="62" t="s">
        <v>1169</v>
      </c>
      <c r="E40" s="39"/>
      <c r="F40" s="204"/>
      <c r="G40" s="64"/>
      <c r="H40" s="21"/>
      <c r="I40" s="24"/>
      <c r="K40" s="260">
        <v>1.4</v>
      </c>
      <c r="L40" s="253">
        <v>0.30199999999999999</v>
      </c>
      <c r="M40" s="254">
        <v>0.307</v>
      </c>
      <c r="N40" s="254">
        <v>0.32600000000000001</v>
      </c>
      <c r="O40" s="254">
        <v>0.35199999999999998</v>
      </c>
      <c r="P40" s="254">
        <v>0.39</v>
      </c>
      <c r="Q40" s="254">
        <v>0.42299999999999999</v>
      </c>
      <c r="R40" s="254">
        <v>0.45500000000000002</v>
      </c>
      <c r="S40" s="254">
        <v>0.48799999999999999</v>
      </c>
      <c r="T40" s="254">
        <v>0.51900000000000002</v>
      </c>
      <c r="U40" s="254">
        <v>0.54800000000000004</v>
      </c>
      <c r="V40" s="254">
        <v>0.57699999999999996</v>
      </c>
      <c r="W40" s="254">
        <v>0.63100000000000001</v>
      </c>
      <c r="X40" s="254">
        <v>0.68</v>
      </c>
      <c r="Y40" s="254">
        <v>0.72499999999999998</v>
      </c>
      <c r="Z40" s="254">
        <v>0.76600000000000001</v>
      </c>
      <c r="AA40" s="255">
        <v>0.80500000000000005</v>
      </c>
      <c r="AB40" s="216">
        <v>16</v>
      </c>
      <c r="AC40" s="169">
        <v>16</v>
      </c>
      <c r="AD40" s="170">
        <f t="shared" si="0"/>
        <v>0.42299999999999999</v>
      </c>
      <c r="AE40" s="171">
        <f t="shared" si="1"/>
        <v>0.42299999999999999</v>
      </c>
      <c r="AF40" s="172">
        <f t="shared" si="2"/>
        <v>0.45500000000000002</v>
      </c>
    </row>
    <row r="41" spans="1:32" ht="12.75" customHeight="1" x14ac:dyDescent="0.2">
      <c r="A41" s="77" t="s">
        <v>1188</v>
      </c>
      <c r="B41" s="277" t="str">
        <f>$N$15</f>
        <v>N.A.</v>
      </c>
      <c r="C41" s="138"/>
      <c r="D41" s="73" t="s">
        <v>1132</v>
      </c>
      <c r="E41" s="39"/>
      <c r="F41" s="204"/>
      <c r="G41" s="64"/>
      <c r="H41" s="21"/>
      <c r="I41" s="24"/>
      <c r="K41" s="260">
        <v>1.6</v>
      </c>
      <c r="L41" s="253">
        <v>0.26500000000000001</v>
      </c>
      <c r="M41" s="254">
        <v>0.27</v>
      </c>
      <c r="N41" s="254">
        <v>0.28699999999999998</v>
      </c>
      <c r="O41" s="254">
        <v>0.311</v>
      </c>
      <c r="P41" s="254">
        <v>0.34399999999999997</v>
      </c>
      <c r="Q41" s="254">
        <v>0.375</v>
      </c>
      <c r="R41" s="254">
        <v>0.40500000000000003</v>
      </c>
      <c r="S41" s="254">
        <v>0.435</v>
      </c>
      <c r="T41" s="254">
        <v>0.46500000000000002</v>
      </c>
      <c r="U41" s="254">
        <v>0.49299999999999999</v>
      </c>
      <c r="V41" s="254">
        <v>0.52</v>
      </c>
      <c r="W41" s="254">
        <v>0.57199999999999995</v>
      </c>
      <c r="X41" s="254">
        <v>0.61899999999999999</v>
      </c>
      <c r="Y41" s="254">
        <v>0.66400000000000003</v>
      </c>
      <c r="Z41" s="254">
        <v>0.70399999999999996</v>
      </c>
      <c r="AA41" s="255">
        <v>0.74299999999999999</v>
      </c>
      <c r="AB41" s="216">
        <v>17</v>
      </c>
      <c r="AC41" s="169">
        <v>17</v>
      </c>
      <c r="AD41" s="170">
        <f t="shared" si="0"/>
        <v>0.375</v>
      </c>
      <c r="AE41" s="171">
        <f t="shared" si="1"/>
        <v>0.375</v>
      </c>
      <c r="AF41" s="172">
        <f t="shared" si="2"/>
        <v>0.40500000000000003</v>
      </c>
    </row>
    <row r="42" spans="1:32" x14ac:dyDescent="0.2">
      <c r="A42" s="77" t="s">
        <v>1133</v>
      </c>
      <c r="B42" s="277" t="str">
        <f>$N$16</f>
        <v>N.A.</v>
      </c>
      <c r="C42" s="138"/>
      <c r="D42" s="73" t="s">
        <v>1104</v>
      </c>
      <c r="E42" s="39"/>
      <c r="F42" s="204"/>
      <c r="G42" s="64"/>
      <c r="H42" s="21"/>
      <c r="I42" s="24"/>
      <c r="K42" s="260">
        <v>1.8</v>
      </c>
      <c r="L42" s="253">
        <v>0.23599999999999999</v>
      </c>
      <c r="M42" s="254">
        <v>0.24099999999999999</v>
      </c>
      <c r="N42" s="254">
        <v>0.25600000000000001</v>
      </c>
      <c r="O42" s="254">
        <v>0.27800000000000002</v>
      </c>
      <c r="P42" s="254">
        <v>0.308</v>
      </c>
      <c r="Q42" s="254">
        <v>0.33600000000000002</v>
      </c>
      <c r="R42" s="254">
        <v>0.36499999999999999</v>
      </c>
      <c r="S42" s="254">
        <v>0.39300000000000002</v>
      </c>
      <c r="T42" s="254">
        <v>0.42099999999999999</v>
      </c>
      <c r="U42" s="254">
        <v>0.44800000000000001</v>
      </c>
      <c r="V42" s="254">
        <v>0.47399999999999998</v>
      </c>
      <c r="W42" s="254">
        <v>0.52300000000000002</v>
      </c>
      <c r="X42" s="254">
        <v>0.56899999999999995</v>
      </c>
      <c r="Y42" s="254">
        <v>0.61199999999999999</v>
      </c>
      <c r="Z42" s="254">
        <v>0.65200000000000002</v>
      </c>
      <c r="AA42" s="255">
        <v>0.68899999999999995</v>
      </c>
      <c r="AB42" s="216">
        <v>18</v>
      </c>
      <c r="AC42" s="169">
        <v>18</v>
      </c>
      <c r="AD42" s="170">
        <f t="shared" si="0"/>
        <v>0.33600000000000002</v>
      </c>
      <c r="AE42" s="171">
        <f t="shared" si="1"/>
        <v>0.33600000000000002</v>
      </c>
      <c r="AF42" s="172">
        <f t="shared" si="2"/>
        <v>0.36499999999999999</v>
      </c>
    </row>
    <row r="43" spans="1:32" x14ac:dyDescent="0.2">
      <c r="A43" s="77" t="s">
        <v>1143</v>
      </c>
      <c r="B43" s="277" t="str">
        <f>$N$17</f>
        <v>N.A.</v>
      </c>
      <c r="C43" s="138"/>
      <c r="D43" s="73" t="s">
        <v>1105</v>
      </c>
      <c r="E43" s="39"/>
      <c r="F43" s="204"/>
      <c r="G43" s="64"/>
      <c r="H43" s="21"/>
      <c r="I43" s="24"/>
      <c r="K43" s="260">
        <v>2</v>
      </c>
      <c r="L43" s="253">
        <v>0.21299999999999999</v>
      </c>
      <c r="M43" s="254">
        <v>0.217</v>
      </c>
      <c r="N43" s="254">
        <v>0.23100000000000001</v>
      </c>
      <c r="O43" s="254">
        <v>0.251</v>
      </c>
      <c r="P43" s="254">
        <v>0.27900000000000003</v>
      </c>
      <c r="Q43" s="254">
        <v>0.30499999999999999</v>
      </c>
      <c r="R43" s="254">
        <v>0.33100000000000002</v>
      </c>
      <c r="S43" s="254">
        <v>0.35799999999999998</v>
      </c>
      <c r="T43" s="254">
        <v>0.38400000000000001</v>
      </c>
      <c r="U43" s="254">
        <v>0.41</v>
      </c>
      <c r="V43" s="254">
        <v>0.434</v>
      </c>
      <c r="W43" s="254">
        <v>0.48099999999999998</v>
      </c>
      <c r="X43" s="254">
        <v>0.52600000000000002</v>
      </c>
      <c r="Y43" s="254">
        <v>0.56699999999999995</v>
      </c>
      <c r="Z43" s="254">
        <v>0.60599999999999998</v>
      </c>
      <c r="AA43" s="255">
        <v>0.64200000000000002</v>
      </c>
      <c r="AB43" s="216">
        <v>19</v>
      </c>
      <c r="AC43" s="169">
        <v>19</v>
      </c>
      <c r="AD43" s="170">
        <f t="shared" si="0"/>
        <v>0.30499999999999999</v>
      </c>
      <c r="AE43" s="171">
        <f t="shared" si="1"/>
        <v>0.30499999999999999</v>
      </c>
      <c r="AF43" s="172">
        <f t="shared" si="2"/>
        <v>0.33100000000000002</v>
      </c>
    </row>
    <row r="44" spans="1:32" ht="12.75" customHeight="1" x14ac:dyDescent="0.2">
      <c r="A44" s="77" t="s">
        <v>1193</v>
      </c>
      <c r="B44" s="277">
        <f>$N$18</f>
        <v>3.8620000000000001</v>
      </c>
      <c r="C44" s="138" t="s">
        <v>1099</v>
      </c>
      <c r="D44" s="62" t="str">
        <f>IF($N$12&gt;0,"D(req'd) = P/(Ca*C1*L)","D(req'd) = P/(C*C1*L)")</f>
        <v>D(req'd) = P/(C*C1*L)</v>
      </c>
      <c r="E44" s="205"/>
      <c r="F44" s="205"/>
      <c r="G44" s="64"/>
      <c r="H44" s="21"/>
      <c r="I44" s="24"/>
      <c r="K44" s="260">
        <v>2.2000000000000002</v>
      </c>
      <c r="L44" s="253">
        <v>0.193</v>
      </c>
      <c r="M44" s="254">
        <v>0.19800000000000001</v>
      </c>
      <c r="N44" s="254">
        <v>0.21099999999999999</v>
      </c>
      <c r="O44" s="254">
        <v>0.22900000000000001</v>
      </c>
      <c r="P44" s="254">
        <v>0.254</v>
      </c>
      <c r="Q44" s="254">
        <v>0.27900000000000003</v>
      </c>
      <c r="R44" s="254">
        <v>0.30299999999999999</v>
      </c>
      <c r="S44" s="254">
        <v>0.32800000000000001</v>
      </c>
      <c r="T44" s="254">
        <v>0.35299999999999998</v>
      </c>
      <c r="U44" s="254">
        <v>0.377</v>
      </c>
      <c r="V44" s="254">
        <v>0.40100000000000002</v>
      </c>
      <c r="W44" s="254">
        <v>0.44600000000000001</v>
      </c>
      <c r="X44" s="254">
        <v>0.48799999999999999</v>
      </c>
      <c r="Y44" s="254">
        <v>0.52800000000000002</v>
      </c>
      <c r="Z44" s="254">
        <v>0.56599999999999995</v>
      </c>
      <c r="AA44" s="255">
        <v>0.60199999999999998</v>
      </c>
      <c r="AB44" s="216">
        <v>20</v>
      </c>
      <c r="AC44" s="169">
        <v>20</v>
      </c>
      <c r="AD44" s="170">
        <f t="shared" si="0"/>
        <v>0.27900000000000003</v>
      </c>
      <c r="AE44" s="171">
        <f t="shared" si="1"/>
        <v>0.27900000000000003</v>
      </c>
      <c r="AF44" s="172">
        <f t="shared" si="2"/>
        <v>0.30299999999999999</v>
      </c>
    </row>
    <row r="45" spans="1:32" x14ac:dyDescent="0.2">
      <c r="A45" s="77" t="s">
        <v>1190</v>
      </c>
      <c r="B45" s="279">
        <f>$N$19</f>
        <v>7.7249999999999996</v>
      </c>
      <c r="C45" s="138" t="s">
        <v>1172</v>
      </c>
      <c r="D45" s="62" t="str">
        <f>IF($N$12&gt;0,"L(req'd) = P/(Ca*C1*D)","L(req'd) = P/(C*C1*D)")</f>
        <v>L(req'd) = P/(C*C1*D)</v>
      </c>
      <c r="E45" s="205"/>
      <c r="F45" s="205"/>
      <c r="G45" s="64"/>
      <c r="H45" s="21"/>
      <c r="I45" s="24"/>
      <c r="K45" s="260">
        <v>2.4</v>
      </c>
      <c r="L45" s="253">
        <v>0.17699999999999999</v>
      </c>
      <c r="M45" s="254">
        <v>0.18099999999999999</v>
      </c>
      <c r="N45" s="254">
        <v>0.19400000000000001</v>
      </c>
      <c r="O45" s="254">
        <v>0.21099999999999999</v>
      </c>
      <c r="P45" s="254">
        <v>0.23400000000000001</v>
      </c>
      <c r="Q45" s="254">
        <v>0.25600000000000001</v>
      </c>
      <c r="R45" s="254">
        <v>0.28000000000000003</v>
      </c>
      <c r="S45" s="254">
        <v>0.30299999999999999</v>
      </c>
      <c r="T45" s="254">
        <v>0.32700000000000001</v>
      </c>
      <c r="U45" s="254">
        <v>0.35</v>
      </c>
      <c r="V45" s="254">
        <v>0.372</v>
      </c>
      <c r="W45" s="254">
        <v>0.41499999999999998</v>
      </c>
      <c r="X45" s="254">
        <v>0.45600000000000002</v>
      </c>
      <c r="Y45" s="254">
        <v>0.495</v>
      </c>
      <c r="Z45" s="254">
        <v>0.53100000000000003</v>
      </c>
      <c r="AA45" s="255">
        <v>0.56599999999999995</v>
      </c>
      <c r="AB45" s="216">
        <v>21</v>
      </c>
      <c r="AC45" s="169">
        <v>21</v>
      </c>
      <c r="AD45" s="170">
        <f t="shared" si="0"/>
        <v>0.25600000000000001</v>
      </c>
      <c r="AE45" s="171">
        <f t="shared" si="1"/>
        <v>0.25600000000000001</v>
      </c>
      <c r="AF45" s="172">
        <f t="shared" si="2"/>
        <v>0.28000000000000003</v>
      </c>
    </row>
    <row r="46" spans="1:32" x14ac:dyDescent="0.2">
      <c r="A46" s="30"/>
      <c r="B46" s="21"/>
      <c r="C46" s="21"/>
      <c r="D46" s="21"/>
      <c r="E46" s="21"/>
      <c r="F46" s="21"/>
      <c r="G46" s="21"/>
      <c r="H46" s="21"/>
      <c r="I46" s="24"/>
      <c r="K46" s="260">
        <v>2.6</v>
      </c>
      <c r="L46" s="253">
        <v>0.16400000000000001</v>
      </c>
      <c r="M46" s="254">
        <v>0.16800000000000001</v>
      </c>
      <c r="N46" s="254">
        <v>0.17899999999999999</v>
      </c>
      <c r="O46" s="254">
        <v>0.19500000000000001</v>
      </c>
      <c r="P46" s="254">
        <v>0.216</v>
      </c>
      <c r="Q46" s="254">
        <v>0.23699999999999999</v>
      </c>
      <c r="R46" s="254">
        <v>0.25900000000000001</v>
      </c>
      <c r="S46" s="254">
        <v>0.28199999999999997</v>
      </c>
      <c r="T46" s="254">
        <v>0.30399999999999999</v>
      </c>
      <c r="U46" s="254">
        <v>0.32600000000000001</v>
      </c>
      <c r="V46" s="254">
        <v>0.34699999999999998</v>
      </c>
      <c r="W46" s="254">
        <v>0.38800000000000001</v>
      </c>
      <c r="X46" s="254">
        <v>0.42799999999999999</v>
      </c>
      <c r="Y46" s="254">
        <v>0.46500000000000002</v>
      </c>
      <c r="Z46" s="254">
        <v>0.5</v>
      </c>
      <c r="AA46" s="255">
        <v>0.53400000000000003</v>
      </c>
      <c r="AB46" s="216">
        <v>22</v>
      </c>
      <c r="AC46" s="169">
        <v>22</v>
      </c>
      <c r="AD46" s="170">
        <f t="shared" si="0"/>
        <v>0.23699999999999999</v>
      </c>
      <c r="AE46" s="171">
        <f t="shared" si="1"/>
        <v>0.23699999999999999</v>
      </c>
      <c r="AF46" s="172">
        <f t="shared" si="2"/>
        <v>0.25900000000000001</v>
      </c>
    </row>
    <row r="47" spans="1:32" x14ac:dyDescent="0.2">
      <c r="A47" s="30"/>
      <c r="B47" s="21"/>
      <c r="C47" s="21"/>
      <c r="D47" s="301" t="str">
        <f>IF(OR($N$18&gt;$C$11*16,$N$19&gt;$N$3),"Weld is overstressed!","Weld is adequate!")</f>
        <v>Weld is adequate!</v>
      </c>
      <c r="E47" s="35"/>
      <c r="F47" s="428"/>
      <c r="G47" s="21"/>
      <c r="H47" s="21"/>
      <c r="I47" s="24"/>
      <c r="K47" s="260">
        <v>2.8</v>
      </c>
      <c r="L47" s="253">
        <v>0.152</v>
      </c>
      <c r="M47" s="254">
        <v>0.156</v>
      </c>
      <c r="N47" s="254">
        <v>0.16600000000000001</v>
      </c>
      <c r="O47" s="254">
        <v>0.18099999999999999</v>
      </c>
      <c r="P47" s="254">
        <v>0.20100000000000001</v>
      </c>
      <c r="Q47" s="254">
        <v>0.221</v>
      </c>
      <c r="R47" s="254">
        <v>0.24199999999999999</v>
      </c>
      <c r="S47" s="254">
        <v>0.26300000000000001</v>
      </c>
      <c r="T47" s="254">
        <v>0.28399999999999997</v>
      </c>
      <c r="U47" s="254">
        <v>0.30499999999999999</v>
      </c>
      <c r="V47" s="254">
        <v>0.32500000000000001</v>
      </c>
      <c r="W47" s="254">
        <v>0.36499999999999999</v>
      </c>
      <c r="X47" s="254">
        <v>0.40200000000000002</v>
      </c>
      <c r="Y47" s="254">
        <v>0.438</v>
      </c>
      <c r="Z47" s="254">
        <v>0.47199999999999998</v>
      </c>
      <c r="AA47" s="255">
        <v>0.505</v>
      </c>
      <c r="AB47" s="216">
        <v>23</v>
      </c>
      <c r="AC47" s="169">
        <v>23</v>
      </c>
      <c r="AD47" s="170">
        <f t="shared" si="0"/>
        <v>0.221</v>
      </c>
      <c r="AE47" s="171">
        <f t="shared" si="1"/>
        <v>0.221</v>
      </c>
      <c r="AF47" s="172">
        <f t="shared" si="2"/>
        <v>0.24199999999999999</v>
      </c>
    </row>
    <row r="48" spans="1:32" ht="12.75" customHeight="1" x14ac:dyDescent="0.2">
      <c r="A48" s="30"/>
      <c r="B48" s="21"/>
      <c r="C48" s="21"/>
      <c r="D48" s="302" t="str">
        <f>IF($N$18&gt;$C$11*16,"D(req'd) = "&amp;$N$18&amp;" &gt; "&amp;$C$11*16&amp;" (1/16's)","D(req'd) = "&amp;$N$18&amp;" &lt;= "&amp;$C$11*16&amp;" (1/16's)")</f>
        <v>D(req'd) = 3.862 &lt;= 4 (1/16's)</v>
      </c>
      <c r="E48" s="37"/>
      <c r="F48" s="345"/>
      <c r="G48" s="21"/>
      <c r="H48" s="21"/>
      <c r="I48" s="24"/>
      <c r="K48" s="261">
        <v>3</v>
      </c>
      <c r="L48" s="256">
        <v>0.14199999999999999</v>
      </c>
      <c r="M48" s="257">
        <v>0.14499999999999999</v>
      </c>
      <c r="N48" s="257">
        <v>0.155</v>
      </c>
      <c r="O48" s="257">
        <v>0.16900000000000001</v>
      </c>
      <c r="P48" s="257">
        <v>0.188</v>
      </c>
      <c r="Q48" s="257">
        <v>0.20699999999999999</v>
      </c>
      <c r="R48" s="257">
        <v>0.22600000000000001</v>
      </c>
      <c r="S48" s="257">
        <v>0.246</v>
      </c>
      <c r="T48" s="257">
        <v>0.26600000000000001</v>
      </c>
      <c r="U48" s="257">
        <v>0.28599999999999998</v>
      </c>
      <c r="V48" s="257">
        <v>0.30599999999999999</v>
      </c>
      <c r="W48" s="257">
        <v>0.34399999999999997</v>
      </c>
      <c r="X48" s="257">
        <v>0.38</v>
      </c>
      <c r="Y48" s="257">
        <v>0.41499999999999998</v>
      </c>
      <c r="Z48" s="257">
        <v>0.44800000000000001</v>
      </c>
      <c r="AA48" s="258">
        <v>0.47899999999999998</v>
      </c>
      <c r="AB48" s="216">
        <v>24</v>
      </c>
      <c r="AC48" s="173">
        <v>24</v>
      </c>
      <c r="AD48" s="174">
        <f t="shared" si="0"/>
        <v>0.20699999999999999</v>
      </c>
      <c r="AE48" s="175">
        <f t="shared" si="1"/>
        <v>0.20699999999999999</v>
      </c>
      <c r="AF48" s="176">
        <f t="shared" si="2"/>
        <v>0.22600000000000001</v>
      </c>
    </row>
    <row r="49" spans="1:32" x14ac:dyDescent="0.2">
      <c r="A49" s="30"/>
      <c r="B49" s="21"/>
      <c r="C49" s="21"/>
      <c r="D49" s="304" t="str">
        <f>IF($N$19&gt;$N$3,"L(req'd) = "&amp;$N$19&amp;" &gt; "&amp;$N$3&amp;" in.","L(req'd) = "&amp;$N$19&amp;" &lt;= "&amp;$N$3&amp;" in.")</f>
        <v>L(req'd) = 7.725 &lt;= 8 in.</v>
      </c>
      <c r="E49" s="305"/>
      <c r="F49" s="429"/>
      <c r="G49" s="21"/>
      <c r="H49" s="21"/>
      <c r="I49" s="24"/>
      <c r="K49" s="158" t="s">
        <v>1094</v>
      </c>
      <c r="L49" s="158">
        <v>1</v>
      </c>
      <c r="M49" s="158">
        <v>2</v>
      </c>
      <c r="N49" s="158">
        <v>3</v>
      </c>
      <c r="O49" s="158">
        <v>4</v>
      </c>
      <c r="P49" s="158">
        <v>5</v>
      </c>
      <c r="Q49" s="158">
        <v>6</v>
      </c>
      <c r="R49" s="158">
        <v>7</v>
      </c>
      <c r="S49" s="158">
        <v>8</v>
      </c>
      <c r="T49" s="158">
        <v>9</v>
      </c>
      <c r="U49" s="158">
        <v>10</v>
      </c>
      <c r="V49" s="158">
        <v>11</v>
      </c>
      <c r="W49" s="158">
        <v>12</v>
      </c>
      <c r="X49" s="158">
        <v>13</v>
      </c>
      <c r="Y49" s="158">
        <v>14</v>
      </c>
      <c r="Z49" s="158">
        <v>15</v>
      </c>
      <c r="AA49" s="158">
        <v>16</v>
      </c>
      <c r="AB49" s="177"/>
      <c r="AC49" s="178" t="s">
        <v>1096</v>
      </c>
      <c r="AD49" s="179"/>
      <c r="AE49" s="180"/>
      <c r="AF49" s="181" t="s">
        <v>1097</v>
      </c>
    </row>
    <row r="50" spans="1:32" x14ac:dyDescent="0.2">
      <c r="A50" s="31"/>
      <c r="B50" s="32"/>
      <c r="C50" s="32"/>
      <c r="D50" s="32"/>
      <c r="E50" s="32"/>
      <c r="F50" s="32"/>
      <c r="G50" s="32"/>
      <c r="H50" s="32"/>
      <c r="I50" s="33"/>
      <c r="M50" s="47"/>
      <c r="N50" s="47"/>
      <c r="O50" s="52"/>
      <c r="P50" s="47"/>
      <c r="Q50" s="18"/>
      <c r="R50" s="18"/>
      <c r="S50" s="18"/>
      <c r="T50" s="18"/>
      <c r="U50" s="18"/>
      <c r="V50" s="18"/>
      <c r="W50" s="18"/>
      <c r="AC50" s="182">
        <f>IF($N$7&gt;=0.06,LOOKUP($AE$50,$K$25:$K$48,$AB$25:$AB$48),0)</f>
        <v>11</v>
      </c>
      <c r="AD50" s="183" t="s">
        <v>1194</v>
      </c>
      <c r="AE50" s="220">
        <f>IF($N$7&gt;=0.06,LOOKUP($N$7,$K$25:$K$48),0)</f>
        <v>0.7</v>
      </c>
      <c r="AF50" s="185">
        <f>IF($N$7&gt;=0.06,LOOKUP($AE$50,$K$25:$K$48,$AE25:$AE48),0.928*2)</f>
        <v>0.748</v>
      </c>
    </row>
    <row r="51" spans="1:32" x14ac:dyDescent="0.2">
      <c r="N51" s="43"/>
      <c r="O51" s="52"/>
      <c r="Q51" s="18"/>
      <c r="R51" s="18"/>
      <c r="S51" s="18"/>
      <c r="T51" s="18"/>
      <c r="U51" s="18"/>
      <c r="V51" s="18"/>
      <c r="W51" s="18"/>
      <c r="AC51" s="186"/>
      <c r="AD51" s="187" t="s">
        <v>1095</v>
      </c>
      <c r="AE51" s="171">
        <f>$N$7</f>
        <v>0.75</v>
      </c>
      <c r="AF51" s="188">
        <f>IF($AE$50=$AE$52,$AF$50,($AF$52-$AF$50)*($AE$51-$AE$50)/($AE$52-$AE$50)+$AF$50)</f>
        <v>0.71199999999999997</v>
      </c>
    </row>
    <row r="52" spans="1:32" x14ac:dyDescent="0.2">
      <c r="I52" s="51"/>
      <c r="J52" s="51"/>
      <c r="N52" s="43"/>
      <c r="O52" s="14"/>
      <c r="Q52" s="18"/>
      <c r="R52" s="18"/>
      <c r="S52" s="18"/>
      <c r="T52" s="18"/>
      <c r="U52" s="18"/>
      <c r="V52" s="18"/>
      <c r="W52" s="18"/>
      <c r="AC52" s="189">
        <f>LOOKUP($AC$50+1,$AB$25:$AB$48)</f>
        <v>12</v>
      </c>
      <c r="AD52" s="190" t="s">
        <v>1194</v>
      </c>
      <c r="AE52" s="191">
        <f>LOOKUP($AC$52,$AB$25:$AB$48,$K$25:$K$48)</f>
        <v>0.8</v>
      </c>
      <c r="AF52" s="176">
        <f>LOOKUP($AE$52,$K$25:$K$48,$AE25:$AE48)</f>
        <v>0.67600000000000005</v>
      </c>
    </row>
    <row r="53" spans="1:32" x14ac:dyDescent="0.2">
      <c r="I53" s="21"/>
    </row>
    <row r="54" spans="1:32" x14ac:dyDescent="0.2">
      <c r="I54" s="21"/>
    </row>
    <row r="55" spans="1:32" x14ac:dyDescent="0.2">
      <c r="I55" s="21"/>
      <c r="K55" s="55"/>
      <c r="N55" s="43"/>
      <c r="P55" s="44"/>
    </row>
    <row r="56" spans="1:32" x14ac:dyDescent="0.2">
      <c r="I56" s="21"/>
      <c r="K56" s="55"/>
      <c r="P56" s="44"/>
    </row>
    <row r="57" spans="1:32" x14ac:dyDescent="0.2">
      <c r="I57" s="125"/>
      <c r="K57" s="55"/>
      <c r="P57" s="44"/>
    </row>
    <row r="58" spans="1:32" x14ac:dyDescent="0.2">
      <c r="I58" s="125"/>
      <c r="K58" s="55"/>
      <c r="P58" s="44"/>
    </row>
    <row r="59" spans="1:32" x14ac:dyDescent="0.2">
      <c r="I59" s="11"/>
      <c r="K59" s="55"/>
      <c r="O59" s="192"/>
      <c r="P59" s="192"/>
      <c r="Q59" s="192"/>
    </row>
    <row r="60" spans="1:32" x14ac:dyDescent="0.2">
      <c r="I60" s="58"/>
      <c r="J60" s="67"/>
      <c r="K60" s="55"/>
      <c r="O60" s="192"/>
      <c r="P60" s="192"/>
      <c r="Q60" s="192"/>
    </row>
    <row r="61" spans="1:32" x14ac:dyDescent="0.2">
      <c r="I61" s="11"/>
      <c r="J61" s="71"/>
      <c r="K61" s="55"/>
      <c r="O61" s="192"/>
      <c r="P61" s="192"/>
      <c r="Q61" s="192"/>
    </row>
    <row r="62" spans="1:32" x14ac:dyDescent="0.2">
      <c r="I62" s="11"/>
      <c r="J62" s="51"/>
      <c r="K62" s="55"/>
      <c r="O62" s="192"/>
      <c r="P62" s="192"/>
      <c r="Q62" s="192"/>
    </row>
    <row r="63" spans="1:32" x14ac:dyDescent="0.2">
      <c r="I63" s="21"/>
      <c r="J63" s="51"/>
      <c r="K63" s="55"/>
      <c r="O63" s="192"/>
      <c r="P63" s="192"/>
      <c r="Q63" s="192"/>
    </row>
    <row r="64" spans="1:32" x14ac:dyDescent="0.2">
      <c r="I64" s="64"/>
      <c r="J64" s="51"/>
    </row>
    <row r="65" spans="1:14" x14ac:dyDescent="0.2">
      <c r="I65" s="64"/>
      <c r="J65" s="51"/>
      <c r="N65" s="43"/>
    </row>
    <row r="66" spans="1:14" x14ac:dyDescent="0.2">
      <c r="I66" s="64"/>
      <c r="J66" s="51"/>
      <c r="N66" s="43"/>
    </row>
    <row r="67" spans="1:14" x14ac:dyDescent="0.2">
      <c r="I67" s="64"/>
      <c r="J67" s="51"/>
      <c r="N67" s="43"/>
    </row>
    <row r="68" spans="1:14" x14ac:dyDescent="0.2">
      <c r="I68" s="64"/>
      <c r="N68" s="43"/>
    </row>
    <row r="69" spans="1:14" x14ac:dyDescent="0.2">
      <c r="I69" s="64"/>
      <c r="N69" s="43"/>
    </row>
    <row r="70" spans="1:14" x14ac:dyDescent="0.2">
      <c r="A70" s="64"/>
      <c r="B70" s="64"/>
      <c r="C70" s="64"/>
      <c r="D70" s="64"/>
      <c r="E70" s="64"/>
      <c r="F70" s="64"/>
      <c r="G70" s="64"/>
      <c r="H70" s="64"/>
      <c r="I70" s="64"/>
      <c r="N70" s="43"/>
    </row>
    <row r="71" spans="1:14" x14ac:dyDescent="0.2">
      <c r="A71" s="71"/>
      <c r="B71" s="64"/>
      <c r="C71" s="64"/>
      <c r="D71" s="64"/>
      <c r="E71" s="64"/>
      <c r="F71" s="64"/>
      <c r="G71" s="64"/>
      <c r="H71" s="64"/>
      <c r="I71" s="64"/>
      <c r="N71" s="43"/>
    </row>
    <row r="72" spans="1:14" x14ac:dyDescent="0.2">
      <c r="A72" s="64"/>
      <c r="B72" s="64"/>
      <c r="C72" s="64"/>
      <c r="D72" s="64"/>
      <c r="E72" s="64"/>
      <c r="F72" s="64"/>
      <c r="G72" s="64"/>
      <c r="H72" s="64"/>
      <c r="I72" s="64"/>
      <c r="N72" s="43"/>
    </row>
    <row r="73" spans="1:14" x14ac:dyDescent="0.2">
      <c r="A73" s="93"/>
      <c r="B73" s="9"/>
      <c r="C73" s="73"/>
      <c r="D73" s="64"/>
      <c r="E73" s="64"/>
      <c r="F73" s="64"/>
      <c r="G73" s="64"/>
      <c r="H73" s="108"/>
      <c r="I73" s="57"/>
      <c r="N73" s="43"/>
    </row>
    <row r="74" spans="1:14" x14ac:dyDescent="0.2">
      <c r="A74" s="57"/>
      <c r="B74" s="57"/>
      <c r="C74" s="57"/>
      <c r="D74" s="65"/>
      <c r="E74" s="64"/>
      <c r="F74" s="64"/>
      <c r="G74" s="64"/>
      <c r="H74" s="64"/>
      <c r="I74" s="64"/>
      <c r="N74" s="54"/>
    </row>
    <row r="75" spans="1:14" x14ac:dyDescent="0.2">
      <c r="A75" s="93"/>
      <c r="B75" s="9"/>
      <c r="C75" s="62"/>
      <c r="D75" s="62"/>
      <c r="E75" s="62"/>
      <c r="F75" s="64"/>
      <c r="G75" s="64"/>
      <c r="H75" s="64"/>
      <c r="I75" s="57"/>
      <c r="N75" s="43"/>
    </row>
    <row r="76" spans="1:14" x14ac:dyDescent="0.2">
      <c r="A76" s="93"/>
      <c r="B76" s="9"/>
      <c r="C76" s="62"/>
      <c r="D76" s="73"/>
      <c r="E76" s="73"/>
      <c r="F76" s="64"/>
      <c r="G76" s="64"/>
      <c r="H76" s="64"/>
      <c r="I76" s="57"/>
      <c r="N76" s="43"/>
    </row>
    <row r="77" spans="1:14" x14ac:dyDescent="0.2">
      <c r="A77" s="100"/>
      <c r="B77" s="58"/>
      <c r="C77" s="62"/>
      <c r="D77" s="84"/>
      <c r="E77" s="84"/>
      <c r="F77" s="64"/>
      <c r="G77" s="64"/>
      <c r="H77" s="64"/>
      <c r="I77" s="64"/>
      <c r="N77" s="43"/>
    </row>
    <row r="78" spans="1:14" x14ac:dyDescent="0.2">
      <c r="A78" s="100"/>
      <c r="B78" s="58"/>
      <c r="C78" s="62"/>
      <c r="D78" s="84"/>
      <c r="E78" s="84"/>
      <c r="F78" s="64"/>
      <c r="G78" s="64"/>
      <c r="H78" s="64"/>
      <c r="I78" s="64"/>
      <c r="N78" s="43"/>
    </row>
    <row r="79" spans="1:14" x14ac:dyDescent="0.2">
      <c r="A79" s="64"/>
      <c r="B79" s="64"/>
      <c r="C79" s="64"/>
      <c r="D79" s="62"/>
      <c r="E79" s="64"/>
      <c r="F79" s="64"/>
      <c r="G79" s="64"/>
      <c r="H79" s="64"/>
      <c r="I79" s="64"/>
      <c r="N79" s="43"/>
    </row>
    <row r="80" spans="1:14" x14ac:dyDescent="0.2">
      <c r="A80" s="64"/>
      <c r="B80" s="64"/>
      <c r="C80" s="64"/>
      <c r="D80" s="64"/>
      <c r="E80" s="64"/>
      <c r="F80" s="64"/>
      <c r="G80" s="108"/>
      <c r="H80" s="64"/>
      <c r="I80" s="64"/>
      <c r="K80" s="70"/>
      <c r="N80" s="43"/>
    </row>
    <row r="81" spans="1:14" x14ac:dyDescent="0.2">
      <c r="A81" s="194"/>
      <c r="B81" s="64"/>
      <c r="C81" s="64"/>
      <c r="D81" s="64"/>
      <c r="E81" s="64"/>
      <c r="F81" s="108"/>
      <c r="G81" s="64"/>
      <c r="H81" s="64"/>
      <c r="I81" s="64"/>
      <c r="N81" s="43"/>
    </row>
    <row r="82" spans="1:14" x14ac:dyDescent="0.2">
      <c r="A82" s="57"/>
      <c r="B82" s="57"/>
      <c r="C82" s="57"/>
      <c r="D82" s="62"/>
      <c r="E82" s="57"/>
      <c r="F82" s="64"/>
      <c r="G82" s="64"/>
      <c r="H82" s="64"/>
      <c r="I82" s="64"/>
      <c r="N82" s="43"/>
    </row>
    <row r="83" spans="1:14" x14ac:dyDescent="0.2">
      <c r="A83" s="67"/>
      <c r="B83" s="58"/>
      <c r="C83" s="62"/>
      <c r="D83" s="62"/>
      <c r="E83" s="57"/>
      <c r="F83" s="57"/>
      <c r="G83" s="57"/>
      <c r="H83" s="57"/>
      <c r="I83" s="57"/>
      <c r="N83" s="43"/>
    </row>
    <row r="84" spans="1:14" x14ac:dyDescent="0.2">
      <c r="A84" s="67"/>
      <c r="B84" s="58"/>
      <c r="C84" s="62"/>
      <c r="D84" s="62"/>
      <c r="E84" s="57"/>
      <c r="F84" s="57"/>
      <c r="G84" s="57"/>
      <c r="H84" s="57"/>
      <c r="I84" s="64"/>
      <c r="N84" s="43"/>
    </row>
    <row r="85" spans="1:14" x14ac:dyDescent="0.2">
      <c r="A85" s="67"/>
      <c r="B85" s="9"/>
      <c r="C85" s="62"/>
      <c r="D85" s="62"/>
      <c r="E85" s="64"/>
      <c r="F85" s="64"/>
      <c r="G85" s="64"/>
      <c r="H85" s="64"/>
      <c r="I85" s="57"/>
      <c r="N85" s="43"/>
    </row>
    <row r="86" spans="1:14" x14ac:dyDescent="0.2">
      <c r="A86" s="67"/>
      <c r="B86" s="9"/>
      <c r="C86" s="62"/>
      <c r="D86" s="62"/>
      <c r="E86" s="57"/>
      <c r="F86" s="57"/>
      <c r="G86" s="64"/>
      <c r="H86" s="108"/>
      <c r="I86" s="57"/>
      <c r="N86" s="43"/>
    </row>
    <row r="87" spans="1:14" x14ac:dyDescent="0.2">
      <c r="A87" s="57"/>
      <c r="B87" s="64"/>
      <c r="C87" s="64"/>
      <c r="D87" s="62"/>
      <c r="E87" s="64"/>
      <c r="F87" s="64"/>
      <c r="G87" s="64"/>
      <c r="H87" s="64"/>
      <c r="I87" s="64"/>
      <c r="N87" s="43"/>
    </row>
    <row r="88" spans="1:14" x14ac:dyDescent="0.2">
      <c r="A88" s="67"/>
      <c r="B88" s="9"/>
      <c r="C88" s="62"/>
      <c r="D88" s="62"/>
      <c r="E88" s="57"/>
      <c r="F88" s="57"/>
      <c r="G88" s="57"/>
      <c r="H88" s="57"/>
      <c r="I88" s="57"/>
      <c r="N88" s="43"/>
    </row>
    <row r="89" spans="1:14" x14ac:dyDescent="0.2">
      <c r="A89" s="67"/>
      <c r="B89" s="89"/>
      <c r="C89" s="62"/>
      <c r="D89" s="62"/>
      <c r="E89" s="64"/>
      <c r="F89" s="64"/>
      <c r="G89" s="64"/>
      <c r="H89" s="108"/>
      <c r="I89" s="57"/>
      <c r="N89" s="43"/>
    </row>
    <row r="90" spans="1:14" x14ac:dyDescent="0.2">
      <c r="A90" s="57"/>
      <c r="B90" s="64"/>
      <c r="C90" s="64"/>
      <c r="D90" s="62"/>
      <c r="E90" s="64"/>
      <c r="F90" s="64"/>
      <c r="G90" s="64"/>
      <c r="H90" s="64"/>
      <c r="I90" s="57"/>
      <c r="N90" s="43"/>
    </row>
    <row r="91" spans="1:14" x14ac:dyDescent="0.2">
      <c r="A91" s="93"/>
      <c r="B91" s="9"/>
      <c r="C91" s="73"/>
      <c r="D91" s="62"/>
      <c r="E91" s="64"/>
      <c r="F91" s="64"/>
      <c r="G91" s="64"/>
      <c r="H91" s="64"/>
      <c r="I91" s="57"/>
      <c r="K91" s="47"/>
      <c r="N91" s="43"/>
    </row>
    <row r="92" spans="1:14" x14ac:dyDescent="0.2">
      <c r="A92" s="93"/>
      <c r="B92" s="9"/>
      <c r="C92" s="73"/>
      <c r="D92" s="62"/>
      <c r="E92" s="64"/>
      <c r="F92" s="64"/>
      <c r="G92" s="64"/>
      <c r="H92" s="64"/>
      <c r="I92" s="64"/>
      <c r="M92" s="52"/>
      <c r="N92" s="43"/>
    </row>
    <row r="93" spans="1:14" x14ac:dyDescent="0.2">
      <c r="A93" s="93"/>
      <c r="B93" s="9"/>
      <c r="C93" s="64"/>
      <c r="D93" s="62"/>
      <c r="E93" s="64"/>
      <c r="F93" s="64"/>
      <c r="G93" s="64"/>
      <c r="H93" s="64"/>
      <c r="I93" s="64"/>
      <c r="N93" s="43"/>
    </row>
    <row r="94" spans="1:14" x14ac:dyDescent="0.2">
      <c r="A94" s="93"/>
      <c r="B94" s="9"/>
      <c r="C94" s="64"/>
      <c r="D94" s="73"/>
      <c r="E94" s="64"/>
      <c r="F94" s="64"/>
      <c r="G94" s="64"/>
      <c r="H94" s="64"/>
      <c r="I94" s="57"/>
      <c r="N94" s="43"/>
    </row>
    <row r="95" spans="1:14" x14ac:dyDescent="0.2">
      <c r="A95" s="93"/>
      <c r="B95" s="9"/>
      <c r="C95" s="64"/>
      <c r="D95" s="73"/>
      <c r="E95" s="64"/>
      <c r="F95" s="64"/>
      <c r="G95" s="64"/>
      <c r="H95" s="64"/>
      <c r="I95" s="64"/>
      <c r="N95" s="43"/>
    </row>
    <row r="96" spans="1:14" x14ac:dyDescent="0.2">
      <c r="A96" s="93"/>
      <c r="B96" s="9"/>
      <c r="C96" s="73"/>
      <c r="D96" s="64"/>
      <c r="E96" s="64"/>
      <c r="F96" s="64"/>
      <c r="G96" s="64"/>
      <c r="H96" s="64"/>
      <c r="I96" s="57"/>
    </row>
    <row r="97" spans="1:14" x14ac:dyDescent="0.2">
      <c r="A97" s="57"/>
      <c r="B97" s="12"/>
      <c r="C97" s="57"/>
      <c r="D97" s="73"/>
      <c r="E97" s="64"/>
      <c r="F97" s="64"/>
      <c r="G97" s="64"/>
      <c r="H97" s="64"/>
      <c r="I97" s="57"/>
      <c r="K97" s="59"/>
      <c r="N97" s="43"/>
    </row>
    <row r="98" spans="1:14" x14ac:dyDescent="0.2">
      <c r="A98" s="57"/>
      <c r="B98" s="12"/>
      <c r="C98" s="57"/>
      <c r="D98" s="73"/>
      <c r="E98" s="64"/>
      <c r="F98" s="64"/>
      <c r="G98" s="64"/>
      <c r="H98" s="64"/>
      <c r="I98" s="64"/>
      <c r="N98" s="43"/>
    </row>
    <row r="99" spans="1:14" x14ac:dyDescent="0.2">
      <c r="A99" s="64"/>
      <c r="B99" s="64"/>
      <c r="C99" s="64"/>
      <c r="D99" s="64"/>
      <c r="E99" s="64"/>
      <c r="F99" s="64"/>
      <c r="G99" s="64"/>
      <c r="H99" s="108"/>
      <c r="I99" s="57"/>
      <c r="N99" s="43"/>
    </row>
    <row r="100" spans="1:14" x14ac:dyDescent="0.2">
      <c r="A100" s="64"/>
      <c r="B100" s="64"/>
      <c r="C100" s="64"/>
      <c r="D100" s="64"/>
      <c r="E100" s="57"/>
      <c r="F100" s="57"/>
      <c r="G100" s="57"/>
      <c r="H100" s="80"/>
      <c r="I100" s="12"/>
      <c r="N100" s="43"/>
    </row>
    <row r="101" spans="1:14" x14ac:dyDescent="0.2">
      <c r="A101" s="64"/>
      <c r="B101" s="64"/>
      <c r="C101" s="64"/>
      <c r="D101" s="64"/>
      <c r="E101" s="57"/>
      <c r="F101" s="57"/>
      <c r="G101" s="57"/>
      <c r="H101" s="80"/>
      <c r="I101" s="127"/>
      <c r="N101" s="43"/>
    </row>
    <row r="102" spans="1:14" x14ac:dyDescent="0.2">
      <c r="A102" s="194"/>
      <c r="B102" s="21"/>
      <c r="C102" s="21"/>
      <c r="D102" s="21"/>
      <c r="E102" s="21"/>
      <c r="F102" s="21"/>
      <c r="G102" s="21"/>
      <c r="H102" s="94"/>
      <c r="I102" s="96"/>
      <c r="N102" s="43"/>
    </row>
    <row r="103" spans="1:14" x14ac:dyDescent="0.2">
      <c r="A103" s="21"/>
      <c r="B103" s="21"/>
      <c r="C103" s="21"/>
      <c r="D103" s="21"/>
      <c r="E103" s="21"/>
      <c r="F103" s="21"/>
      <c r="G103" s="21"/>
      <c r="H103" s="94"/>
      <c r="I103" s="41"/>
      <c r="N103" s="43"/>
    </row>
    <row r="104" spans="1:14" x14ac:dyDescent="0.2">
      <c r="A104" s="126"/>
      <c r="B104" s="8"/>
      <c r="C104" s="62"/>
      <c r="D104" s="73"/>
      <c r="E104" s="21"/>
      <c r="F104" s="21"/>
      <c r="G104" s="21"/>
      <c r="H104" s="94"/>
      <c r="I104" s="41"/>
      <c r="N104" s="43"/>
    </row>
    <row r="105" spans="1:14" x14ac:dyDescent="0.2">
      <c r="A105" s="126"/>
      <c r="B105" s="8"/>
      <c r="C105" s="62"/>
      <c r="D105" s="73"/>
      <c r="E105" s="21"/>
      <c r="F105" s="21"/>
      <c r="G105" s="21"/>
      <c r="H105" s="94"/>
      <c r="I105" s="21"/>
      <c r="N105" s="43"/>
    </row>
    <row r="106" spans="1:14" x14ac:dyDescent="0.2">
      <c r="A106" s="126"/>
      <c r="B106" s="8"/>
      <c r="C106" s="10"/>
      <c r="D106" s="73"/>
      <c r="E106" s="21"/>
      <c r="F106" s="21"/>
      <c r="G106" s="21"/>
      <c r="H106" s="21"/>
      <c r="I106" s="21"/>
      <c r="N106" s="43"/>
    </row>
    <row r="107" spans="1:14" x14ac:dyDescent="0.2">
      <c r="A107" s="21"/>
      <c r="B107" s="21"/>
      <c r="C107" s="21"/>
      <c r="D107" s="21"/>
      <c r="E107" s="21"/>
      <c r="F107" s="21"/>
      <c r="G107" s="21"/>
      <c r="H107" s="21"/>
      <c r="I107" s="21"/>
      <c r="N107" s="43"/>
    </row>
    <row r="108" spans="1:14" x14ac:dyDescent="0.2">
      <c r="A108" s="57"/>
      <c r="B108" s="67"/>
      <c r="C108" s="62"/>
      <c r="D108" s="62"/>
      <c r="E108" s="21"/>
      <c r="F108" s="21"/>
      <c r="G108" s="21"/>
      <c r="H108" s="21"/>
      <c r="I108" s="21"/>
      <c r="N108" s="43"/>
    </row>
    <row r="109" spans="1:14" x14ac:dyDescent="0.2">
      <c r="A109" s="67"/>
      <c r="B109" s="8"/>
      <c r="C109" s="62"/>
      <c r="D109" s="62"/>
      <c r="E109" s="21"/>
      <c r="F109" s="21"/>
      <c r="G109" s="21"/>
      <c r="H109" s="21"/>
      <c r="I109" s="21"/>
      <c r="N109" s="43"/>
    </row>
    <row r="110" spans="1:14" x14ac:dyDescent="0.2">
      <c r="A110" s="67"/>
      <c r="B110" s="8"/>
      <c r="C110" s="62"/>
      <c r="D110" s="62"/>
      <c r="E110" s="21"/>
      <c r="F110" s="21"/>
      <c r="G110" s="21"/>
      <c r="H110" s="83"/>
      <c r="I110" s="64"/>
      <c r="N110" s="43"/>
    </row>
    <row r="111" spans="1:14" x14ac:dyDescent="0.2">
      <c r="A111" s="21"/>
      <c r="B111" s="21"/>
      <c r="C111" s="21"/>
      <c r="D111" s="21"/>
      <c r="E111" s="21"/>
      <c r="F111" s="21"/>
      <c r="G111" s="21"/>
      <c r="H111" s="21"/>
      <c r="I111" s="21"/>
      <c r="N111" s="43"/>
    </row>
    <row r="112" spans="1:14" x14ac:dyDescent="0.2">
      <c r="A112" s="57"/>
      <c r="B112" s="57"/>
      <c r="C112" s="57"/>
      <c r="D112" s="62"/>
      <c r="E112" s="57"/>
      <c r="F112" s="57"/>
      <c r="G112" s="57"/>
      <c r="H112" s="57"/>
      <c r="I112" s="57"/>
      <c r="N112" s="43"/>
    </row>
    <row r="113" spans="1:14" x14ac:dyDescent="0.2">
      <c r="A113" s="93"/>
      <c r="B113" s="8"/>
      <c r="C113" s="73"/>
      <c r="D113" s="73"/>
      <c r="E113" s="21"/>
      <c r="F113" s="21"/>
      <c r="G113" s="21"/>
      <c r="H113" s="21"/>
      <c r="I113" s="21"/>
      <c r="N113" s="43"/>
    </row>
    <row r="114" spans="1:14" x14ac:dyDescent="0.2">
      <c r="A114" s="93"/>
      <c r="B114" s="11"/>
      <c r="C114" s="73"/>
      <c r="D114" s="73"/>
      <c r="E114" s="21"/>
      <c r="F114" s="21"/>
      <c r="G114" s="21"/>
      <c r="H114" s="21"/>
      <c r="I114" s="21"/>
      <c r="N114" s="43"/>
    </row>
    <row r="115" spans="1:14" x14ac:dyDescent="0.2">
      <c r="A115" s="100"/>
      <c r="B115" s="11"/>
      <c r="C115" s="73"/>
      <c r="D115" s="84"/>
      <c r="E115" s="21"/>
      <c r="F115" s="21"/>
      <c r="G115" s="21"/>
      <c r="H115" s="21"/>
      <c r="I115" s="21"/>
      <c r="N115" s="43"/>
    </row>
    <row r="116" spans="1:14" x14ac:dyDescent="0.2">
      <c r="A116" s="100"/>
      <c r="B116" s="11"/>
      <c r="C116" s="73"/>
      <c r="D116" s="84"/>
      <c r="E116" s="21"/>
      <c r="F116" s="21"/>
      <c r="G116" s="21"/>
      <c r="H116" s="21"/>
      <c r="I116" s="21"/>
      <c r="N116" s="43"/>
    </row>
    <row r="117" spans="1:14" x14ac:dyDescent="0.2">
      <c r="A117" s="21"/>
      <c r="B117" s="21"/>
      <c r="C117" s="21"/>
      <c r="D117" s="21"/>
      <c r="E117" s="21"/>
      <c r="F117" s="21"/>
      <c r="G117" s="68"/>
      <c r="H117" s="21"/>
      <c r="I117" s="21"/>
      <c r="N117" s="43"/>
    </row>
    <row r="118" spans="1:14" x14ac:dyDescent="0.2">
      <c r="A118" s="99"/>
      <c r="B118" s="8"/>
      <c r="C118" s="62"/>
      <c r="D118" s="62"/>
      <c r="E118" s="57"/>
      <c r="F118" s="68"/>
      <c r="G118" s="57"/>
      <c r="H118" s="57"/>
      <c r="I118" s="57"/>
      <c r="N118" s="43"/>
    </row>
    <row r="119" spans="1:14" x14ac:dyDescent="0.2">
      <c r="A119" s="21"/>
      <c r="B119" s="21"/>
      <c r="C119" s="21"/>
      <c r="D119" s="21"/>
      <c r="E119" s="21"/>
      <c r="F119" s="21"/>
      <c r="G119" s="21"/>
      <c r="H119" s="21"/>
      <c r="I119" s="21"/>
      <c r="N119" s="43"/>
    </row>
    <row r="120" spans="1:14" x14ac:dyDescent="0.2">
      <c r="A120" s="126"/>
      <c r="B120" s="195"/>
      <c r="C120" s="62"/>
      <c r="D120" s="73"/>
      <c r="E120" s="57"/>
      <c r="F120" s="57"/>
      <c r="G120" s="57"/>
      <c r="H120" s="57"/>
      <c r="I120" s="21"/>
      <c r="N120" s="43"/>
    </row>
    <row r="121" spans="1:14" x14ac:dyDescent="0.2">
      <c r="A121" s="126"/>
      <c r="B121" s="8"/>
      <c r="C121" s="62"/>
      <c r="D121" s="73"/>
      <c r="E121" s="57"/>
      <c r="F121" s="57"/>
      <c r="G121" s="57"/>
      <c r="H121" s="57"/>
      <c r="I121" s="21"/>
      <c r="N121" s="43"/>
    </row>
    <row r="122" spans="1:14" x14ac:dyDescent="0.2">
      <c r="A122" s="74"/>
      <c r="B122" s="8"/>
      <c r="C122" s="10"/>
      <c r="D122" s="73"/>
      <c r="E122" s="57"/>
      <c r="F122" s="57"/>
      <c r="G122" s="57"/>
      <c r="H122" s="57"/>
      <c r="I122" s="21"/>
      <c r="N122" s="43"/>
    </row>
    <row r="123" spans="1:14" x14ac:dyDescent="0.2">
      <c r="A123" s="64"/>
      <c r="B123" s="93"/>
      <c r="C123" s="62"/>
      <c r="D123" s="57"/>
      <c r="E123" s="57"/>
      <c r="F123" s="57"/>
      <c r="G123" s="57"/>
      <c r="H123" s="57"/>
      <c r="I123" s="64"/>
      <c r="N123" s="43"/>
    </row>
    <row r="124" spans="1:14" x14ac:dyDescent="0.2">
      <c r="A124" s="93"/>
      <c r="B124" s="8"/>
      <c r="C124" s="62"/>
      <c r="D124" s="62"/>
      <c r="E124" s="57"/>
      <c r="F124" s="57"/>
      <c r="G124" s="57"/>
      <c r="H124" s="57"/>
      <c r="I124" s="64"/>
      <c r="L124" s="52"/>
      <c r="N124" s="43"/>
    </row>
    <row r="125" spans="1:14" x14ac:dyDescent="0.2">
      <c r="A125" s="93"/>
      <c r="B125" s="8"/>
      <c r="C125" s="73"/>
      <c r="D125" s="62"/>
      <c r="E125" s="51"/>
      <c r="F125" s="57"/>
      <c r="G125" s="21"/>
      <c r="H125" s="83"/>
      <c r="I125" s="57"/>
      <c r="N125" s="43"/>
    </row>
    <row r="126" spans="1:14" x14ac:dyDescent="0.2">
      <c r="A126" s="67"/>
      <c r="B126" s="13"/>
      <c r="C126" s="62"/>
      <c r="D126" s="62"/>
      <c r="E126" s="51"/>
      <c r="F126" s="21"/>
      <c r="G126" s="21"/>
      <c r="H126" s="57"/>
      <c r="I126" s="57"/>
      <c r="N126" s="43"/>
    </row>
    <row r="127" spans="1:14" x14ac:dyDescent="0.2">
      <c r="A127" s="93"/>
      <c r="B127" s="8"/>
      <c r="C127" s="62"/>
      <c r="D127" s="62"/>
      <c r="E127" s="57"/>
      <c r="F127" s="21"/>
      <c r="G127" s="83"/>
      <c r="H127" s="64"/>
      <c r="I127" s="57"/>
      <c r="N127" s="43"/>
    </row>
    <row r="128" spans="1:14" x14ac:dyDescent="0.2">
      <c r="A128" s="56"/>
      <c r="B128" s="8"/>
      <c r="C128" s="62"/>
      <c r="D128" s="21"/>
      <c r="E128" s="21"/>
      <c r="F128" s="21"/>
      <c r="G128" s="21"/>
      <c r="H128" s="21"/>
      <c r="I128" s="57"/>
      <c r="K128" s="54"/>
      <c r="N128" s="43"/>
    </row>
    <row r="129" spans="1:14" x14ac:dyDescent="0.2">
      <c r="A129" s="56"/>
      <c r="B129" s="8"/>
      <c r="C129" s="73"/>
      <c r="D129" s="62"/>
      <c r="E129" s="21"/>
      <c r="F129" s="21"/>
      <c r="G129" s="21"/>
      <c r="H129" s="83"/>
      <c r="I129" s="57"/>
      <c r="K129" s="52"/>
      <c r="N129" s="43"/>
    </row>
    <row r="130" spans="1:14" x14ac:dyDescent="0.2">
      <c r="A130" s="73"/>
      <c r="B130" s="64"/>
      <c r="C130" s="64"/>
      <c r="D130" s="73"/>
      <c r="E130" s="64"/>
      <c r="F130" s="64"/>
      <c r="G130" s="64"/>
      <c r="H130" s="57"/>
      <c r="I130" s="57"/>
      <c r="K130" s="54"/>
      <c r="N130" s="43"/>
    </row>
    <row r="131" spans="1:14" x14ac:dyDescent="0.2">
      <c r="A131" s="56"/>
      <c r="B131" s="8"/>
      <c r="C131" s="21"/>
      <c r="D131" s="73"/>
      <c r="E131" s="21"/>
      <c r="F131" s="21"/>
      <c r="G131" s="21"/>
      <c r="H131" s="21"/>
      <c r="I131" s="57"/>
      <c r="N131" s="43"/>
    </row>
    <row r="132" spans="1:14" x14ac:dyDescent="0.2">
      <c r="A132" s="93"/>
      <c r="B132" s="8"/>
      <c r="C132" s="73"/>
      <c r="D132" s="73"/>
      <c r="E132" s="64"/>
      <c r="F132" s="64"/>
      <c r="G132" s="64"/>
      <c r="H132" s="21"/>
      <c r="I132" s="57"/>
      <c r="N132" s="43"/>
    </row>
    <row r="133" spans="1:14" x14ac:dyDescent="0.2">
      <c r="A133" s="100"/>
      <c r="B133" s="11"/>
      <c r="C133" s="73"/>
      <c r="D133" s="84"/>
      <c r="E133" s="64"/>
      <c r="F133" s="64"/>
      <c r="G133" s="21"/>
      <c r="H133" s="21"/>
      <c r="I133" s="21"/>
      <c r="N133" s="43"/>
    </row>
    <row r="134" spans="1:14" x14ac:dyDescent="0.2">
      <c r="A134" s="100"/>
      <c r="B134" s="11"/>
      <c r="C134" s="73"/>
      <c r="D134" s="84"/>
      <c r="E134" s="21"/>
      <c r="F134" s="21"/>
      <c r="G134" s="21"/>
      <c r="H134" s="68"/>
      <c r="I134" s="21"/>
      <c r="N134" s="43"/>
    </row>
    <row r="135" spans="1:14" x14ac:dyDescent="0.2">
      <c r="A135" s="21"/>
      <c r="B135" s="21"/>
      <c r="C135" s="21"/>
      <c r="D135" s="21"/>
      <c r="E135" s="21"/>
      <c r="F135" s="21"/>
      <c r="G135" s="68"/>
      <c r="H135" s="21"/>
      <c r="I135" s="21"/>
      <c r="N135" s="43"/>
    </row>
    <row r="136" spans="1:14" x14ac:dyDescent="0.2">
      <c r="A136" s="73"/>
      <c r="B136" s="64"/>
      <c r="C136" s="57"/>
      <c r="D136" s="57"/>
      <c r="E136" s="21"/>
      <c r="F136" s="68"/>
      <c r="G136" s="21"/>
      <c r="H136" s="21"/>
      <c r="I136" s="21"/>
      <c r="N136" s="43"/>
    </row>
    <row r="137" spans="1:14" x14ac:dyDescent="0.2">
      <c r="A137" s="21"/>
      <c r="B137" s="21"/>
      <c r="C137" s="21"/>
      <c r="D137" s="21"/>
      <c r="E137" s="21"/>
      <c r="F137" s="21"/>
      <c r="G137" s="21"/>
      <c r="H137" s="21"/>
      <c r="I137" s="21"/>
      <c r="N137" s="43"/>
    </row>
    <row r="138" spans="1:14" x14ac:dyDescent="0.2">
      <c r="A138" s="106"/>
      <c r="B138" s="40"/>
      <c r="C138" s="40"/>
      <c r="D138" s="40"/>
      <c r="E138" s="40"/>
      <c r="F138" s="40"/>
      <c r="G138" s="40"/>
      <c r="H138" s="40"/>
      <c r="I138" s="21"/>
      <c r="N138" s="43"/>
    </row>
    <row r="139" spans="1:14" x14ac:dyDescent="0.2">
      <c r="A139" s="93"/>
      <c r="B139" s="8"/>
      <c r="C139" s="59"/>
      <c r="D139" s="59"/>
      <c r="E139" s="40"/>
      <c r="F139" s="40"/>
      <c r="G139" s="40"/>
      <c r="H139" s="40"/>
      <c r="I139" s="21"/>
      <c r="N139" s="43"/>
    </row>
    <row r="140" spans="1:14" x14ac:dyDescent="0.2">
      <c r="A140" s="93"/>
      <c r="B140" s="8"/>
      <c r="C140" s="59"/>
      <c r="D140" s="59"/>
      <c r="E140" s="40"/>
      <c r="F140" s="40"/>
      <c r="G140" s="40"/>
      <c r="H140" s="132"/>
      <c r="I140" s="21"/>
      <c r="N140" s="43"/>
    </row>
    <row r="141" spans="1:14" x14ac:dyDescent="0.2">
      <c r="A141" s="62"/>
      <c r="B141" s="40"/>
      <c r="C141" s="40"/>
      <c r="D141" s="59"/>
      <c r="E141" s="40"/>
      <c r="F141" s="40"/>
      <c r="G141" s="132"/>
      <c r="H141" s="40"/>
      <c r="I141" s="21"/>
      <c r="N141" s="43"/>
    </row>
    <row r="142" spans="1:14" x14ac:dyDescent="0.2">
      <c r="A142" s="67"/>
      <c r="B142" s="8"/>
      <c r="C142" s="59"/>
      <c r="D142" s="59"/>
      <c r="E142" s="40"/>
      <c r="F142" s="40"/>
      <c r="G142" s="40"/>
      <c r="H142" s="40"/>
      <c r="I142" s="21"/>
      <c r="N142" s="43"/>
    </row>
    <row r="143" spans="1:14" x14ac:dyDescent="0.2">
      <c r="A143" s="67"/>
      <c r="B143" s="8"/>
      <c r="C143" s="59"/>
      <c r="D143" s="59"/>
      <c r="E143" s="40"/>
      <c r="F143" s="40"/>
      <c r="G143" s="40"/>
      <c r="H143" s="40"/>
      <c r="I143" s="21"/>
      <c r="N143" s="43"/>
    </row>
    <row r="144" spans="1:14" x14ac:dyDescent="0.2">
      <c r="A144" s="99"/>
      <c r="B144" s="41"/>
      <c r="C144" s="59"/>
      <c r="D144" s="40"/>
      <c r="E144" s="40"/>
      <c r="F144" s="40"/>
      <c r="G144" s="40"/>
      <c r="H144" s="132"/>
      <c r="I144" s="21"/>
      <c r="N144" s="43"/>
    </row>
    <row r="145" spans="1:14" x14ac:dyDescent="0.2">
      <c r="A145" s="21"/>
      <c r="B145" s="40"/>
      <c r="C145" s="40"/>
      <c r="D145" s="40"/>
      <c r="E145" s="40"/>
      <c r="F145" s="40"/>
      <c r="G145" s="40"/>
      <c r="H145" s="40"/>
      <c r="I145" s="21"/>
      <c r="N145" s="43"/>
    </row>
    <row r="146" spans="1:14" x14ac:dyDescent="0.2">
      <c r="A146" s="113"/>
      <c r="B146" s="8"/>
      <c r="C146" s="196"/>
      <c r="D146" s="59"/>
      <c r="E146" s="40"/>
      <c r="F146" s="40"/>
      <c r="G146" s="40"/>
      <c r="H146" s="40"/>
      <c r="I146" s="21"/>
      <c r="N146" s="43"/>
    </row>
    <row r="147" spans="1:14" x14ac:dyDescent="0.2">
      <c r="A147" s="113"/>
      <c r="B147" s="8"/>
      <c r="C147" s="59"/>
      <c r="D147" s="59"/>
      <c r="E147" s="40"/>
      <c r="F147" s="40"/>
      <c r="G147" s="40"/>
      <c r="H147" s="40"/>
      <c r="I147" s="21"/>
      <c r="N147" s="43"/>
    </row>
    <row r="148" spans="1:14" x14ac:dyDescent="0.2">
      <c r="A148" s="62"/>
      <c r="B148" s="40"/>
      <c r="C148" s="40"/>
      <c r="D148" s="40"/>
      <c r="E148" s="40"/>
      <c r="F148" s="40"/>
      <c r="G148" s="40"/>
      <c r="H148" s="40"/>
      <c r="I148" s="21"/>
      <c r="N148" s="43"/>
    </row>
    <row r="149" spans="1:14" x14ac:dyDescent="0.2">
      <c r="A149" s="107"/>
      <c r="B149" s="91"/>
      <c r="C149" s="7"/>
      <c r="D149" s="7"/>
      <c r="E149" s="7"/>
      <c r="F149" s="7"/>
      <c r="G149" s="7"/>
      <c r="H149" s="7"/>
      <c r="I149" s="7"/>
      <c r="N149" s="43"/>
    </row>
    <row r="150" spans="1:14" x14ac:dyDescent="0.2">
      <c r="A150" s="21"/>
      <c r="B150" s="21"/>
      <c r="C150" s="21"/>
      <c r="D150" s="21"/>
      <c r="E150" s="21"/>
      <c r="F150" s="21"/>
      <c r="G150" s="21"/>
      <c r="H150" s="21"/>
      <c r="I150" s="12"/>
      <c r="N150" s="43"/>
    </row>
    <row r="151" spans="1:14" x14ac:dyDescent="0.2">
      <c r="A151" s="21"/>
      <c r="B151" s="21"/>
      <c r="C151" s="21"/>
      <c r="D151" s="21"/>
      <c r="E151" s="21"/>
      <c r="F151" s="21"/>
      <c r="G151" s="21"/>
      <c r="H151" s="94"/>
      <c r="I151" s="95"/>
      <c r="N151" s="43"/>
    </row>
    <row r="152" spans="1:14" x14ac:dyDescent="0.2">
      <c r="A152" s="99"/>
      <c r="B152" s="21"/>
      <c r="C152" s="21"/>
      <c r="D152" s="21"/>
      <c r="E152" s="21"/>
      <c r="F152" s="21"/>
      <c r="G152" s="21"/>
      <c r="H152" s="94"/>
      <c r="I152" s="96"/>
      <c r="N152" s="43"/>
    </row>
    <row r="153" spans="1:14" x14ac:dyDescent="0.2">
      <c r="A153" s="93"/>
      <c r="B153" s="8"/>
      <c r="C153" s="73"/>
      <c r="D153" s="73"/>
      <c r="E153" s="21"/>
      <c r="F153" s="64"/>
      <c r="G153" s="21"/>
      <c r="H153" s="97"/>
      <c r="I153" s="41"/>
      <c r="N153" s="43"/>
    </row>
    <row r="154" spans="1:14" x14ac:dyDescent="0.2">
      <c r="A154" s="67"/>
      <c r="B154" s="13"/>
      <c r="C154" s="62"/>
      <c r="D154" s="73"/>
      <c r="E154" s="21"/>
      <c r="F154" s="64"/>
      <c r="G154" s="21"/>
      <c r="H154" s="94"/>
      <c r="I154" s="41"/>
      <c r="N154" s="43"/>
    </row>
    <row r="155" spans="1:14" x14ac:dyDescent="0.2">
      <c r="A155" s="56"/>
      <c r="B155" s="8"/>
      <c r="C155" s="62"/>
      <c r="D155" s="73"/>
      <c r="E155" s="51"/>
      <c r="F155" s="51"/>
      <c r="G155" s="51"/>
      <c r="H155" s="21"/>
      <c r="I155" s="21"/>
      <c r="N155" s="43"/>
    </row>
    <row r="156" spans="1:14" x14ac:dyDescent="0.2">
      <c r="A156" s="93"/>
      <c r="B156" s="8"/>
      <c r="C156" s="73"/>
      <c r="D156" s="62"/>
      <c r="E156" s="21"/>
      <c r="F156" s="21"/>
      <c r="G156" s="21"/>
      <c r="H156" s="21"/>
      <c r="I156" s="21"/>
      <c r="N156" s="43"/>
    </row>
    <row r="157" spans="1:14" x14ac:dyDescent="0.2">
      <c r="A157" s="93"/>
      <c r="B157" s="8"/>
      <c r="C157" s="62"/>
      <c r="D157" s="62"/>
      <c r="E157" s="51"/>
      <c r="F157" s="51"/>
      <c r="G157" s="21"/>
      <c r="H157" s="83"/>
      <c r="I157" s="21"/>
      <c r="N157" s="43"/>
    </row>
    <row r="158" spans="1:14" x14ac:dyDescent="0.2">
      <c r="A158" s="56"/>
      <c r="B158" s="8"/>
      <c r="C158" s="73"/>
      <c r="D158" s="73"/>
      <c r="E158" s="21"/>
      <c r="F158" s="21"/>
      <c r="G158" s="21"/>
      <c r="H158" s="21"/>
      <c r="I158" s="21"/>
      <c r="N158" s="43"/>
    </row>
    <row r="159" spans="1:14" x14ac:dyDescent="0.2">
      <c r="A159" s="56"/>
      <c r="B159" s="8"/>
      <c r="C159" s="73"/>
      <c r="D159" s="90"/>
      <c r="E159" s="21"/>
      <c r="F159" s="21"/>
      <c r="G159" s="21"/>
      <c r="H159" s="21"/>
      <c r="I159" s="21"/>
      <c r="N159" s="43"/>
    </row>
    <row r="160" spans="1:14" x14ac:dyDescent="0.2">
      <c r="A160" s="67"/>
      <c r="B160" s="8"/>
      <c r="C160" s="62"/>
      <c r="D160" s="62"/>
      <c r="E160" s="21"/>
      <c r="F160" s="21"/>
      <c r="G160" s="21"/>
      <c r="H160" s="83"/>
      <c r="I160" s="21"/>
      <c r="N160" s="43"/>
    </row>
    <row r="161" spans="1:14" x14ac:dyDescent="0.2">
      <c r="A161" s="73"/>
      <c r="B161" s="64"/>
      <c r="C161" s="64"/>
      <c r="D161" s="64"/>
      <c r="E161" s="64"/>
      <c r="F161" s="21"/>
      <c r="G161" s="21"/>
      <c r="H161" s="21"/>
      <c r="I161" s="21"/>
      <c r="N161" s="43"/>
    </row>
    <row r="162" spans="1:14" x14ac:dyDescent="0.2">
      <c r="A162" s="67"/>
      <c r="B162" s="15"/>
      <c r="C162" s="73"/>
      <c r="D162" s="73"/>
      <c r="E162" s="64"/>
      <c r="F162" s="21"/>
      <c r="G162" s="21"/>
      <c r="H162" s="21"/>
      <c r="I162" s="21"/>
      <c r="N162" s="43"/>
    </row>
    <row r="163" spans="1:14" x14ac:dyDescent="0.2">
      <c r="A163" s="67"/>
      <c r="B163" s="15"/>
      <c r="C163" s="73"/>
      <c r="D163" s="73"/>
      <c r="E163" s="64"/>
      <c r="F163" s="21"/>
      <c r="G163" s="21"/>
      <c r="H163" s="21"/>
      <c r="I163" s="21"/>
      <c r="N163" s="43"/>
    </row>
    <row r="164" spans="1:14" x14ac:dyDescent="0.2">
      <c r="A164" s="67"/>
      <c r="B164" s="15"/>
      <c r="C164" s="73"/>
      <c r="D164" s="73"/>
      <c r="E164" s="64"/>
      <c r="F164" s="64"/>
      <c r="G164" s="21"/>
      <c r="H164" s="21"/>
      <c r="I164" s="64"/>
      <c r="N164" s="43"/>
    </row>
    <row r="165" spans="1:14" x14ac:dyDescent="0.2">
      <c r="A165" s="93"/>
      <c r="B165" s="15"/>
      <c r="C165" s="73"/>
      <c r="D165" s="73"/>
      <c r="E165" s="64"/>
      <c r="F165" s="64"/>
      <c r="G165" s="21"/>
      <c r="H165" s="57"/>
      <c r="I165" s="64"/>
      <c r="N165" s="43"/>
    </row>
    <row r="166" spans="1:14" x14ac:dyDescent="0.2">
      <c r="A166" s="100"/>
      <c r="B166" s="15"/>
      <c r="C166" s="64"/>
      <c r="D166" s="84"/>
      <c r="E166" s="64"/>
      <c r="F166" s="64"/>
      <c r="G166" s="21"/>
      <c r="H166" s="57"/>
      <c r="I166" s="21"/>
    </row>
    <row r="167" spans="1:14" x14ac:dyDescent="0.2">
      <c r="A167" s="93"/>
      <c r="B167" s="15"/>
      <c r="C167" s="73"/>
      <c r="D167" s="73"/>
      <c r="E167" s="64"/>
      <c r="F167" s="64"/>
      <c r="G167" s="21"/>
      <c r="H167" s="21"/>
      <c r="I167" s="21"/>
    </row>
    <row r="168" spans="1:14" x14ac:dyDescent="0.2">
      <c r="A168" s="100"/>
      <c r="B168" s="15"/>
      <c r="C168" s="64"/>
      <c r="D168" s="84"/>
      <c r="E168" s="64"/>
      <c r="F168" s="64"/>
      <c r="G168" s="21"/>
      <c r="H168" s="64"/>
      <c r="I168" s="64"/>
    </row>
    <row r="169" spans="1:14" x14ac:dyDescent="0.2">
      <c r="A169" s="100"/>
      <c r="B169" s="11"/>
      <c r="C169" s="64"/>
      <c r="D169" s="84"/>
      <c r="E169" s="64"/>
      <c r="F169" s="64"/>
      <c r="G169" s="64"/>
      <c r="H169" s="64"/>
      <c r="I169" s="64"/>
    </row>
    <row r="170" spans="1:14" x14ac:dyDescent="0.2">
      <c r="A170" s="100"/>
      <c r="B170" s="15"/>
      <c r="C170" s="64"/>
      <c r="D170" s="62"/>
      <c r="E170" s="64"/>
      <c r="F170" s="64"/>
      <c r="G170" s="64"/>
      <c r="H170" s="64"/>
      <c r="I170" s="64"/>
    </row>
    <row r="171" spans="1:14" x14ac:dyDescent="0.2">
      <c r="A171" s="93"/>
      <c r="B171" s="11"/>
      <c r="C171" s="73"/>
      <c r="D171" s="73"/>
      <c r="E171" s="64"/>
      <c r="F171" s="64"/>
      <c r="G171" s="64"/>
      <c r="H171" s="83"/>
      <c r="I171" s="64"/>
    </row>
    <row r="172" spans="1:14" x14ac:dyDescent="0.2">
      <c r="A172" s="93"/>
      <c r="B172" s="11"/>
      <c r="C172" s="73"/>
      <c r="D172" s="64"/>
      <c r="E172" s="64"/>
      <c r="F172" s="64"/>
      <c r="G172" s="64"/>
      <c r="H172" s="64"/>
      <c r="I172" s="64"/>
    </row>
    <row r="173" spans="1:14" x14ac:dyDescent="0.2">
      <c r="A173" s="100"/>
      <c r="B173" s="15"/>
      <c r="C173" s="64"/>
      <c r="D173" s="104"/>
      <c r="E173" s="64"/>
      <c r="F173" s="64"/>
      <c r="G173" s="64"/>
      <c r="H173" s="57"/>
      <c r="I173" s="64"/>
    </row>
    <row r="174" spans="1:14" x14ac:dyDescent="0.2">
      <c r="A174" s="93"/>
      <c r="B174" s="8"/>
      <c r="C174" s="73"/>
      <c r="D174" s="64"/>
      <c r="E174" s="64"/>
      <c r="F174" s="64"/>
      <c r="G174" s="64"/>
      <c r="H174" s="57"/>
      <c r="I174" s="64"/>
    </row>
    <row r="175" spans="1:14" x14ac:dyDescent="0.2">
      <c r="A175" s="64"/>
      <c r="B175" s="64"/>
      <c r="C175" s="64"/>
      <c r="D175" s="64"/>
      <c r="E175" s="64"/>
      <c r="F175" s="64"/>
      <c r="G175" s="64"/>
      <c r="H175" s="83"/>
      <c r="I175" s="64"/>
    </row>
    <row r="176" spans="1:14" x14ac:dyDescent="0.2">
      <c r="A176" s="62"/>
      <c r="B176" s="57"/>
      <c r="C176" s="57"/>
      <c r="D176" s="21"/>
      <c r="E176" s="21"/>
      <c r="F176" s="21"/>
      <c r="G176" s="21"/>
      <c r="H176" s="57"/>
      <c r="I176" s="64"/>
    </row>
    <row r="177" spans="1:9" x14ac:dyDescent="0.2">
      <c r="A177" s="67"/>
      <c r="B177" s="8"/>
      <c r="C177" s="62"/>
      <c r="D177" s="62"/>
      <c r="E177" s="21"/>
      <c r="F177" s="21"/>
      <c r="G177" s="21"/>
      <c r="H177" s="57"/>
      <c r="I177" s="21"/>
    </row>
    <row r="178" spans="1:9" x14ac:dyDescent="0.2">
      <c r="A178" s="67"/>
      <c r="B178" s="8"/>
      <c r="C178" s="62"/>
      <c r="D178" s="62"/>
      <c r="E178" s="21"/>
      <c r="F178" s="21"/>
      <c r="G178" s="21"/>
      <c r="H178" s="21"/>
      <c r="I178" s="21"/>
    </row>
    <row r="179" spans="1:9" x14ac:dyDescent="0.2">
      <c r="A179" s="67"/>
      <c r="B179" s="8"/>
      <c r="C179" s="62"/>
      <c r="D179" s="62"/>
      <c r="E179" s="21"/>
      <c r="F179" s="21"/>
      <c r="G179" s="21"/>
      <c r="H179" s="21"/>
      <c r="I179" s="21"/>
    </row>
    <row r="180" spans="1:9" x14ac:dyDescent="0.2">
      <c r="A180" s="67"/>
      <c r="B180" s="8"/>
      <c r="C180" s="62"/>
      <c r="D180" s="62"/>
      <c r="E180" s="57"/>
      <c r="F180" s="57"/>
      <c r="G180" s="21"/>
      <c r="H180" s="21"/>
      <c r="I180" s="21"/>
    </row>
    <row r="181" spans="1:9" x14ac:dyDescent="0.2">
      <c r="A181" s="62"/>
      <c r="B181" s="57"/>
      <c r="C181" s="57"/>
      <c r="D181" s="57"/>
      <c r="E181" s="57"/>
      <c r="F181" s="57"/>
      <c r="G181" s="21"/>
      <c r="H181" s="83"/>
      <c r="I181" s="21"/>
    </row>
    <row r="182" spans="1:9" x14ac:dyDescent="0.2">
      <c r="A182" s="67"/>
      <c r="B182" s="14"/>
      <c r="C182" s="62"/>
      <c r="D182" s="62"/>
      <c r="E182" s="57"/>
      <c r="F182" s="57"/>
      <c r="G182" s="57"/>
      <c r="H182" s="57"/>
      <c r="I182" s="21"/>
    </row>
    <row r="183" spans="1:9" x14ac:dyDescent="0.2">
      <c r="A183" s="67"/>
      <c r="B183" s="13"/>
      <c r="C183" s="62"/>
      <c r="D183" s="62"/>
      <c r="E183" s="57"/>
      <c r="F183" s="57"/>
      <c r="G183" s="57"/>
      <c r="H183" s="21"/>
      <c r="I183" s="21"/>
    </row>
    <row r="184" spans="1:9" x14ac:dyDescent="0.2">
      <c r="A184" s="67"/>
      <c r="B184" s="13"/>
      <c r="C184" s="73"/>
      <c r="D184" s="62"/>
      <c r="E184" s="57"/>
      <c r="F184" s="57"/>
      <c r="G184" s="21"/>
      <c r="H184" s="83"/>
      <c r="I184" s="21"/>
    </row>
    <row r="185" spans="1:9" x14ac:dyDescent="0.2">
      <c r="A185" s="57"/>
      <c r="B185" s="51"/>
      <c r="C185" s="64"/>
      <c r="D185" s="73"/>
      <c r="E185" s="64"/>
      <c r="F185" s="64"/>
      <c r="G185" s="64"/>
      <c r="H185" s="21"/>
      <c r="I185" s="21"/>
    </row>
    <row r="186" spans="1:9" x14ac:dyDescent="0.2">
      <c r="A186" s="113"/>
      <c r="B186" s="13"/>
      <c r="C186" s="62"/>
      <c r="D186" s="62"/>
      <c r="E186" s="64"/>
      <c r="F186" s="64"/>
      <c r="G186" s="64"/>
      <c r="H186" s="21"/>
      <c r="I186" s="21"/>
    </row>
    <row r="187" spans="1:9" x14ac:dyDescent="0.2">
      <c r="A187" s="67"/>
      <c r="B187" s="14"/>
      <c r="C187" s="73"/>
      <c r="D187" s="62"/>
      <c r="E187" s="57"/>
      <c r="F187" s="57"/>
      <c r="G187" s="57"/>
      <c r="H187" s="21"/>
      <c r="I187" s="21"/>
    </row>
    <row r="188" spans="1:9" x14ac:dyDescent="0.2">
      <c r="A188" s="67"/>
      <c r="B188" s="13"/>
      <c r="C188" s="73"/>
      <c r="D188" s="62"/>
      <c r="E188" s="57"/>
      <c r="F188" s="57"/>
      <c r="G188" s="57"/>
      <c r="H188" s="21"/>
      <c r="I188" s="21"/>
    </row>
    <row r="189" spans="1:9" x14ac:dyDescent="0.2">
      <c r="A189" s="67"/>
      <c r="B189" s="16"/>
      <c r="C189" s="73"/>
      <c r="D189" s="62"/>
      <c r="E189" s="57"/>
      <c r="F189" s="57"/>
      <c r="G189" s="57"/>
      <c r="H189" s="21"/>
      <c r="I189" s="21"/>
    </row>
    <row r="190" spans="1:9" x14ac:dyDescent="0.2">
      <c r="A190" s="67"/>
      <c r="B190" s="13"/>
      <c r="C190" s="73"/>
      <c r="D190" s="62"/>
      <c r="E190" s="57"/>
      <c r="F190" s="57"/>
      <c r="G190" s="57"/>
      <c r="H190" s="21"/>
      <c r="I190" s="21"/>
    </row>
    <row r="191" spans="1:9" x14ac:dyDescent="0.2">
      <c r="A191" s="67"/>
      <c r="B191" s="13"/>
      <c r="C191" s="73"/>
      <c r="D191" s="62"/>
      <c r="E191" s="57"/>
      <c r="F191" s="57"/>
      <c r="G191" s="21"/>
      <c r="H191" s="83"/>
      <c r="I191" s="57"/>
    </row>
    <row r="192" spans="1:9" x14ac:dyDescent="0.2">
      <c r="A192" s="64"/>
      <c r="B192" s="64"/>
      <c r="C192" s="64"/>
      <c r="D192" s="73"/>
      <c r="E192" s="64"/>
      <c r="F192" s="64"/>
      <c r="G192" s="64"/>
      <c r="H192" s="64"/>
      <c r="I192" s="57"/>
    </row>
    <row r="193" spans="1:9" x14ac:dyDescent="0.2">
      <c r="A193" s="93"/>
      <c r="B193" s="8"/>
      <c r="C193" s="73"/>
      <c r="D193" s="62"/>
      <c r="E193" s="64"/>
      <c r="F193" s="64"/>
      <c r="G193" s="64"/>
      <c r="H193" s="64"/>
      <c r="I193" s="21"/>
    </row>
    <row r="194" spans="1:9" x14ac:dyDescent="0.2">
      <c r="A194" s="93"/>
      <c r="B194" s="11"/>
      <c r="C194" s="73"/>
      <c r="D194" s="73"/>
      <c r="E194" s="64"/>
      <c r="F194" s="64"/>
      <c r="G194" s="64"/>
      <c r="H194" s="64"/>
      <c r="I194" s="64"/>
    </row>
    <row r="195" spans="1:9" x14ac:dyDescent="0.2">
      <c r="A195" s="100"/>
      <c r="B195" s="11"/>
      <c r="C195" s="73"/>
      <c r="D195" s="84"/>
      <c r="E195" s="21"/>
      <c r="F195" s="21"/>
      <c r="G195" s="21"/>
      <c r="H195" s="68"/>
      <c r="I195" s="57"/>
    </row>
    <row r="196" spans="1:9" x14ac:dyDescent="0.2">
      <c r="A196" s="100"/>
      <c r="B196" s="11"/>
      <c r="C196" s="73"/>
      <c r="D196" s="84"/>
      <c r="E196" s="21"/>
      <c r="F196" s="21"/>
      <c r="G196" s="21"/>
      <c r="H196" s="21"/>
      <c r="I196" s="21"/>
    </row>
    <row r="197" spans="1:9" x14ac:dyDescent="0.2">
      <c r="A197" s="21"/>
      <c r="B197" s="21"/>
      <c r="C197" s="21"/>
      <c r="D197" s="21"/>
      <c r="E197" s="21"/>
      <c r="F197" s="21"/>
      <c r="G197" s="68"/>
      <c r="H197" s="21"/>
      <c r="I197" s="21"/>
    </row>
    <row r="198" spans="1:9" x14ac:dyDescent="0.2">
      <c r="A198" s="21"/>
      <c r="B198" s="21"/>
      <c r="C198" s="21"/>
      <c r="D198" s="21"/>
      <c r="E198" s="57"/>
      <c r="F198" s="68" t="e">
        <f>IF(#REF!="Yes",IF(#REF!&gt;0,IF($B$195&gt;$B$196,"    Increase doubler or use full-pen. weld",""),""),"")</f>
        <v>#REF!</v>
      </c>
      <c r="G198" s="21"/>
      <c r="H198" s="21"/>
      <c r="I198" s="21"/>
    </row>
    <row r="199" spans="1:9" x14ac:dyDescent="0.2">
      <c r="A199" s="21"/>
      <c r="B199" s="21"/>
      <c r="C199" s="21"/>
      <c r="D199" s="21"/>
      <c r="E199" s="57"/>
      <c r="F199" s="57"/>
      <c r="G199" s="21"/>
      <c r="H199" s="21"/>
      <c r="I199" s="21"/>
    </row>
    <row r="200" spans="1:9" x14ac:dyDescent="0.2">
      <c r="A200" s="21"/>
      <c r="B200" s="21"/>
      <c r="C200" s="21"/>
      <c r="D200" s="21"/>
      <c r="E200" s="21"/>
      <c r="F200" s="21"/>
      <c r="G200" s="21"/>
      <c r="H200" s="21"/>
      <c r="I200" s="12"/>
    </row>
    <row r="201" spans="1:9" x14ac:dyDescent="0.2">
      <c r="A201" s="21"/>
      <c r="B201" s="21"/>
      <c r="C201" s="21"/>
      <c r="D201" s="21"/>
      <c r="E201" s="21"/>
      <c r="F201" s="21"/>
      <c r="G201" s="21"/>
      <c r="H201" s="94"/>
      <c r="I201" s="95"/>
    </row>
    <row r="202" spans="1:9" x14ac:dyDescent="0.2">
      <c r="A202" s="99"/>
      <c r="B202" s="21"/>
      <c r="C202" s="21"/>
      <c r="D202" s="21"/>
      <c r="E202" s="57"/>
      <c r="F202" s="57"/>
      <c r="G202" s="57"/>
      <c r="H202" s="94"/>
      <c r="I202" s="96"/>
    </row>
    <row r="203" spans="1:9" x14ac:dyDescent="0.2">
      <c r="A203" s="57"/>
      <c r="B203" s="51"/>
      <c r="C203" s="57"/>
      <c r="D203" s="62"/>
      <c r="E203" s="21"/>
      <c r="F203" s="51"/>
      <c r="G203" s="21"/>
      <c r="H203" s="97"/>
      <c r="I203" s="41"/>
    </row>
    <row r="204" spans="1:9" x14ac:dyDescent="0.2">
      <c r="A204" s="67"/>
      <c r="B204" s="14"/>
      <c r="C204" s="73"/>
      <c r="D204" s="62"/>
      <c r="E204" s="21"/>
      <c r="F204" s="51"/>
      <c r="G204" s="57"/>
      <c r="H204" s="94"/>
      <c r="I204" s="41"/>
    </row>
    <row r="205" spans="1:9" x14ac:dyDescent="0.2">
      <c r="A205" s="67"/>
      <c r="B205" s="13"/>
      <c r="C205" s="73"/>
      <c r="D205" s="62"/>
      <c r="E205" s="21"/>
      <c r="F205" s="51"/>
      <c r="G205" s="21"/>
      <c r="H205" s="21"/>
      <c r="I205" s="21"/>
    </row>
    <row r="206" spans="1:9" x14ac:dyDescent="0.2">
      <c r="A206" s="67"/>
      <c r="B206" s="13"/>
      <c r="C206" s="73"/>
      <c r="D206" s="62"/>
      <c r="E206" s="21"/>
      <c r="F206" s="21"/>
      <c r="G206" s="21"/>
      <c r="H206" s="83"/>
      <c r="I206" s="57"/>
    </row>
    <row r="207" spans="1:9" x14ac:dyDescent="0.2">
      <c r="A207" s="21"/>
      <c r="B207" s="21"/>
      <c r="C207" s="21"/>
      <c r="D207" s="21"/>
      <c r="E207" s="21"/>
      <c r="F207" s="21"/>
      <c r="G207" s="21"/>
      <c r="H207" s="21"/>
      <c r="I207" s="21"/>
    </row>
    <row r="208" spans="1:9" x14ac:dyDescent="0.2">
      <c r="A208" s="57"/>
      <c r="B208" s="64"/>
      <c r="C208" s="64"/>
      <c r="D208" s="73"/>
      <c r="E208" s="21"/>
      <c r="F208" s="21"/>
      <c r="G208" s="21"/>
      <c r="H208" s="21"/>
      <c r="I208" s="21"/>
    </row>
    <row r="209" spans="1:9" x14ac:dyDescent="0.2">
      <c r="A209" s="56"/>
      <c r="B209" s="11"/>
      <c r="C209" s="73"/>
      <c r="D209" s="73"/>
      <c r="E209" s="21"/>
      <c r="F209" s="21"/>
      <c r="G209" s="21"/>
      <c r="H209" s="21"/>
      <c r="I209" s="21"/>
    </row>
    <row r="210" spans="1:9" x14ac:dyDescent="0.2">
      <c r="A210" s="93"/>
      <c r="B210" s="8"/>
      <c r="C210" s="73"/>
      <c r="D210" s="73"/>
      <c r="E210" s="21"/>
      <c r="F210" s="21"/>
      <c r="G210" s="21"/>
      <c r="H210" s="21"/>
      <c r="I210" s="21"/>
    </row>
    <row r="211" spans="1:9" x14ac:dyDescent="0.2">
      <c r="A211" s="93"/>
      <c r="B211" s="11"/>
      <c r="C211" s="73"/>
      <c r="D211" s="73"/>
      <c r="E211" s="21"/>
      <c r="F211" s="21"/>
      <c r="G211" s="21"/>
      <c r="H211" s="21"/>
      <c r="I211" s="57"/>
    </row>
    <row r="212" spans="1:9" x14ac:dyDescent="0.2">
      <c r="A212" s="100"/>
      <c r="B212" s="11"/>
      <c r="C212" s="73"/>
      <c r="D212" s="84"/>
      <c r="E212" s="64"/>
      <c r="F212" s="21"/>
      <c r="G212" s="21"/>
      <c r="H212" s="68"/>
      <c r="I212" s="57"/>
    </row>
    <row r="213" spans="1:9" x14ac:dyDescent="0.2">
      <c r="A213" s="100"/>
      <c r="B213" s="11"/>
      <c r="C213" s="73"/>
      <c r="D213" s="84"/>
      <c r="E213" s="21"/>
      <c r="F213" s="21"/>
      <c r="G213" s="21"/>
      <c r="H213" s="21"/>
      <c r="I213" s="21"/>
    </row>
    <row r="214" spans="1:9" x14ac:dyDescent="0.2">
      <c r="A214" s="21"/>
      <c r="B214" s="21"/>
      <c r="C214" s="21"/>
      <c r="D214" s="21"/>
      <c r="E214" s="21"/>
      <c r="F214" s="21"/>
      <c r="G214" s="68"/>
      <c r="H214" s="21"/>
      <c r="I214" s="21"/>
    </row>
    <row r="215" spans="1:9" x14ac:dyDescent="0.2">
      <c r="A215" s="57"/>
      <c r="B215" s="21"/>
      <c r="C215" s="21"/>
      <c r="D215" s="21"/>
      <c r="E215" s="21"/>
      <c r="F215" s="68"/>
      <c r="G215" s="21"/>
      <c r="H215" s="21"/>
      <c r="I215" s="21"/>
    </row>
    <row r="216" spans="1:9" x14ac:dyDescent="0.2">
      <c r="A216" s="67"/>
      <c r="B216" s="8"/>
      <c r="C216" s="62"/>
      <c r="D216" s="62"/>
      <c r="E216" s="51"/>
      <c r="F216" s="21"/>
      <c r="G216" s="21"/>
      <c r="H216" s="21"/>
      <c r="I216" s="57"/>
    </row>
    <row r="217" spans="1:9" x14ac:dyDescent="0.2">
      <c r="A217" s="67"/>
      <c r="B217" s="8"/>
      <c r="C217" s="62"/>
      <c r="D217" s="62"/>
      <c r="E217" s="51"/>
      <c r="F217" s="51"/>
      <c r="G217" s="21"/>
      <c r="H217" s="83"/>
      <c r="I217" s="21"/>
    </row>
    <row r="218" spans="1:9" x14ac:dyDescent="0.2">
      <c r="A218" s="21"/>
      <c r="B218" s="21"/>
      <c r="C218" s="21"/>
      <c r="D218" s="21"/>
      <c r="E218" s="21"/>
      <c r="F218" s="21"/>
      <c r="G218" s="21"/>
      <c r="H218" s="21"/>
      <c r="I218" s="21"/>
    </row>
    <row r="219" spans="1:9" x14ac:dyDescent="0.2">
      <c r="A219" s="57"/>
      <c r="B219" s="57"/>
      <c r="C219" s="57"/>
      <c r="D219" s="62"/>
      <c r="E219" s="51"/>
      <c r="F219" s="51"/>
      <c r="G219" s="21"/>
      <c r="H219" s="21"/>
      <c r="I219" s="21"/>
    </row>
    <row r="220" spans="1:9" x14ac:dyDescent="0.2">
      <c r="A220" s="67"/>
      <c r="B220" s="15"/>
      <c r="C220" s="62"/>
      <c r="D220" s="62"/>
      <c r="E220" s="51"/>
      <c r="F220" s="51"/>
      <c r="G220" s="21"/>
      <c r="H220" s="21"/>
      <c r="I220" s="21"/>
    </row>
    <row r="221" spans="1:9" x14ac:dyDescent="0.2">
      <c r="A221" s="67"/>
      <c r="B221" s="8"/>
      <c r="C221" s="62"/>
      <c r="D221" s="62"/>
      <c r="E221" s="51"/>
      <c r="F221" s="51"/>
      <c r="G221" s="21"/>
      <c r="H221" s="21"/>
      <c r="I221" s="21"/>
    </row>
    <row r="222" spans="1:9" x14ac:dyDescent="0.2">
      <c r="A222" s="67"/>
      <c r="B222" s="8"/>
      <c r="C222" s="62"/>
      <c r="D222" s="62"/>
      <c r="E222" s="51"/>
      <c r="F222" s="51"/>
      <c r="G222" s="21"/>
      <c r="H222" s="21"/>
      <c r="I222" s="21"/>
    </row>
    <row r="223" spans="1:9" x14ac:dyDescent="0.2">
      <c r="A223" s="67"/>
      <c r="B223" s="8"/>
      <c r="C223" s="62"/>
      <c r="D223" s="62"/>
      <c r="E223" s="51"/>
      <c r="F223" s="51"/>
      <c r="G223" s="21"/>
      <c r="H223" s="83"/>
      <c r="I223" s="21"/>
    </row>
    <row r="224" spans="1:9" x14ac:dyDescent="0.2">
      <c r="A224" s="21"/>
      <c r="B224" s="21"/>
      <c r="C224" s="21"/>
      <c r="D224" s="21"/>
      <c r="E224" s="21"/>
      <c r="F224" s="21"/>
      <c r="G224" s="21"/>
      <c r="H224" s="21"/>
      <c r="I224" s="21"/>
    </row>
    <row r="225" spans="1:9" x14ac:dyDescent="0.2">
      <c r="A225" s="21"/>
      <c r="B225" s="21"/>
      <c r="C225" s="21"/>
      <c r="D225" s="21"/>
      <c r="E225" s="21"/>
      <c r="F225" s="21"/>
      <c r="G225" s="21"/>
      <c r="H225" s="21"/>
      <c r="I225" s="21"/>
    </row>
    <row r="226" spans="1:9" x14ac:dyDescent="0.2">
      <c r="A226" s="106"/>
      <c r="B226" s="21"/>
      <c r="C226" s="21"/>
      <c r="D226" s="21"/>
      <c r="E226" s="21"/>
      <c r="F226" s="21"/>
      <c r="G226" s="21"/>
      <c r="H226" s="21"/>
      <c r="I226" s="21"/>
    </row>
    <row r="227" spans="1:9" x14ac:dyDescent="0.2">
      <c r="A227" s="21"/>
      <c r="B227" s="21"/>
      <c r="C227" s="21"/>
      <c r="D227" s="21"/>
      <c r="E227" s="21"/>
      <c r="F227" s="21"/>
      <c r="G227" s="21"/>
      <c r="H227" s="21"/>
      <c r="I227" s="21"/>
    </row>
    <row r="228" spans="1:9" x14ac:dyDescent="0.2">
      <c r="A228" s="21"/>
      <c r="B228" s="21"/>
      <c r="C228" s="21"/>
      <c r="D228" s="21"/>
      <c r="E228" s="21"/>
      <c r="F228" s="21"/>
      <c r="G228" s="21"/>
      <c r="H228" s="21"/>
      <c r="I228" s="21"/>
    </row>
    <row r="229" spans="1:9" x14ac:dyDescent="0.2">
      <c r="A229" s="21"/>
      <c r="B229" s="21"/>
      <c r="C229" s="21"/>
      <c r="D229" s="21"/>
      <c r="E229" s="21"/>
      <c r="F229" s="21"/>
      <c r="G229" s="21"/>
      <c r="H229" s="21"/>
      <c r="I229" s="21"/>
    </row>
    <row r="230" spans="1:9" x14ac:dyDescent="0.2">
      <c r="A230" s="21"/>
      <c r="B230" s="21"/>
      <c r="C230" s="21"/>
      <c r="D230" s="21"/>
      <c r="E230" s="21"/>
      <c r="F230" s="21"/>
      <c r="G230" s="21"/>
      <c r="H230" s="21"/>
      <c r="I230" s="21"/>
    </row>
    <row r="231" spans="1:9" x14ac:dyDescent="0.2">
      <c r="A231" s="21"/>
      <c r="B231" s="21"/>
      <c r="C231" s="21"/>
      <c r="D231" s="21"/>
      <c r="E231" s="21"/>
      <c r="F231" s="21"/>
      <c r="G231" s="21"/>
      <c r="H231" s="21"/>
      <c r="I231" s="21"/>
    </row>
    <row r="232" spans="1:9" x14ac:dyDescent="0.2">
      <c r="A232" s="21"/>
      <c r="B232" s="21"/>
      <c r="C232" s="21"/>
      <c r="D232" s="21"/>
      <c r="E232" s="21"/>
      <c r="F232" s="21"/>
      <c r="G232" s="21"/>
      <c r="H232" s="21"/>
      <c r="I232" s="21"/>
    </row>
    <row r="233" spans="1:9" x14ac:dyDescent="0.2">
      <c r="A233" s="21"/>
      <c r="B233" s="21"/>
      <c r="C233" s="21"/>
      <c r="D233" s="21"/>
      <c r="E233" s="21"/>
      <c r="F233" s="21"/>
      <c r="G233" s="21"/>
      <c r="H233" s="21"/>
      <c r="I233" s="21"/>
    </row>
    <row r="234" spans="1:9" x14ac:dyDescent="0.2">
      <c r="A234" s="21"/>
      <c r="B234" s="21"/>
      <c r="C234" s="21"/>
      <c r="D234" s="21"/>
      <c r="E234" s="21"/>
      <c r="F234" s="21"/>
      <c r="G234" s="21"/>
      <c r="H234" s="21"/>
      <c r="I234" s="21"/>
    </row>
    <row r="235" spans="1:9" x14ac:dyDescent="0.2">
      <c r="A235" s="21"/>
      <c r="B235" s="21"/>
      <c r="C235" s="21"/>
      <c r="D235" s="21"/>
      <c r="E235" s="21"/>
      <c r="F235" s="21"/>
      <c r="G235" s="21"/>
      <c r="H235" s="21"/>
      <c r="I235" s="21"/>
    </row>
    <row r="236" spans="1:9" x14ac:dyDescent="0.2">
      <c r="A236" s="21"/>
      <c r="B236" s="21"/>
      <c r="C236" s="21"/>
      <c r="D236" s="21"/>
      <c r="E236" s="21"/>
      <c r="F236" s="21"/>
      <c r="G236" s="21"/>
      <c r="H236" s="21"/>
      <c r="I236" s="21"/>
    </row>
    <row r="237" spans="1:9" x14ac:dyDescent="0.2">
      <c r="A237" s="21"/>
      <c r="B237" s="21"/>
      <c r="C237" s="21"/>
      <c r="D237" s="21"/>
      <c r="E237" s="21"/>
      <c r="F237" s="21"/>
      <c r="G237" s="21"/>
      <c r="H237" s="21"/>
      <c r="I237" s="21"/>
    </row>
    <row r="238" spans="1:9" x14ac:dyDescent="0.2">
      <c r="A238" s="21"/>
      <c r="B238" s="21"/>
      <c r="C238" s="21"/>
      <c r="D238" s="21"/>
      <c r="E238" s="21"/>
      <c r="F238" s="21"/>
      <c r="G238" s="21"/>
      <c r="H238" s="21"/>
      <c r="I238" s="21"/>
    </row>
    <row r="239" spans="1:9" x14ac:dyDescent="0.2">
      <c r="A239" s="21"/>
      <c r="B239" s="21"/>
      <c r="C239" s="21"/>
      <c r="D239" s="21"/>
      <c r="E239" s="21"/>
      <c r="F239" s="21"/>
      <c r="G239" s="21"/>
      <c r="H239" s="21"/>
      <c r="I239" s="21"/>
    </row>
    <row r="240" spans="1:9" x14ac:dyDescent="0.2">
      <c r="A240" s="21"/>
      <c r="B240" s="21"/>
      <c r="C240" s="21"/>
      <c r="D240" s="21"/>
      <c r="E240" s="21"/>
      <c r="F240" s="21"/>
      <c r="G240" s="21"/>
      <c r="H240" s="21"/>
      <c r="I240" s="21"/>
    </row>
    <row r="241" spans="1:9" x14ac:dyDescent="0.2">
      <c r="A241" s="21"/>
      <c r="B241" s="21"/>
      <c r="C241" s="21"/>
      <c r="D241" s="21"/>
      <c r="E241" s="21"/>
      <c r="F241" s="21"/>
      <c r="G241" s="21"/>
      <c r="H241" s="21"/>
      <c r="I241" s="21"/>
    </row>
    <row r="242" spans="1:9" x14ac:dyDescent="0.2">
      <c r="A242" s="21"/>
      <c r="B242" s="21"/>
      <c r="C242" s="21"/>
      <c r="D242" s="21"/>
      <c r="E242" s="21"/>
      <c r="F242" s="21"/>
      <c r="G242" s="21"/>
      <c r="H242" s="21"/>
      <c r="I242" s="21"/>
    </row>
    <row r="243" spans="1:9" x14ac:dyDescent="0.2">
      <c r="A243" s="21"/>
      <c r="B243" s="21"/>
      <c r="C243" s="21"/>
      <c r="D243" s="21"/>
      <c r="E243" s="21"/>
      <c r="F243" s="21"/>
      <c r="G243" s="21"/>
      <c r="H243" s="21"/>
      <c r="I243" s="21"/>
    </row>
    <row r="244" spans="1:9" x14ac:dyDescent="0.2">
      <c r="A244" s="21"/>
      <c r="B244" s="21"/>
      <c r="C244" s="21"/>
      <c r="D244" s="21"/>
      <c r="E244" s="21"/>
      <c r="F244" s="21"/>
      <c r="G244" s="21"/>
      <c r="H244" s="21"/>
      <c r="I244" s="21"/>
    </row>
    <row r="245" spans="1:9" x14ac:dyDescent="0.2">
      <c r="A245" s="21"/>
      <c r="B245" s="21"/>
      <c r="C245" s="21"/>
      <c r="D245" s="21"/>
      <c r="E245" s="21"/>
      <c r="F245" s="21"/>
      <c r="G245" s="21"/>
      <c r="H245" s="21"/>
      <c r="I245" s="21"/>
    </row>
    <row r="246" spans="1:9" x14ac:dyDescent="0.2">
      <c r="A246" s="21"/>
      <c r="B246" s="21"/>
      <c r="C246" s="21"/>
      <c r="D246" s="21"/>
      <c r="E246" s="21"/>
      <c r="F246" s="21"/>
      <c r="G246" s="21"/>
      <c r="H246" s="21"/>
      <c r="I246" s="21"/>
    </row>
    <row r="247" spans="1:9" x14ac:dyDescent="0.2">
      <c r="A247" s="21"/>
      <c r="B247" s="21"/>
      <c r="C247" s="21"/>
      <c r="D247" s="21"/>
      <c r="E247" s="21"/>
      <c r="F247" s="21"/>
      <c r="G247" s="21"/>
      <c r="H247" s="21"/>
      <c r="I247" s="21"/>
    </row>
    <row r="248" spans="1:9" x14ac:dyDescent="0.2">
      <c r="A248" s="21"/>
      <c r="B248" s="21"/>
      <c r="C248" s="21"/>
      <c r="D248" s="21"/>
      <c r="E248" s="21"/>
      <c r="F248" s="21"/>
      <c r="G248" s="21"/>
      <c r="H248" s="21"/>
      <c r="I248" s="21"/>
    </row>
    <row r="249" spans="1:9" x14ac:dyDescent="0.2">
      <c r="A249" s="21"/>
      <c r="B249" s="21"/>
      <c r="C249" s="21"/>
      <c r="D249" s="21"/>
      <c r="E249" s="21"/>
      <c r="F249" s="21"/>
      <c r="G249" s="21"/>
      <c r="H249" s="21"/>
      <c r="I249" s="21"/>
    </row>
    <row r="250" spans="1:9" x14ac:dyDescent="0.2">
      <c r="A250" s="21"/>
      <c r="B250" s="21"/>
      <c r="C250" s="21"/>
      <c r="D250" s="21"/>
      <c r="E250" s="21"/>
      <c r="F250" s="21"/>
      <c r="G250" s="21"/>
      <c r="H250" s="21"/>
      <c r="I250" s="21"/>
    </row>
  </sheetData>
  <sheetProtection sheet="1" objects="1" scenarios="1"/>
  <phoneticPr fontId="0" type="noConversion"/>
  <dataValidations xWindow="208" yWindow="320" count="7">
    <dataValidation type="decimal" allowBlank="1" showInputMessage="1" showErrorMessage="1" error="The value input MUST BE between 0 and 3*L!" prompt="The value input here should be the distance from the point of application of the vertical load (Pv) to the C.G. of the weld group." sqref="C14">
      <formula1>0</formula1>
      <formula2>3*$C$9</formula2>
    </dataValidation>
    <dataValidation type="decimal" operator="greaterThanOrEqual" allowBlank="1" showInputMessage="1" showErrorMessage="1" error="The value input MUST BE &gt;= 0!" prompt="The value of 'Ph' is actually the horizontal component of the resultant load, 'P'.  'Ph' may be input = 0 for conditions where only vertical load applies.  'Ph' is assumed applied at the C.G. of the weld group." sqref="C13">
      <formula1>0</formula1>
    </dataValidation>
    <dataValidation type="decimal" operator="greaterThan" allowBlank="1" showInputMessage="1" showErrorMessage="1" error="The value input MUST BE &gt; 0!" prompt="The value 'Pv' is actually the vertical component of the resultant load, 'P'.  'Pv' should always be input as a positive number (&gt;0)." sqref="C12">
      <formula1>0</formula1>
    </dataValidation>
    <dataValidation type="decimal" allowBlank="1" showInputMessage="1" showErrorMessage="1" error="The value input MUST BE between 0 and 2*L!_x000a_Use &quot;Weld Group (elastic)&quot; worksheet." sqref="C10">
      <formula1>0</formula1>
      <formula2>2*$C$9</formula2>
    </dataValidation>
    <dataValidation type="list" allowBlank="1" showInputMessage="1" showErrorMessage="1" error="Invalid fillet weld size!" sqref="C11">
      <formula1>$K$3:$K$11</formula1>
    </dataValidation>
    <dataValidation type="list" allowBlank="1" showInputMessage="1" showErrorMessage="1" prompt="You MUST input &quot;Yes&quot; if the Special Case of the vertical load applied out-of-plane to the weld group is used.  Other wise, input &quot;No&quot; for the standard case of in-plane loading. " sqref="C15">
      <formula1>$K$12:$K$13</formula1>
    </dataValidation>
    <dataValidation type="decimal" operator="greaterThanOrEqual" allowBlank="1" showInputMessage="1" showErrorMessage="1" error="The value input MUST BE &gt;= 0.5*(kL)!_x000a_Use &quot;Weld Group (elastic)&quot; worksheet." sqref="C9">
      <formula1>0.5*$C$10</formula1>
    </dataValidation>
  </dataValidations>
  <pageMargins left="1" right="0.5" top="1" bottom="1" header="0.5" footer="0.5"/>
  <pageSetup scale="98" orientation="portrait" r:id="rId1"/>
  <headerFooter alignWithMargins="0">
    <oddHeader>&amp;R"WELDGRP.xls" Program
Version 2.3</oddHeader>
    <oddFooter>&amp;C&amp;P of &amp;N&amp;R&amp;D  &amp;T</oddFooter>
  </headerFooter>
  <rowBreaks count="3" manualBreakCount="3">
    <brk id="100" max="8" man="1"/>
    <brk id="150" max="8" man="1"/>
    <brk id="200" max="8" man="1"/>
  </rowBreaks>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121121111111111"/>
  <dimension ref="A1:AK250"/>
  <sheetViews>
    <sheetView zoomScaleNormal="100" workbookViewId="0">
      <selection activeCell="C11" sqref="C11"/>
    </sheetView>
  </sheetViews>
  <sheetFormatPr defaultRowHeight="12.75" x14ac:dyDescent="0.2"/>
  <cols>
    <col min="1" max="1" width="11.28515625" style="18" customWidth="1"/>
    <col min="2" max="2" width="9.140625" style="18"/>
    <col min="3" max="4" width="10.7109375" style="18" customWidth="1"/>
    <col min="5" max="8" width="9.140625" style="18"/>
    <col min="9" max="9" width="12.140625" style="18" customWidth="1"/>
    <col min="10" max="10" width="9.140625" style="43" hidden="1" customWidth="1"/>
    <col min="11" max="13" width="0" style="43" hidden="1" customWidth="1"/>
    <col min="14" max="14" width="0" style="44" hidden="1" customWidth="1"/>
    <col min="15" max="23" width="0" style="43" hidden="1" customWidth="1"/>
    <col min="24" max="32" width="0" style="18" hidden="1" customWidth="1"/>
    <col min="33" max="16384" width="9.140625" style="18"/>
  </cols>
  <sheetData>
    <row r="1" spans="1:37" ht="15.75" x14ac:dyDescent="0.25">
      <c r="A1" s="17" t="s">
        <v>1082</v>
      </c>
      <c r="B1" s="26"/>
      <c r="C1" s="26"/>
      <c r="D1" s="26"/>
      <c r="E1" s="26"/>
      <c r="F1" s="26"/>
      <c r="G1" s="26"/>
      <c r="H1" s="26"/>
      <c r="I1" s="285"/>
      <c r="J1" s="213"/>
      <c r="K1" s="245"/>
      <c r="L1" s="129"/>
      <c r="M1" s="82" t="s">
        <v>1181</v>
      </c>
      <c r="N1" s="43"/>
      <c r="O1" s="44"/>
      <c r="R1" s="51"/>
      <c r="AG1" s="317" t="s">
        <v>1266</v>
      </c>
    </row>
    <row r="2" spans="1:37" x14ac:dyDescent="0.2">
      <c r="A2" s="27" t="s">
        <v>1365</v>
      </c>
      <c r="B2" s="28"/>
      <c r="C2" s="28"/>
      <c r="D2" s="28"/>
      <c r="E2" s="28"/>
      <c r="F2" s="28"/>
      <c r="G2" s="28"/>
      <c r="H2" s="28"/>
      <c r="I2" s="292"/>
      <c r="J2" s="213"/>
      <c r="K2" s="41" t="s">
        <v>1161</v>
      </c>
      <c r="L2" s="129"/>
      <c r="N2" s="43"/>
      <c r="O2" s="44"/>
      <c r="R2" s="51"/>
    </row>
    <row r="3" spans="1:37" x14ac:dyDescent="0.2">
      <c r="A3" s="20" t="s">
        <v>1139</v>
      </c>
      <c r="B3" s="34"/>
      <c r="C3" s="34"/>
      <c r="D3" s="34"/>
      <c r="E3" s="34"/>
      <c r="F3" s="34"/>
      <c r="G3" s="34"/>
      <c r="H3" s="34"/>
      <c r="I3" s="326"/>
      <c r="J3" s="213"/>
      <c r="K3" s="208">
        <v>0.125</v>
      </c>
      <c r="M3" s="69" t="s">
        <v>1196</v>
      </c>
      <c r="N3" s="11">
        <f>$C$9</f>
        <v>5</v>
      </c>
      <c r="O3" s="59" t="s">
        <v>1172</v>
      </c>
      <c r="P3" s="59" t="s">
        <v>1108</v>
      </c>
      <c r="R3" s="51"/>
    </row>
    <row r="4" spans="1:37" x14ac:dyDescent="0.2">
      <c r="A4" s="286" t="s">
        <v>1115</v>
      </c>
      <c r="B4" s="287"/>
      <c r="C4" s="288"/>
      <c r="D4" s="288"/>
      <c r="E4" s="288"/>
      <c r="F4" s="291" t="s">
        <v>1206</v>
      </c>
      <c r="G4" s="423"/>
      <c r="H4" s="424"/>
      <c r="I4" s="314"/>
      <c r="J4" s="121"/>
      <c r="K4" s="208">
        <v>0.1875</v>
      </c>
      <c r="M4" s="69" t="s">
        <v>1180</v>
      </c>
      <c r="N4" s="11">
        <f>$C$10</f>
        <v>5</v>
      </c>
      <c r="O4" s="59" t="s">
        <v>1172</v>
      </c>
      <c r="P4" s="59" t="s">
        <v>1109</v>
      </c>
      <c r="R4" s="51"/>
      <c r="AG4" s="45" t="s">
        <v>1174</v>
      </c>
      <c r="AH4" s="43"/>
      <c r="AI4" s="43"/>
      <c r="AJ4" s="43"/>
      <c r="AK4" s="43"/>
    </row>
    <row r="5" spans="1:37" x14ac:dyDescent="0.2">
      <c r="A5" s="286" t="s">
        <v>1111</v>
      </c>
      <c r="B5" s="313"/>
      <c r="C5" s="289"/>
      <c r="D5" s="289"/>
      <c r="E5" s="290"/>
      <c r="F5" s="291" t="s">
        <v>1207</v>
      </c>
      <c r="G5" s="312"/>
      <c r="H5" s="131" t="s">
        <v>1208</v>
      </c>
      <c r="I5" s="544"/>
      <c r="J5" s="121"/>
      <c r="K5" s="208">
        <v>0.25</v>
      </c>
      <c r="M5" s="69"/>
      <c r="N5" s="11"/>
      <c r="O5" s="59"/>
      <c r="P5" s="110"/>
      <c r="R5" s="51"/>
      <c r="AG5" s="12" t="s">
        <v>1173</v>
      </c>
      <c r="AH5" s="49" t="s">
        <v>1113</v>
      </c>
      <c r="AI5" s="43"/>
      <c r="AJ5" s="43"/>
      <c r="AK5" s="50" t="s">
        <v>1081</v>
      </c>
    </row>
    <row r="6" spans="1:37" x14ac:dyDescent="0.2">
      <c r="A6" s="30"/>
      <c r="B6" s="121"/>
      <c r="C6" s="121"/>
      <c r="D6" s="121"/>
      <c r="E6" s="121"/>
      <c r="F6" s="121"/>
      <c r="G6" s="121"/>
      <c r="H6" s="121"/>
      <c r="I6" s="547"/>
      <c r="J6" s="121"/>
      <c r="K6" s="208">
        <v>0.3125</v>
      </c>
      <c r="M6" s="69" t="s">
        <v>1085</v>
      </c>
      <c r="N6" s="11">
        <f>$C$14</f>
        <v>0</v>
      </c>
      <c r="O6" s="59" t="s">
        <v>1172</v>
      </c>
      <c r="P6" s="110" t="s">
        <v>1118</v>
      </c>
      <c r="AG6" s="101" t="s">
        <v>1179</v>
      </c>
      <c r="AH6" s="43"/>
      <c r="AI6" s="43"/>
      <c r="AJ6" s="43"/>
      <c r="AK6" s="85"/>
    </row>
    <row r="7" spans="1:37" x14ac:dyDescent="0.2">
      <c r="A7" s="115" t="s">
        <v>1112</v>
      </c>
      <c r="B7" s="121"/>
      <c r="C7" s="121"/>
      <c r="D7" s="121"/>
      <c r="E7" s="121"/>
      <c r="F7" s="121"/>
      <c r="G7" s="121"/>
      <c r="H7" s="121"/>
      <c r="I7" s="547"/>
      <c r="J7" s="121"/>
      <c r="K7" s="208">
        <v>0.375</v>
      </c>
      <c r="M7" s="69" t="s">
        <v>1124</v>
      </c>
      <c r="N7" s="11">
        <f>$N$6/$N$3</f>
        <v>0</v>
      </c>
      <c r="O7" s="59"/>
      <c r="P7" s="110" t="s">
        <v>1086</v>
      </c>
      <c r="AG7" s="48">
        <v>42</v>
      </c>
      <c r="AH7" s="63" t="str">
        <f>IF($C$11*16&gt;=$N$18,"D(prov'd) &gt;= D(req'd), O.K.","D(prov'd) &lt; D(req'd), Fail")</f>
        <v>D(prov'd) &lt; D(req'd), Fail</v>
      </c>
      <c r="AI7" s="43"/>
      <c r="AJ7" s="43"/>
      <c r="AK7" s="239">
        <f>$N$18/($C$11*16)</f>
        <v>3.5776000000000003</v>
      </c>
    </row>
    <row r="8" spans="1:37" x14ac:dyDescent="0.2">
      <c r="A8" s="30"/>
      <c r="B8" s="121"/>
      <c r="C8" s="121"/>
      <c r="D8" s="121"/>
      <c r="E8" s="121"/>
      <c r="F8" s="121"/>
      <c r="G8" s="121"/>
      <c r="H8" s="121"/>
      <c r="I8" s="547"/>
      <c r="J8" s="51"/>
      <c r="K8" s="208">
        <v>0.4375</v>
      </c>
      <c r="M8" s="69" t="s">
        <v>1138</v>
      </c>
      <c r="N8" s="11">
        <f>$N$4/$N$3</f>
        <v>1</v>
      </c>
      <c r="O8" s="134" t="str">
        <f>IF($N$8&gt;2,"Value of 'k' exceeds 2.0, beyond scope of table!","")</f>
        <v/>
      </c>
      <c r="P8" s="110" t="s">
        <v>1088</v>
      </c>
      <c r="AG8" s="48">
        <v>43</v>
      </c>
      <c r="AH8" s="63" t="str">
        <f>IF($N$3&gt;=$N$19,"L(prov'd) &gt;= L(req'd), O.K.","L(prov'd) &lt; L(req'd), Fail")</f>
        <v>L(prov'd) &lt; L(req'd), Fail</v>
      </c>
      <c r="AI8" s="43"/>
      <c r="AJ8" s="43"/>
      <c r="AK8" s="239">
        <f>$N$19/$N$3</f>
        <v>3.5776000000000003</v>
      </c>
    </row>
    <row r="9" spans="1:37" x14ac:dyDescent="0.2">
      <c r="A9" s="30"/>
      <c r="B9" s="56" t="s">
        <v>1140</v>
      </c>
      <c r="C9" s="280">
        <v>5</v>
      </c>
      <c r="D9" s="138" t="s">
        <v>1172</v>
      </c>
      <c r="E9" s="6"/>
      <c r="F9" s="40"/>
      <c r="G9" s="25" t="str">
        <f>"             Pv="&amp;$C$12&amp;" k"</f>
        <v xml:space="preserve">             Pv=0.01 k</v>
      </c>
      <c r="H9" s="21"/>
      <c r="I9" s="548"/>
      <c r="K9" s="208">
        <v>0.5</v>
      </c>
      <c r="M9" s="46" t="s">
        <v>1184</v>
      </c>
      <c r="N9" s="136">
        <f>1</f>
        <v>1</v>
      </c>
      <c r="O9" s="44"/>
      <c r="P9" s="44" t="s">
        <v>1185</v>
      </c>
      <c r="S9" s="48"/>
      <c r="T9" s="63"/>
      <c r="W9" s="11"/>
    </row>
    <row r="10" spans="1:37" x14ac:dyDescent="0.2">
      <c r="A10" s="30"/>
      <c r="B10" s="56" t="s">
        <v>1186</v>
      </c>
      <c r="C10" s="281">
        <v>5</v>
      </c>
      <c r="D10" s="138" t="s">
        <v>1172</v>
      </c>
      <c r="E10" s="21"/>
      <c r="F10" s="21"/>
      <c r="G10" s="234" t="str">
        <f>"aL="&amp;$N$6</f>
        <v>aL=0</v>
      </c>
      <c r="H10" s="25" t="s">
        <v>1377</v>
      </c>
      <c r="I10" s="294" t="str">
        <f>" "&amp;ROUND($N$12,2)</f>
        <v xml:space="preserve"> 90</v>
      </c>
      <c r="J10" s="21"/>
      <c r="K10" s="208">
        <v>0.5625</v>
      </c>
      <c r="M10" s="69" t="s">
        <v>1122</v>
      </c>
      <c r="N10" s="11">
        <f>ROUND(IF($N$8&lt;=2,$AF$51,"N.A."),3)</f>
        <v>1.8560000000000001</v>
      </c>
      <c r="O10" s="137"/>
      <c r="P10" s="110" t="s">
        <v>1182</v>
      </c>
    </row>
    <row r="11" spans="1:37" x14ac:dyDescent="0.2">
      <c r="A11" s="30"/>
      <c r="B11" s="56" t="s">
        <v>1197</v>
      </c>
      <c r="C11" s="282">
        <v>0.3125</v>
      </c>
      <c r="D11" s="138" t="str">
        <f>"in. = "&amp;$C$11*16&amp;" (1/16's)"</f>
        <v>in. = 5 (1/16's)</v>
      </c>
      <c r="E11" s="21"/>
      <c r="F11" s="21"/>
      <c r="G11" s="21"/>
      <c r="H11" s="21"/>
      <c r="I11" s="441"/>
      <c r="J11" s="21"/>
      <c r="K11" s="208">
        <v>0.625</v>
      </c>
      <c r="M11" s="46" t="s">
        <v>1187</v>
      </c>
      <c r="N11" s="54">
        <f>ROUND(SQRT($C$12^2+$C$13^2),2)</f>
        <v>166</v>
      </c>
      <c r="O11" s="44" t="s">
        <v>1114</v>
      </c>
      <c r="P11" s="44" t="s">
        <v>1120</v>
      </c>
      <c r="AH11" s="301" t="str">
        <f>IF(OR($N$18&gt;$C$11*16,$N$19&gt;$N$3),"Weld is overstressed!","Weld is adequate!")</f>
        <v>Weld is overstressed!</v>
      </c>
      <c r="AI11" s="35"/>
      <c r="AJ11" s="428"/>
    </row>
    <row r="12" spans="1:37" x14ac:dyDescent="0.2">
      <c r="A12" s="30"/>
      <c r="B12" s="56" t="s">
        <v>1102</v>
      </c>
      <c r="C12" s="283">
        <v>0.01</v>
      </c>
      <c r="D12" s="138" t="s">
        <v>1114</v>
      </c>
      <c r="E12" s="139"/>
      <c r="F12" s="21"/>
      <c r="G12" s="23"/>
      <c r="H12" s="25" t="str">
        <f>IF($C$13&gt;0,"                P="&amp;$N$11&amp;" k","                P=Pv")</f>
        <v xml:space="preserve">                P=166 k</v>
      </c>
      <c r="I12" s="295"/>
      <c r="J12" s="114"/>
      <c r="M12" s="46" t="s">
        <v>1183</v>
      </c>
      <c r="N12" s="52">
        <f>IF($C$13&gt;0,ROUND(90-(ATAN($C$12/$C$13)*(180/PI())),3),0)</f>
        <v>89.997</v>
      </c>
      <c r="O12" s="44" t="s">
        <v>1103</v>
      </c>
      <c r="P12" s="102" t="s">
        <v>1157</v>
      </c>
      <c r="AH12" s="302" t="str">
        <f>IF($N$18&gt;$C$11*16,"D(req'd) = "&amp;$N$18&amp;" &gt; "&amp;$C$11*16&amp;" (1/16's)","D(req'd) = "&amp;$N$18&amp;" &lt;= "&amp;$C$11*16&amp;" (1/16's)")</f>
        <v>D(req'd) = 17.888 &gt; 5 (1/16's)</v>
      </c>
      <c r="AI12" s="37"/>
      <c r="AJ12" s="345"/>
    </row>
    <row r="13" spans="1:37" x14ac:dyDescent="0.2">
      <c r="A13" s="30"/>
      <c r="B13" s="56" t="s">
        <v>1121</v>
      </c>
      <c r="C13" s="283">
        <v>166</v>
      </c>
      <c r="D13" s="138" t="s">
        <v>1114</v>
      </c>
      <c r="E13" s="233" t="s">
        <v>1180</v>
      </c>
      <c r="F13" s="21"/>
      <c r="G13" s="23"/>
      <c r="H13" s="21"/>
      <c r="I13" s="431"/>
      <c r="J13" s="60"/>
      <c r="M13" s="46" t="s">
        <v>1160</v>
      </c>
      <c r="N13" s="52">
        <f>IF($N$12&gt;0,$N$10,"N.A.")</f>
        <v>1.8560000000000001</v>
      </c>
      <c r="O13" s="44"/>
      <c r="P13" s="103" t="s">
        <v>1083</v>
      </c>
      <c r="AH13" s="304" t="str">
        <f>IF($N$19&gt;$N$3,"L(req'd) = "&amp;$N$19&amp;" &gt; "&amp;$N$3&amp;" in.","L(req'd) = "&amp;$N$19&amp;" &lt;= "&amp;$N$3&amp;" in.")</f>
        <v>L(req'd) = 17.888 &gt; 5 in.</v>
      </c>
      <c r="AI13" s="305"/>
      <c r="AJ13" s="429"/>
    </row>
    <row r="14" spans="1:37" x14ac:dyDescent="0.2">
      <c r="A14" s="30"/>
      <c r="B14" s="56" t="s">
        <v>1128</v>
      </c>
      <c r="C14" s="284">
        <v>0</v>
      </c>
      <c r="D14" s="138" t="s">
        <v>1172</v>
      </c>
      <c r="E14" s="233">
        <f>$N$4</f>
        <v>5</v>
      </c>
      <c r="F14" s="142" t="s">
        <v>1176</v>
      </c>
      <c r="G14" s="142"/>
      <c r="H14" s="142"/>
      <c r="I14" s="24"/>
      <c r="J14" s="60"/>
      <c r="K14" s="208"/>
      <c r="M14" s="46" t="s">
        <v>1130</v>
      </c>
      <c r="N14" s="52">
        <f>IF($N$12&gt;0,0.928*(2),"N.A.")</f>
        <v>1.8560000000000001</v>
      </c>
      <c r="O14" s="44"/>
      <c r="P14" s="103" t="s">
        <v>1169</v>
      </c>
    </row>
    <row r="15" spans="1:37" x14ac:dyDescent="0.2">
      <c r="A15" s="30"/>
      <c r="B15" s="21"/>
      <c r="C15" s="21"/>
      <c r="D15" s="21"/>
      <c r="E15" s="21"/>
      <c r="F15" s="21"/>
      <c r="G15" s="145"/>
      <c r="H15" s="439" t="str">
        <f>IF($C$13&gt;0,"    Ph="&amp;$C$13&amp;" k (@ C.G.)","    Ph=0")</f>
        <v xml:space="preserve">    Ph=166 k (@ C.G.)</v>
      </c>
      <c r="I15" s="442"/>
      <c r="J15" s="40"/>
      <c r="K15" s="208"/>
      <c r="M15" s="46" t="s">
        <v>1188</v>
      </c>
      <c r="N15" s="52">
        <f>IF($N$12&gt;0,IF($N$14/$N$13&lt;1,1,$N$14/$N$13),"N.A.")</f>
        <v>1</v>
      </c>
      <c r="O15" s="44"/>
      <c r="P15" s="103" t="s">
        <v>1132</v>
      </c>
    </row>
    <row r="16" spans="1:37" x14ac:dyDescent="0.2">
      <c r="A16" s="22" t="s">
        <v>1201</v>
      </c>
      <c r="B16" s="21"/>
      <c r="C16" s="21"/>
      <c r="D16" s="21"/>
      <c r="E16" s="21"/>
      <c r="F16" s="25" t="str">
        <f>"      L = "&amp;$N$3</f>
        <v xml:space="preserve">      L = 5</v>
      </c>
      <c r="G16" s="42"/>
      <c r="H16" s="21"/>
      <c r="I16" s="24"/>
      <c r="J16" s="112"/>
      <c r="K16" s="208"/>
      <c r="M16" s="46" t="s">
        <v>1133</v>
      </c>
      <c r="N16" s="52">
        <f>IF($N$12&gt;0,IF($N$15/(SIN($N$12*PI()/180)+$N$15*COS($N$12*PI()/180))&lt;1,1,$N$15/(SIN($N$12*PI()/180)+$N$15*COS($N$12*PI()/180))),"N.A.")</f>
        <v>1</v>
      </c>
      <c r="O16" s="44"/>
      <c r="P16" s="44" t="s">
        <v>1198</v>
      </c>
    </row>
    <row r="17" spans="1:32" ht="12.75" customHeight="1" x14ac:dyDescent="0.2">
      <c r="A17" s="30"/>
      <c r="B17" s="21"/>
      <c r="C17" s="21"/>
      <c r="D17" s="21"/>
      <c r="E17" s="21"/>
      <c r="F17" s="21"/>
      <c r="G17" s="21"/>
      <c r="H17" s="51"/>
      <c r="I17" s="24"/>
      <c r="J17" s="112"/>
      <c r="K17" s="208"/>
      <c r="M17" s="46" t="s">
        <v>1143</v>
      </c>
      <c r="N17" s="52">
        <f>IF($N$12&gt;0,ROUND($N$16*$N$13,3),"N.A.")</f>
        <v>1.8560000000000001</v>
      </c>
      <c r="O17" s="44"/>
      <c r="P17" s="44" t="s">
        <v>1105</v>
      </c>
      <c r="S17" s="61"/>
      <c r="T17" s="110"/>
    </row>
    <row r="18" spans="1:32" x14ac:dyDescent="0.2">
      <c r="A18" s="105" t="str">
        <f>IF($C$13&gt;0,"P = Ca*C1*D*L  (for inclined load)","P = Pv = C*C1*D*L  (for vertical load only)")</f>
        <v>P = Ca*C1*D*L  (for inclined load)</v>
      </c>
      <c r="B18" s="21"/>
      <c r="C18" s="21"/>
      <c r="D18" s="21"/>
      <c r="E18" s="21"/>
      <c r="F18" s="21"/>
      <c r="G18" s="21"/>
      <c r="H18" s="21"/>
      <c r="I18" s="24"/>
      <c r="J18" s="51"/>
      <c r="K18" s="208"/>
      <c r="M18" s="69" t="s">
        <v>1193</v>
      </c>
      <c r="N18" s="11">
        <f>IF($N$12&gt;0,ROUND($N$11/($N$17*$N$9*$N$3),3),ROUND($N$11/($N$10*$N$9*$N$3),3))</f>
        <v>17.888000000000002</v>
      </c>
      <c r="O18" s="140" t="s">
        <v>1099</v>
      </c>
      <c r="P18" s="59" t="str">
        <f>IF($N$12&gt;0,"D(req'd) = P/(Ca*C1*L)","D(req'd) = P/(C*C1*L)")</f>
        <v>D(req'd) = P/(Ca*C1*L)</v>
      </c>
      <c r="S18" s="61"/>
      <c r="T18" s="110"/>
    </row>
    <row r="19" spans="1:32" x14ac:dyDescent="0.2">
      <c r="A19" s="30" t="s">
        <v>1154</v>
      </c>
      <c r="B19" s="21"/>
      <c r="C19" s="21"/>
      <c r="D19" s="21"/>
      <c r="E19" s="21"/>
      <c r="F19" s="21"/>
      <c r="G19" s="21"/>
      <c r="H19" s="21"/>
      <c r="I19" s="24"/>
      <c r="J19" s="51"/>
      <c r="K19" s="208"/>
      <c r="M19" s="69" t="s">
        <v>1190</v>
      </c>
      <c r="N19" s="11">
        <f>IF($N$12&gt;0,ROUND($N$11/($N$9*$N$17*($C$11*16)),3),ROUND($N$11/($N$9*$N$10*($C$11*16)),3))</f>
        <v>17.888000000000002</v>
      </c>
      <c r="O19" s="59" t="s">
        <v>1172</v>
      </c>
      <c r="P19" s="59" t="str">
        <f>IF($N$12&gt;0,"L(req'd) = P/(Ca*C1*D)","L(req'd) = P/(C*C1*D)")</f>
        <v>L(req'd) = P/(Ca*C1*D)</v>
      </c>
    </row>
    <row r="20" spans="1:32" x14ac:dyDescent="0.2">
      <c r="A20" s="296" t="str">
        <f>IF($C$13&gt;0,"Ca = coefficient for inclined load, Alt. Method 2","C = coefficient interpolated from Table XX")</f>
        <v>Ca = coefficient for inclined load, Alt. Method 2</v>
      </c>
      <c r="B20" s="21"/>
      <c r="C20" s="21"/>
      <c r="D20" s="21"/>
      <c r="E20" s="21"/>
      <c r="F20" s="21"/>
      <c r="G20" s="21"/>
      <c r="H20" s="21"/>
      <c r="I20" s="24"/>
      <c r="J20" s="51"/>
      <c r="K20" s="208"/>
      <c r="M20" s="61"/>
      <c r="N20" s="55"/>
      <c r="O20" s="40"/>
      <c r="P20" s="59"/>
    </row>
    <row r="21" spans="1:32" x14ac:dyDescent="0.2">
      <c r="A21" s="30" t="s">
        <v>1106</v>
      </c>
      <c r="B21" s="21"/>
      <c r="C21" s="21"/>
      <c r="D21" s="21"/>
      <c r="E21" s="21"/>
      <c r="F21" s="37"/>
      <c r="G21" s="37"/>
      <c r="H21" s="37"/>
      <c r="I21" s="24"/>
      <c r="J21" s="51"/>
      <c r="N21" s="43"/>
      <c r="Q21" s="18"/>
      <c r="R21" s="18"/>
      <c r="S21" s="18"/>
      <c r="T21" s="18"/>
      <c r="U21" s="18"/>
      <c r="V21" s="18"/>
      <c r="W21" s="18"/>
      <c r="AC21" s="148" t="s">
        <v>1092</v>
      </c>
      <c r="AD21" s="149"/>
      <c r="AE21" s="149"/>
      <c r="AF21" s="150"/>
    </row>
    <row r="22" spans="1:32" x14ac:dyDescent="0.2">
      <c r="A22" s="30" t="s">
        <v>1135</v>
      </c>
      <c r="B22" s="21"/>
      <c r="C22" s="21"/>
      <c r="D22" s="21"/>
      <c r="E22" s="21"/>
      <c r="F22" s="37"/>
      <c r="G22" s="37"/>
      <c r="H22" s="37"/>
      <c r="I22" s="303"/>
      <c r="J22" s="37"/>
      <c r="K22" s="120" t="s">
        <v>1110</v>
      </c>
      <c r="L22" s="209"/>
      <c r="M22" s="210"/>
      <c r="N22" s="210"/>
      <c r="O22" s="210"/>
      <c r="P22" s="210"/>
      <c r="Q22" s="210"/>
      <c r="R22" s="210"/>
      <c r="S22" s="210"/>
      <c r="T22" s="209"/>
      <c r="U22" s="210"/>
      <c r="V22" s="210"/>
      <c r="W22" s="210"/>
      <c r="X22" s="211"/>
      <c r="Y22" s="210"/>
      <c r="Z22" s="123"/>
      <c r="AA22" s="124"/>
      <c r="AB22" s="51"/>
      <c r="AC22" s="151"/>
      <c r="AD22" s="152" t="s">
        <v>1093</v>
      </c>
      <c r="AE22" s="153" t="s">
        <v>1148</v>
      </c>
      <c r="AF22" s="154" t="s">
        <v>1093</v>
      </c>
    </row>
    <row r="23" spans="1:32" x14ac:dyDescent="0.2">
      <c r="A23" s="30" t="s">
        <v>1108</v>
      </c>
      <c r="B23" s="21"/>
      <c r="C23" s="37"/>
      <c r="D23" s="37"/>
      <c r="E23" s="21"/>
      <c r="F23" s="21"/>
      <c r="G23" s="21"/>
      <c r="H23" s="21"/>
      <c r="I23" s="24"/>
      <c r="K23" s="155"/>
      <c r="L23" s="156" t="s">
        <v>1148</v>
      </c>
      <c r="M23" s="116"/>
      <c r="N23" s="116"/>
      <c r="O23" s="116"/>
      <c r="P23" s="116"/>
      <c r="Q23" s="116"/>
      <c r="R23" s="116"/>
      <c r="S23" s="116"/>
      <c r="T23" s="157"/>
      <c r="U23" s="116"/>
      <c r="V23" s="116"/>
      <c r="W23" s="116"/>
      <c r="X23" s="116"/>
      <c r="Y23" s="116"/>
      <c r="Z23" s="116"/>
      <c r="AA23" s="117"/>
      <c r="AB23" s="51"/>
      <c r="AC23" s="151"/>
      <c r="AD23" s="158">
        <f>LOOKUP($AD$24,$L$24:$AA$24,$L$49:$AA$49)</f>
        <v>11</v>
      </c>
      <c r="AE23" s="158" t="s">
        <v>1094</v>
      </c>
      <c r="AF23" s="159">
        <f>LOOKUP($AD$23+1,$L$49:$AA$49)</f>
        <v>12</v>
      </c>
    </row>
    <row r="24" spans="1:32" x14ac:dyDescent="0.2">
      <c r="A24" s="30"/>
      <c r="B24" s="21"/>
      <c r="C24" s="21"/>
      <c r="D24" s="21"/>
      <c r="E24" s="212" t="str">
        <f>IF($N$7&gt;3,"Value of 'a' exceeds 3.0, beyond scope of table!","")</f>
        <v/>
      </c>
      <c r="F24" s="21"/>
      <c r="G24" s="21"/>
      <c r="H24" s="21"/>
      <c r="I24" s="24"/>
      <c r="K24" s="160" t="s">
        <v>1095</v>
      </c>
      <c r="L24" s="161">
        <v>0</v>
      </c>
      <c r="M24" s="162">
        <v>0.1</v>
      </c>
      <c r="N24" s="161">
        <v>0.2</v>
      </c>
      <c r="O24" s="162">
        <v>0.3</v>
      </c>
      <c r="P24" s="161">
        <v>0.4</v>
      </c>
      <c r="Q24" s="162">
        <v>0.5</v>
      </c>
      <c r="R24" s="161">
        <v>0.6</v>
      </c>
      <c r="S24" s="162">
        <v>0.7</v>
      </c>
      <c r="T24" s="161">
        <v>0.8</v>
      </c>
      <c r="U24" s="162">
        <v>0.9</v>
      </c>
      <c r="V24" s="163">
        <v>1</v>
      </c>
      <c r="W24" s="162">
        <v>1.2</v>
      </c>
      <c r="X24" s="161">
        <v>1.4</v>
      </c>
      <c r="Y24" s="162">
        <v>1.6</v>
      </c>
      <c r="Z24" s="161">
        <v>1.8</v>
      </c>
      <c r="AA24" s="164">
        <v>2</v>
      </c>
      <c r="AB24" s="216" t="s">
        <v>1096</v>
      </c>
      <c r="AC24" s="165" t="s">
        <v>1096</v>
      </c>
      <c r="AD24" s="166">
        <f>LOOKUP($N$8,$L$24:$AA$24)</f>
        <v>1</v>
      </c>
      <c r="AE24" s="167">
        <f>$N$8</f>
        <v>1</v>
      </c>
      <c r="AF24" s="168">
        <f>LOOKUP($AF$23,$L$49:$AA$49,$L$24:$AA$24)</f>
        <v>1.2</v>
      </c>
    </row>
    <row r="25" spans="1:32" x14ac:dyDescent="0.2">
      <c r="A25" s="30"/>
      <c r="B25" s="21"/>
      <c r="C25" s="21"/>
      <c r="D25" s="21"/>
      <c r="E25" s="212" t="str">
        <f>IF($N$8&gt;2,"Value of 'k' exceeds 2.0, beyond scope of table!","")</f>
        <v/>
      </c>
      <c r="F25" s="21"/>
      <c r="G25" s="21"/>
      <c r="H25" s="21"/>
      <c r="I25" s="24"/>
      <c r="K25" s="259">
        <v>0.06</v>
      </c>
      <c r="L25" s="246">
        <v>1.56</v>
      </c>
      <c r="M25" s="247">
        <v>1.57</v>
      </c>
      <c r="N25" s="247">
        <v>1.61</v>
      </c>
      <c r="O25" s="247">
        <v>1.66</v>
      </c>
      <c r="P25" s="247">
        <v>1.72</v>
      </c>
      <c r="Q25" s="247">
        <v>1.76</v>
      </c>
      <c r="R25" s="247">
        <v>1.79</v>
      </c>
      <c r="S25" s="247">
        <v>1.8</v>
      </c>
      <c r="T25" s="247">
        <v>1.82</v>
      </c>
      <c r="U25" s="247">
        <v>1.83</v>
      </c>
      <c r="V25" s="247">
        <v>1.83</v>
      </c>
      <c r="W25" s="247">
        <v>1.84</v>
      </c>
      <c r="X25" s="247">
        <v>1.84</v>
      </c>
      <c r="Y25" s="247">
        <v>1.85</v>
      </c>
      <c r="Z25" s="247">
        <v>1.85</v>
      </c>
      <c r="AA25" s="248">
        <v>1.85</v>
      </c>
      <c r="AB25" s="216">
        <v>1</v>
      </c>
      <c r="AC25" s="169">
        <v>1</v>
      </c>
      <c r="AD25" s="170">
        <f t="shared" ref="AD25:AD48" si="0">LOOKUP($AD$24,$L$24:$AA$24,$L25:$AA25)</f>
        <v>1.83</v>
      </c>
      <c r="AE25" s="171">
        <f t="shared" ref="AE25:AE48" si="1">IF($AD$24=$AF$24,$AD25,($AF25-$AD25)*($AE$24-$AD$24)/($AF$24-$AD$24)+$AD25)</f>
        <v>1.83</v>
      </c>
      <c r="AF25" s="172">
        <f t="shared" ref="AF25:AF48" si="2">LOOKUP($AF$24,$L$24:$AA$24,$L25:$AA25)</f>
        <v>1.84</v>
      </c>
    </row>
    <row r="26" spans="1:32" x14ac:dyDescent="0.2">
      <c r="A26" s="22" t="s">
        <v>1113</v>
      </c>
      <c r="B26" s="21"/>
      <c r="C26" s="21"/>
      <c r="D26" s="21"/>
      <c r="E26" s="21"/>
      <c r="F26" s="21"/>
      <c r="G26" s="21"/>
      <c r="H26" s="21"/>
      <c r="I26" s="24"/>
      <c r="K26" s="260">
        <v>0.08</v>
      </c>
      <c r="L26" s="249">
        <v>1.48</v>
      </c>
      <c r="M26" s="250">
        <v>1.49</v>
      </c>
      <c r="N26" s="250">
        <v>1.54</v>
      </c>
      <c r="O26" s="250">
        <v>1.6</v>
      </c>
      <c r="P26" s="250">
        <v>1.66</v>
      </c>
      <c r="Q26" s="250">
        <v>1.71</v>
      </c>
      <c r="R26" s="250">
        <v>1.75</v>
      </c>
      <c r="S26" s="250">
        <v>1.77</v>
      </c>
      <c r="T26" s="250">
        <v>1.79</v>
      </c>
      <c r="U26" s="250">
        <v>1.81</v>
      </c>
      <c r="V26" s="250">
        <v>1.82</v>
      </c>
      <c r="W26" s="250">
        <v>1.83</v>
      </c>
      <c r="X26" s="250">
        <v>1.84</v>
      </c>
      <c r="Y26" s="250">
        <v>1.84</v>
      </c>
      <c r="Z26" s="250">
        <v>1.85</v>
      </c>
      <c r="AA26" s="251">
        <v>1.85</v>
      </c>
      <c r="AB26" s="216">
        <v>2</v>
      </c>
      <c r="AC26" s="169">
        <v>2</v>
      </c>
      <c r="AD26" s="170">
        <f t="shared" si="0"/>
        <v>1.82</v>
      </c>
      <c r="AE26" s="171">
        <f t="shared" si="1"/>
        <v>1.82</v>
      </c>
      <c r="AF26" s="172">
        <f t="shared" si="2"/>
        <v>1.83</v>
      </c>
    </row>
    <row r="27" spans="1:32" x14ac:dyDescent="0.2">
      <c r="A27" s="30"/>
      <c r="B27" s="21"/>
      <c r="C27" s="21"/>
      <c r="D27" s="62" t="str">
        <f>IF($N$12&gt;0,"(Note: AISC Alternate Method 2 is used for inclined load)","(Note: AISC Alternate Method 2 is not used for P=Pv)")</f>
        <v>(Note: AISC Alternate Method 2 is used for inclined load)</v>
      </c>
      <c r="E27" s="21"/>
      <c r="F27" s="21"/>
      <c r="G27" s="21"/>
      <c r="H27" s="21"/>
      <c r="I27" s="24"/>
      <c r="K27" s="260">
        <v>0.1</v>
      </c>
      <c r="L27" s="249">
        <v>1.41</v>
      </c>
      <c r="M27" s="250">
        <v>1.43</v>
      </c>
      <c r="N27" s="250">
        <v>1.47</v>
      </c>
      <c r="O27" s="250">
        <v>1.53</v>
      </c>
      <c r="P27" s="250">
        <v>1.6</v>
      </c>
      <c r="Q27" s="250">
        <v>1.66</v>
      </c>
      <c r="R27" s="250">
        <v>1.7</v>
      </c>
      <c r="S27" s="250">
        <v>1.74</v>
      </c>
      <c r="T27" s="250">
        <v>1.77</v>
      </c>
      <c r="U27" s="250">
        <v>1.79</v>
      </c>
      <c r="V27" s="250">
        <v>1.8</v>
      </c>
      <c r="W27" s="250">
        <v>1.82</v>
      </c>
      <c r="X27" s="250">
        <v>1.83</v>
      </c>
      <c r="Y27" s="250">
        <v>1.84</v>
      </c>
      <c r="Z27" s="250">
        <v>1.84</v>
      </c>
      <c r="AA27" s="251">
        <v>1.84</v>
      </c>
      <c r="AB27" s="216">
        <v>3</v>
      </c>
      <c r="AC27" s="169">
        <v>3</v>
      </c>
      <c r="AD27" s="170">
        <f t="shared" si="0"/>
        <v>1.8</v>
      </c>
      <c r="AE27" s="171">
        <f t="shared" si="1"/>
        <v>1.8</v>
      </c>
      <c r="AF27" s="172">
        <f t="shared" si="2"/>
        <v>1.82</v>
      </c>
    </row>
    <row r="28" spans="1:32" x14ac:dyDescent="0.2">
      <c r="A28" s="298" t="s">
        <v>1196</v>
      </c>
      <c r="B28" s="276">
        <f>$N$3</f>
        <v>5</v>
      </c>
      <c r="C28" s="138" t="s">
        <v>1172</v>
      </c>
      <c r="D28" s="62" t="s">
        <v>1108</v>
      </c>
      <c r="E28" s="21"/>
      <c r="F28" s="21"/>
      <c r="G28" s="21"/>
      <c r="H28" s="21"/>
      <c r="I28" s="24"/>
      <c r="K28" s="260">
        <v>0.15</v>
      </c>
      <c r="L28" s="249">
        <v>1.26</v>
      </c>
      <c r="M28" s="250">
        <v>1.28</v>
      </c>
      <c r="N28" s="250">
        <v>1.33</v>
      </c>
      <c r="O28" s="250">
        <v>1.39</v>
      </c>
      <c r="P28" s="250">
        <v>1.46</v>
      </c>
      <c r="Q28" s="250">
        <v>1.53</v>
      </c>
      <c r="R28" s="250">
        <v>1.59</v>
      </c>
      <c r="S28" s="250">
        <v>1.65</v>
      </c>
      <c r="T28" s="250">
        <v>1.69</v>
      </c>
      <c r="U28" s="250">
        <v>1.72</v>
      </c>
      <c r="V28" s="250">
        <v>1.74</v>
      </c>
      <c r="W28" s="250">
        <v>1.78</v>
      </c>
      <c r="X28" s="250">
        <v>1.8</v>
      </c>
      <c r="Y28" s="250">
        <v>1.81</v>
      </c>
      <c r="Z28" s="250">
        <v>1.82</v>
      </c>
      <c r="AA28" s="251">
        <v>1.83</v>
      </c>
      <c r="AB28" s="216">
        <v>4</v>
      </c>
      <c r="AC28" s="169">
        <v>4</v>
      </c>
      <c r="AD28" s="170">
        <f t="shared" si="0"/>
        <v>1.74</v>
      </c>
      <c r="AE28" s="171">
        <f t="shared" si="1"/>
        <v>1.74</v>
      </c>
      <c r="AF28" s="172">
        <f t="shared" si="2"/>
        <v>1.78</v>
      </c>
    </row>
    <row r="29" spans="1:32" x14ac:dyDescent="0.2">
      <c r="A29" s="298" t="s">
        <v>1180</v>
      </c>
      <c r="B29" s="277">
        <f>$N$4</f>
        <v>5</v>
      </c>
      <c r="C29" s="138" t="s">
        <v>1172</v>
      </c>
      <c r="D29" s="62" t="s">
        <v>1109</v>
      </c>
      <c r="E29" s="21"/>
      <c r="F29" s="21"/>
      <c r="G29" s="21"/>
      <c r="H29" s="21"/>
      <c r="I29" s="24"/>
      <c r="K29" s="260">
        <v>0.2</v>
      </c>
      <c r="L29" s="249">
        <v>1.1299999999999999</v>
      </c>
      <c r="M29" s="250">
        <v>1.1499999999999999</v>
      </c>
      <c r="N29" s="250">
        <v>1.2</v>
      </c>
      <c r="O29" s="250">
        <v>1.27</v>
      </c>
      <c r="P29" s="250">
        <v>1.34</v>
      </c>
      <c r="Q29" s="250">
        <v>1.42</v>
      </c>
      <c r="R29" s="250">
        <v>1.49</v>
      </c>
      <c r="S29" s="250">
        <v>1.55</v>
      </c>
      <c r="T29" s="250">
        <v>1.6</v>
      </c>
      <c r="U29" s="250">
        <v>1.64</v>
      </c>
      <c r="V29" s="250">
        <v>1.68</v>
      </c>
      <c r="W29" s="250">
        <v>1.73</v>
      </c>
      <c r="X29" s="250">
        <v>1.76</v>
      </c>
      <c r="Y29" s="250">
        <v>1.78</v>
      </c>
      <c r="Z29" s="250">
        <v>1.8</v>
      </c>
      <c r="AA29" s="251">
        <v>1.81</v>
      </c>
      <c r="AB29" s="216">
        <v>5</v>
      </c>
      <c r="AC29" s="169">
        <v>5</v>
      </c>
      <c r="AD29" s="170">
        <f t="shared" si="0"/>
        <v>1.68</v>
      </c>
      <c r="AE29" s="171">
        <f t="shared" si="1"/>
        <v>1.68</v>
      </c>
      <c r="AF29" s="172">
        <f t="shared" si="2"/>
        <v>1.73</v>
      </c>
    </row>
    <row r="30" spans="1:32" ht="13.5" customHeight="1" x14ac:dyDescent="0.2">
      <c r="A30" s="298" t="s">
        <v>1085</v>
      </c>
      <c r="B30" s="277">
        <f>$N$6</f>
        <v>0</v>
      </c>
      <c r="C30" s="138" t="s">
        <v>1172</v>
      </c>
      <c r="D30" s="98" t="s">
        <v>1118</v>
      </c>
      <c r="E30" s="21"/>
      <c r="F30" s="21"/>
      <c r="G30" s="21"/>
      <c r="H30" s="21"/>
      <c r="I30" s="24"/>
      <c r="K30" s="260">
        <v>0.25</v>
      </c>
      <c r="L30" s="249">
        <v>1.02</v>
      </c>
      <c r="M30" s="250">
        <v>1.04</v>
      </c>
      <c r="N30" s="250">
        <v>1.0900000000000001</v>
      </c>
      <c r="O30" s="250">
        <v>1.1599999999999999</v>
      </c>
      <c r="P30" s="250">
        <v>1.23</v>
      </c>
      <c r="Q30" s="250">
        <v>1.31</v>
      </c>
      <c r="R30" s="250">
        <v>1.38</v>
      </c>
      <c r="S30" s="250">
        <v>1.45</v>
      </c>
      <c r="T30" s="250">
        <v>1.51</v>
      </c>
      <c r="U30" s="250">
        <v>1.57</v>
      </c>
      <c r="V30" s="250">
        <v>1.61</v>
      </c>
      <c r="W30" s="250">
        <v>1.67</v>
      </c>
      <c r="X30" s="250">
        <v>1.72</v>
      </c>
      <c r="Y30" s="250">
        <v>1.75</v>
      </c>
      <c r="Z30" s="250">
        <v>1.77</v>
      </c>
      <c r="AA30" s="251">
        <v>1.79</v>
      </c>
      <c r="AB30" s="216">
        <v>6</v>
      </c>
      <c r="AC30" s="169">
        <v>6</v>
      </c>
      <c r="AD30" s="170">
        <f t="shared" si="0"/>
        <v>1.61</v>
      </c>
      <c r="AE30" s="171">
        <f t="shared" si="1"/>
        <v>1.61</v>
      </c>
      <c r="AF30" s="172">
        <f t="shared" si="2"/>
        <v>1.67</v>
      </c>
    </row>
    <row r="31" spans="1:32" ht="13.5" customHeight="1" x14ac:dyDescent="0.2">
      <c r="A31" s="298" t="s">
        <v>1124</v>
      </c>
      <c r="B31" s="277">
        <f>$N$7</f>
        <v>0</v>
      </c>
      <c r="C31" s="242" t="str">
        <f>IF($N$7&gt;3,"&gt; 3.0","")</f>
        <v/>
      </c>
      <c r="D31" s="98" t="s">
        <v>1086</v>
      </c>
      <c r="E31" s="21"/>
      <c r="F31" s="21"/>
      <c r="G31" s="21"/>
      <c r="H31" s="21"/>
      <c r="I31" s="24"/>
      <c r="K31" s="260">
        <v>0.3</v>
      </c>
      <c r="L31" s="253">
        <v>0.93400000000000005</v>
      </c>
      <c r="M31" s="254">
        <v>0.95299999999999996</v>
      </c>
      <c r="N31" s="250">
        <v>1</v>
      </c>
      <c r="O31" s="250">
        <v>1.06</v>
      </c>
      <c r="P31" s="250">
        <v>1.1399999999999999</v>
      </c>
      <c r="Q31" s="250">
        <v>1.21</v>
      </c>
      <c r="R31" s="250">
        <v>1.29</v>
      </c>
      <c r="S31" s="250">
        <v>1.36</v>
      </c>
      <c r="T31" s="250">
        <v>1.43</v>
      </c>
      <c r="U31" s="250">
        <v>1.49</v>
      </c>
      <c r="V31" s="250">
        <v>1.54</v>
      </c>
      <c r="W31" s="250">
        <v>1.62</v>
      </c>
      <c r="X31" s="250">
        <v>1.67</v>
      </c>
      <c r="Y31" s="250">
        <v>1.71</v>
      </c>
      <c r="Z31" s="250">
        <v>1.74</v>
      </c>
      <c r="AA31" s="251">
        <v>1.76</v>
      </c>
      <c r="AB31" s="216">
        <v>7</v>
      </c>
      <c r="AC31" s="169">
        <v>7</v>
      </c>
      <c r="AD31" s="170">
        <f t="shared" si="0"/>
        <v>1.54</v>
      </c>
      <c r="AE31" s="171">
        <f t="shared" si="1"/>
        <v>1.54</v>
      </c>
      <c r="AF31" s="172">
        <f t="shared" si="2"/>
        <v>1.62</v>
      </c>
    </row>
    <row r="32" spans="1:32" x14ac:dyDescent="0.2">
      <c r="A32" s="298" t="s">
        <v>1138</v>
      </c>
      <c r="B32" s="277">
        <f>$N$8</f>
        <v>1</v>
      </c>
      <c r="C32" s="242" t="str">
        <f>IF($N$8&gt;2,"&gt; 2.0","")</f>
        <v/>
      </c>
      <c r="D32" s="98" t="s">
        <v>1088</v>
      </c>
      <c r="E32" s="21"/>
      <c r="F32" s="21"/>
      <c r="G32" s="21"/>
      <c r="H32" s="21"/>
      <c r="I32" s="24"/>
      <c r="K32" s="260">
        <v>0.4</v>
      </c>
      <c r="L32" s="253">
        <v>0.78900000000000003</v>
      </c>
      <c r="M32" s="254">
        <v>0.80600000000000005</v>
      </c>
      <c r="N32" s="254">
        <v>0.85</v>
      </c>
      <c r="O32" s="254">
        <v>0.90900000000000003</v>
      </c>
      <c r="P32" s="254">
        <v>0.97699999999999998</v>
      </c>
      <c r="Q32" s="250">
        <v>1.05</v>
      </c>
      <c r="R32" s="250">
        <v>1.1200000000000001</v>
      </c>
      <c r="S32" s="250">
        <v>1.2</v>
      </c>
      <c r="T32" s="250">
        <v>1.27</v>
      </c>
      <c r="U32" s="250">
        <v>1.34</v>
      </c>
      <c r="V32" s="250">
        <v>1.4</v>
      </c>
      <c r="W32" s="250">
        <v>1.5</v>
      </c>
      <c r="X32" s="250">
        <v>1.57</v>
      </c>
      <c r="Y32" s="250">
        <v>1.63</v>
      </c>
      <c r="Z32" s="250">
        <v>1.67</v>
      </c>
      <c r="AA32" s="251">
        <v>1.7</v>
      </c>
      <c r="AB32" s="216">
        <v>8</v>
      </c>
      <c r="AC32" s="169">
        <v>8</v>
      </c>
      <c r="AD32" s="170">
        <f t="shared" si="0"/>
        <v>1.4</v>
      </c>
      <c r="AE32" s="171">
        <f t="shared" si="1"/>
        <v>1.4</v>
      </c>
      <c r="AF32" s="172">
        <f t="shared" si="2"/>
        <v>1.5</v>
      </c>
    </row>
    <row r="33" spans="1:32" x14ac:dyDescent="0.2">
      <c r="A33" s="299" t="s">
        <v>1184</v>
      </c>
      <c r="B33" s="278">
        <f>$N$9</f>
        <v>1</v>
      </c>
      <c r="C33" s="138"/>
      <c r="D33" s="73" t="s">
        <v>1185</v>
      </c>
      <c r="E33" s="21"/>
      <c r="F33" s="21"/>
      <c r="G33" s="21"/>
      <c r="H33" s="21"/>
      <c r="I33" s="24"/>
      <c r="K33" s="260">
        <v>0.5</v>
      </c>
      <c r="L33" s="253">
        <v>0.68</v>
      </c>
      <c r="M33" s="254">
        <v>0.69499999999999995</v>
      </c>
      <c r="N33" s="254">
        <v>0.73399999999999999</v>
      </c>
      <c r="O33" s="254">
        <v>0.78900000000000003</v>
      </c>
      <c r="P33" s="254">
        <v>0.85299999999999998</v>
      </c>
      <c r="Q33" s="254">
        <v>0.92</v>
      </c>
      <c r="R33" s="254">
        <v>0.98899999999999999</v>
      </c>
      <c r="S33" s="250">
        <v>1.06</v>
      </c>
      <c r="T33" s="250">
        <v>1.1299999999999999</v>
      </c>
      <c r="U33" s="250">
        <v>1.2</v>
      </c>
      <c r="V33" s="250">
        <v>1.27</v>
      </c>
      <c r="W33" s="250">
        <v>1.38</v>
      </c>
      <c r="X33" s="250">
        <v>1.47</v>
      </c>
      <c r="Y33" s="250">
        <v>1.54</v>
      </c>
      <c r="Z33" s="250">
        <v>1.59</v>
      </c>
      <c r="AA33" s="251">
        <v>1.63</v>
      </c>
      <c r="AB33" s="216">
        <v>9</v>
      </c>
      <c r="AC33" s="169">
        <v>9</v>
      </c>
      <c r="AD33" s="170">
        <f t="shared" si="0"/>
        <v>1.27</v>
      </c>
      <c r="AE33" s="171">
        <f t="shared" si="1"/>
        <v>1.27</v>
      </c>
      <c r="AF33" s="172">
        <f t="shared" si="2"/>
        <v>1.38</v>
      </c>
    </row>
    <row r="34" spans="1:32" x14ac:dyDescent="0.2">
      <c r="A34" s="298" t="s">
        <v>1122</v>
      </c>
      <c r="B34" s="277">
        <f>$N$10</f>
        <v>1.8560000000000001</v>
      </c>
      <c r="C34" s="243"/>
      <c r="D34" s="98" t="s">
        <v>1375</v>
      </c>
      <c r="E34" s="21"/>
      <c r="F34" s="21"/>
      <c r="G34" s="21"/>
      <c r="H34" s="21"/>
      <c r="I34" s="24"/>
      <c r="K34" s="260">
        <v>0.6</v>
      </c>
      <c r="L34" s="253">
        <v>0.59499999999999997</v>
      </c>
      <c r="M34" s="254">
        <v>0.60799999999999998</v>
      </c>
      <c r="N34" s="254">
        <v>0.64400000000000002</v>
      </c>
      <c r="O34" s="254">
        <v>0.69499999999999995</v>
      </c>
      <c r="P34" s="254">
        <v>0.753</v>
      </c>
      <c r="Q34" s="254">
        <v>0.81599999999999995</v>
      </c>
      <c r="R34" s="254">
        <v>0.88100000000000001</v>
      </c>
      <c r="S34" s="254">
        <v>0.94699999999999995</v>
      </c>
      <c r="T34" s="250">
        <v>1.01</v>
      </c>
      <c r="U34" s="250">
        <v>1.08</v>
      </c>
      <c r="V34" s="250">
        <v>1.1499999999999999</v>
      </c>
      <c r="W34" s="250">
        <v>1.27</v>
      </c>
      <c r="X34" s="250">
        <v>1.36</v>
      </c>
      <c r="Y34" s="250">
        <v>1.44</v>
      </c>
      <c r="Z34" s="250">
        <v>1.51</v>
      </c>
      <c r="AA34" s="251">
        <v>1.56</v>
      </c>
      <c r="AB34" s="216">
        <v>10</v>
      </c>
      <c r="AC34" s="169">
        <v>10</v>
      </c>
      <c r="AD34" s="170">
        <f t="shared" si="0"/>
        <v>1.1499999999999999</v>
      </c>
      <c r="AE34" s="171">
        <f t="shared" si="1"/>
        <v>1.1499999999999999</v>
      </c>
      <c r="AF34" s="172">
        <f t="shared" si="2"/>
        <v>1.27</v>
      </c>
    </row>
    <row r="35" spans="1:32" x14ac:dyDescent="0.2">
      <c r="A35" s="299" t="s">
        <v>1187</v>
      </c>
      <c r="B35" s="392">
        <f>$N$11</f>
        <v>166</v>
      </c>
      <c r="C35" s="138" t="s">
        <v>1114</v>
      </c>
      <c r="D35" s="73" t="s">
        <v>1120</v>
      </c>
      <c r="E35" s="21"/>
      <c r="F35" s="21"/>
      <c r="G35" s="21"/>
      <c r="H35" s="21"/>
      <c r="I35" s="24"/>
      <c r="K35" s="260">
        <v>0.7</v>
      </c>
      <c r="L35" s="253">
        <v>0.52800000000000002</v>
      </c>
      <c r="M35" s="254">
        <v>0.54</v>
      </c>
      <c r="N35" s="254">
        <v>0.57299999999999995</v>
      </c>
      <c r="O35" s="254">
        <v>0.61899999999999999</v>
      </c>
      <c r="P35" s="254">
        <v>0.67300000000000004</v>
      </c>
      <c r="Q35" s="254">
        <v>0.73099999999999998</v>
      </c>
      <c r="R35" s="254">
        <v>0.79200000000000004</v>
      </c>
      <c r="S35" s="254">
        <v>0.85399999999999998</v>
      </c>
      <c r="T35" s="254">
        <v>0.91500000000000004</v>
      </c>
      <c r="U35" s="254">
        <v>0.97699999999999998</v>
      </c>
      <c r="V35" s="250">
        <v>1.04</v>
      </c>
      <c r="W35" s="250">
        <v>1.17</v>
      </c>
      <c r="X35" s="250">
        <v>1.27</v>
      </c>
      <c r="Y35" s="250">
        <v>1.36</v>
      </c>
      <c r="Z35" s="250">
        <v>1.43</v>
      </c>
      <c r="AA35" s="251">
        <v>1.49</v>
      </c>
      <c r="AB35" s="216">
        <v>11</v>
      </c>
      <c r="AC35" s="169">
        <v>11</v>
      </c>
      <c r="AD35" s="170">
        <f t="shared" si="0"/>
        <v>1.04</v>
      </c>
      <c r="AE35" s="171">
        <f t="shared" si="1"/>
        <v>1.04</v>
      </c>
      <c r="AF35" s="172">
        <f t="shared" si="2"/>
        <v>1.17</v>
      </c>
    </row>
    <row r="36" spans="1:32" ht="12.75" customHeight="1" x14ac:dyDescent="0.2">
      <c r="A36" s="299" t="s">
        <v>1125</v>
      </c>
      <c r="B36" s="277">
        <f>$N$12</f>
        <v>89.997</v>
      </c>
      <c r="C36" s="138" t="s">
        <v>1103</v>
      </c>
      <c r="D36" s="84" t="s">
        <v>1126</v>
      </c>
      <c r="E36" s="21"/>
      <c r="F36" s="21"/>
      <c r="G36" s="21"/>
      <c r="H36" s="21"/>
      <c r="I36" s="24"/>
      <c r="K36" s="260">
        <v>0.8</v>
      </c>
      <c r="L36" s="253">
        <v>0.47299999999999998</v>
      </c>
      <c r="M36" s="254">
        <v>0.48399999999999999</v>
      </c>
      <c r="N36" s="254">
        <v>0.51500000000000001</v>
      </c>
      <c r="O36" s="254">
        <v>0.55700000000000005</v>
      </c>
      <c r="P36" s="254">
        <v>0.60699999999999998</v>
      </c>
      <c r="Q36" s="254">
        <v>0.66100000000000003</v>
      </c>
      <c r="R36" s="254">
        <v>0.71799999999999997</v>
      </c>
      <c r="S36" s="254">
        <v>0.77600000000000002</v>
      </c>
      <c r="T36" s="254">
        <v>0.83399999999999996</v>
      </c>
      <c r="U36" s="254">
        <v>0.89200000000000002</v>
      </c>
      <c r="V36" s="254">
        <v>0.95</v>
      </c>
      <c r="W36" s="250">
        <v>1.07</v>
      </c>
      <c r="X36" s="250">
        <v>1.18</v>
      </c>
      <c r="Y36" s="250">
        <v>1.27</v>
      </c>
      <c r="Z36" s="250">
        <v>1.35</v>
      </c>
      <c r="AA36" s="251">
        <v>1.41</v>
      </c>
      <c r="AB36" s="216">
        <v>12</v>
      </c>
      <c r="AC36" s="169">
        <v>12</v>
      </c>
      <c r="AD36" s="170">
        <f t="shared" si="0"/>
        <v>0.95</v>
      </c>
      <c r="AE36" s="171">
        <f t="shared" si="1"/>
        <v>0.95</v>
      </c>
      <c r="AF36" s="172">
        <f t="shared" si="2"/>
        <v>1.07</v>
      </c>
    </row>
    <row r="37" spans="1:32" ht="12.75" customHeight="1" x14ac:dyDescent="0.2">
      <c r="A37" s="77" t="s">
        <v>1160</v>
      </c>
      <c r="B37" s="277">
        <f>$N$13</f>
        <v>1.8560000000000001</v>
      </c>
      <c r="C37" s="138"/>
      <c r="D37" s="73" t="s">
        <v>1376</v>
      </c>
      <c r="E37" s="112"/>
      <c r="F37" s="21"/>
      <c r="G37" s="21"/>
      <c r="H37" s="21"/>
      <c r="I37" s="24"/>
      <c r="K37" s="260">
        <v>0.9</v>
      </c>
      <c r="L37" s="253">
        <v>0.42799999999999999</v>
      </c>
      <c r="M37" s="254">
        <v>0.439</v>
      </c>
      <c r="N37" s="254">
        <v>0.46700000000000003</v>
      </c>
      <c r="O37" s="254">
        <v>0.50600000000000001</v>
      </c>
      <c r="P37" s="254">
        <v>0.55200000000000005</v>
      </c>
      <c r="Q37" s="254">
        <v>0.60299999999999998</v>
      </c>
      <c r="R37" s="254">
        <v>0.65600000000000003</v>
      </c>
      <c r="S37" s="254">
        <v>0.71</v>
      </c>
      <c r="T37" s="254">
        <v>0.76500000000000001</v>
      </c>
      <c r="U37" s="254">
        <v>0.81899999999999995</v>
      </c>
      <c r="V37" s="254">
        <v>0.874</v>
      </c>
      <c r="W37" s="254">
        <v>0.98799999999999999</v>
      </c>
      <c r="X37" s="250">
        <v>1.1000000000000001</v>
      </c>
      <c r="Y37" s="250">
        <v>1.19</v>
      </c>
      <c r="Z37" s="250">
        <v>1.27</v>
      </c>
      <c r="AA37" s="251">
        <v>1.34</v>
      </c>
      <c r="AB37" s="216">
        <v>13</v>
      </c>
      <c r="AC37" s="169">
        <v>13</v>
      </c>
      <c r="AD37" s="170">
        <f t="shared" si="0"/>
        <v>0.874</v>
      </c>
      <c r="AE37" s="171">
        <f t="shared" si="1"/>
        <v>0.874</v>
      </c>
      <c r="AF37" s="172">
        <f t="shared" si="2"/>
        <v>0.98799999999999999</v>
      </c>
    </row>
    <row r="38" spans="1:32" ht="12.75" customHeight="1" x14ac:dyDescent="0.2">
      <c r="A38" s="77" t="s">
        <v>1130</v>
      </c>
      <c r="B38" s="277">
        <f>$N$14</f>
        <v>1.8560000000000001</v>
      </c>
      <c r="C38" s="138"/>
      <c r="D38" s="73" t="s">
        <v>1169</v>
      </c>
      <c r="E38" s="39"/>
      <c r="F38" s="21"/>
      <c r="G38" s="21"/>
      <c r="H38" s="21"/>
      <c r="I38" s="24"/>
      <c r="K38" s="260">
        <v>1</v>
      </c>
      <c r="L38" s="253">
        <v>0.39100000000000001</v>
      </c>
      <c r="M38" s="254">
        <v>0.40100000000000002</v>
      </c>
      <c r="N38" s="254">
        <v>0.42599999999999999</v>
      </c>
      <c r="O38" s="254">
        <v>0.46300000000000002</v>
      </c>
      <c r="P38" s="254">
        <v>0.50600000000000001</v>
      </c>
      <c r="Q38" s="254">
        <v>0.55300000000000005</v>
      </c>
      <c r="R38" s="254">
        <v>0.60299999999999998</v>
      </c>
      <c r="S38" s="254">
        <v>0.65400000000000003</v>
      </c>
      <c r="T38" s="254">
        <v>0.70499999999999996</v>
      </c>
      <c r="U38" s="254">
        <v>0.75700000000000001</v>
      </c>
      <c r="V38" s="254">
        <v>0.80800000000000005</v>
      </c>
      <c r="W38" s="254">
        <v>0.91300000000000003</v>
      </c>
      <c r="X38" s="250">
        <v>1.02</v>
      </c>
      <c r="Y38" s="250">
        <v>1.1200000000000001</v>
      </c>
      <c r="Z38" s="250">
        <v>1.2</v>
      </c>
      <c r="AA38" s="251">
        <v>1.28</v>
      </c>
      <c r="AB38" s="216">
        <v>14</v>
      </c>
      <c r="AC38" s="169">
        <v>14</v>
      </c>
      <c r="AD38" s="170">
        <f t="shared" si="0"/>
        <v>0.80800000000000005</v>
      </c>
      <c r="AE38" s="171">
        <f t="shared" si="1"/>
        <v>0.80800000000000005</v>
      </c>
      <c r="AF38" s="172">
        <f t="shared" si="2"/>
        <v>0.91300000000000003</v>
      </c>
    </row>
    <row r="39" spans="1:32" ht="12.75" customHeight="1" x14ac:dyDescent="0.2">
      <c r="A39" s="77" t="s">
        <v>1188</v>
      </c>
      <c r="B39" s="277">
        <f>$N$15</f>
        <v>1</v>
      </c>
      <c r="C39" s="138"/>
      <c r="D39" s="73" t="s">
        <v>1132</v>
      </c>
      <c r="E39" s="39"/>
      <c r="F39" s="21"/>
      <c r="G39" s="21"/>
      <c r="H39" s="21"/>
      <c r="I39" s="24"/>
      <c r="K39" s="260">
        <v>1.2</v>
      </c>
      <c r="L39" s="253">
        <v>0.33300000000000002</v>
      </c>
      <c r="M39" s="254">
        <v>0.34100000000000003</v>
      </c>
      <c r="N39" s="254">
        <v>0.36299999999999999</v>
      </c>
      <c r="O39" s="254">
        <v>0.39500000000000002</v>
      </c>
      <c r="P39" s="254">
        <v>0.433</v>
      </c>
      <c r="Q39" s="254">
        <v>0.47399999999999998</v>
      </c>
      <c r="R39" s="254">
        <v>0.51800000000000002</v>
      </c>
      <c r="S39" s="254">
        <v>0.56299999999999994</v>
      </c>
      <c r="T39" s="254">
        <v>0.60899999999999999</v>
      </c>
      <c r="U39" s="254">
        <v>0.65500000000000003</v>
      </c>
      <c r="V39" s="254">
        <v>0.70199999999999996</v>
      </c>
      <c r="W39" s="254">
        <v>0.79400000000000004</v>
      </c>
      <c r="X39" s="254">
        <v>0.89100000000000001</v>
      </c>
      <c r="Y39" s="254">
        <v>0.99</v>
      </c>
      <c r="Z39" s="250">
        <v>1.08</v>
      </c>
      <c r="AA39" s="251">
        <v>1.1499999999999999</v>
      </c>
      <c r="AB39" s="216">
        <v>15</v>
      </c>
      <c r="AC39" s="169">
        <v>15</v>
      </c>
      <c r="AD39" s="170">
        <f t="shared" si="0"/>
        <v>0.70199999999999996</v>
      </c>
      <c r="AE39" s="171">
        <f t="shared" si="1"/>
        <v>0.70199999999999996</v>
      </c>
      <c r="AF39" s="172">
        <f t="shared" si="2"/>
        <v>0.79400000000000004</v>
      </c>
    </row>
    <row r="40" spans="1:32" ht="12.75" customHeight="1" x14ac:dyDescent="0.2">
      <c r="A40" s="77" t="s">
        <v>1133</v>
      </c>
      <c r="B40" s="277">
        <f>$N$16</f>
        <v>1</v>
      </c>
      <c r="C40" s="138"/>
      <c r="D40" s="73" t="s">
        <v>1104</v>
      </c>
      <c r="E40" s="39"/>
      <c r="F40" s="21"/>
      <c r="G40" s="21"/>
      <c r="H40" s="21"/>
      <c r="I40" s="24"/>
      <c r="K40" s="260">
        <v>1.4</v>
      </c>
      <c r="L40" s="253">
        <v>0.28899999999999998</v>
      </c>
      <c r="M40" s="254">
        <v>0.29599999999999999</v>
      </c>
      <c r="N40" s="254">
        <v>0.316</v>
      </c>
      <c r="O40" s="254">
        <v>0.34399999999999997</v>
      </c>
      <c r="P40" s="254">
        <v>0.377</v>
      </c>
      <c r="Q40" s="254">
        <v>0.41399999999999998</v>
      </c>
      <c r="R40" s="254">
        <v>0.45300000000000001</v>
      </c>
      <c r="S40" s="254">
        <v>0.49399999999999999</v>
      </c>
      <c r="T40" s="254">
        <v>0.53500000000000003</v>
      </c>
      <c r="U40" s="254">
        <v>0.57699999999999996</v>
      </c>
      <c r="V40" s="254">
        <v>0.61799999999999999</v>
      </c>
      <c r="W40" s="254">
        <v>0.70199999999999996</v>
      </c>
      <c r="X40" s="254">
        <v>0.78600000000000003</v>
      </c>
      <c r="Y40" s="254">
        <v>0.878</v>
      </c>
      <c r="Z40" s="254">
        <v>0.96499999999999997</v>
      </c>
      <c r="AA40" s="251">
        <v>1.04</v>
      </c>
      <c r="AB40" s="216">
        <v>16</v>
      </c>
      <c r="AC40" s="169">
        <v>16</v>
      </c>
      <c r="AD40" s="170">
        <f t="shared" si="0"/>
        <v>0.61799999999999999</v>
      </c>
      <c r="AE40" s="171">
        <f t="shared" si="1"/>
        <v>0.61799999999999999</v>
      </c>
      <c r="AF40" s="172">
        <f t="shared" si="2"/>
        <v>0.70199999999999996</v>
      </c>
    </row>
    <row r="41" spans="1:32" ht="12.75" customHeight="1" x14ac:dyDescent="0.2">
      <c r="A41" s="77" t="s">
        <v>1143</v>
      </c>
      <c r="B41" s="277">
        <f>$N$17</f>
        <v>1.8560000000000001</v>
      </c>
      <c r="C41" s="138"/>
      <c r="D41" s="73" t="s">
        <v>1105</v>
      </c>
      <c r="E41" s="39"/>
      <c r="F41" s="21"/>
      <c r="G41" s="21"/>
      <c r="H41" s="21"/>
      <c r="I41" s="24"/>
      <c r="K41" s="260">
        <v>1.6</v>
      </c>
      <c r="L41" s="253">
        <v>0.255</v>
      </c>
      <c r="M41" s="254">
        <v>0.26200000000000001</v>
      </c>
      <c r="N41" s="254">
        <v>0.27900000000000003</v>
      </c>
      <c r="O41" s="254">
        <v>0.30399999999999999</v>
      </c>
      <c r="P41" s="254">
        <v>0.33400000000000002</v>
      </c>
      <c r="Q41" s="254">
        <v>0.36699999999999999</v>
      </c>
      <c r="R41" s="254">
        <v>0.40200000000000002</v>
      </c>
      <c r="S41" s="254">
        <v>0.439</v>
      </c>
      <c r="T41" s="254">
        <v>0.47599999999999998</v>
      </c>
      <c r="U41" s="254">
        <v>0.51400000000000001</v>
      </c>
      <c r="V41" s="254">
        <v>0.55200000000000005</v>
      </c>
      <c r="W41" s="254">
        <v>0.628</v>
      </c>
      <c r="X41" s="254">
        <v>0.70399999999999996</v>
      </c>
      <c r="Y41" s="254">
        <v>0.78400000000000003</v>
      </c>
      <c r="Z41" s="254">
        <v>0.86899999999999999</v>
      </c>
      <c r="AA41" s="255">
        <v>0.94599999999999995</v>
      </c>
      <c r="AB41" s="216">
        <v>17</v>
      </c>
      <c r="AC41" s="169">
        <v>17</v>
      </c>
      <c r="AD41" s="170">
        <f t="shared" si="0"/>
        <v>0.55200000000000005</v>
      </c>
      <c r="AE41" s="171">
        <f t="shared" si="1"/>
        <v>0.55200000000000005</v>
      </c>
      <c r="AF41" s="172">
        <f t="shared" si="2"/>
        <v>0.628</v>
      </c>
    </row>
    <row r="42" spans="1:32" x14ac:dyDescent="0.2">
      <c r="A42" s="77" t="s">
        <v>1193</v>
      </c>
      <c r="B42" s="277">
        <f>$N$18</f>
        <v>17.888000000000002</v>
      </c>
      <c r="C42" s="138" t="s">
        <v>1099</v>
      </c>
      <c r="D42" s="62" t="str">
        <f>IF($N$12&gt;0,"D(req'd) = P/(Ca*C1*L)","D(req'd) = P/(C*C1*L)")</f>
        <v>D(req'd) = P/(Ca*C1*L)</v>
      </c>
      <c r="E42" s="205"/>
      <c r="F42" s="21"/>
      <c r="G42" s="21"/>
      <c r="H42" s="21"/>
      <c r="I42" s="24"/>
      <c r="K42" s="260">
        <v>1.8</v>
      </c>
      <c r="L42" s="433">
        <v>0.22800000000000001</v>
      </c>
      <c r="M42" s="434">
        <v>0.23400000000000001</v>
      </c>
      <c r="N42" s="434">
        <v>0.25</v>
      </c>
      <c r="O42" s="434">
        <v>0.27300000000000002</v>
      </c>
      <c r="P42" s="434">
        <v>0.3</v>
      </c>
      <c r="Q42" s="434">
        <v>0.33</v>
      </c>
      <c r="R42" s="434">
        <v>0.36199999999999999</v>
      </c>
      <c r="S42" s="434">
        <v>0.39500000000000002</v>
      </c>
      <c r="T42" s="434">
        <v>0.42899999999999999</v>
      </c>
      <c r="U42" s="434">
        <v>0.46400000000000002</v>
      </c>
      <c r="V42" s="434">
        <v>0.498</v>
      </c>
      <c r="W42" s="434">
        <v>0.56799999999999995</v>
      </c>
      <c r="X42" s="434">
        <v>0.63800000000000001</v>
      </c>
      <c r="Y42" s="434">
        <v>0.70899999999999996</v>
      </c>
      <c r="Z42" s="434">
        <v>0.78500000000000003</v>
      </c>
      <c r="AA42" s="435">
        <v>0.86199999999999999</v>
      </c>
      <c r="AB42" s="216">
        <v>18</v>
      </c>
      <c r="AC42" s="169">
        <v>18</v>
      </c>
      <c r="AD42" s="170">
        <f t="shared" si="0"/>
        <v>0.498</v>
      </c>
      <c r="AE42" s="171">
        <f t="shared" si="1"/>
        <v>0.498</v>
      </c>
      <c r="AF42" s="172">
        <f t="shared" si="2"/>
        <v>0.56799999999999995</v>
      </c>
    </row>
    <row r="43" spans="1:32" x14ac:dyDescent="0.2">
      <c r="A43" s="77" t="s">
        <v>1190</v>
      </c>
      <c r="B43" s="279">
        <f>$N$19</f>
        <v>17.888000000000002</v>
      </c>
      <c r="C43" s="138" t="s">
        <v>1172</v>
      </c>
      <c r="D43" s="62" t="str">
        <f>IF($N$12&gt;0,"L(req'd) = P/(Ca*C1*D)","L(req'd) = P/(C*C1*D)")</f>
        <v>L(req'd) = P/(Ca*C1*D)</v>
      </c>
      <c r="E43" s="205"/>
      <c r="F43" s="21"/>
      <c r="G43" s="21"/>
      <c r="H43" s="21"/>
      <c r="I43" s="24"/>
      <c r="K43" s="260">
        <v>2</v>
      </c>
      <c r="L43" s="443">
        <v>0.20699999999999999</v>
      </c>
      <c r="M43" s="436">
        <v>0.21199999999999999</v>
      </c>
      <c r="N43" s="436">
        <v>0.22600000000000001</v>
      </c>
      <c r="O43" s="436">
        <v>0.247</v>
      </c>
      <c r="P43" s="436">
        <v>0.27200000000000002</v>
      </c>
      <c r="Q43" s="436">
        <v>0.29899999999999999</v>
      </c>
      <c r="R43" s="436">
        <v>0.32800000000000001</v>
      </c>
      <c r="S43" s="436">
        <v>0.35899999999999999</v>
      </c>
      <c r="T43" s="436">
        <v>0.39</v>
      </c>
      <c r="U43" s="436">
        <v>0.42199999999999999</v>
      </c>
      <c r="V43" s="436">
        <v>0.45400000000000001</v>
      </c>
      <c r="W43" s="436">
        <v>0.51800000000000002</v>
      </c>
      <c r="X43" s="436">
        <v>0.58199999999999996</v>
      </c>
      <c r="Y43" s="436">
        <v>0.64700000000000002</v>
      </c>
      <c r="Z43" s="436">
        <v>0.71499999999999997</v>
      </c>
      <c r="AA43" s="444">
        <v>0.78800000000000003</v>
      </c>
      <c r="AB43" s="216">
        <v>19</v>
      </c>
      <c r="AC43" s="169">
        <v>19</v>
      </c>
      <c r="AD43" s="170">
        <f t="shared" si="0"/>
        <v>0.45400000000000001</v>
      </c>
      <c r="AE43" s="171">
        <f t="shared" si="1"/>
        <v>0.45400000000000001</v>
      </c>
      <c r="AF43" s="172">
        <f t="shared" si="2"/>
        <v>0.51800000000000002</v>
      </c>
    </row>
    <row r="44" spans="1:32" s="21" customFormat="1" ht="12.75" customHeight="1" x14ac:dyDescent="0.2">
      <c r="A44" s="30"/>
      <c r="I44" s="24"/>
      <c r="J44" s="51"/>
      <c r="K44" s="260">
        <v>2.2000000000000002</v>
      </c>
      <c r="L44" s="443">
        <v>0.189</v>
      </c>
      <c r="M44" s="436">
        <v>0.19400000000000001</v>
      </c>
      <c r="N44" s="436">
        <v>0.20699999999999999</v>
      </c>
      <c r="O44" s="436">
        <v>0.22600000000000001</v>
      </c>
      <c r="P44" s="436">
        <v>0.248</v>
      </c>
      <c r="Q44" s="436">
        <v>0.27300000000000002</v>
      </c>
      <c r="R44" s="436">
        <v>0.3</v>
      </c>
      <c r="S44" s="436">
        <v>0.32800000000000001</v>
      </c>
      <c r="T44" s="436">
        <v>0.35699999999999998</v>
      </c>
      <c r="U44" s="436">
        <v>0.38700000000000001</v>
      </c>
      <c r="V44" s="436">
        <v>0.41599999999999998</v>
      </c>
      <c r="W44" s="436">
        <v>0.47599999999999998</v>
      </c>
      <c r="X44" s="436">
        <v>0.53500000000000003</v>
      </c>
      <c r="Y44" s="436">
        <v>0.59499999999999997</v>
      </c>
      <c r="Z44" s="436">
        <v>0.65700000000000003</v>
      </c>
      <c r="AA44" s="444">
        <v>0.72299999999999998</v>
      </c>
      <c r="AB44" s="216">
        <v>20</v>
      </c>
      <c r="AC44" s="169">
        <v>20</v>
      </c>
      <c r="AD44" s="170">
        <f t="shared" si="0"/>
        <v>0.41599999999999998</v>
      </c>
      <c r="AE44" s="171">
        <f t="shared" si="1"/>
        <v>0.41599999999999998</v>
      </c>
      <c r="AF44" s="172">
        <f t="shared" si="2"/>
        <v>0.47599999999999998</v>
      </c>
    </row>
    <row r="45" spans="1:32" s="21" customFormat="1" x14ac:dyDescent="0.2">
      <c r="A45" s="30"/>
      <c r="D45" s="301" t="str">
        <f>IF(OR($N$18&gt;$C$11*16,$N$19&gt;$N$3),"Weld is overstressed!","Weld is adequate!")</f>
        <v>Weld is overstressed!</v>
      </c>
      <c r="E45" s="35"/>
      <c r="F45" s="428"/>
      <c r="I45" s="24"/>
      <c r="J45" s="51"/>
      <c r="K45" s="260">
        <v>2.4</v>
      </c>
      <c r="L45" s="443">
        <v>0.17299999999999999</v>
      </c>
      <c r="M45" s="436">
        <v>0.17799999999999999</v>
      </c>
      <c r="N45" s="436">
        <v>0.19</v>
      </c>
      <c r="O45" s="436">
        <v>0.20799999999999999</v>
      </c>
      <c r="P45" s="436">
        <v>0.22900000000000001</v>
      </c>
      <c r="Q45" s="436">
        <v>0.252</v>
      </c>
      <c r="R45" s="436">
        <v>0.27700000000000002</v>
      </c>
      <c r="S45" s="436">
        <v>0.30299999999999999</v>
      </c>
      <c r="T45" s="436">
        <v>0.33</v>
      </c>
      <c r="U45" s="436">
        <v>0.35699999999999998</v>
      </c>
      <c r="V45" s="436">
        <v>0.38400000000000001</v>
      </c>
      <c r="W45" s="436">
        <v>0.44</v>
      </c>
      <c r="X45" s="436">
        <v>0.495</v>
      </c>
      <c r="Y45" s="436">
        <v>0.55100000000000005</v>
      </c>
      <c r="Z45" s="436">
        <v>0.60799999999999998</v>
      </c>
      <c r="AA45" s="444">
        <v>0.66700000000000004</v>
      </c>
      <c r="AB45" s="216">
        <v>21</v>
      </c>
      <c r="AC45" s="169">
        <v>21</v>
      </c>
      <c r="AD45" s="170">
        <f t="shared" si="0"/>
        <v>0.38400000000000001</v>
      </c>
      <c r="AE45" s="171">
        <f t="shared" si="1"/>
        <v>0.38400000000000001</v>
      </c>
      <c r="AF45" s="172">
        <f t="shared" si="2"/>
        <v>0.44</v>
      </c>
    </row>
    <row r="46" spans="1:32" s="21" customFormat="1" x14ac:dyDescent="0.2">
      <c r="A46" s="30"/>
      <c r="D46" s="302" t="str">
        <f>IF($N$18&gt;$C$11*16,"D(req'd) = "&amp;$N$18&amp;" &gt; "&amp;$C$11*16&amp;" (1/16's)","D(req'd) = "&amp;$N$18&amp;" &lt;= "&amp;$C$11*16&amp;" (1/16's)")</f>
        <v>D(req'd) = 17.888 &gt; 5 (1/16's)</v>
      </c>
      <c r="E46" s="37"/>
      <c r="F46" s="345"/>
      <c r="I46" s="24"/>
      <c r="J46" s="51"/>
      <c r="K46" s="260">
        <v>2.6</v>
      </c>
      <c r="L46" s="443">
        <v>0.161</v>
      </c>
      <c r="M46" s="436">
        <v>0.16500000000000001</v>
      </c>
      <c r="N46" s="436">
        <v>0.17599999999999999</v>
      </c>
      <c r="O46" s="436">
        <v>0.192</v>
      </c>
      <c r="P46" s="436">
        <v>0.21199999999999999</v>
      </c>
      <c r="Q46" s="436">
        <v>0.23300000000000001</v>
      </c>
      <c r="R46" s="436">
        <v>0.25700000000000001</v>
      </c>
      <c r="S46" s="436">
        <v>0.28100000000000003</v>
      </c>
      <c r="T46" s="436">
        <v>0.30599999999999999</v>
      </c>
      <c r="U46" s="436">
        <v>0.33100000000000002</v>
      </c>
      <c r="V46" s="436">
        <v>0.35699999999999998</v>
      </c>
      <c r="W46" s="436">
        <v>0.40899999999999997</v>
      </c>
      <c r="X46" s="436">
        <v>0.46100000000000002</v>
      </c>
      <c r="Y46" s="436">
        <v>0.51300000000000001</v>
      </c>
      <c r="Z46" s="436">
        <v>0.56599999999999995</v>
      </c>
      <c r="AA46" s="444">
        <v>0.62</v>
      </c>
      <c r="AB46" s="216">
        <v>22</v>
      </c>
      <c r="AC46" s="169">
        <v>22</v>
      </c>
      <c r="AD46" s="170">
        <f t="shared" si="0"/>
        <v>0.35699999999999998</v>
      </c>
      <c r="AE46" s="171">
        <f t="shared" si="1"/>
        <v>0.35699999999999998</v>
      </c>
      <c r="AF46" s="172">
        <f t="shared" si="2"/>
        <v>0.40899999999999997</v>
      </c>
    </row>
    <row r="47" spans="1:32" s="21" customFormat="1" x14ac:dyDescent="0.2">
      <c r="A47" s="30"/>
      <c r="D47" s="304" t="str">
        <f>IF($N$19&gt;$N$3,"L(req'd) = "&amp;$N$19&amp;" &gt; "&amp;$N$3&amp;" in.","L(req'd) = "&amp;$N$19&amp;" &lt;= "&amp;$N$3&amp;" in.")</f>
        <v>L(req'd) = 17.888 &gt; 5 in.</v>
      </c>
      <c r="E47" s="305"/>
      <c r="F47" s="429"/>
      <c r="I47" s="24"/>
      <c r="J47" s="51"/>
      <c r="K47" s="260">
        <v>2.8</v>
      </c>
      <c r="L47" s="443">
        <v>0.14899999999999999</v>
      </c>
      <c r="M47" s="436">
        <v>0.153</v>
      </c>
      <c r="N47" s="436">
        <v>0.16400000000000001</v>
      </c>
      <c r="O47" s="436">
        <v>0.17899999999999999</v>
      </c>
      <c r="P47" s="436">
        <v>0.19700000000000001</v>
      </c>
      <c r="Q47" s="436">
        <v>0.217</v>
      </c>
      <c r="R47" s="436">
        <v>0.23899999999999999</v>
      </c>
      <c r="S47" s="436">
        <v>0.26200000000000001</v>
      </c>
      <c r="T47" s="436">
        <v>0.28499999999999998</v>
      </c>
      <c r="U47" s="436">
        <v>0.309</v>
      </c>
      <c r="V47" s="436">
        <v>0.33300000000000002</v>
      </c>
      <c r="W47" s="436">
        <v>0.38200000000000001</v>
      </c>
      <c r="X47" s="436">
        <v>0.43099999999999999</v>
      </c>
      <c r="Y47" s="436">
        <v>0.48</v>
      </c>
      <c r="Z47" s="436">
        <v>0.52900000000000003</v>
      </c>
      <c r="AA47" s="444">
        <v>0.57999999999999996</v>
      </c>
      <c r="AB47" s="216">
        <v>23</v>
      </c>
      <c r="AC47" s="169">
        <v>23</v>
      </c>
      <c r="AD47" s="170">
        <f t="shared" si="0"/>
        <v>0.33300000000000002</v>
      </c>
      <c r="AE47" s="171">
        <f t="shared" si="1"/>
        <v>0.33300000000000002</v>
      </c>
      <c r="AF47" s="172">
        <f t="shared" si="2"/>
        <v>0.38200000000000001</v>
      </c>
    </row>
    <row r="48" spans="1:32" s="21" customFormat="1" ht="12.75" customHeight="1" x14ac:dyDescent="0.2">
      <c r="A48" s="30"/>
      <c r="I48" s="24"/>
      <c r="J48" s="51"/>
      <c r="K48" s="261">
        <v>3</v>
      </c>
      <c r="L48" s="445">
        <v>0.14000000000000001</v>
      </c>
      <c r="M48" s="446">
        <v>0.14299999999999999</v>
      </c>
      <c r="N48" s="446">
        <v>0.153</v>
      </c>
      <c r="O48" s="446">
        <v>0.16800000000000001</v>
      </c>
      <c r="P48" s="446">
        <v>0.184</v>
      </c>
      <c r="Q48" s="446">
        <v>0.20300000000000001</v>
      </c>
      <c r="R48" s="446">
        <v>0.224</v>
      </c>
      <c r="S48" s="446">
        <v>0.245</v>
      </c>
      <c r="T48" s="446">
        <v>0.26700000000000002</v>
      </c>
      <c r="U48" s="446">
        <v>0.28899999999999998</v>
      </c>
      <c r="V48" s="446">
        <v>0.312</v>
      </c>
      <c r="W48" s="446">
        <v>0.35799999999999998</v>
      </c>
      <c r="X48" s="446">
        <v>0.40400000000000003</v>
      </c>
      <c r="Y48" s="446">
        <v>0.45100000000000001</v>
      </c>
      <c r="Z48" s="446">
        <v>0.497</v>
      </c>
      <c r="AA48" s="447">
        <v>0.54400000000000004</v>
      </c>
      <c r="AB48" s="216">
        <v>24</v>
      </c>
      <c r="AC48" s="169">
        <v>24</v>
      </c>
      <c r="AD48" s="170">
        <f t="shared" si="0"/>
        <v>0.312</v>
      </c>
      <c r="AE48" s="171">
        <f t="shared" si="1"/>
        <v>0.312</v>
      </c>
      <c r="AF48" s="172">
        <f t="shared" si="2"/>
        <v>0.35799999999999998</v>
      </c>
    </row>
    <row r="49" spans="1:32" s="21" customFormat="1" x14ac:dyDescent="0.2">
      <c r="A49" s="30"/>
      <c r="I49" s="24"/>
      <c r="J49" s="51"/>
      <c r="K49" s="158" t="s">
        <v>1094</v>
      </c>
      <c r="L49" s="158">
        <v>1</v>
      </c>
      <c r="M49" s="158">
        <v>2</v>
      </c>
      <c r="N49" s="158">
        <v>3</v>
      </c>
      <c r="O49" s="158">
        <v>4</v>
      </c>
      <c r="P49" s="158">
        <v>5</v>
      </c>
      <c r="Q49" s="158">
        <v>6</v>
      </c>
      <c r="R49" s="158">
        <v>7</v>
      </c>
      <c r="S49" s="158">
        <v>8</v>
      </c>
      <c r="T49" s="158">
        <v>9</v>
      </c>
      <c r="U49" s="158">
        <v>10</v>
      </c>
      <c r="V49" s="158">
        <v>11</v>
      </c>
      <c r="W49" s="158">
        <v>12</v>
      </c>
      <c r="X49" s="158">
        <v>13</v>
      </c>
      <c r="Y49" s="158">
        <v>14</v>
      </c>
      <c r="Z49" s="158">
        <v>15</v>
      </c>
      <c r="AA49" s="158">
        <v>16</v>
      </c>
      <c r="AB49" s="201"/>
      <c r="AC49" s="178" t="s">
        <v>1096</v>
      </c>
      <c r="AD49" s="179"/>
      <c r="AE49" s="180"/>
      <c r="AF49" s="181" t="s">
        <v>1097</v>
      </c>
    </row>
    <row r="50" spans="1:32" s="21" customFormat="1" x14ac:dyDescent="0.2">
      <c r="A50" s="31"/>
      <c r="B50" s="32"/>
      <c r="C50" s="32"/>
      <c r="D50" s="32"/>
      <c r="E50" s="32"/>
      <c r="F50" s="32"/>
      <c r="G50" s="32"/>
      <c r="H50" s="32"/>
      <c r="I50" s="33"/>
      <c r="J50" s="51"/>
      <c r="K50" s="51"/>
      <c r="L50" s="51"/>
      <c r="M50" s="112"/>
      <c r="N50" s="112"/>
      <c r="O50" s="14"/>
      <c r="P50" s="112"/>
      <c r="AC50" s="169">
        <f>IF($N$7&gt;=0.06,LOOKUP($AE$50,$K$25:$K$48,$AB$25:$AB$48),0)</f>
        <v>0</v>
      </c>
      <c r="AD50" s="437" t="s">
        <v>1194</v>
      </c>
      <c r="AE50" s="438">
        <f>IF($N$7&gt;=0.06,LOOKUP($N$7,$K$25:$K$48),0)</f>
        <v>0</v>
      </c>
      <c r="AF50" s="172">
        <f>IF($N$7&gt;=0.06,LOOKUP($AE$50,$K$25:$K$48,$AE25:$AE48),0.928*2)</f>
        <v>1.8560000000000001</v>
      </c>
    </row>
    <row r="51" spans="1:32" s="21" customFormat="1" x14ac:dyDescent="0.2">
      <c r="J51" s="51"/>
      <c r="K51" s="51"/>
      <c r="L51" s="51"/>
      <c r="M51" s="112"/>
      <c r="N51" s="112"/>
      <c r="O51" s="14"/>
      <c r="P51" s="112"/>
      <c r="AC51" s="186"/>
      <c r="AD51" s="187" t="s">
        <v>1095</v>
      </c>
      <c r="AE51" s="171">
        <f>$N$7</f>
        <v>0</v>
      </c>
      <c r="AF51" s="188">
        <f>IF($AE$50=$AE$52,$AF$50,($AF$52-$AF$50)*($AE$51-$AE$50)/($AE$52-$AE$50)+$AF$50)</f>
        <v>1.8560000000000001</v>
      </c>
    </row>
    <row r="52" spans="1:32" s="21" customFormat="1" x14ac:dyDescent="0.2">
      <c r="I52" s="51"/>
      <c r="J52" s="51"/>
      <c r="K52" s="51"/>
      <c r="L52" s="51"/>
      <c r="M52" s="51"/>
      <c r="N52" s="51"/>
      <c r="O52" s="14"/>
      <c r="P52" s="51"/>
      <c r="AC52" s="189">
        <f>LOOKUP($AC$50+1,$AB$25:$AB$48)</f>
        <v>1</v>
      </c>
      <c r="AD52" s="190" t="s">
        <v>1194</v>
      </c>
      <c r="AE52" s="191">
        <f>LOOKUP($AC$52,$AB$25:$AB$48,$K$25:$K$48)</f>
        <v>0.06</v>
      </c>
      <c r="AF52" s="176">
        <f>LOOKUP($AE$52,$K$25:$K$48,$AE25:$AE48)</f>
        <v>1.83</v>
      </c>
    </row>
    <row r="53" spans="1:32" s="21" customFormat="1" x14ac:dyDescent="0.2">
      <c r="G53" s="203"/>
      <c r="H53" s="203"/>
      <c r="J53" s="51"/>
      <c r="K53" s="51"/>
      <c r="L53" s="51"/>
      <c r="Q53" s="51"/>
    </row>
    <row r="54" spans="1:32" s="21" customFormat="1" x14ac:dyDescent="0.2">
      <c r="G54" s="203"/>
      <c r="H54" s="203"/>
      <c r="J54" s="51"/>
      <c r="K54" s="11"/>
      <c r="L54" s="51"/>
      <c r="M54" s="51"/>
      <c r="N54" s="51"/>
      <c r="O54" s="51"/>
      <c r="P54" s="103"/>
      <c r="Q54" s="51"/>
      <c r="R54" s="51"/>
      <c r="S54" s="51"/>
      <c r="T54" s="51"/>
      <c r="U54" s="51"/>
      <c r="V54" s="14"/>
      <c r="W54" s="51"/>
    </row>
    <row r="55" spans="1:32" s="21" customFormat="1" x14ac:dyDescent="0.2">
      <c r="G55" s="203"/>
      <c r="H55" s="203"/>
      <c r="J55" s="51"/>
      <c r="K55" s="11"/>
      <c r="L55" s="51"/>
      <c r="M55" s="51"/>
      <c r="N55" s="103"/>
      <c r="O55" s="51"/>
      <c r="P55" s="103"/>
      <c r="Q55" s="51"/>
      <c r="R55" s="51"/>
      <c r="S55" s="51"/>
      <c r="T55" s="51"/>
      <c r="U55" s="51"/>
      <c r="V55" s="51"/>
      <c r="W55" s="51"/>
    </row>
    <row r="56" spans="1:32" s="21" customFormat="1" x14ac:dyDescent="0.2">
      <c r="G56" s="203"/>
      <c r="H56" s="203"/>
      <c r="J56" s="51"/>
      <c r="K56" s="11"/>
      <c r="L56" s="51"/>
      <c r="M56" s="51"/>
      <c r="N56" s="103"/>
      <c r="O56" s="51"/>
      <c r="P56" s="103"/>
      <c r="Q56" s="51"/>
      <c r="R56" s="51"/>
      <c r="S56" s="51"/>
      <c r="T56" s="51"/>
      <c r="U56" s="51"/>
      <c r="V56" s="51"/>
      <c r="W56" s="51"/>
    </row>
    <row r="57" spans="1:32" s="21" customFormat="1" x14ac:dyDescent="0.2">
      <c r="G57" s="58"/>
      <c r="H57" s="205"/>
      <c r="I57" s="125"/>
      <c r="J57" s="51"/>
      <c r="K57" s="11"/>
      <c r="L57" s="51"/>
      <c r="M57" s="51"/>
      <c r="N57" s="103"/>
      <c r="O57" s="51"/>
      <c r="P57" s="103"/>
      <c r="Q57" s="51"/>
      <c r="R57" s="51"/>
      <c r="S57" s="51"/>
      <c r="T57" s="51"/>
      <c r="U57" s="51"/>
      <c r="V57" s="51"/>
      <c r="W57" s="51"/>
    </row>
    <row r="58" spans="1:32" s="21" customFormat="1" x14ac:dyDescent="0.2">
      <c r="G58" s="205"/>
      <c r="H58" s="205"/>
      <c r="I58" s="125"/>
      <c r="J58" s="51"/>
      <c r="K58" s="11"/>
      <c r="L58" s="51"/>
      <c r="M58" s="51"/>
      <c r="N58" s="103"/>
      <c r="O58" s="51"/>
      <c r="P58" s="103"/>
      <c r="Q58" s="51"/>
      <c r="R58" s="51"/>
      <c r="S58" s="51"/>
      <c r="T58" s="51"/>
      <c r="U58" s="51"/>
      <c r="V58" s="51"/>
      <c r="W58" s="51"/>
    </row>
    <row r="59" spans="1:32" s="21" customFormat="1" x14ac:dyDescent="0.2">
      <c r="G59" s="205"/>
      <c r="H59" s="205"/>
      <c r="I59" s="11"/>
      <c r="J59" s="51"/>
      <c r="K59" s="11"/>
      <c r="L59" s="51"/>
      <c r="M59" s="51"/>
      <c r="N59" s="103"/>
      <c r="O59" s="205"/>
      <c r="P59" s="205"/>
      <c r="Q59" s="205"/>
      <c r="R59" s="51"/>
      <c r="S59" s="51"/>
      <c r="T59" s="51"/>
      <c r="U59" s="51"/>
      <c r="V59" s="51"/>
      <c r="W59" s="51"/>
    </row>
    <row r="60" spans="1:32" s="21" customFormat="1" x14ac:dyDescent="0.2">
      <c r="G60" s="205"/>
      <c r="H60" s="205"/>
      <c r="I60" s="58"/>
      <c r="J60" s="67"/>
      <c r="K60" s="11"/>
      <c r="L60" s="51"/>
      <c r="M60" s="51"/>
      <c r="N60" s="103"/>
      <c r="O60" s="205"/>
      <c r="P60" s="205"/>
      <c r="Q60" s="205"/>
      <c r="R60" s="51"/>
      <c r="S60" s="51"/>
      <c r="T60" s="51"/>
      <c r="U60" s="51"/>
      <c r="V60" s="51"/>
      <c r="W60" s="51"/>
    </row>
    <row r="61" spans="1:32" s="21" customFormat="1" x14ac:dyDescent="0.2">
      <c r="G61" s="205"/>
      <c r="H61" s="205"/>
      <c r="I61" s="11"/>
      <c r="J61" s="57"/>
      <c r="K61" s="11"/>
      <c r="L61" s="51"/>
      <c r="M61" s="51"/>
      <c r="N61" s="103"/>
      <c r="O61" s="205"/>
      <c r="P61" s="205"/>
      <c r="Q61" s="205"/>
      <c r="R61" s="51"/>
      <c r="S61" s="51"/>
      <c r="T61" s="51"/>
      <c r="U61" s="51"/>
      <c r="V61" s="51"/>
      <c r="W61" s="51"/>
    </row>
    <row r="62" spans="1:32" s="21" customFormat="1" x14ac:dyDescent="0.2">
      <c r="A62" s="203"/>
      <c r="G62" s="205"/>
      <c r="H62" s="205"/>
      <c r="I62" s="11"/>
      <c r="J62" s="51"/>
      <c r="K62" s="11"/>
      <c r="L62" s="51"/>
      <c r="M62" s="51"/>
      <c r="N62" s="11"/>
      <c r="O62" s="205"/>
      <c r="P62" s="205"/>
      <c r="Q62" s="205"/>
      <c r="R62" s="51"/>
      <c r="S62" s="51"/>
      <c r="T62" s="51"/>
      <c r="U62" s="51"/>
      <c r="V62" s="51"/>
      <c r="W62" s="51"/>
    </row>
    <row r="63" spans="1:32" s="21" customFormat="1" x14ac:dyDescent="0.2">
      <c r="A63" s="203"/>
      <c r="J63" s="51"/>
      <c r="K63" s="11"/>
      <c r="L63" s="51"/>
      <c r="M63" s="51"/>
      <c r="N63" s="11"/>
      <c r="O63" s="205"/>
      <c r="P63" s="205"/>
      <c r="Q63" s="205"/>
      <c r="R63" s="51"/>
      <c r="S63" s="51"/>
      <c r="T63" s="51"/>
      <c r="U63" s="51"/>
      <c r="V63" s="51"/>
      <c r="W63" s="51"/>
    </row>
    <row r="64" spans="1:32" s="21" customFormat="1" x14ac:dyDescent="0.2">
      <c r="G64" s="64"/>
      <c r="H64" s="64"/>
      <c r="I64" s="64"/>
      <c r="J64" s="51"/>
      <c r="K64" s="51"/>
      <c r="L64" s="51"/>
      <c r="M64" s="51"/>
      <c r="N64" s="51"/>
      <c r="O64" s="51"/>
      <c r="P64" s="51"/>
      <c r="Q64" s="51"/>
      <c r="R64" s="51"/>
      <c r="S64" s="51"/>
      <c r="T64" s="51"/>
      <c r="U64" s="51"/>
      <c r="V64" s="51"/>
      <c r="W64" s="51"/>
    </row>
    <row r="65" spans="1:23" s="21" customFormat="1" x14ac:dyDescent="0.2">
      <c r="A65" s="113"/>
      <c r="B65" s="9"/>
      <c r="C65" s="73"/>
      <c r="D65" s="73"/>
      <c r="E65" s="64"/>
      <c r="F65" s="64"/>
      <c r="G65" s="64"/>
      <c r="H65" s="64"/>
      <c r="I65" s="64"/>
      <c r="J65" s="51"/>
      <c r="K65" s="51"/>
      <c r="L65" s="51"/>
      <c r="M65" s="51"/>
      <c r="N65" s="51"/>
      <c r="O65" s="51"/>
      <c r="P65" s="51"/>
      <c r="Q65" s="51"/>
      <c r="R65" s="51"/>
      <c r="S65" s="51"/>
      <c r="T65" s="51"/>
      <c r="U65" s="51"/>
      <c r="V65" s="51"/>
      <c r="W65" s="51"/>
    </row>
    <row r="66" spans="1:23" s="21" customFormat="1" x14ac:dyDescent="0.2">
      <c r="A66" s="93"/>
      <c r="B66" s="9"/>
      <c r="C66" s="10"/>
      <c r="D66" s="73"/>
      <c r="E66" s="64"/>
      <c r="F66" s="64"/>
      <c r="G66" s="64"/>
      <c r="H66" s="64"/>
      <c r="I66" s="64"/>
      <c r="J66" s="51"/>
      <c r="K66" s="51"/>
      <c r="L66" s="51"/>
      <c r="M66" s="51"/>
      <c r="N66" s="51"/>
      <c r="O66" s="51"/>
      <c r="P66" s="51"/>
      <c r="Q66" s="51"/>
      <c r="R66" s="51"/>
      <c r="S66" s="51"/>
      <c r="T66" s="51"/>
      <c r="U66" s="51"/>
      <c r="V66" s="51"/>
      <c r="W66" s="51"/>
    </row>
    <row r="67" spans="1:23" s="21" customFormat="1" x14ac:dyDescent="0.2">
      <c r="A67" s="93"/>
      <c r="B67" s="9"/>
      <c r="C67" s="73"/>
      <c r="D67" s="73"/>
      <c r="E67" s="64"/>
      <c r="F67" s="64"/>
      <c r="G67" s="64"/>
      <c r="H67" s="64"/>
      <c r="I67" s="64"/>
      <c r="J67" s="51"/>
      <c r="K67" s="51"/>
      <c r="L67" s="51"/>
      <c r="M67" s="51"/>
      <c r="N67" s="51"/>
      <c r="O67" s="51"/>
      <c r="P67" s="51"/>
      <c r="Q67" s="51"/>
      <c r="R67" s="51"/>
      <c r="S67" s="51"/>
      <c r="T67" s="51"/>
      <c r="U67" s="51"/>
      <c r="V67" s="51"/>
      <c r="W67" s="51"/>
    </row>
    <row r="68" spans="1:23" x14ac:dyDescent="0.2">
      <c r="A68" s="93"/>
      <c r="B68" s="9"/>
      <c r="C68" s="73"/>
      <c r="D68" s="73"/>
      <c r="E68" s="64"/>
      <c r="F68" s="64"/>
      <c r="G68" s="64"/>
      <c r="H68" s="64"/>
      <c r="I68" s="64"/>
      <c r="N68" s="43"/>
    </row>
    <row r="69" spans="1:23" x14ac:dyDescent="0.2">
      <c r="A69" s="93"/>
      <c r="B69" s="9"/>
      <c r="C69" s="10"/>
      <c r="D69" s="73"/>
      <c r="E69" s="64"/>
      <c r="F69" s="64"/>
      <c r="G69" s="64"/>
      <c r="H69" s="64"/>
      <c r="I69" s="64"/>
      <c r="N69" s="43"/>
    </row>
    <row r="70" spans="1:23" x14ac:dyDescent="0.2">
      <c r="A70" s="64"/>
      <c r="B70" s="64"/>
      <c r="C70" s="64"/>
      <c r="D70" s="64"/>
      <c r="E70" s="64"/>
      <c r="F70" s="64"/>
      <c r="G70" s="64"/>
      <c r="H70" s="64"/>
      <c r="I70" s="64"/>
      <c r="N70" s="43"/>
    </row>
    <row r="71" spans="1:23" x14ac:dyDescent="0.2">
      <c r="A71" s="71"/>
      <c r="B71" s="64"/>
      <c r="C71" s="64"/>
      <c r="D71" s="64"/>
      <c r="E71" s="64"/>
      <c r="F71" s="64"/>
      <c r="G71" s="64"/>
      <c r="H71" s="64"/>
      <c r="I71" s="64"/>
      <c r="N71" s="43"/>
    </row>
    <row r="72" spans="1:23" x14ac:dyDescent="0.2">
      <c r="A72" s="64"/>
      <c r="B72" s="64"/>
      <c r="C72" s="64"/>
      <c r="D72" s="64"/>
      <c r="E72" s="64"/>
      <c r="F72" s="64"/>
      <c r="G72" s="64"/>
      <c r="H72" s="64"/>
      <c r="I72" s="64"/>
      <c r="N72" s="43"/>
    </row>
    <row r="73" spans="1:23" x14ac:dyDescent="0.2">
      <c r="A73" s="93"/>
      <c r="B73" s="9"/>
      <c r="C73" s="73"/>
      <c r="D73" s="64"/>
      <c r="E73" s="64"/>
      <c r="F73" s="64"/>
      <c r="G73" s="64"/>
      <c r="H73" s="108"/>
      <c r="I73" s="57"/>
      <c r="N73" s="43"/>
    </row>
    <row r="74" spans="1:23" x14ac:dyDescent="0.2">
      <c r="A74" s="57"/>
      <c r="B74" s="57"/>
      <c r="C74" s="57"/>
      <c r="D74" s="65"/>
      <c r="E74" s="64"/>
      <c r="F74" s="64"/>
      <c r="G74" s="64"/>
      <c r="H74" s="64"/>
      <c r="I74" s="64"/>
      <c r="N74" s="54"/>
    </row>
    <row r="75" spans="1:23" x14ac:dyDescent="0.2">
      <c r="A75" s="93"/>
      <c r="B75" s="9"/>
      <c r="C75" s="62"/>
      <c r="D75" s="62"/>
      <c r="E75" s="62"/>
      <c r="F75" s="64"/>
      <c r="G75" s="64"/>
      <c r="H75" s="64"/>
      <c r="I75" s="57"/>
      <c r="N75" s="43"/>
    </row>
    <row r="76" spans="1:23" x14ac:dyDescent="0.2">
      <c r="A76" s="93"/>
      <c r="B76" s="9"/>
      <c r="C76" s="62"/>
      <c r="D76" s="73"/>
      <c r="E76" s="73"/>
      <c r="F76" s="64"/>
      <c r="G76" s="64"/>
      <c r="H76" s="64"/>
      <c r="I76" s="57"/>
      <c r="N76" s="43"/>
    </row>
    <row r="77" spans="1:23" x14ac:dyDescent="0.2">
      <c r="A77" s="100"/>
      <c r="B77" s="58"/>
      <c r="C77" s="62"/>
      <c r="D77" s="84"/>
      <c r="E77" s="84"/>
      <c r="F77" s="64"/>
      <c r="G77" s="64"/>
      <c r="H77" s="64"/>
      <c r="I77" s="64"/>
      <c r="N77" s="43"/>
    </row>
    <row r="78" spans="1:23" x14ac:dyDescent="0.2">
      <c r="A78" s="100"/>
      <c r="B78" s="58"/>
      <c r="C78" s="62"/>
      <c r="D78" s="84"/>
      <c r="E78" s="84"/>
      <c r="F78" s="64"/>
      <c r="G78" s="64"/>
      <c r="H78" s="64"/>
      <c r="I78" s="64"/>
      <c r="N78" s="43"/>
    </row>
    <row r="79" spans="1:23" x14ac:dyDescent="0.2">
      <c r="A79" s="64"/>
      <c r="B79" s="64"/>
      <c r="C79" s="64"/>
      <c r="D79" s="62"/>
      <c r="E79" s="64"/>
      <c r="F79" s="64"/>
      <c r="G79" s="64"/>
      <c r="H79" s="64"/>
      <c r="I79" s="64"/>
      <c r="N79" s="43"/>
    </row>
    <row r="80" spans="1:23" x14ac:dyDescent="0.2">
      <c r="A80" s="64"/>
      <c r="B80" s="64"/>
      <c r="C80" s="64"/>
      <c r="D80" s="64"/>
      <c r="E80" s="64"/>
      <c r="F80" s="64"/>
      <c r="G80" s="108"/>
      <c r="H80" s="64"/>
      <c r="I80" s="64"/>
      <c r="K80" s="70"/>
      <c r="N80" s="43"/>
    </row>
    <row r="81" spans="1:14" x14ac:dyDescent="0.2">
      <c r="A81" s="194"/>
      <c r="B81" s="64"/>
      <c r="C81" s="64"/>
      <c r="D81" s="64"/>
      <c r="E81" s="64"/>
      <c r="F81" s="108"/>
      <c r="G81" s="64"/>
      <c r="H81" s="64"/>
      <c r="I81" s="64"/>
      <c r="N81" s="43"/>
    </row>
    <row r="82" spans="1:14" x14ac:dyDescent="0.2">
      <c r="A82" s="57"/>
      <c r="B82" s="57"/>
      <c r="C82" s="57"/>
      <c r="D82" s="62"/>
      <c r="E82" s="57"/>
      <c r="F82" s="64"/>
      <c r="G82" s="64"/>
      <c r="H82" s="64"/>
      <c r="I82" s="64"/>
      <c r="N82" s="43"/>
    </row>
    <row r="83" spans="1:14" x14ac:dyDescent="0.2">
      <c r="A83" s="67"/>
      <c r="B83" s="58"/>
      <c r="C83" s="62"/>
      <c r="D83" s="62"/>
      <c r="E83" s="57"/>
      <c r="F83" s="57"/>
      <c r="G83" s="57"/>
      <c r="H83" s="57"/>
      <c r="I83" s="57"/>
      <c r="N83" s="43"/>
    </row>
    <row r="84" spans="1:14" x14ac:dyDescent="0.2">
      <c r="A84" s="67"/>
      <c r="B84" s="58"/>
      <c r="C84" s="62"/>
      <c r="D84" s="62"/>
      <c r="E84" s="57"/>
      <c r="F84" s="57"/>
      <c r="G84" s="57"/>
      <c r="H84" s="57"/>
      <c r="I84" s="64"/>
      <c r="N84" s="43"/>
    </row>
    <row r="85" spans="1:14" x14ac:dyDescent="0.2">
      <c r="A85" s="67"/>
      <c r="B85" s="9"/>
      <c r="C85" s="62"/>
      <c r="D85" s="62"/>
      <c r="E85" s="64"/>
      <c r="F85" s="64"/>
      <c r="G85" s="64"/>
      <c r="H85" s="64"/>
      <c r="I85" s="57"/>
      <c r="N85" s="43"/>
    </row>
    <row r="86" spans="1:14" x14ac:dyDescent="0.2">
      <c r="A86" s="67"/>
      <c r="B86" s="9"/>
      <c r="C86" s="62"/>
      <c r="D86" s="62"/>
      <c r="E86" s="57"/>
      <c r="F86" s="57"/>
      <c r="G86" s="64"/>
      <c r="H86" s="108"/>
      <c r="I86" s="57"/>
      <c r="N86" s="43"/>
    </row>
    <row r="87" spans="1:14" x14ac:dyDescent="0.2">
      <c r="A87" s="57"/>
      <c r="B87" s="64"/>
      <c r="C87" s="64"/>
      <c r="D87" s="62"/>
      <c r="E87" s="64"/>
      <c r="F87" s="64"/>
      <c r="G87" s="64"/>
      <c r="H87" s="64"/>
      <c r="I87" s="64"/>
      <c r="N87" s="43"/>
    </row>
    <row r="88" spans="1:14" x14ac:dyDescent="0.2">
      <c r="A88" s="67"/>
      <c r="B88" s="9"/>
      <c r="C88" s="62"/>
      <c r="D88" s="62"/>
      <c r="E88" s="57"/>
      <c r="F88" s="57"/>
      <c r="G88" s="57"/>
      <c r="H88" s="57"/>
      <c r="I88" s="57"/>
      <c r="N88" s="43"/>
    </row>
    <row r="89" spans="1:14" x14ac:dyDescent="0.2">
      <c r="A89" s="67"/>
      <c r="B89" s="89"/>
      <c r="C89" s="62"/>
      <c r="D89" s="62"/>
      <c r="E89" s="64"/>
      <c r="F89" s="64"/>
      <c r="G89" s="64"/>
      <c r="H89" s="108"/>
      <c r="I89" s="57"/>
      <c r="N89" s="43"/>
    </row>
    <row r="90" spans="1:14" x14ac:dyDescent="0.2">
      <c r="A90" s="57"/>
      <c r="B90" s="64"/>
      <c r="C90" s="64"/>
      <c r="D90" s="62"/>
      <c r="E90" s="64"/>
      <c r="F90" s="64"/>
      <c r="G90" s="64"/>
      <c r="H90" s="64"/>
      <c r="I90" s="57"/>
      <c r="N90" s="43"/>
    </row>
    <row r="91" spans="1:14" x14ac:dyDescent="0.2">
      <c r="A91" s="93"/>
      <c r="B91" s="9"/>
      <c r="C91" s="73"/>
      <c r="D91" s="62"/>
      <c r="E91" s="64"/>
      <c r="F91" s="64"/>
      <c r="G91" s="64"/>
      <c r="H91" s="64"/>
      <c r="I91" s="57"/>
      <c r="K91" s="47"/>
      <c r="N91" s="43"/>
    </row>
    <row r="92" spans="1:14" x14ac:dyDescent="0.2">
      <c r="A92" s="93"/>
      <c r="B92" s="9"/>
      <c r="C92" s="73"/>
      <c r="D92" s="62"/>
      <c r="E92" s="64"/>
      <c r="F92" s="64"/>
      <c r="G92" s="64"/>
      <c r="H92" s="64"/>
      <c r="I92" s="64"/>
      <c r="M92" s="52"/>
      <c r="N92" s="43"/>
    </row>
    <row r="93" spans="1:14" x14ac:dyDescent="0.2">
      <c r="A93" s="93"/>
      <c r="B93" s="9"/>
      <c r="C93" s="64"/>
      <c r="D93" s="62"/>
      <c r="E93" s="64"/>
      <c r="F93" s="64"/>
      <c r="G93" s="64"/>
      <c r="H93" s="64"/>
      <c r="I93" s="64"/>
      <c r="N93" s="43"/>
    </row>
    <row r="94" spans="1:14" x14ac:dyDescent="0.2">
      <c r="A94" s="93"/>
      <c r="B94" s="9"/>
      <c r="C94" s="64"/>
      <c r="D94" s="73"/>
      <c r="E94" s="64"/>
      <c r="F94" s="64"/>
      <c r="G94" s="64"/>
      <c r="H94" s="64"/>
      <c r="I94" s="57"/>
      <c r="N94" s="43"/>
    </row>
    <row r="95" spans="1:14" x14ac:dyDescent="0.2">
      <c r="A95" s="93"/>
      <c r="B95" s="9"/>
      <c r="C95" s="64"/>
      <c r="D95" s="73"/>
      <c r="E95" s="64"/>
      <c r="F95" s="64"/>
      <c r="G95" s="64"/>
      <c r="H95" s="64"/>
      <c r="I95" s="64"/>
      <c r="N95" s="43"/>
    </row>
    <row r="96" spans="1:14" x14ac:dyDescent="0.2">
      <c r="A96" s="93"/>
      <c r="B96" s="9"/>
      <c r="C96" s="73"/>
      <c r="D96" s="64"/>
      <c r="E96" s="64"/>
      <c r="F96" s="64"/>
      <c r="G96" s="64"/>
      <c r="H96" s="64"/>
      <c r="I96" s="57"/>
    </row>
    <row r="97" spans="1:14" x14ac:dyDescent="0.2">
      <c r="A97" s="57"/>
      <c r="B97" s="12"/>
      <c r="C97" s="57"/>
      <c r="D97" s="73"/>
      <c r="E97" s="64"/>
      <c r="F97" s="64"/>
      <c r="G97" s="64"/>
      <c r="H97" s="64"/>
      <c r="I97" s="57"/>
      <c r="K97" s="59"/>
      <c r="N97" s="43"/>
    </row>
    <row r="98" spans="1:14" x14ac:dyDescent="0.2">
      <c r="A98" s="57"/>
      <c r="B98" s="12"/>
      <c r="C98" s="57"/>
      <c r="D98" s="73"/>
      <c r="E98" s="64"/>
      <c r="F98" s="64"/>
      <c r="G98" s="64"/>
      <c r="H98" s="64"/>
      <c r="I98" s="64"/>
      <c r="N98" s="43"/>
    </row>
    <row r="99" spans="1:14" x14ac:dyDescent="0.2">
      <c r="A99" s="64"/>
      <c r="B99" s="64"/>
      <c r="C99" s="64"/>
      <c r="D99" s="64"/>
      <c r="E99" s="64"/>
      <c r="F99" s="64"/>
      <c r="G99" s="64"/>
      <c r="H99" s="108"/>
      <c r="I99" s="57"/>
      <c r="N99" s="43"/>
    </row>
    <row r="100" spans="1:14" x14ac:dyDescent="0.2">
      <c r="A100" s="64"/>
      <c r="B100" s="64"/>
      <c r="C100" s="64"/>
      <c r="D100" s="64"/>
      <c r="E100" s="57"/>
      <c r="F100" s="57"/>
      <c r="G100" s="57"/>
      <c r="H100" s="80"/>
      <c r="I100" s="12"/>
      <c r="N100" s="43"/>
    </row>
    <row r="101" spans="1:14" x14ac:dyDescent="0.2">
      <c r="A101" s="64"/>
      <c r="B101" s="64"/>
      <c r="C101" s="64"/>
      <c r="D101" s="64"/>
      <c r="E101" s="57"/>
      <c r="F101" s="57"/>
      <c r="G101" s="57"/>
      <c r="H101" s="80"/>
      <c r="I101" s="127"/>
      <c r="N101" s="43"/>
    </row>
    <row r="102" spans="1:14" x14ac:dyDescent="0.2">
      <c r="A102" s="194"/>
      <c r="B102" s="21"/>
      <c r="C102" s="21"/>
      <c r="D102" s="21"/>
      <c r="E102" s="21"/>
      <c r="F102" s="21"/>
      <c r="G102" s="21"/>
      <c r="H102" s="94"/>
      <c r="I102" s="96"/>
      <c r="N102" s="43"/>
    </row>
    <row r="103" spans="1:14" x14ac:dyDescent="0.2">
      <c r="A103" s="21"/>
      <c r="B103" s="21"/>
      <c r="C103" s="21"/>
      <c r="D103" s="21"/>
      <c r="E103" s="21"/>
      <c r="F103" s="21"/>
      <c r="G103" s="21"/>
      <c r="H103" s="94"/>
      <c r="I103" s="41"/>
      <c r="N103" s="43"/>
    </row>
    <row r="104" spans="1:14" x14ac:dyDescent="0.2">
      <c r="A104" s="126"/>
      <c r="B104" s="8"/>
      <c r="C104" s="62"/>
      <c r="D104" s="73"/>
      <c r="E104" s="21"/>
      <c r="F104" s="21"/>
      <c r="G104" s="21"/>
      <c r="H104" s="94"/>
      <c r="I104" s="41"/>
      <c r="N104" s="43"/>
    </row>
    <row r="105" spans="1:14" x14ac:dyDescent="0.2">
      <c r="A105" s="126"/>
      <c r="B105" s="8"/>
      <c r="C105" s="62"/>
      <c r="D105" s="73"/>
      <c r="E105" s="21"/>
      <c r="F105" s="21"/>
      <c r="G105" s="21"/>
      <c r="H105" s="94"/>
      <c r="I105" s="21"/>
      <c r="N105" s="43"/>
    </row>
    <row r="106" spans="1:14" x14ac:dyDescent="0.2">
      <c r="A106" s="126"/>
      <c r="B106" s="8"/>
      <c r="C106" s="10"/>
      <c r="D106" s="73"/>
      <c r="E106" s="21"/>
      <c r="F106" s="21"/>
      <c r="G106" s="21"/>
      <c r="H106" s="21"/>
      <c r="I106" s="21"/>
      <c r="N106" s="43"/>
    </row>
    <row r="107" spans="1:14" x14ac:dyDescent="0.2">
      <c r="A107" s="21"/>
      <c r="B107" s="21"/>
      <c r="C107" s="21"/>
      <c r="D107" s="21"/>
      <c r="E107" s="21"/>
      <c r="F107" s="21"/>
      <c r="G107" s="21"/>
      <c r="H107" s="21"/>
      <c r="I107" s="21"/>
      <c r="N107" s="43"/>
    </row>
    <row r="108" spans="1:14" x14ac:dyDescent="0.2">
      <c r="A108" s="57"/>
      <c r="B108" s="67"/>
      <c r="C108" s="62"/>
      <c r="D108" s="62"/>
      <c r="E108" s="21"/>
      <c r="F108" s="21"/>
      <c r="G108" s="21"/>
      <c r="H108" s="21"/>
      <c r="I108" s="21"/>
      <c r="N108" s="43"/>
    </row>
    <row r="109" spans="1:14" x14ac:dyDescent="0.2">
      <c r="A109" s="67"/>
      <c r="B109" s="8"/>
      <c r="C109" s="62"/>
      <c r="D109" s="62"/>
      <c r="E109" s="21"/>
      <c r="F109" s="21"/>
      <c r="G109" s="21"/>
      <c r="H109" s="21"/>
      <c r="I109" s="21"/>
      <c r="N109" s="43"/>
    </row>
    <row r="110" spans="1:14" x14ac:dyDescent="0.2">
      <c r="A110" s="67"/>
      <c r="B110" s="8"/>
      <c r="C110" s="62"/>
      <c r="D110" s="62"/>
      <c r="E110" s="21"/>
      <c r="F110" s="21"/>
      <c r="G110" s="21"/>
      <c r="H110" s="83"/>
      <c r="I110" s="64"/>
      <c r="N110" s="43"/>
    </row>
    <row r="111" spans="1:14" x14ac:dyDescent="0.2">
      <c r="A111" s="21"/>
      <c r="B111" s="21"/>
      <c r="C111" s="21"/>
      <c r="D111" s="21"/>
      <c r="E111" s="21"/>
      <c r="F111" s="21"/>
      <c r="G111" s="21"/>
      <c r="H111" s="21"/>
      <c r="I111" s="21"/>
      <c r="N111" s="43"/>
    </row>
    <row r="112" spans="1:14" x14ac:dyDescent="0.2">
      <c r="A112" s="57"/>
      <c r="B112" s="57"/>
      <c r="C112" s="57"/>
      <c r="D112" s="62"/>
      <c r="E112" s="57"/>
      <c r="F112" s="57"/>
      <c r="G112" s="57"/>
      <c r="H112" s="57"/>
      <c r="I112" s="57"/>
      <c r="N112" s="43"/>
    </row>
    <row r="113" spans="1:14" x14ac:dyDescent="0.2">
      <c r="A113" s="93"/>
      <c r="B113" s="8"/>
      <c r="C113" s="73"/>
      <c r="D113" s="73"/>
      <c r="E113" s="21"/>
      <c r="F113" s="21"/>
      <c r="G113" s="21"/>
      <c r="H113" s="21"/>
      <c r="I113" s="21"/>
      <c r="N113" s="43"/>
    </row>
    <row r="114" spans="1:14" x14ac:dyDescent="0.2">
      <c r="A114" s="93"/>
      <c r="B114" s="11"/>
      <c r="C114" s="73"/>
      <c r="D114" s="73"/>
      <c r="E114" s="21"/>
      <c r="F114" s="21"/>
      <c r="G114" s="21"/>
      <c r="H114" s="21"/>
      <c r="I114" s="21"/>
      <c r="N114" s="43"/>
    </row>
    <row r="115" spans="1:14" x14ac:dyDescent="0.2">
      <c r="A115" s="100"/>
      <c r="B115" s="11"/>
      <c r="C115" s="73"/>
      <c r="D115" s="84"/>
      <c r="E115" s="21"/>
      <c r="F115" s="21"/>
      <c r="G115" s="21"/>
      <c r="H115" s="21"/>
      <c r="I115" s="21"/>
      <c r="N115" s="43"/>
    </row>
    <row r="116" spans="1:14" x14ac:dyDescent="0.2">
      <c r="A116" s="100"/>
      <c r="B116" s="11"/>
      <c r="C116" s="73"/>
      <c r="D116" s="84"/>
      <c r="E116" s="21"/>
      <c r="F116" s="21"/>
      <c r="G116" s="21"/>
      <c r="H116" s="21"/>
      <c r="I116" s="21"/>
      <c r="N116" s="43"/>
    </row>
    <row r="117" spans="1:14" x14ac:dyDescent="0.2">
      <c r="A117" s="21"/>
      <c r="B117" s="21"/>
      <c r="C117" s="21"/>
      <c r="D117" s="21"/>
      <c r="E117" s="21"/>
      <c r="F117" s="21"/>
      <c r="G117" s="68"/>
      <c r="H117" s="21"/>
      <c r="I117" s="21"/>
      <c r="N117" s="43"/>
    </row>
    <row r="118" spans="1:14" x14ac:dyDescent="0.2">
      <c r="A118" s="99"/>
      <c r="B118" s="8"/>
      <c r="C118" s="62"/>
      <c r="D118" s="62"/>
      <c r="E118" s="57"/>
      <c r="F118" s="68"/>
      <c r="G118" s="57"/>
      <c r="H118" s="57"/>
      <c r="I118" s="57"/>
      <c r="N118" s="43"/>
    </row>
    <row r="119" spans="1:14" x14ac:dyDescent="0.2">
      <c r="A119" s="21"/>
      <c r="B119" s="21"/>
      <c r="C119" s="21"/>
      <c r="D119" s="21"/>
      <c r="E119" s="21"/>
      <c r="F119" s="21"/>
      <c r="G119" s="21"/>
      <c r="H119" s="21"/>
      <c r="I119" s="21"/>
      <c r="N119" s="43"/>
    </row>
    <row r="120" spans="1:14" x14ac:dyDescent="0.2">
      <c r="A120" s="126"/>
      <c r="B120" s="195"/>
      <c r="C120" s="62"/>
      <c r="D120" s="73"/>
      <c r="E120" s="57"/>
      <c r="F120" s="57"/>
      <c r="G120" s="57"/>
      <c r="H120" s="57"/>
      <c r="I120" s="21"/>
      <c r="N120" s="43"/>
    </row>
    <row r="121" spans="1:14" x14ac:dyDescent="0.2">
      <c r="A121" s="126"/>
      <c r="B121" s="8"/>
      <c r="C121" s="62"/>
      <c r="D121" s="73"/>
      <c r="E121" s="57"/>
      <c r="F121" s="57"/>
      <c r="G121" s="57"/>
      <c r="H121" s="57"/>
      <c r="I121" s="21"/>
      <c r="N121" s="43"/>
    </row>
    <row r="122" spans="1:14" x14ac:dyDescent="0.2">
      <c r="A122" s="74"/>
      <c r="B122" s="8"/>
      <c r="C122" s="10"/>
      <c r="D122" s="73"/>
      <c r="E122" s="57"/>
      <c r="F122" s="57"/>
      <c r="G122" s="57"/>
      <c r="H122" s="57"/>
      <c r="I122" s="21"/>
      <c r="N122" s="43"/>
    </row>
    <row r="123" spans="1:14" x14ac:dyDescent="0.2">
      <c r="A123" s="64"/>
      <c r="B123" s="93"/>
      <c r="C123" s="62"/>
      <c r="D123" s="57"/>
      <c r="E123" s="57"/>
      <c r="F123" s="57"/>
      <c r="G123" s="57"/>
      <c r="H123" s="57"/>
      <c r="I123" s="64"/>
      <c r="N123" s="43"/>
    </row>
    <row r="124" spans="1:14" x14ac:dyDescent="0.2">
      <c r="A124" s="93"/>
      <c r="B124" s="8"/>
      <c r="C124" s="62"/>
      <c r="D124" s="62"/>
      <c r="E124" s="57"/>
      <c r="F124" s="57"/>
      <c r="G124" s="57"/>
      <c r="H124" s="57"/>
      <c r="I124" s="64"/>
      <c r="L124" s="52"/>
      <c r="N124" s="43"/>
    </row>
    <row r="125" spans="1:14" x14ac:dyDescent="0.2">
      <c r="A125" s="93"/>
      <c r="B125" s="8"/>
      <c r="C125" s="73"/>
      <c r="D125" s="62"/>
      <c r="E125" s="51"/>
      <c r="F125" s="57"/>
      <c r="G125" s="21"/>
      <c r="H125" s="83"/>
      <c r="I125" s="57"/>
      <c r="N125" s="43"/>
    </row>
    <row r="126" spans="1:14" x14ac:dyDescent="0.2">
      <c r="A126" s="67"/>
      <c r="B126" s="13"/>
      <c r="C126" s="62"/>
      <c r="D126" s="62"/>
      <c r="E126" s="51"/>
      <c r="F126" s="21"/>
      <c r="G126" s="21"/>
      <c r="H126" s="57"/>
      <c r="I126" s="57"/>
      <c r="N126" s="43"/>
    </row>
    <row r="127" spans="1:14" x14ac:dyDescent="0.2">
      <c r="A127" s="93"/>
      <c r="B127" s="8"/>
      <c r="C127" s="62"/>
      <c r="D127" s="62"/>
      <c r="E127" s="57"/>
      <c r="F127" s="21"/>
      <c r="G127" s="83"/>
      <c r="H127" s="64"/>
      <c r="I127" s="57"/>
      <c r="N127" s="43"/>
    </row>
    <row r="128" spans="1:14" x14ac:dyDescent="0.2">
      <c r="A128" s="56"/>
      <c r="B128" s="8"/>
      <c r="C128" s="62"/>
      <c r="D128" s="21"/>
      <c r="E128" s="21"/>
      <c r="F128" s="21"/>
      <c r="G128" s="21"/>
      <c r="H128" s="21"/>
      <c r="I128" s="57"/>
      <c r="K128" s="54"/>
      <c r="N128" s="43"/>
    </row>
    <row r="129" spans="1:14" x14ac:dyDescent="0.2">
      <c r="A129" s="56"/>
      <c r="B129" s="8"/>
      <c r="C129" s="73"/>
      <c r="D129" s="62"/>
      <c r="E129" s="21"/>
      <c r="F129" s="21"/>
      <c r="G129" s="21"/>
      <c r="H129" s="83"/>
      <c r="I129" s="57"/>
      <c r="K129" s="52"/>
      <c r="N129" s="43"/>
    </row>
    <row r="130" spans="1:14" x14ac:dyDescent="0.2">
      <c r="A130" s="73"/>
      <c r="B130" s="64"/>
      <c r="C130" s="64"/>
      <c r="D130" s="73"/>
      <c r="E130" s="64"/>
      <c r="F130" s="64"/>
      <c r="G130" s="64"/>
      <c r="H130" s="57"/>
      <c r="I130" s="57"/>
      <c r="K130" s="54"/>
      <c r="N130" s="43"/>
    </row>
    <row r="131" spans="1:14" x14ac:dyDescent="0.2">
      <c r="A131" s="56"/>
      <c r="B131" s="8"/>
      <c r="C131" s="21"/>
      <c r="D131" s="73"/>
      <c r="E131" s="21"/>
      <c r="F131" s="21"/>
      <c r="G131" s="21"/>
      <c r="H131" s="21"/>
      <c r="I131" s="57"/>
      <c r="N131" s="43"/>
    </row>
    <row r="132" spans="1:14" x14ac:dyDescent="0.2">
      <c r="A132" s="93"/>
      <c r="B132" s="8"/>
      <c r="C132" s="73"/>
      <c r="D132" s="73"/>
      <c r="E132" s="64"/>
      <c r="F132" s="64"/>
      <c r="G132" s="64"/>
      <c r="H132" s="21"/>
      <c r="I132" s="57"/>
      <c r="N132" s="43"/>
    </row>
    <row r="133" spans="1:14" x14ac:dyDescent="0.2">
      <c r="A133" s="100"/>
      <c r="B133" s="11"/>
      <c r="C133" s="73"/>
      <c r="D133" s="84"/>
      <c r="E133" s="64"/>
      <c r="F133" s="64"/>
      <c r="G133" s="21"/>
      <c r="H133" s="21"/>
      <c r="I133" s="21"/>
      <c r="N133" s="43"/>
    </row>
    <row r="134" spans="1:14" x14ac:dyDescent="0.2">
      <c r="A134" s="100"/>
      <c r="B134" s="11"/>
      <c r="C134" s="73"/>
      <c r="D134" s="84"/>
      <c r="E134" s="21"/>
      <c r="F134" s="21"/>
      <c r="G134" s="21"/>
      <c r="H134" s="68"/>
      <c r="I134" s="21"/>
      <c r="N134" s="43"/>
    </row>
    <row r="135" spans="1:14" x14ac:dyDescent="0.2">
      <c r="A135" s="21"/>
      <c r="B135" s="21"/>
      <c r="C135" s="21"/>
      <c r="D135" s="21"/>
      <c r="E135" s="21"/>
      <c r="F135" s="21"/>
      <c r="G135" s="68"/>
      <c r="H135" s="21"/>
      <c r="I135" s="21"/>
      <c r="N135" s="43"/>
    </row>
    <row r="136" spans="1:14" x14ac:dyDescent="0.2">
      <c r="A136" s="73"/>
      <c r="B136" s="64"/>
      <c r="C136" s="57"/>
      <c r="D136" s="57"/>
      <c r="E136" s="21"/>
      <c r="F136" s="68"/>
      <c r="G136" s="21"/>
      <c r="H136" s="21"/>
      <c r="I136" s="21"/>
      <c r="N136" s="43"/>
    </row>
    <row r="137" spans="1:14" x14ac:dyDescent="0.2">
      <c r="A137" s="21"/>
      <c r="B137" s="21"/>
      <c r="C137" s="21"/>
      <c r="D137" s="21"/>
      <c r="E137" s="21"/>
      <c r="F137" s="21"/>
      <c r="G137" s="21"/>
      <c r="H137" s="21"/>
      <c r="I137" s="21"/>
      <c r="N137" s="43"/>
    </row>
    <row r="138" spans="1:14" x14ac:dyDescent="0.2">
      <c r="A138" s="106"/>
      <c r="B138" s="40"/>
      <c r="C138" s="40"/>
      <c r="D138" s="40"/>
      <c r="E138" s="40"/>
      <c r="F138" s="40"/>
      <c r="G138" s="40"/>
      <c r="H138" s="40"/>
      <c r="I138" s="21"/>
      <c r="N138" s="43"/>
    </row>
    <row r="139" spans="1:14" x14ac:dyDescent="0.2">
      <c r="A139" s="93"/>
      <c r="B139" s="8"/>
      <c r="C139" s="59"/>
      <c r="D139" s="59"/>
      <c r="E139" s="40"/>
      <c r="F139" s="40"/>
      <c r="G139" s="40"/>
      <c r="H139" s="40"/>
      <c r="I139" s="21"/>
      <c r="N139" s="43"/>
    </row>
    <row r="140" spans="1:14" x14ac:dyDescent="0.2">
      <c r="A140" s="93"/>
      <c r="B140" s="8"/>
      <c r="C140" s="59"/>
      <c r="D140" s="59"/>
      <c r="E140" s="40"/>
      <c r="F140" s="40"/>
      <c r="G140" s="40"/>
      <c r="H140" s="132"/>
      <c r="I140" s="21"/>
      <c r="N140" s="43"/>
    </row>
    <row r="141" spans="1:14" x14ac:dyDescent="0.2">
      <c r="A141" s="62"/>
      <c r="B141" s="40"/>
      <c r="C141" s="40"/>
      <c r="D141" s="59"/>
      <c r="E141" s="40"/>
      <c r="F141" s="40"/>
      <c r="G141" s="132"/>
      <c r="H141" s="40"/>
      <c r="I141" s="21"/>
      <c r="N141" s="43"/>
    </row>
    <row r="142" spans="1:14" x14ac:dyDescent="0.2">
      <c r="A142" s="67"/>
      <c r="B142" s="8"/>
      <c r="C142" s="59"/>
      <c r="D142" s="59"/>
      <c r="E142" s="40"/>
      <c r="F142" s="40"/>
      <c r="G142" s="40"/>
      <c r="H142" s="40"/>
      <c r="I142" s="21"/>
      <c r="N142" s="43"/>
    </row>
    <row r="143" spans="1:14" x14ac:dyDescent="0.2">
      <c r="A143" s="67"/>
      <c r="B143" s="8"/>
      <c r="C143" s="59"/>
      <c r="D143" s="59"/>
      <c r="E143" s="40"/>
      <c r="F143" s="40"/>
      <c r="G143" s="40"/>
      <c r="H143" s="40"/>
      <c r="I143" s="21"/>
      <c r="N143" s="43"/>
    </row>
    <row r="144" spans="1:14" x14ac:dyDescent="0.2">
      <c r="A144" s="99"/>
      <c r="B144" s="41"/>
      <c r="C144" s="59"/>
      <c r="D144" s="40"/>
      <c r="E144" s="40"/>
      <c r="F144" s="40"/>
      <c r="G144" s="40"/>
      <c r="H144" s="132"/>
      <c r="I144" s="21"/>
      <c r="N144" s="43"/>
    </row>
    <row r="145" spans="1:14" x14ac:dyDescent="0.2">
      <c r="A145" s="21"/>
      <c r="B145" s="40"/>
      <c r="C145" s="40"/>
      <c r="D145" s="40"/>
      <c r="E145" s="40"/>
      <c r="F145" s="40"/>
      <c r="G145" s="40"/>
      <c r="H145" s="40"/>
      <c r="I145" s="21"/>
      <c r="N145" s="43"/>
    </row>
    <row r="146" spans="1:14" x14ac:dyDescent="0.2">
      <c r="A146" s="113"/>
      <c r="B146" s="8"/>
      <c r="C146" s="196"/>
      <c r="D146" s="59"/>
      <c r="E146" s="40"/>
      <c r="F146" s="40"/>
      <c r="G146" s="40"/>
      <c r="H146" s="40"/>
      <c r="I146" s="21"/>
      <c r="N146" s="43"/>
    </row>
    <row r="147" spans="1:14" x14ac:dyDescent="0.2">
      <c r="A147" s="113"/>
      <c r="B147" s="8"/>
      <c r="C147" s="59"/>
      <c r="D147" s="59"/>
      <c r="E147" s="40"/>
      <c r="F147" s="40"/>
      <c r="G147" s="40"/>
      <c r="H147" s="40"/>
      <c r="I147" s="21"/>
      <c r="N147" s="43"/>
    </row>
    <row r="148" spans="1:14" x14ac:dyDescent="0.2">
      <c r="A148" s="62"/>
      <c r="B148" s="40"/>
      <c r="C148" s="40"/>
      <c r="D148" s="40"/>
      <c r="E148" s="40"/>
      <c r="F148" s="40"/>
      <c r="G148" s="40"/>
      <c r="H148" s="40"/>
      <c r="I148" s="21"/>
      <c r="N148" s="43"/>
    </row>
    <row r="149" spans="1:14" x14ac:dyDescent="0.2">
      <c r="A149" s="107"/>
      <c r="B149" s="91"/>
      <c r="C149" s="7"/>
      <c r="D149" s="7"/>
      <c r="E149" s="7"/>
      <c r="F149" s="7"/>
      <c r="G149" s="7"/>
      <c r="H149" s="7"/>
      <c r="I149" s="7"/>
      <c r="N149" s="43"/>
    </row>
    <row r="150" spans="1:14" x14ac:dyDescent="0.2">
      <c r="A150" s="21"/>
      <c r="B150" s="21"/>
      <c r="C150" s="21"/>
      <c r="D150" s="21"/>
      <c r="E150" s="21"/>
      <c r="F150" s="21"/>
      <c r="G150" s="21"/>
      <c r="H150" s="21"/>
      <c r="I150" s="12"/>
      <c r="N150" s="43"/>
    </row>
    <row r="151" spans="1:14" x14ac:dyDescent="0.2">
      <c r="A151" s="21"/>
      <c r="B151" s="21"/>
      <c r="C151" s="21"/>
      <c r="D151" s="21"/>
      <c r="E151" s="21"/>
      <c r="F151" s="21"/>
      <c r="G151" s="21"/>
      <c r="H151" s="94"/>
      <c r="I151" s="95"/>
      <c r="N151" s="43"/>
    </row>
    <row r="152" spans="1:14" x14ac:dyDescent="0.2">
      <c r="A152" s="99"/>
      <c r="B152" s="21"/>
      <c r="C152" s="21"/>
      <c r="D152" s="21"/>
      <c r="E152" s="21"/>
      <c r="F152" s="21"/>
      <c r="G152" s="21"/>
      <c r="H152" s="94"/>
      <c r="I152" s="96"/>
      <c r="N152" s="43"/>
    </row>
    <row r="153" spans="1:14" x14ac:dyDescent="0.2">
      <c r="A153" s="93"/>
      <c r="B153" s="8"/>
      <c r="C153" s="73"/>
      <c r="D153" s="73"/>
      <c r="E153" s="21"/>
      <c r="F153" s="64"/>
      <c r="G153" s="21"/>
      <c r="H153" s="97"/>
      <c r="I153" s="41"/>
      <c r="N153" s="43"/>
    </row>
    <row r="154" spans="1:14" x14ac:dyDescent="0.2">
      <c r="A154" s="67"/>
      <c r="B154" s="13"/>
      <c r="C154" s="62"/>
      <c r="D154" s="73"/>
      <c r="E154" s="21"/>
      <c r="F154" s="64"/>
      <c r="G154" s="21"/>
      <c r="H154" s="94"/>
      <c r="I154" s="41"/>
      <c r="N154" s="43"/>
    </row>
    <row r="155" spans="1:14" x14ac:dyDescent="0.2">
      <c r="A155" s="56"/>
      <c r="B155" s="8"/>
      <c r="C155" s="62"/>
      <c r="D155" s="73"/>
      <c r="E155" s="51"/>
      <c r="F155" s="51"/>
      <c r="G155" s="51"/>
      <c r="H155" s="21"/>
      <c r="I155" s="21"/>
      <c r="N155" s="43"/>
    </row>
    <row r="156" spans="1:14" x14ac:dyDescent="0.2">
      <c r="A156" s="93"/>
      <c r="B156" s="8"/>
      <c r="C156" s="73"/>
      <c r="D156" s="62"/>
      <c r="E156" s="21"/>
      <c r="F156" s="21"/>
      <c r="G156" s="21"/>
      <c r="H156" s="21"/>
      <c r="I156" s="21"/>
      <c r="N156" s="43"/>
    </row>
    <row r="157" spans="1:14" x14ac:dyDescent="0.2">
      <c r="A157" s="93"/>
      <c r="B157" s="8"/>
      <c r="C157" s="62"/>
      <c r="D157" s="62"/>
      <c r="E157" s="51"/>
      <c r="F157" s="51"/>
      <c r="G157" s="21"/>
      <c r="H157" s="83"/>
      <c r="I157" s="21"/>
      <c r="N157" s="43"/>
    </row>
    <row r="158" spans="1:14" x14ac:dyDescent="0.2">
      <c r="A158" s="56"/>
      <c r="B158" s="8"/>
      <c r="C158" s="73"/>
      <c r="D158" s="73"/>
      <c r="E158" s="21"/>
      <c r="F158" s="21"/>
      <c r="G158" s="21"/>
      <c r="H158" s="21"/>
      <c r="I158" s="21"/>
      <c r="N158" s="43"/>
    </row>
    <row r="159" spans="1:14" x14ac:dyDescent="0.2">
      <c r="A159" s="56"/>
      <c r="B159" s="8"/>
      <c r="C159" s="73"/>
      <c r="D159" s="90"/>
      <c r="E159" s="21"/>
      <c r="F159" s="21"/>
      <c r="G159" s="21"/>
      <c r="H159" s="21"/>
      <c r="I159" s="21"/>
      <c r="N159" s="43"/>
    </row>
    <row r="160" spans="1:14" x14ac:dyDescent="0.2">
      <c r="A160" s="67"/>
      <c r="B160" s="8"/>
      <c r="C160" s="62"/>
      <c r="D160" s="62"/>
      <c r="E160" s="21"/>
      <c r="F160" s="21"/>
      <c r="G160" s="21"/>
      <c r="H160" s="83"/>
      <c r="I160" s="21"/>
      <c r="N160" s="43"/>
    </row>
    <row r="161" spans="1:14" x14ac:dyDescent="0.2">
      <c r="A161" s="73"/>
      <c r="B161" s="64"/>
      <c r="C161" s="64"/>
      <c r="D161" s="64"/>
      <c r="E161" s="64"/>
      <c r="F161" s="21"/>
      <c r="G161" s="21"/>
      <c r="H161" s="21"/>
      <c r="I161" s="21"/>
      <c r="N161" s="43"/>
    </row>
    <row r="162" spans="1:14" x14ac:dyDescent="0.2">
      <c r="A162" s="67"/>
      <c r="B162" s="15"/>
      <c r="C162" s="73"/>
      <c r="D162" s="73"/>
      <c r="E162" s="64"/>
      <c r="F162" s="21"/>
      <c r="G162" s="21"/>
      <c r="H162" s="21"/>
      <c r="I162" s="21"/>
      <c r="N162" s="43"/>
    </row>
    <row r="163" spans="1:14" x14ac:dyDescent="0.2">
      <c r="A163" s="67"/>
      <c r="B163" s="15"/>
      <c r="C163" s="73"/>
      <c r="D163" s="73"/>
      <c r="E163" s="64"/>
      <c r="F163" s="21"/>
      <c r="G163" s="21"/>
      <c r="H163" s="21"/>
      <c r="I163" s="21"/>
      <c r="N163" s="43"/>
    </row>
    <row r="164" spans="1:14" x14ac:dyDescent="0.2">
      <c r="A164" s="67"/>
      <c r="B164" s="15"/>
      <c r="C164" s="73"/>
      <c r="D164" s="73"/>
      <c r="E164" s="64"/>
      <c r="F164" s="64"/>
      <c r="G164" s="21"/>
      <c r="H164" s="21"/>
      <c r="I164" s="64"/>
      <c r="N164" s="43"/>
    </row>
    <row r="165" spans="1:14" x14ac:dyDescent="0.2">
      <c r="A165" s="93"/>
      <c r="B165" s="15"/>
      <c r="C165" s="73"/>
      <c r="D165" s="73"/>
      <c r="E165" s="64"/>
      <c r="F165" s="64"/>
      <c r="G165" s="21"/>
      <c r="H165" s="57"/>
      <c r="I165" s="64"/>
      <c r="N165" s="43"/>
    </row>
    <row r="166" spans="1:14" x14ac:dyDescent="0.2">
      <c r="A166" s="100"/>
      <c r="B166" s="15"/>
      <c r="C166" s="64"/>
      <c r="D166" s="84"/>
      <c r="E166" s="64"/>
      <c r="F166" s="64"/>
      <c r="G166" s="21"/>
      <c r="H166" s="57"/>
      <c r="I166" s="21"/>
    </row>
    <row r="167" spans="1:14" x14ac:dyDescent="0.2">
      <c r="A167" s="93"/>
      <c r="B167" s="15"/>
      <c r="C167" s="73"/>
      <c r="D167" s="73"/>
      <c r="E167" s="64"/>
      <c r="F167" s="64"/>
      <c r="G167" s="21"/>
      <c r="H167" s="21"/>
      <c r="I167" s="21"/>
    </row>
    <row r="168" spans="1:14" x14ac:dyDescent="0.2">
      <c r="A168" s="100"/>
      <c r="B168" s="15"/>
      <c r="C168" s="64"/>
      <c r="D168" s="84"/>
      <c r="E168" s="64"/>
      <c r="F168" s="64"/>
      <c r="G168" s="21"/>
      <c r="H168" s="64"/>
      <c r="I168" s="64"/>
    </row>
    <row r="169" spans="1:14" x14ac:dyDescent="0.2">
      <c r="A169" s="100"/>
      <c r="B169" s="11"/>
      <c r="C169" s="64"/>
      <c r="D169" s="84"/>
      <c r="E169" s="64"/>
      <c r="F169" s="64"/>
      <c r="G169" s="64"/>
      <c r="H169" s="64"/>
      <c r="I169" s="64"/>
    </row>
    <row r="170" spans="1:14" x14ac:dyDescent="0.2">
      <c r="A170" s="100"/>
      <c r="B170" s="15"/>
      <c r="C170" s="64"/>
      <c r="D170" s="62"/>
      <c r="E170" s="64"/>
      <c r="F170" s="64"/>
      <c r="G170" s="64"/>
      <c r="H170" s="64"/>
      <c r="I170" s="64"/>
    </row>
    <row r="171" spans="1:14" x14ac:dyDescent="0.2">
      <c r="A171" s="93"/>
      <c r="B171" s="11"/>
      <c r="C171" s="73"/>
      <c r="D171" s="73"/>
      <c r="E171" s="64"/>
      <c r="F171" s="64"/>
      <c r="G171" s="64"/>
      <c r="H171" s="83"/>
      <c r="I171" s="64"/>
    </row>
    <row r="172" spans="1:14" x14ac:dyDescent="0.2">
      <c r="A172" s="93"/>
      <c r="B172" s="11"/>
      <c r="C172" s="73"/>
      <c r="D172" s="64"/>
      <c r="E172" s="64"/>
      <c r="F172" s="64"/>
      <c r="G172" s="64"/>
      <c r="H172" s="64"/>
      <c r="I172" s="64"/>
    </row>
    <row r="173" spans="1:14" x14ac:dyDescent="0.2">
      <c r="A173" s="100"/>
      <c r="B173" s="15"/>
      <c r="C173" s="64"/>
      <c r="D173" s="104"/>
      <c r="E173" s="64"/>
      <c r="F173" s="64"/>
      <c r="G173" s="64"/>
      <c r="H173" s="57"/>
      <c r="I173" s="64"/>
    </row>
    <row r="174" spans="1:14" x14ac:dyDescent="0.2">
      <c r="A174" s="93"/>
      <c r="B174" s="8"/>
      <c r="C174" s="73"/>
      <c r="D174" s="64"/>
      <c r="E174" s="64"/>
      <c r="F174" s="64"/>
      <c r="G174" s="64"/>
      <c r="H174" s="57"/>
      <c r="I174" s="64"/>
    </row>
    <row r="175" spans="1:14" x14ac:dyDescent="0.2">
      <c r="A175" s="64"/>
      <c r="B175" s="64"/>
      <c r="C175" s="64"/>
      <c r="D175" s="64"/>
      <c r="E175" s="64"/>
      <c r="F175" s="64"/>
      <c r="G175" s="64"/>
      <c r="H175" s="83"/>
      <c r="I175" s="64"/>
    </row>
    <row r="176" spans="1:14" x14ac:dyDescent="0.2">
      <c r="A176" s="62"/>
      <c r="B176" s="57"/>
      <c r="C176" s="57"/>
      <c r="D176" s="21"/>
      <c r="E176" s="21"/>
      <c r="F176" s="21"/>
      <c r="G176" s="21"/>
      <c r="H176" s="57"/>
      <c r="I176" s="64"/>
    </row>
    <row r="177" spans="1:9" x14ac:dyDescent="0.2">
      <c r="A177" s="67"/>
      <c r="B177" s="8"/>
      <c r="C177" s="62"/>
      <c r="D177" s="62"/>
      <c r="E177" s="21"/>
      <c r="F177" s="21"/>
      <c r="G177" s="21"/>
      <c r="H177" s="57"/>
      <c r="I177" s="21"/>
    </row>
    <row r="178" spans="1:9" x14ac:dyDescent="0.2">
      <c r="A178" s="67"/>
      <c r="B178" s="8"/>
      <c r="C178" s="62"/>
      <c r="D178" s="62"/>
      <c r="E178" s="21"/>
      <c r="F178" s="21"/>
      <c r="G178" s="21"/>
      <c r="H178" s="21"/>
      <c r="I178" s="21"/>
    </row>
    <row r="179" spans="1:9" x14ac:dyDescent="0.2">
      <c r="A179" s="67"/>
      <c r="B179" s="8"/>
      <c r="C179" s="62"/>
      <c r="D179" s="62"/>
      <c r="E179" s="21"/>
      <c r="F179" s="21"/>
      <c r="G179" s="21"/>
      <c r="H179" s="21"/>
      <c r="I179" s="21"/>
    </row>
    <row r="180" spans="1:9" x14ac:dyDescent="0.2">
      <c r="A180" s="67"/>
      <c r="B180" s="8"/>
      <c r="C180" s="62"/>
      <c r="D180" s="62"/>
      <c r="E180" s="57"/>
      <c r="F180" s="57"/>
      <c r="G180" s="21"/>
      <c r="H180" s="21"/>
      <c r="I180" s="21"/>
    </row>
    <row r="181" spans="1:9" x14ac:dyDescent="0.2">
      <c r="A181" s="62"/>
      <c r="B181" s="57"/>
      <c r="C181" s="57"/>
      <c r="D181" s="57"/>
      <c r="E181" s="57"/>
      <c r="F181" s="57"/>
      <c r="G181" s="21"/>
      <c r="H181" s="83"/>
      <c r="I181" s="21"/>
    </row>
    <row r="182" spans="1:9" x14ac:dyDescent="0.2">
      <c r="A182" s="67"/>
      <c r="B182" s="14"/>
      <c r="C182" s="62"/>
      <c r="D182" s="62"/>
      <c r="E182" s="57"/>
      <c r="F182" s="57"/>
      <c r="G182" s="57"/>
      <c r="H182" s="57"/>
      <c r="I182" s="21"/>
    </row>
    <row r="183" spans="1:9" x14ac:dyDescent="0.2">
      <c r="A183" s="67"/>
      <c r="B183" s="13"/>
      <c r="C183" s="62"/>
      <c r="D183" s="62"/>
      <c r="E183" s="57"/>
      <c r="F183" s="57"/>
      <c r="G183" s="57"/>
      <c r="H183" s="21"/>
      <c r="I183" s="21"/>
    </row>
    <row r="184" spans="1:9" x14ac:dyDescent="0.2">
      <c r="A184" s="67"/>
      <c r="B184" s="13"/>
      <c r="C184" s="73"/>
      <c r="D184" s="62"/>
      <c r="E184" s="57"/>
      <c r="F184" s="57"/>
      <c r="G184" s="21"/>
      <c r="H184" s="83"/>
      <c r="I184" s="21"/>
    </row>
    <row r="185" spans="1:9" x14ac:dyDescent="0.2">
      <c r="A185" s="57"/>
      <c r="B185" s="51"/>
      <c r="C185" s="64"/>
      <c r="D185" s="73"/>
      <c r="E185" s="64"/>
      <c r="F185" s="64"/>
      <c r="G185" s="64"/>
      <c r="H185" s="21"/>
      <c r="I185" s="21"/>
    </row>
    <row r="186" spans="1:9" x14ac:dyDescent="0.2">
      <c r="A186" s="113"/>
      <c r="B186" s="13"/>
      <c r="C186" s="62"/>
      <c r="D186" s="62"/>
      <c r="E186" s="64"/>
      <c r="F186" s="64"/>
      <c r="G186" s="64"/>
      <c r="H186" s="21"/>
      <c r="I186" s="21"/>
    </row>
    <row r="187" spans="1:9" x14ac:dyDescent="0.2">
      <c r="A187" s="67"/>
      <c r="B187" s="14"/>
      <c r="C187" s="73"/>
      <c r="D187" s="62"/>
      <c r="E187" s="57"/>
      <c r="F187" s="57"/>
      <c r="G187" s="57"/>
      <c r="H187" s="21"/>
      <c r="I187" s="21"/>
    </row>
    <row r="188" spans="1:9" x14ac:dyDescent="0.2">
      <c r="A188" s="67"/>
      <c r="B188" s="13"/>
      <c r="C188" s="73"/>
      <c r="D188" s="62"/>
      <c r="E188" s="57"/>
      <c r="F188" s="57"/>
      <c r="G188" s="57"/>
      <c r="H188" s="21"/>
      <c r="I188" s="21"/>
    </row>
    <row r="189" spans="1:9" x14ac:dyDescent="0.2">
      <c r="A189" s="67"/>
      <c r="B189" s="16"/>
      <c r="C189" s="73"/>
      <c r="D189" s="62"/>
      <c r="E189" s="57"/>
      <c r="F189" s="57"/>
      <c r="G189" s="57"/>
      <c r="H189" s="21"/>
      <c r="I189" s="21"/>
    </row>
    <row r="190" spans="1:9" x14ac:dyDescent="0.2">
      <c r="A190" s="67"/>
      <c r="B190" s="13"/>
      <c r="C190" s="73"/>
      <c r="D190" s="62"/>
      <c r="E190" s="57"/>
      <c r="F190" s="57"/>
      <c r="G190" s="57"/>
      <c r="H190" s="21"/>
      <c r="I190" s="21"/>
    </row>
    <row r="191" spans="1:9" x14ac:dyDescent="0.2">
      <c r="A191" s="67"/>
      <c r="B191" s="13"/>
      <c r="C191" s="73"/>
      <c r="D191" s="62"/>
      <c r="E191" s="57"/>
      <c r="F191" s="57"/>
      <c r="G191" s="21"/>
      <c r="H191" s="83"/>
      <c r="I191" s="57"/>
    </row>
    <row r="192" spans="1:9" x14ac:dyDescent="0.2">
      <c r="A192" s="64"/>
      <c r="B192" s="64"/>
      <c r="C192" s="64"/>
      <c r="D192" s="73"/>
      <c r="E192" s="64"/>
      <c r="F192" s="64"/>
      <c r="G192" s="64"/>
      <c r="H192" s="64"/>
      <c r="I192" s="57"/>
    </row>
    <row r="193" spans="1:9" x14ac:dyDescent="0.2">
      <c r="A193" s="93"/>
      <c r="B193" s="8"/>
      <c r="C193" s="73"/>
      <c r="D193" s="62"/>
      <c r="E193" s="64"/>
      <c r="F193" s="64"/>
      <c r="G193" s="64"/>
      <c r="H193" s="64"/>
      <c r="I193" s="21"/>
    </row>
    <row r="194" spans="1:9" x14ac:dyDescent="0.2">
      <c r="A194" s="93"/>
      <c r="B194" s="11"/>
      <c r="C194" s="73"/>
      <c r="D194" s="73"/>
      <c r="E194" s="64"/>
      <c r="F194" s="64"/>
      <c r="G194" s="64"/>
      <c r="H194" s="64"/>
      <c r="I194" s="64"/>
    </row>
    <row r="195" spans="1:9" x14ac:dyDescent="0.2">
      <c r="A195" s="100"/>
      <c r="B195" s="11"/>
      <c r="C195" s="73"/>
      <c r="D195" s="84"/>
      <c r="E195" s="21"/>
      <c r="F195" s="21"/>
      <c r="G195" s="21"/>
      <c r="H195" s="68"/>
      <c r="I195" s="57"/>
    </row>
    <row r="196" spans="1:9" x14ac:dyDescent="0.2">
      <c r="A196" s="100"/>
      <c r="B196" s="11"/>
      <c r="C196" s="73"/>
      <c r="D196" s="84"/>
      <c r="E196" s="21"/>
      <c r="F196" s="21"/>
      <c r="G196" s="21"/>
      <c r="H196" s="21"/>
      <c r="I196" s="21"/>
    </row>
    <row r="197" spans="1:9" x14ac:dyDescent="0.2">
      <c r="A197" s="21"/>
      <c r="B197" s="21"/>
      <c r="C197" s="21"/>
      <c r="D197" s="21"/>
      <c r="E197" s="21"/>
      <c r="F197" s="21"/>
      <c r="G197" s="68"/>
      <c r="H197" s="21"/>
      <c r="I197" s="21"/>
    </row>
    <row r="198" spans="1:9" x14ac:dyDescent="0.2">
      <c r="A198" s="21"/>
      <c r="B198" s="21"/>
      <c r="C198" s="21"/>
      <c r="D198" s="21"/>
      <c r="E198" s="57"/>
      <c r="F198" s="68" t="e">
        <f>IF(#REF!="Yes",IF(#REF!&gt;0,IF($B$195&gt;$B$196,"    Increase doubler or use full-pen. weld",""),""),"")</f>
        <v>#REF!</v>
      </c>
      <c r="G198" s="21"/>
      <c r="H198" s="21"/>
      <c r="I198" s="21"/>
    </row>
    <row r="199" spans="1:9" x14ac:dyDescent="0.2">
      <c r="A199" s="21"/>
      <c r="B199" s="21"/>
      <c r="C199" s="21"/>
      <c r="D199" s="21"/>
      <c r="E199" s="57"/>
      <c r="F199" s="57"/>
      <c r="G199" s="21"/>
      <c r="H199" s="21"/>
      <c r="I199" s="21"/>
    </row>
    <row r="200" spans="1:9" x14ac:dyDescent="0.2">
      <c r="A200" s="21"/>
      <c r="B200" s="21"/>
      <c r="C200" s="21"/>
      <c r="D200" s="21"/>
      <c r="E200" s="21"/>
      <c r="F200" s="21"/>
      <c r="G200" s="21"/>
      <c r="H200" s="21"/>
      <c r="I200" s="12"/>
    </row>
    <row r="201" spans="1:9" x14ac:dyDescent="0.2">
      <c r="A201" s="21"/>
      <c r="B201" s="21"/>
      <c r="C201" s="21"/>
      <c r="D201" s="21"/>
      <c r="E201" s="21"/>
      <c r="F201" s="21"/>
      <c r="G201" s="21"/>
      <c r="H201" s="94"/>
      <c r="I201" s="95"/>
    </row>
    <row r="202" spans="1:9" x14ac:dyDescent="0.2">
      <c r="A202" s="99"/>
      <c r="B202" s="21"/>
      <c r="C202" s="21"/>
      <c r="D202" s="21"/>
      <c r="E202" s="57"/>
      <c r="F202" s="57"/>
      <c r="G202" s="57"/>
      <c r="H202" s="94"/>
      <c r="I202" s="96"/>
    </row>
    <row r="203" spans="1:9" x14ac:dyDescent="0.2">
      <c r="A203" s="57"/>
      <c r="B203" s="51"/>
      <c r="C203" s="57"/>
      <c r="D203" s="62"/>
      <c r="E203" s="21"/>
      <c r="F203" s="51"/>
      <c r="G203" s="21"/>
      <c r="H203" s="97"/>
      <c r="I203" s="41"/>
    </row>
    <row r="204" spans="1:9" x14ac:dyDescent="0.2">
      <c r="A204" s="67"/>
      <c r="B204" s="14"/>
      <c r="C204" s="73"/>
      <c r="D204" s="62"/>
      <c r="E204" s="21"/>
      <c r="F204" s="51"/>
      <c r="G204" s="57"/>
      <c r="H204" s="94"/>
      <c r="I204" s="41"/>
    </row>
    <row r="205" spans="1:9" x14ac:dyDescent="0.2">
      <c r="A205" s="67"/>
      <c r="B205" s="13"/>
      <c r="C205" s="73"/>
      <c r="D205" s="62"/>
      <c r="E205" s="21"/>
      <c r="F205" s="51"/>
      <c r="G205" s="21"/>
      <c r="H205" s="21"/>
      <c r="I205" s="21"/>
    </row>
    <row r="206" spans="1:9" x14ac:dyDescent="0.2">
      <c r="A206" s="67"/>
      <c r="B206" s="13"/>
      <c r="C206" s="73"/>
      <c r="D206" s="62"/>
      <c r="E206" s="21"/>
      <c r="F206" s="21"/>
      <c r="G206" s="21"/>
      <c r="H206" s="83"/>
      <c r="I206" s="57"/>
    </row>
    <row r="207" spans="1:9" x14ac:dyDescent="0.2">
      <c r="A207" s="21"/>
      <c r="B207" s="21"/>
      <c r="C207" s="21"/>
      <c r="D207" s="21"/>
      <c r="E207" s="21"/>
      <c r="F207" s="21"/>
      <c r="G207" s="21"/>
      <c r="H207" s="21"/>
      <c r="I207" s="21"/>
    </row>
    <row r="208" spans="1:9" x14ac:dyDescent="0.2">
      <c r="A208" s="57"/>
      <c r="B208" s="64"/>
      <c r="C208" s="64"/>
      <c r="D208" s="73"/>
      <c r="E208" s="21"/>
      <c r="F208" s="21"/>
      <c r="G208" s="21"/>
      <c r="H208" s="21"/>
      <c r="I208" s="21"/>
    </row>
    <row r="209" spans="1:9" x14ac:dyDescent="0.2">
      <c r="A209" s="56"/>
      <c r="B209" s="11"/>
      <c r="C209" s="73"/>
      <c r="D209" s="73"/>
      <c r="E209" s="21"/>
      <c r="F209" s="21"/>
      <c r="G209" s="21"/>
      <c r="H209" s="21"/>
      <c r="I209" s="21"/>
    </row>
    <row r="210" spans="1:9" x14ac:dyDescent="0.2">
      <c r="A210" s="93"/>
      <c r="B210" s="8"/>
      <c r="C210" s="73"/>
      <c r="D210" s="73"/>
      <c r="E210" s="21"/>
      <c r="F210" s="21"/>
      <c r="G210" s="21"/>
      <c r="H210" s="21"/>
      <c r="I210" s="21"/>
    </row>
    <row r="211" spans="1:9" x14ac:dyDescent="0.2">
      <c r="A211" s="93"/>
      <c r="B211" s="11"/>
      <c r="C211" s="73"/>
      <c r="D211" s="73"/>
      <c r="E211" s="21"/>
      <c r="F211" s="21"/>
      <c r="G211" s="21"/>
      <c r="H211" s="21"/>
      <c r="I211" s="57"/>
    </row>
    <row r="212" spans="1:9" x14ac:dyDescent="0.2">
      <c r="A212" s="100"/>
      <c r="B212" s="11"/>
      <c r="C212" s="73"/>
      <c r="D212" s="84"/>
      <c r="E212" s="64"/>
      <c r="F212" s="21"/>
      <c r="G212" s="21"/>
      <c r="H212" s="68"/>
      <c r="I212" s="57"/>
    </row>
    <row r="213" spans="1:9" x14ac:dyDescent="0.2">
      <c r="A213" s="100"/>
      <c r="B213" s="11"/>
      <c r="C213" s="73"/>
      <c r="D213" s="84"/>
      <c r="E213" s="21"/>
      <c r="F213" s="21"/>
      <c r="G213" s="21"/>
      <c r="H213" s="21"/>
      <c r="I213" s="21"/>
    </row>
    <row r="214" spans="1:9" x14ac:dyDescent="0.2">
      <c r="A214" s="21"/>
      <c r="B214" s="21"/>
      <c r="C214" s="21"/>
      <c r="D214" s="21"/>
      <c r="E214" s="21"/>
      <c r="F214" s="21"/>
      <c r="G214" s="68"/>
      <c r="H214" s="21"/>
      <c r="I214" s="21"/>
    </row>
    <row r="215" spans="1:9" x14ac:dyDescent="0.2">
      <c r="A215" s="57"/>
      <c r="B215" s="21"/>
      <c r="C215" s="21"/>
      <c r="D215" s="21"/>
      <c r="E215" s="21"/>
      <c r="F215" s="68"/>
      <c r="G215" s="21"/>
      <c r="H215" s="21"/>
      <c r="I215" s="21"/>
    </row>
    <row r="216" spans="1:9" x14ac:dyDescent="0.2">
      <c r="A216" s="67"/>
      <c r="B216" s="8"/>
      <c r="C216" s="62"/>
      <c r="D216" s="62"/>
      <c r="E216" s="51"/>
      <c r="F216" s="21"/>
      <c r="G216" s="21"/>
      <c r="H216" s="21"/>
      <c r="I216" s="57"/>
    </row>
    <row r="217" spans="1:9" x14ac:dyDescent="0.2">
      <c r="A217" s="67"/>
      <c r="B217" s="8"/>
      <c r="C217" s="62"/>
      <c r="D217" s="62"/>
      <c r="E217" s="51"/>
      <c r="F217" s="51"/>
      <c r="G217" s="21"/>
      <c r="H217" s="83"/>
      <c r="I217" s="21"/>
    </row>
    <row r="218" spans="1:9" x14ac:dyDescent="0.2">
      <c r="A218" s="21"/>
      <c r="B218" s="21"/>
      <c r="C218" s="21"/>
      <c r="D218" s="21"/>
      <c r="E218" s="21"/>
      <c r="F218" s="21"/>
      <c r="G218" s="21"/>
      <c r="H218" s="21"/>
      <c r="I218" s="21"/>
    </row>
    <row r="219" spans="1:9" x14ac:dyDescent="0.2">
      <c r="A219" s="57"/>
      <c r="B219" s="57"/>
      <c r="C219" s="57"/>
      <c r="D219" s="62"/>
      <c r="E219" s="51"/>
      <c r="F219" s="51"/>
      <c r="G219" s="21"/>
      <c r="H219" s="21"/>
      <c r="I219" s="21"/>
    </row>
    <row r="220" spans="1:9" x14ac:dyDescent="0.2">
      <c r="A220" s="67"/>
      <c r="B220" s="15"/>
      <c r="C220" s="62"/>
      <c r="D220" s="62"/>
      <c r="E220" s="51"/>
      <c r="F220" s="51"/>
      <c r="G220" s="21"/>
      <c r="H220" s="21"/>
      <c r="I220" s="21"/>
    </row>
    <row r="221" spans="1:9" x14ac:dyDescent="0.2">
      <c r="A221" s="67"/>
      <c r="B221" s="8"/>
      <c r="C221" s="62"/>
      <c r="D221" s="62"/>
      <c r="E221" s="51"/>
      <c r="F221" s="51"/>
      <c r="G221" s="21"/>
      <c r="H221" s="21"/>
      <c r="I221" s="21"/>
    </row>
    <row r="222" spans="1:9" x14ac:dyDescent="0.2">
      <c r="A222" s="67"/>
      <c r="B222" s="8"/>
      <c r="C222" s="62"/>
      <c r="D222" s="62"/>
      <c r="E222" s="51"/>
      <c r="F222" s="51"/>
      <c r="G222" s="21"/>
      <c r="H222" s="21"/>
      <c r="I222" s="21"/>
    </row>
    <row r="223" spans="1:9" x14ac:dyDescent="0.2">
      <c r="A223" s="67"/>
      <c r="B223" s="8"/>
      <c r="C223" s="62"/>
      <c r="D223" s="62"/>
      <c r="E223" s="51"/>
      <c r="F223" s="51"/>
      <c r="G223" s="21"/>
      <c r="H223" s="83"/>
      <c r="I223" s="21"/>
    </row>
    <row r="224" spans="1:9" x14ac:dyDescent="0.2">
      <c r="A224" s="21"/>
      <c r="B224" s="21"/>
      <c r="C224" s="21"/>
      <c r="D224" s="21"/>
      <c r="E224" s="21"/>
      <c r="F224" s="21"/>
      <c r="G224" s="21"/>
      <c r="H224" s="21"/>
      <c r="I224" s="21"/>
    </row>
    <row r="225" spans="1:9" x14ac:dyDescent="0.2">
      <c r="A225" s="21"/>
      <c r="B225" s="21"/>
      <c r="C225" s="21"/>
      <c r="D225" s="21"/>
      <c r="E225" s="21"/>
      <c r="F225" s="21"/>
      <c r="G225" s="21"/>
      <c r="H225" s="21"/>
      <c r="I225" s="21"/>
    </row>
    <row r="226" spans="1:9" x14ac:dyDescent="0.2">
      <c r="A226" s="106"/>
      <c r="B226" s="21"/>
      <c r="C226" s="21"/>
      <c r="D226" s="21"/>
      <c r="E226" s="21"/>
      <c r="F226" s="21"/>
      <c r="G226" s="21"/>
      <c r="H226" s="21"/>
      <c r="I226" s="21"/>
    </row>
    <row r="227" spans="1:9" x14ac:dyDescent="0.2">
      <c r="A227" s="21"/>
      <c r="B227" s="21"/>
      <c r="C227" s="21"/>
      <c r="D227" s="21"/>
      <c r="E227" s="21"/>
      <c r="F227" s="21"/>
      <c r="G227" s="21"/>
      <c r="H227" s="21"/>
      <c r="I227" s="21"/>
    </row>
    <row r="228" spans="1:9" x14ac:dyDescent="0.2">
      <c r="A228" s="21"/>
      <c r="B228" s="21"/>
      <c r="C228" s="21"/>
      <c r="D228" s="21"/>
      <c r="E228" s="21"/>
      <c r="F228" s="21"/>
      <c r="G228" s="21"/>
      <c r="H228" s="21"/>
      <c r="I228" s="21"/>
    </row>
    <row r="229" spans="1:9" x14ac:dyDescent="0.2">
      <c r="A229" s="21"/>
      <c r="B229" s="21"/>
      <c r="C229" s="21"/>
      <c r="D229" s="21"/>
      <c r="E229" s="21"/>
      <c r="F229" s="21"/>
      <c r="G229" s="21"/>
      <c r="H229" s="21"/>
      <c r="I229" s="21"/>
    </row>
    <row r="230" spans="1:9" x14ac:dyDescent="0.2">
      <c r="A230" s="21"/>
      <c r="B230" s="21"/>
      <c r="C230" s="21"/>
      <c r="D230" s="21"/>
      <c r="E230" s="21"/>
      <c r="F230" s="21"/>
      <c r="G230" s="21"/>
      <c r="H230" s="21"/>
      <c r="I230" s="21"/>
    </row>
    <row r="231" spans="1:9" x14ac:dyDescent="0.2">
      <c r="A231" s="21"/>
      <c r="B231" s="21"/>
      <c r="C231" s="21"/>
      <c r="D231" s="21"/>
      <c r="E231" s="21"/>
      <c r="F231" s="21"/>
      <c r="G231" s="21"/>
      <c r="H231" s="21"/>
      <c r="I231" s="21"/>
    </row>
    <row r="232" spans="1:9" x14ac:dyDescent="0.2">
      <c r="A232" s="21"/>
      <c r="B232" s="21"/>
      <c r="C232" s="21"/>
      <c r="D232" s="21"/>
      <c r="E232" s="21"/>
      <c r="F232" s="21"/>
      <c r="G232" s="21"/>
      <c r="H232" s="21"/>
      <c r="I232" s="21"/>
    </row>
    <row r="233" spans="1:9" x14ac:dyDescent="0.2">
      <c r="A233" s="21"/>
      <c r="B233" s="21"/>
      <c r="C233" s="21"/>
      <c r="D233" s="21"/>
      <c r="E233" s="21"/>
      <c r="F233" s="21"/>
      <c r="G233" s="21"/>
      <c r="H233" s="21"/>
      <c r="I233" s="21"/>
    </row>
    <row r="234" spans="1:9" x14ac:dyDescent="0.2">
      <c r="A234" s="21"/>
      <c r="B234" s="21"/>
      <c r="C234" s="21"/>
      <c r="D234" s="21"/>
      <c r="E234" s="21"/>
      <c r="F234" s="21"/>
      <c r="G234" s="21"/>
      <c r="H234" s="21"/>
      <c r="I234" s="21"/>
    </row>
    <row r="235" spans="1:9" x14ac:dyDescent="0.2">
      <c r="A235" s="21"/>
      <c r="B235" s="21"/>
      <c r="C235" s="21"/>
      <c r="D235" s="21"/>
      <c r="E235" s="21"/>
      <c r="F235" s="21"/>
      <c r="G235" s="21"/>
      <c r="H235" s="21"/>
      <c r="I235" s="21"/>
    </row>
    <row r="236" spans="1:9" x14ac:dyDescent="0.2">
      <c r="A236" s="21"/>
      <c r="B236" s="21"/>
      <c r="C236" s="21"/>
      <c r="D236" s="21"/>
      <c r="E236" s="21"/>
      <c r="F236" s="21"/>
      <c r="G236" s="21"/>
      <c r="H236" s="21"/>
      <c r="I236" s="21"/>
    </row>
    <row r="237" spans="1:9" x14ac:dyDescent="0.2">
      <c r="A237" s="21"/>
      <c r="B237" s="21"/>
      <c r="C237" s="21"/>
      <c r="D237" s="21"/>
      <c r="E237" s="21"/>
      <c r="F237" s="21"/>
      <c r="G237" s="21"/>
      <c r="H237" s="21"/>
      <c r="I237" s="21"/>
    </row>
    <row r="238" spans="1:9" x14ac:dyDescent="0.2">
      <c r="A238" s="21"/>
      <c r="B238" s="21"/>
      <c r="C238" s="21"/>
      <c r="D238" s="21"/>
      <c r="E238" s="21"/>
      <c r="F238" s="21"/>
      <c r="G238" s="21"/>
      <c r="H238" s="21"/>
      <c r="I238" s="21"/>
    </row>
    <row r="239" spans="1:9" x14ac:dyDescent="0.2">
      <c r="A239" s="21"/>
      <c r="B239" s="21"/>
      <c r="C239" s="21"/>
      <c r="D239" s="21"/>
      <c r="E239" s="21"/>
      <c r="F239" s="21"/>
      <c r="G239" s="21"/>
      <c r="H239" s="21"/>
      <c r="I239" s="21"/>
    </row>
    <row r="240" spans="1:9" x14ac:dyDescent="0.2">
      <c r="A240" s="21"/>
      <c r="B240" s="21"/>
      <c r="C240" s="21"/>
      <c r="D240" s="21"/>
      <c r="E240" s="21"/>
      <c r="F240" s="21"/>
      <c r="G240" s="21"/>
      <c r="H240" s="21"/>
      <c r="I240" s="21"/>
    </row>
    <row r="241" spans="1:9" x14ac:dyDescent="0.2">
      <c r="A241" s="21"/>
      <c r="B241" s="21"/>
      <c r="C241" s="21"/>
      <c r="D241" s="21"/>
      <c r="E241" s="21"/>
      <c r="F241" s="21"/>
      <c r="G241" s="21"/>
      <c r="H241" s="21"/>
      <c r="I241" s="21"/>
    </row>
    <row r="242" spans="1:9" x14ac:dyDescent="0.2">
      <c r="A242" s="21"/>
      <c r="B242" s="21"/>
      <c r="C242" s="21"/>
      <c r="D242" s="21"/>
      <c r="E242" s="21"/>
      <c r="F242" s="21"/>
      <c r="G242" s="21"/>
      <c r="H242" s="21"/>
      <c r="I242" s="21"/>
    </row>
    <row r="243" spans="1:9" x14ac:dyDescent="0.2">
      <c r="A243" s="21"/>
      <c r="B243" s="21"/>
      <c r="C243" s="21"/>
      <c r="D243" s="21"/>
      <c r="E243" s="21"/>
      <c r="F243" s="21"/>
      <c r="G243" s="21"/>
      <c r="H243" s="21"/>
      <c r="I243" s="21"/>
    </row>
    <row r="244" spans="1:9" x14ac:dyDescent="0.2">
      <c r="A244" s="21"/>
      <c r="B244" s="21"/>
      <c r="C244" s="21"/>
      <c r="D244" s="21"/>
      <c r="E244" s="21"/>
      <c r="F244" s="21"/>
      <c r="G244" s="21"/>
      <c r="H244" s="21"/>
      <c r="I244" s="21"/>
    </row>
    <row r="245" spans="1:9" x14ac:dyDescent="0.2">
      <c r="A245" s="21"/>
      <c r="B245" s="21"/>
      <c r="C245" s="21"/>
      <c r="D245" s="21"/>
      <c r="E245" s="21"/>
      <c r="F245" s="21"/>
      <c r="G245" s="21"/>
      <c r="H245" s="21"/>
      <c r="I245" s="21"/>
    </row>
    <row r="246" spans="1:9" x14ac:dyDescent="0.2">
      <c r="A246" s="21"/>
      <c r="B246" s="21"/>
      <c r="C246" s="21"/>
      <c r="D246" s="21"/>
      <c r="E246" s="21"/>
      <c r="F246" s="21"/>
      <c r="G246" s="21"/>
      <c r="H246" s="21"/>
      <c r="I246" s="21"/>
    </row>
    <row r="247" spans="1:9" x14ac:dyDescent="0.2">
      <c r="A247" s="21"/>
      <c r="B247" s="21"/>
      <c r="C247" s="21"/>
      <c r="D247" s="21"/>
      <c r="E247" s="21"/>
      <c r="F247" s="21"/>
      <c r="G247" s="21"/>
      <c r="H247" s="21"/>
      <c r="I247" s="21"/>
    </row>
    <row r="248" spans="1:9" x14ac:dyDescent="0.2">
      <c r="A248" s="21"/>
      <c r="B248" s="21"/>
      <c r="C248" s="21"/>
      <c r="D248" s="21"/>
      <c r="E248" s="21"/>
      <c r="F248" s="21"/>
      <c r="G248" s="21"/>
      <c r="H248" s="21"/>
      <c r="I248" s="21"/>
    </row>
    <row r="249" spans="1:9" x14ac:dyDescent="0.2">
      <c r="A249" s="21"/>
      <c r="B249" s="21"/>
      <c r="C249" s="21"/>
      <c r="D249" s="21"/>
      <c r="E249" s="21"/>
      <c r="F249" s="21"/>
      <c r="G249" s="21"/>
      <c r="H249" s="21"/>
      <c r="I249" s="21"/>
    </row>
    <row r="250" spans="1:9" x14ac:dyDescent="0.2">
      <c r="A250" s="21"/>
      <c r="B250" s="21"/>
      <c r="C250" s="21"/>
      <c r="D250" s="21"/>
      <c r="E250" s="21"/>
      <c r="F250" s="21"/>
      <c r="G250" s="21"/>
      <c r="H250" s="21"/>
      <c r="I250" s="21"/>
    </row>
  </sheetData>
  <sheetProtection sheet="1" objects="1" scenarios="1"/>
  <phoneticPr fontId="0" type="noConversion"/>
  <dataValidations xWindow="208" yWindow="358" count="6">
    <dataValidation type="decimal" operator="greaterThan" allowBlank="1" showInputMessage="1" showErrorMessage="1" error="The value input MUST BE &gt; 0!" prompt="The value 'Pv' is actually the vertical component of the resultant load, 'P'.  'Pv' should always be input as a positive number (&gt;0)." sqref="C12">
      <formula1>0</formula1>
    </dataValidation>
    <dataValidation type="decimal" operator="greaterThanOrEqual" allowBlank="1" showInputMessage="1" showErrorMessage="1" error="The value input MUST BE &gt;= 0!" prompt="The value of 'Ph' is actually the horizontal component of the resultant load, 'P'.  'Ph' may be input = 0 for conditions where only vertical load applies.  'Ph' is assumed applied at the C.G. of the weld group." sqref="C13">
      <formula1>0</formula1>
    </dataValidation>
    <dataValidation type="decimal" allowBlank="1" showInputMessage="1" showErrorMessage="1" error="The value input MUST BE between 0 and 3*L!" prompt="The value input here should be the distance from the point of application of the vertical load (Pv) to the C.G. of the weld group." sqref="C14">
      <formula1>0</formula1>
      <formula2>3*$C$9</formula2>
    </dataValidation>
    <dataValidation type="decimal" allowBlank="1" showInputMessage="1" showErrorMessage="1" error="The value input MUST BE between 0 and 2*L!" sqref="C10">
      <formula1>0</formula1>
      <formula2>2*$C$9</formula2>
    </dataValidation>
    <dataValidation type="list" allowBlank="1" showInputMessage="1" showErrorMessage="1" error="Invalid fillet weld size!" sqref="C11">
      <formula1>$K$3:$K$11</formula1>
    </dataValidation>
    <dataValidation type="decimal" operator="greaterThanOrEqual" allowBlank="1" showInputMessage="1" showErrorMessage="1" error="The value input MUST BE &gt;= 0.5*(kL)!_x000a_Use &quot;Weld Group (elastic)&quot; worksheet" sqref="C9">
      <formula1>0.5*$C$10</formula1>
    </dataValidation>
  </dataValidations>
  <pageMargins left="1" right="0.5" top="1" bottom="1" header="0.5" footer="0.5"/>
  <pageSetup scale="98" orientation="portrait" r:id="rId1"/>
  <headerFooter alignWithMargins="0">
    <oddHeader>&amp;R"WELDGRP.xls" Program
Version 2.3</oddHeader>
    <oddFooter>&amp;C&amp;P of &amp;N&amp;R&amp;D  &amp;T</oddFooter>
  </headerFooter>
  <rowBreaks count="3" manualBreakCount="3">
    <brk id="100" max="8" man="1"/>
    <brk id="150" max="8" man="1"/>
    <brk id="200" max="8" man="1"/>
  </rowBreaks>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12112111111111122"/>
  <dimension ref="A1:AF250"/>
  <sheetViews>
    <sheetView tabSelected="1" zoomScaleNormal="100" workbookViewId="0"/>
  </sheetViews>
  <sheetFormatPr defaultRowHeight="12.75" x14ac:dyDescent="0.2"/>
  <cols>
    <col min="1" max="1" width="11.28515625" style="18" customWidth="1"/>
    <col min="2" max="2" width="9.140625" style="18"/>
    <col min="3" max="4" width="10.7109375" style="18" customWidth="1"/>
    <col min="5" max="8" width="9.140625" style="18"/>
    <col min="9" max="9" width="12.140625" style="18" customWidth="1"/>
    <col min="10" max="10" width="9.140625" style="43" hidden="1" customWidth="1"/>
    <col min="11" max="13" width="0" style="43" hidden="1" customWidth="1"/>
    <col min="14" max="14" width="0" style="44" hidden="1" customWidth="1"/>
    <col min="15" max="23" width="0" style="43" hidden="1" customWidth="1"/>
    <col min="24" max="27" width="0" style="18" hidden="1" customWidth="1"/>
    <col min="28" max="16384" width="9.140625" style="18"/>
  </cols>
  <sheetData>
    <row r="1" spans="1:32" ht="15.75" x14ac:dyDescent="0.25">
      <c r="A1" s="17" t="s">
        <v>1205</v>
      </c>
      <c r="B1" s="26"/>
      <c r="C1" s="26"/>
      <c r="D1" s="26"/>
      <c r="E1" s="26"/>
      <c r="F1" s="26"/>
      <c r="G1" s="26"/>
      <c r="H1" s="26"/>
      <c r="I1" s="285"/>
      <c r="J1" s="213"/>
      <c r="K1" s="245"/>
      <c r="L1" s="129"/>
      <c r="M1" s="82" t="s">
        <v>1181</v>
      </c>
      <c r="N1" s="43"/>
      <c r="O1" s="44"/>
      <c r="R1" s="51"/>
      <c r="AB1" s="317" t="s">
        <v>1266</v>
      </c>
      <c r="AC1" s="43"/>
      <c r="AD1" s="43"/>
      <c r="AE1" s="43"/>
      <c r="AF1" s="43"/>
    </row>
    <row r="2" spans="1:32" x14ac:dyDescent="0.2">
      <c r="A2" s="27" t="s">
        <v>1365</v>
      </c>
      <c r="B2" s="28"/>
      <c r="C2" s="28"/>
      <c r="D2" s="28"/>
      <c r="E2" s="28"/>
      <c r="F2" s="28"/>
      <c r="G2" s="28"/>
      <c r="H2" s="28"/>
      <c r="I2" s="292"/>
      <c r="J2" s="213"/>
      <c r="K2" s="41"/>
      <c r="L2" s="129"/>
      <c r="N2" s="43"/>
      <c r="O2" s="44"/>
      <c r="R2" s="51"/>
      <c r="AB2" s="43"/>
      <c r="AC2" s="43"/>
      <c r="AD2" s="43"/>
      <c r="AE2" s="43"/>
      <c r="AF2" s="43"/>
    </row>
    <row r="3" spans="1:32" x14ac:dyDescent="0.2">
      <c r="A3" s="20" t="s">
        <v>1162</v>
      </c>
      <c r="B3" s="34"/>
      <c r="C3" s="34"/>
      <c r="D3" s="34"/>
      <c r="E3" s="34"/>
      <c r="F3" s="34"/>
      <c r="G3" s="34"/>
      <c r="H3" s="34"/>
      <c r="I3" s="326"/>
      <c r="J3" s="213"/>
      <c r="K3" s="208">
        <v>0.125</v>
      </c>
      <c r="M3" s="69" t="s">
        <v>1196</v>
      </c>
      <c r="N3" s="11">
        <f>$C$9</f>
        <v>10</v>
      </c>
      <c r="O3" s="59" t="s">
        <v>1172</v>
      </c>
      <c r="P3" s="59" t="s">
        <v>1178</v>
      </c>
      <c r="R3" s="51"/>
      <c r="AB3" s="43"/>
      <c r="AC3" s="43"/>
      <c r="AD3" s="43"/>
      <c r="AE3" s="43"/>
      <c r="AF3" s="43"/>
    </row>
    <row r="4" spans="1:32" x14ac:dyDescent="0.2">
      <c r="A4" s="286" t="s">
        <v>1115</v>
      </c>
      <c r="B4" s="287"/>
      <c r="C4" s="288"/>
      <c r="D4" s="288"/>
      <c r="E4" s="288"/>
      <c r="F4" s="291" t="s">
        <v>1206</v>
      </c>
      <c r="G4" s="423"/>
      <c r="H4" s="424"/>
      <c r="I4" s="314"/>
      <c r="J4" s="121"/>
      <c r="K4" s="208">
        <v>0.1875</v>
      </c>
      <c r="M4" s="69" t="s">
        <v>1180</v>
      </c>
      <c r="N4" s="11">
        <f>$C$10</f>
        <v>5</v>
      </c>
      <c r="O4" s="59" t="s">
        <v>1172</v>
      </c>
      <c r="P4" s="59" t="s">
        <v>1100</v>
      </c>
      <c r="R4" s="51"/>
      <c r="AB4" s="45" t="s">
        <v>1174</v>
      </c>
      <c r="AC4" s="43"/>
      <c r="AD4" s="43"/>
      <c r="AE4" s="43"/>
      <c r="AF4" s="43"/>
    </row>
    <row r="5" spans="1:32" x14ac:dyDescent="0.2">
      <c r="A5" s="286" t="s">
        <v>1111</v>
      </c>
      <c r="B5" s="313"/>
      <c r="C5" s="289"/>
      <c r="D5" s="289"/>
      <c r="E5" s="290"/>
      <c r="F5" s="291" t="s">
        <v>1207</v>
      </c>
      <c r="G5" s="312"/>
      <c r="H5" s="131" t="s">
        <v>1208</v>
      </c>
      <c r="I5" s="544"/>
      <c r="J5" s="121"/>
      <c r="K5" s="208">
        <v>0.25</v>
      </c>
      <c r="M5" s="69"/>
      <c r="N5" s="11"/>
      <c r="O5" s="59"/>
      <c r="P5" s="110"/>
      <c r="R5" s="51"/>
      <c r="AB5" s="12" t="s">
        <v>1173</v>
      </c>
      <c r="AC5" s="49" t="s">
        <v>1113</v>
      </c>
      <c r="AD5" s="43"/>
      <c r="AE5" s="43"/>
      <c r="AF5" s="50" t="s">
        <v>1081</v>
      </c>
    </row>
    <row r="6" spans="1:32" x14ac:dyDescent="0.2">
      <c r="A6" s="30"/>
      <c r="B6" s="121"/>
      <c r="C6" s="121"/>
      <c r="D6" s="121"/>
      <c r="E6" s="121"/>
      <c r="F6" s="121"/>
      <c r="G6" s="121"/>
      <c r="H6" s="121"/>
      <c r="I6" s="547"/>
      <c r="J6" s="21"/>
      <c r="K6" s="208">
        <v>0.3125</v>
      </c>
      <c r="M6" s="69" t="s">
        <v>1085</v>
      </c>
      <c r="N6" s="11">
        <f>$C$14</f>
        <v>10</v>
      </c>
      <c r="O6" s="59" t="s">
        <v>1172</v>
      </c>
      <c r="P6" s="110" t="s">
        <v>1118</v>
      </c>
      <c r="AB6" s="101" t="s">
        <v>1179</v>
      </c>
      <c r="AC6" s="43"/>
      <c r="AD6" s="43"/>
      <c r="AE6" s="43"/>
      <c r="AF6" s="85"/>
    </row>
    <row r="7" spans="1:32" x14ac:dyDescent="0.2">
      <c r="A7" s="115" t="s">
        <v>1112</v>
      </c>
      <c r="B7" s="121"/>
      <c r="C7" s="121"/>
      <c r="D7" s="121"/>
      <c r="E7" s="121"/>
      <c r="F7" s="121"/>
      <c r="G7" s="121"/>
      <c r="H7" s="121"/>
      <c r="I7" s="547"/>
      <c r="J7" s="21"/>
      <c r="K7" s="208">
        <v>0.375</v>
      </c>
      <c r="M7" s="69" t="s">
        <v>1124</v>
      </c>
      <c r="N7" s="11">
        <f>$N$6/$N$3</f>
        <v>1</v>
      </c>
      <c r="O7" s="59"/>
      <c r="P7" s="110" t="s">
        <v>1086</v>
      </c>
      <c r="AB7" s="48">
        <v>42</v>
      </c>
      <c r="AC7" s="63" t="str">
        <f>IF($C$11*16&gt;=$N$18,"D(prov'd) &gt;= D(req'd), O.K.","D(prov'd) &lt; D(req'd), Fail")</f>
        <v>D(prov'd) &gt;= D(req'd), O.K.</v>
      </c>
      <c r="AD7" s="43"/>
      <c r="AE7" s="43"/>
      <c r="AF7" s="239">
        <f>$N$18/($C$11*16)</f>
        <v>0.999</v>
      </c>
    </row>
    <row r="8" spans="1:32" x14ac:dyDescent="0.2">
      <c r="A8" s="30"/>
      <c r="B8" s="21"/>
      <c r="C8" s="21"/>
      <c r="D8" s="21"/>
      <c r="E8" s="21"/>
      <c r="F8" s="21"/>
      <c r="G8" s="234" t="str">
        <f>"    aL="&amp;$N$6</f>
        <v xml:space="preserve">    aL=10</v>
      </c>
      <c r="H8" s="51"/>
      <c r="I8" s="549"/>
      <c r="J8" s="238"/>
      <c r="K8" s="208">
        <v>0.4375</v>
      </c>
      <c r="M8" s="69" t="s">
        <v>1138</v>
      </c>
      <c r="N8" s="11">
        <f>$N$4/$N$3</f>
        <v>0.5</v>
      </c>
      <c r="O8" s="134" t="str">
        <f>IF($N$8&gt;2,"Value of 'k' exceeds 2.0, beyond scope of table!","")</f>
        <v/>
      </c>
      <c r="P8" s="110" t="s">
        <v>1088</v>
      </c>
      <c r="AB8" s="48">
        <v>43</v>
      </c>
      <c r="AC8" s="63" t="str">
        <f>IF($N$3&gt;=$N$19,"L(prov'd) &gt;= L(req'd), O.K.","L(prov'd) &lt; L(req'd), Fail")</f>
        <v>L(prov'd) &gt;= L(req'd), O.K.</v>
      </c>
      <c r="AD8" s="43"/>
      <c r="AE8" s="43"/>
      <c r="AF8" s="239">
        <f>$N$19/$N$3</f>
        <v>0.99890000000000012</v>
      </c>
    </row>
    <row r="9" spans="1:32" x14ac:dyDescent="0.2">
      <c r="A9" s="30"/>
      <c r="B9" s="56" t="s">
        <v>1091</v>
      </c>
      <c r="C9" s="280">
        <v>10</v>
      </c>
      <c r="D9" s="138" t="s">
        <v>1172</v>
      </c>
      <c r="E9" s="40"/>
      <c r="F9" s="133"/>
      <c r="G9" s="234"/>
      <c r="H9" s="25" t="str">
        <f>"  Pv="&amp;$C$12&amp;" k"</f>
        <v xml:space="preserve">  Pv=76 k</v>
      </c>
      <c r="I9" s="293"/>
      <c r="J9" s="112"/>
      <c r="K9" s="208">
        <v>0.5</v>
      </c>
      <c r="M9" s="46" t="s">
        <v>1184</v>
      </c>
      <c r="N9" s="136">
        <f>1</f>
        <v>1</v>
      </c>
      <c r="O9" s="44"/>
      <c r="P9" s="44" t="s">
        <v>1185</v>
      </c>
      <c r="S9" s="48"/>
      <c r="T9" s="63"/>
      <c r="W9" s="11"/>
    </row>
    <row r="10" spans="1:32" x14ac:dyDescent="0.2">
      <c r="A10" s="30"/>
      <c r="B10" s="56" t="s">
        <v>1140</v>
      </c>
      <c r="C10" s="281">
        <v>5</v>
      </c>
      <c r="D10" s="138" t="s">
        <v>1172</v>
      </c>
      <c r="E10" s="21"/>
      <c r="F10" s="21"/>
      <c r="G10" s="21"/>
      <c r="H10" s="114" t="s">
        <v>1488</v>
      </c>
      <c r="I10" s="294" t="str">
        <f>""&amp;ROUND($N$12,2)</f>
        <v>0</v>
      </c>
      <c r="J10" s="112"/>
      <c r="K10" s="208">
        <v>0.5625</v>
      </c>
      <c r="M10" s="69" t="s">
        <v>1122</v>
      </c>
      <c r="N10" s="11">
        <f>ROUND(IF($N$8&lt;=1,$AA$51,"N.A."),3)</f>
        <v>0.95099999999999996</v>
      </c>
      <c r="O10" s="137"/>
      <c r="P10" s="110" t="s">
        <v>1119</v>
      </c>
    </row>
    <row r="11" spans="1:32" x14ac:dyDescent="0.2">
      <c r="A11" s="30"/>
      <c r="B11" s="56" t="s">
        <v>1197</v>
      </c>
      <c r="C11" s="282">
        <v>0.5</v>
      </c>
      <c r="D11" s="138" t="str">
        <f>"in. = "&amp;$C$11*16&amp;" (1/16's)"</f>
        <v>in. = 8 (1/16's)</v>
      </c>
      <c r="E11" s="21"/>
      <c r="F11" s="21"/>
      <c r="G11" s="21"/>
      <c r="H11" s="21"/>
      <c r="I11" s="509"/>
      <c r="J11" s="112"/>
      <c r="K11" s="208">
        <v>0.625</v>
      </c>
      <c r="M11" s="46" t="s">
        <v>1187</v>
      </c>
      <c r="N11" s="54">
        <f>ROUND(SQRT($C$12^2+$C$13^2),2)</f>
        <v>76</v>
      </c>
      <c r="O11" s="44" t="s">
        <v>1114</v>
      </c>
      <c r="P11" s="44" t="s">
        <v>1120</v>
      </c>
      <c r="AC11" s="301" t="str">
        <f>IF(OR($N$18&gt;$C$11*16,$N$19&gt;$N$3),"Weld is overstressed!","Weld is adequate!")</f>
        <v>Weld is adequate!</v>
      </c>
      <c r="AD11" s="35"/>
      <c r="AE11" s="36"/>
    </row>
    <row r="12" spans="1:32" x14ac:dyDescent="0.2">
      <c r="A12" s="30"/>
      <c r="B12" s="56" t="s">
        <v>1102</v>
      </c>
      <c r="C12" s="283">
        <v>76</v>
      </c>
      <c r="D12" s="138" t="s">
        <v>1114</v>
      </c>
      <c r="E12" s="21"/>
      <c r="F12" s="23"/>
      <c r="G12" s="21"/>
      <c r="H12" s="300"/>
      <c r="I12" s="294" t="str">
        <f>IF($C$13&gt;0,"     P="&amp;$N$11&amp;" k","     P=Pv")</f>
        <v xml:space="preserve">     P=Pv</v>
      </c>
      <c r="J12" s="112"/>
      <c r="M12" s="46" t="s">
        <v>1183</v>
      </c>
      <c r="N12" s="52">
        <f>IF($C$13&gt;0,ROUND(90-(ATAN($C$12/$C$13)*(180/PI())),3),0)</f>
        <v>0</v>
      </c>
      <c r="O12" s="44" t="s">
        <v>1103</v>
      </c>
      <c r="P12" s="102" t="s">
        <v>1157</v>
      </c>
      <c r="AC12" s="302" t="str">
        <f>IF($N$18&gt;$C$11*16,"D(req'd) = "&amp;$N$18&amp;" &gt; "&amp;$C$11*16&amp;" (1/16's)","D(req'd) = "&amp;$N$18&amp;" &lt;= "&amp;$C$11*16&amp;" (1/16's)")</f>
        <v>D(req'd) = 7.992 &lt;= 8 (1/16's)</v>
      </c>
      <c r="AD12" s="37"/>
      <c r="AE12" s="303"/>
    </row>
    <row r="13" spans="1:32" x14ac:dyDescent="0.2">
      <c r="A13" s="30"/>
      <c r="B13" s="56" t="s">
        <v>1121</v>
      </c>
      <c r="C13" s="283">
        <v>0</v>
      </c>
      <c r="D13" s="138" t="s">
        <v>1114</v>
      </c>
      <c r="E13" s="231" t="str">
        <f>"L ="</f>
        <v>L =</v>
      </c>
      <c r="F13" s="21"/>
      <c r="G13" s="142"/>
      <c r="H13" s="60"/>
      <c r="I13" s="295"/>
      <c r="J13" s="112"/>
      <c r="M13" s="46" t="s">
        <v>1160</v>
      </c>
      <c r="N13" s="52" t="str">
        <f>IF($N$12&gt;0,$N$10,"N.A.")</f>
        <v>N.A.</v>
      </c>
      <c r="O13" s="44"/>
      <c r="P13" s="103" t="s">
        <v>1142</v>
      </c>
      <c r="AC13" s="304" t="str">
        <f>IF($N$19&gt;$N$3,"L(req'd) = "&amp;$N$19&amp;" &gt; "&amp;$N$3&amp;" in.","L(req'd) = "&amp;$N$19&amp;" &lt;= "&amp;$N$3&amp;" in.")</f>
        <v>L(req'd) = 9.989 &lt;= 10 in.</v>
      </c>
      <c r="AD13" s="305"/>
      <c r="AE13" s="306"/>
    </row>
    <row r="14" spans="1:32" x14ac:dyDescent="0.2">
      <c r="A14" s="30"/>
      <c r="B14" s="56" t="s">
        <v>1128</v>
      </c>
      <c r="C14" s="284">
        <v>10</v>
      </c>
      <c r="D14" s="138" t="s">
        <v>1172</v>
      </c>
      <c r="E14" s="231">
        <f>$N$3</f>
        <v>10</v>
      </c>
      <c r="F14" s="142" t="s">
        <v>1490</v>
      </c>
      <c r="G14" s="21"/>
      <c r="H14" s="60"/>
      <c r="I14" s="293"/>
      <c r="K14" s="208"/>
      <c r="M14" s="46" t="s">
        <v>1130</v>
      </c>
      <c r="N14" s="52" t="str">
        <f>IF($N$12&gt;0,0.928*(2+2*$N$8),"N.A.")</f>
        <v>N.A.</v>
      </c>
      <c r="O14" s="44"/>
      <c r="P14" s="103" t="s">
        <v>1170</v>
      </c>
    </row>
    <row r="15" spans="1:32" x14ac:dyDescent="0.2">
      <c r="A15" s="30"/>
      <c r="B15" s="21"/>
      <c r="C15" s="21"/>
      <c r="D15" s="21"/>
      <c r="E15" s="21"/>
      <c r="F15" s="145"/>
      <c r="G15" s="21"/>
      <c r="H15" s="40"/>
      <c r="I15" s="294" t="str">
        <f>IF($C$13&gt;0,"Ph="&amp;$C$13&amp;" k","Ph=0")</f>
        <v>Ph=0</v>
      </c>
      <c r="J15" s="112"/>
      <c r="K15" s="208"/>
      <c r="M15" s="46" t="s">
        <v>1188</v>
      </c>
      <c r="N15" s="52" t="str">
        <f>IF($N$12&gt;0,IF($N$14/$N$13&lt;1,1,$N$14/$N$13),"N.A.")</f>
        <v>N.A.</v>
      </c>
      <c r="O15" s="44"/>
      <c r="P15" s="103" t="s">
        <v>1132</v>
      </c>
    </row>
    <row r="16" spans="1:32" x14ac:dyDescent="0.2">
      <c r="A16" s="22" t="s">
        <v>1201</v>
      </c>
      <c r="B16" s="21"/>
      <c r="C16" s="21"/>
      <c r="D16" s="21"/>
      <c r="E16" s="143"/>
      <c r="F16" s="23"/>
      <c r="G16" s="21"/>
      <c r="H16" s="21"/>
      <c r="I16" s="502" t="str">
        <f>IF($C$13&gt;0,"(@ C.G.)","")</f>
        <v/>
      </c>
      <c r="J16" s="112"/>
      <c r="K16" s="208"/>
      <c r="M16" s="46" t="s">
        <v>1133</v>
      </c>
      <c r="N16" s="52" t="str">
        <f>IF($N$12&gt;0,IF($N$15/(SIN($N$12*PI()/180)+$N$15*COS($N$12*PI()/180))&lt;1,1,$N$15/(SIN($N$12*PI()/180)+$N$15*COS($N$12*PI()/180))),"N.A.")</f>
        <v>N.A.</v>
      </c>
      <c r="O16" s="44"/>
      <c r="P16" s="44" t="s">
        <v>1198</v>
      </c>
    </row>
    <row r="17" spans="1:27" ht="12.75" customHeight="1" x14ac:dyDescent="0.2">
      <c r="A17" s="30"/>
      <c r="B17" s="21"/>
      <c r="C17" s="21"/>
      <c r="D17" s="21"/>
      <c r="E17" s="21"/>
      <c r="F17" s="21"/>
      <c r="G17" s="51"/>
      <c r="H17" s="21"/>
      <c r="I17" s="293"/>
      <c r="J17" s="112"/>
      <c r="K17" s="208"/>
      <c r="M17" s="46" t="s">
        <v>1143</v>
      </c>
      <c r="N17" s="52" t="str">
        <f>IF($N$12&gt;0,ROUND($N$16*$N$13,3),"N.A.")</f>
        <v>N.A.</v>
      </c>
      <c r="O17" s="44"/>
      <c r="P17" s="44" t="s">
        <v>1105</v>
      </c>
      <c r="S17" s="61"/>
      <c r="T17" s="11"/>
    </row>
    <row r="18" spans="1:27" x14ac:dyDescent="0.2">
      <c r="A18" s="105" t="str">
        <f>IF($C$13&gt;0,"P = Ca*C1*D*L  (for inclined load)","P = Pv = C*C1*D*L  (for vertical load only)")</f>
        <v>P = Pv = C*C1*D*L  (for vertical load only)</v>
      </c>
      <c r="B18" s="21"/>
      <c r="C18" s="21"/>
      <c r="D18" s="21"/>
      <c r="E18" s="21"/>
      <c r="F18" s="42" t="str">
        <f>"    kL=  "&amp;$N$4</f>
        <v xml:space="preserve">    kL=  5</v>
      </c>
      <c r="G18" s="51"/>
      <c r="H18" s="23"/>
      <c r="I18" s="293"/>
      <c r="J18" s="112"/>
      <c r="K18" s="208"/>
      <c r="M18" s="69" t="s">
        <v>1193</v>
      </c>
      <c r="N18" s="11">
        <f>IF($N$12&gt;0,ROUND($N$11/($N$17*$N$9*$N$3),3),ROUND($N$11/($N$10*$N$9*$N$3),3))</f>
        <v>7.992</v>
      </c>
      <c r="O18" s="140" t="s">
        <v>1099</v>
      </c>
      <c r="P18" s="59" t="str">
        <f>IF($N$12&gt;0,"D(req'd) = P/(Ca*C1*L)","D(req'd) = P/(C*C1*L)")</f>
        <v>D(req'd) = P/(C*C1*L)</v>
      </c>
      <c r="S18" s="61"/>
      <c r="T18" s="11"/>
    </row>
    <row r="19" spans="1:27" x14ac:dyDescent="0.2">
      <c r="A19" s="30" t="s">
        <v>1154</v>
      </c>
      <c r="B19" s="21"/>
      <c r="C19" s="21"/>
      <c r="D19" s="21"/>
      <c r="E19" s="21"/>
      <c r="F19" s="21"/>
      <c r="G19" s="51"/>
      <c r="H19" s="21"/>
      <c r="I19" s="293"/>
      <c r="J19" s="112"/>
      <c r="K19" s="208"/>
      <c r="M19" s="69" t="s">
        <v>1190</v>
      </c>
      <c r="N19" s="11">
        <f>IF($N$12&gt;0,ROUND($N$11/($N$9*$N$17*($C$11*16)),3),ROUND($N$11/($N$9*$N$10*($C$11*16)),3))</f>
        <v>9.9890000000000008</v>
      </c>
      <c r="O19" s="59" t="s">
        <v>1172</v>
      </c>
      <c r="P19" s="59" t="str">
        <f>IF($N$12&gt;0,"L(req'd) = P/(Ca*C1*D)","L(req'd) = P/(C*C1*D)")</f>
        <v>L(req'd) = P/(C*C1*D)</v>
      </c>
    </row>
    <row r="20" spans="1:27" x14ac:dyDescent="0.2">
      <c r="A20" s="296" t="str">
        <f>IF($C$13&gt;0,"Ca = coefficient for inclined load, Alt. Method 2","C = coefficient interpolated from Table XXI")</f>
        <v>C = coefficient interpolated from Table XXI</v>
      </c>
      <c r="B20" s="21"/>
      <c r="C20" s="21"/>
      <c r="D20" s="21"/>
      <c r="E20" s="21"/>
      <c r="F20" s="21"/>
      <c r="G20" s="21"/>
      <c r="H20" s="21"/>
      <c r="I20" s="24"/>
      <c r="J20" s="51"/>
      <c r="N20" s="43"/>
      <c r="P20" s="44"/>
      <c r="T20" s="50"/>
    </row>
    <row r="21" spans="1:27" x14ac:dyDescent="0.2">
      <c r="A21" s="30" t="s">
        <v>1106</v>
      </c>
      <c r="B21" s="21"/>
      <c r="C21" s="21"/>
      <c r="D21" s="21"/>
      <c r="E21" s="21"/>
      <c r="F21" s="37"/>
      <c r="G21" s="37"/>
      <c r="H21" s="37"/>
      <c r="I21" s="24"/>
      <c r="J21" s="51"/>
      <c r="M21" s="47"/>
      <c r="N21" s="43"/>
      <c r="O21" s="52"/>
      <c r="Q21" s="18"/>
      <c r="R21" s="18"/>
      <c r="S21" s="18"/>
      <c r="T21" s="18"/>
      <c r="U21" s="18"/>
      <c r="V21" s="18"/>
      <c r="W21" s="18"/>
      <c r="X21" s="148" t="s">
        <v>1092</v>
      </c>
      <c r="Y21" s="149"/>
      <c r="Z21" s="149"/>
      <c r="AA21" s="150"/>
    </row>
    <row r="22" spans="1:27" x14ac:dyDescent="0.2">
      <c r="A22" s="30" t="s">
        <v>1135</v>
      </c>
      <c r="B22" s="21"/>
      <c r="C22" s="21"/>
      <c r="D22" s="21"/>
      <c r="E22" s="21"/>
      <c r="F22" s="21"/>
      <c r="G22" s="21"/>
      <c r="H22" s="21"/>
      <c r="I22" s="24"/>
      <c r="J22" s="51"/>
      <c r="K22" s="120" t="s">
        <v>1165</v>
      </c>
      <c r="L22" s="210"/>
      <c r="M22" s="210"/>
      <c r="N22" s="210"/>
      <c r="O22" s="210"/>
      <c r="P22" s="210"/>
      <c r="Q22" s="210"/>
      <c r="R22" s="209"/>
      <c r="S22" s="210"/>
      <c r="T22" s="210"/>
      <c r="U22" s="210"/>
      <c r="V22" s="221"/>
      <c r="W22" s="38"/>
      <c r="X22" s="151"/>
      <c r="Y22" s="152" t="s">
        <v>1093</v>
      </c>
      <c r="Z22" s="153" t="s">
        <v>1148</v>
      </c>
      <c r="AA22" s="154" t="s">
        <v>1093</v>
      </c>
    </row>
    <row r="23" spans="1:27" x14ac:dyDescent="0.2">
      <c r="A23" s="30" t="s">
        <v>1178</v>
      </c>
      <c r="B23" s="21"/>
      <c r="C23" s="37"/>
      <c r="D23" s="21"/>
      <c r="E23" s="21"/>
      <c r="F23" s="37"/>
      <c r="G23" s="37"/>
      <c r="H23" s="37"/>
      <c r="I23" s="303"/>
      <c r="J23" s="37"/>
      <c r="K23" s="223"/>
      <c r="L23" s="224" t="s">
        <v>1148</v>
      </c>
      <c r="M23" s="225"/>
      <c r="N23" s="225"/>
      <c r="O23" s="225"/>
      <c r="P23" s="225"/>
      <c r="Q23" s="225"/>
      <c r="R23" s="226"/>
      <c r="S23" s="225"/>
      <c r="T23" s="225"/>
      <c r="U23" s="225"/>
      <c r="V23" s="227"/>
      <c r="W23" s="90"/>
      <c r="X23" s="151"/>
      <c r="Y23" s="158">
        <f>LOOKUP($Y$24,$L$24:$V$24,$L$49:$V$49)</f>
        <v>6</v>
      </c>
      <c r="Z23" s="158" t="s">
        <v>1094</v>
      </c>
      <c r="AA23" s="159">
        <f>LOOKUP($Y$23+1,$L$49:$V$49)</f>
        <v>7</v>
      </c>
    </row>
    <row r="24" spans="1:27" x14ac:dyDescent="0.2">
      <c r="A24" s="30"/>
      <c r="B24" s="21"/>
      <c r="C24" s="21"/>
      <c r="D24" s="21"/>
      <c r="E24" s="212" t="str">
        <f>IF($N$7&gt;3,"Value of 'a' exceeds 3.0, beyond scope of table!","")</f>
        <v/>
      </c>
      <c r="F24" s="21"/>
      <c r="G24" s="21"/>
      <c r="H24" s="21"/>
      <c r="I24" s="24"/>
      <c r="J24" s="51"/>
      <c r="K24" s="160" t="s">
        <v>1095</v>
      </c>
      <c r="L24" s="161">
        <v>0</v>
      </c>
      <c r="M24" s="219">
        <v>0.1</v>
      </c>
      <c r="N24" s="161">
        <v>0.2</v>
      </c>
      <c r="O24" s="219">
        <v>0.3</v>
      </c>
      <c r="P24" s="161">
        <v>0.4</v>
      </c>
      <c r="Q24" s="219">
        <v>0.5</v>
      </c>
      <c r="R24" s="161">
        <v>0.6</v>
      </c>
      <c r="S24" s="219">
        <v>0.7</v>
      </c>
      <c r="T24" s="163">
        <v>0.8</v>
      </c>
      <c r="U24" s="219">
        <v>0.9</v>
      </c>
      <c r="V24" s="228">
        <v>1</v>
      </c>
      <c r="W24" s="216" t="s">
        <v>1096</v>
      </c>
      <c r="X24" s="165" t="s">
        <v>1096</v>
      </c>
      <c r="Y24" s="166">
        <f>LOOKUP($N$8,$L$24:$V$24)</f>
        <v>0.5</v>
      </c>
      <c r="Z24" s="167">
        <f>$N$8</f>
        <v>0.5</v>
      </c>
      <c r="AA24" s="168">
        <f>LOOKUP($AA$23,$L$49:$V$49,$L$24:$V$24)</f>
        <v>0.6</v>
      </c>
    </row>
    <row r="25" spans="1:27" x14ac:dyDescent="0.2">
      <c r="A25" s="222"/>
      <c r="B25" s="21"/>
      <c r="C25" s="21"/>
      <c r="D25" s="21"/>
      <c r="E25" s="212" t="str">
        <f>IF($N$8&gt;1,"Value of 'k' exceeds 1.0, beyond scope of table!","")</f>
        <v/>
      </c>
      <c r="F25" s="21"/>
      <c r="G25" s="21"/>
      <c r="H25" s="21"/>
      <c r="I25" s="24"/>
      <c r="J25" s="51"/>
      <c r="K25" s="259">
        <v>0.06</v>
      </c>
      <c r="L25" s="246">
        <v>1.67</v>
      </c>
      <c r="M25" s="247">
        <v>1.61</v>
      </c>
      <c r="N25" s="247">
        <v>1.77</v>
      </c>
      <c r="O25" s="247">
        <v>1.93</v>
      </c>
      <c r="P25" s="247">
        <v>2.1</v>
      </c>
      <c r="Q25" s="247">
        <v>2.27</v>
      </c>
      <c r="R25" s="247">
        <v>2.4500000000000002</v>
      </c>
      <c r="S25" s="247">
        <v>2.62</v>
      </c>
      <c r="T25" s="247">
        <v>2.8</v>
      </c>
      <c r="U25" s="247">
        <v>2.97</v>
      </c>
      <c r="V25" s="248">
        <v>3.15</v>
      </c>
      <c r="W25" s="216">
        <v>1</v>
      </c>
      <c r="X25" s="169">
        <v>1</v>
      </c>
      <c r="Y25" s="170">
        <f t="shared" ref="Y25:Y48" si="0">LOOKUP($Y$24,$L$24:$V$24,$L25:$V25)</f>
        <v>2.27</v>
      </c>
      <c r="Z25" s="171">
        <f t="shared" ref="Z25:Z48" si="1">IF($Y$24=$AA$24,$Y25,($AA25-$Y25)*($Z$24-$Y$24)/($AA$24-$Y$24)+$Y25)</f>
        <v>2.27</v>
      </c>
      <c r="AA25" s="172">
        <f t="shared" ref="AA25:AA48" si="2">LOOKUP($AA$24,$L$24:$V$24,$L25:$V25)</f>
        <v>2.4500000000000002</v>
      </c>
    </row>
    <row r="26" spans="1:27" x14ac:dyDescent="0.2">
      <c r="A26" s="22" t="s">
        <v>1113</v>
      </c>
      <c r="B26" s="21"/>
      <c r="C26" s="21"/>
      <c r="D26" s="21"/>
      <c r="E26" s="21"/>
      <c r="F26" s="21"/>
      <c r="G26" s="21"/>
      <c r="H26" s="21"/>
      <c r="I26" s="24"/>
      <c r="J26" s="51"/>
      <c r="K26" s="260">
        <v>0.08</v>
      </c>
      <c r="L26" s="249">
        <v>1.64</v>
      </c>
      <c r="M26" s="250">
        <v>1.63</v>
      </c>
      <c r="N26" s="250">
        <v>1.79</v>
      </c>
      <c r="O26" s="250">
        <v>1.95</v>
      </c>
      <c r="P26" s="250">
        <v>2.12</v>
      </c>
      <c r="Q26" s="250">
        <v>2.2799999999999998</v>
      </c>
      <c r="R26" s="250">
        <v>2.4500000000000002</v>
      </c>
      <c r="S26" s="250">
        <v>2.63</v>
      </c>
      <c r="T26" s="250">
        <v>2.8</v>
      </c>
      <c r="U26" s="250">
        <v>2.97</v>
      </c>
      <c r="V26" s="251">
        <v>3.14</v>
      </c>
      <c r="W26" s="216">
        <v>2</v>
      </c>
      <c r="X26" s="169">
        <v>2</v>
      </c>
      <c r="Y26" s="170">
        <f t="shared" si="0"/>
        <v>2.2799999999999998</v>
      </c>
      <c r="Z26" s="171">
        <f t="shared" si="1"/>
        <v>2.2799999999999998</v>
      </c>
      <c r="AA26" s="172">
        <f t="shared" si="2"/>
        <v>2.4500000000000002</v>
      </c>
    </row>
    <row r="27" spans="1:27" x14ac:dyDescent="0.2">
      <c r="A27" s="202"/>
      <c r="B27" s="21"/>
      <c r="C27" s="21"/>
      <c r="D27" s="62" t="str">
        <f>IF($N$12&gt;0,"(Note: AISC Alternate Method 2 is used for inclined load)","(Note: AISC Alternate Method 2 is not used for P=Pv)")</f>
        <v>(Note: AISC Alternate Method 2 is not used for P=Pv)</v>
      </c>
      <c r="E27" s="21"/>
      <c r="F27" s="21"/>
      <c r="G27" s="203"/>
      <c r="H27" s="21"/>
      <c r="I27" s="24"/>
      <c r="J27" s="51"/>
      <c r="K27" s="260">
        <v>0.1</v>
      </c>
      <c r="L27" s="249">
        <v>1.61</v>
      </c>
      <c r="M27" s="250">
        <v>1.64</v>
      </c>
      <c r="N27" s="250">
        <v>1.8</v>
      </c>
      <c r="O27" s="250">
        <v>1.96</v>
      </c>
      <c r="P27" s="250">
        <v>2.12</v>
      </c>
      <c r="Q27" s="250">
        <v>2.2799999999999998</v>
      </c>
      <c r="R27" s="250">
        <v>2.4500000000000002</v>
      </c>
      <c r="S27" s="250">
        <v>2.62</v>
      </c>
      <c r="T27" s="250">
        <v>2.79</v>
      </c>
      <c r="U27" s="250">
        <v>2.95</v>
      </c>
      <c r="V27" s="251">
        <v>3.12</v>
      </c>
      <c r="W27" s="216">
        <v>3</v>
      </c>
      <c r="X27" s="169">
        <v>3</v>
      </c>
      <c r="Y27" s="170">
        <f t="shared" si="0"/>
        <v>2.2799999999999998</v>
      </c>
      <c r="Z27" s="171">
        <f t="shared" si="1"/>
        <v>2.2799999999999998</v>
      </c>
      <c r="AA27" s="172">
        <f t="shared" si="2"/>
        <v>2.4500000000000002</v>
      </c>
    </row>
    <row r="28" spans="1:27" x14ac:dyDescent="0.2">
      <c r="A28" s="298" t="s">
        <v>1196</v>
      </c>
      <c r="B28" s="2">
        <f>$N$3</f>
        <v>10</v>
      </c>
      <c r="C28" s="138" t="s">
        <v>1172</v>
      </c>
      <c r="D28" s="62" t="s">
        <v>1178</v>
      </c>
      <c r="E28" s="21"/>
      <c r="F28" s="21"/>
      <c r="G28" s="203"/>
      <c r="H28" s="21"/>
      <c r="I28" s="24"/>
      <c r="J28" s="51"/>
      <c r="K28" s="260">
        <v>0.15</v>
      </c>
      <c r="L28" s="249">
        <v>1.51</v>
      </c>
      <c r="M28" s="250">
        <v>1.63</v>
      </c>
      <c r="N28" s="250">
        <v>1.78</v>
      </c>
      <c r="O28" s="250">
        <v>1.93</v>
      </c>
      <c r="P28" s="250">
        <v>2.09</v>
      </c>
      <c r="Q28" s="250">
        <v>2.2400000000000002</v>
      </c>
      <c r="R28" s="250">
        <v>2.4</v>
      </c>
      <c r="S28" s="250">
        <v>2.56</v>
      </c>
      <c r="T28" s="250">
        <v>2.72</v>
      </c>
      <c r="U28" s="250">
        <v>2.88</v>
      </c>
      <c r="V28" s="251">
        <v>3.04</v>
      </c>
      <c r="W28" s="216">
        <v>4</v>
      </c>
      <c r="X28" s="169">
        <v>4</v>
      </c>
      <c r="Y28" s="170">
        <f t="shared" si="0"/>
        <v>2.2400000000000002</v>
      </c>
      <c r="Z28" s="171">
        <f t="shared" si="1"/>
        <v>2.2400000000000002</v>
      </c>
      <c r="AA28" s="172">
        <f t="shared" si="2"/>
        <v>2.4</v>
      </c>
    </row>
    <row r="29" spans="1:27" x14ac:dyDescent="0.2">
      <c r="A29" s="298" t="s">
        <v>1180</v>
      </c>
      <c r="B29" s="3">
        <f>$N$4</f>
        <v>5</v>
      </c>
      <c r="C29" s="138" t="s">
        <v>1172</v>
      </c>
      <c r="D29" s="62" t="s">
        <v>1100</v>
      </c>
      <c r="E29" s="21"/>
      <c r="F29" s="21"/>
      <c r="G29" s="203"/>
      <c r="H29" s="21"/>
      <c r="I29" s="24"/>
      <c r="J29" s="51"/>
      <c r="K29" s="260">
        <v>0.2</v>
      </c>
      <c r="L29" s="249">
        <v>1.39</v>
      </c>
      <c r="M29" s="250">
        <v>1.58</v>
      </c>
      <c r="N29" s="250">
        <v>1.72</v>
      </c>
      <c r="O29" s="250">
        <v>1.87</v>
      </c>
      <c r="P29" s="250">
        <v>2.02</v>
      </c>
      <c r="Q29" s="250">
        <v>2.17</v>
      </c>
      <c r="R29" s="250">
        <v>2.3199999999999998</v>
      </c>
      <c r="S29" s="250">
        <v>2.4700000000000002</v>
      </c>
      <c r="T29" s="250">
        <v>2.62</v>
      </c>
      <c r="U29" s="250">
        <v>2.78</v>
      </c>
      <c r="V29" s="251">
        <v>2.93</v>
      </c>
      <c r="W29" s="216">
        <v>5</v>
      </c>
      <c r="X29" s="169">
        <v>5</v>
      </c>
      <c r="Y29" s="170">
        <f t="shared" si="0"/>
        <v>2.17</v>
      </c>
      <c r="Z29" s="171">
        <f t="shared" si="1"/>
        <v>2.17</v>
      </c>
      <c r="AA29" s="172">
        <f t="shared" si="2"/>
        <v>2.3199999999999998</v>
      </c>
    </row>
    <row r="30" spans="1:27" ht="13.5" customHeight="1" x14ac:dyDescent="0.2">
      <c r="A30" s="298" t="s">
        <v>1085</v>
      </c>
      <c r="B30" s="3">
        <f>$N$6</f>
        <v>10</v>
      </c>
      <c r="C30" s="138" t="s">
        <v>1172</v>
      </c>
      <c r="D30" s="98" t="s">
        <v>1118</v>
      </c>
      <c r="E30" s="21"/>
      <c r="F30" s="21"/>
      <c r="G30" s="203"/>
      <c r="H30" s="21"/>
      <c r="I30" s="24"/>
      <c r="J30" s="51"/>
      <c r="K30" s="260">
        <v>0.25</v>
      </c>
      <c r="L30" s="249">
        <v>1.26</v>
      </c>
      <c r="M30" s="250">
        <v>1.46</v>
      </c>
      <c r="N30" s="250">
        <v>1.64</v>
      </c>
      <c r="O30" s="250">
        <v>1.78</v>
      </c>
      <c r="P30" s="250">
        <v>1.92</v>
      </c>
      <c r="Q30" s="250">
        <v>2.0699999999999998</v>
      </c>
      <c r="R30" s="250">
        <v>2.21</v>
      </c>
      <c r="S30" s="250">
        <v>2.36</v>
      </c>
      <c r="T30" s="250">
        <v>2.5099999999999998</v>
      </c>
      <c r="U30" s="250">
        <v>2.66</v>
      </c>
      <c r="V30" s="251">
        <v>2.81</v>
      </c>
      <c r="W30" s="216">
        <v>6</v>
      </c>
      <c r="X30" s="169">
        <v>6</v>
      </c>
      <c r="Y30" s="170">
        <f t="shared" si="0"/>
        <v>2.0699999999999998</v>
      </c>
      <c r="Z30" s="171">
        <f t="shared" si="1"/>
        <v>2.0699999999999998</v>
      </c>
      <c r="AA30" s="172">
        <f t="shared" si="2"/>
        <v>2.21</v>
      </c>
    </row>
    <row r="31" spans="1:27" ht="13.5" customHeight="1" x14ac:dyDescent="0.2">
      <c r="A31" s="298" t="s">
        <v>1124</v>
      </c>
      <c r="B31" s="3">
        <f>$N$7</f>
        <v>1</v>
      </c>
      <c r="C31" s="242" t="str">
        <f>IF($N$7&gt;3,"&gt; 3.0","")</f>
        <v/>
      </c>
      <c r="D31" s="98" t="s">
        <v>1086</v>
      </c>
      <c r="E31" s="21"/>
      <c r="F31" s="21"/>
      <c r="G31" s="58"/>
      <c r="H31" s="21"/>
      <c r="I31" s="24"/>
      <c r="J31" s="51"/>
      <c r="K31" s="260">
        <v>0.3</v>
      </c>
      <c r="L31" s="249">
        <v>1.1399999999999999</v>
      </c>
      <c r="M31" s="250">
        <v>1.33</v>
      </c>
      <c r="N31" s="250">
        <v>1.52</v>
      </c>
      <c r="O31" s="250">
        <v>1.68</v>
      </c>
      <c r="P31" s="250">
        <v>1.82</v>
      </c>
      <c r="Q31" s="250">
        <v>1.96</v>
      </c>
      <c r="R31" s="250">
        <v>2.1</v>
      </c>
      <c r="S31" s="250">
        <v>2.25</v>
      </c>
      <c r="T31" s="250">
        <v>2.39</v>
      </c>
      <c r="U31" s="250">
        <v>2.54</v>
      </c>
      <c r="V31" s="251">
        <v>2.69</v>
      </c>
      <c r="W31" s="216">
        <v>7</v>
      </c>
      <c r="X31" s="169">
        <v>7</v>
      </c>
      <c r="Y31" s="170">
        <f t="shared" si="0"/>
        <v>1.96</v>
      </c>
      <c r="Z31" s="171">
        <f t="shared" si="1"/>
        <v>1.96</v>
      </c>
      <c r="AA31" s="172">
        <f t="shared" si="2"/>
        <v>2.1</v>
      </c>
    </row>
    <row r="32" spans="1:27" x14ac:dyDescent="0.2">
      <c r="A32" s="298" t="s">
        <v>1138</v>
      </c>
      <c r="B32" s="3">
        <f>$N$8</f>
        <v>0.5</v>
      </c>
      <c r="C32" s="242" t="str">
        <f>IF($N$8&gt;1,"&gt; 1.0","")</f>
        <v/>
      </c>
      <c r="D32" s="98" t="s">
        <v>1088</v>
      </c>
      <c r="E32" s="21"/>
      <c r="F32" s="21"/>
      <c r="G32" s="205"/>
      <c r="H32" s="21"/>
      <c r="I32" s="24"/>
      <c r="J32" s="51"/>
      <c r="K32" s="260">
        <v>0.4</v>
      </c>
      <c r="L32" s="253">
        <v>0.93899999999999995</v>
      </c>
      <c r="M32" s="250">
        <v>1.1100000000000001</v>
      </c>
      <c r="N32" s="250">
        <v>1.29</v>
      </c>
      <c r="O32" s="250">
        <v>1.47</v>
      </c>
      <c r="P32" s="250">
        <v>1.62</v>
      </c>
      <c r="Q32" s="250">
        <v>1.75</v>
      </c>
      <c r="R32" s="250">
        <v>1.89</v>
      </c>
      <c r="S32" s="250">
        <v>2.0299999999999998</v>
      </c>
      <c r="T32" s="250">
        <v>2.16</v>
      </c>
      <c r="U32" s="250">
        <v>2.2999999999999998</v>
      </c>
      <c r="V32" s="251">
        <v>2.44</v>
      </c>
      <c r="W32" s="216">
        <v>8</v>
      </c>
      <c r="X32" s="169">
        <v>8</v>
      </c>
      <c r="Y32" s="170">
        <f t="shared" si="0"/>
        <v>1.75</v>
      </c>
      <c r="Z32" s="171">
        <f t="shared" si="1"/>
        <v>1.75</v>
      </c>
      <c r="AA32" s="172">
        <f t="shared" si="2"/>
        <v>1.89</v>
      </c>
    </row>
    <row r="33" spans="1:27" x14ac:dyDescent="0.2">
      <c r="A33" s="299" t="s">
        <v>1184</v>
      </c>
      <c r="B33" s="29">
        <f>$N$9</f>
        <v>1</v>
      </c>
      <c r="C33" s="138"/>
      <c r="D33" s="73" t="s">
        <v>1185</v>
      </c>
      <c r="E33" s="21"/>
      <c r="F33" s="21"/>
      <c r="G33" s="205"/>
      <c r="H33" s="21"/>
      <c r="I33" s="24"/>
      <c r="J33" s="51"/>
      <c r="K33" s="260">
        <v>0.5</v>
      </c>
      <c r="L33" s="253">
        <v>0.78700000000000003</v>
      </c>
      <c r="M33" s="254">
        <v>0.92500000000000004</v>
      </c>
      <c r="N33" s="250">
        <v>1.1000000000000001</v>
      </c>
      <c r="O33" s="250">
        <v>1.26</v>
      </c>
      <c r="P33" s="250">
        <v>1.43</v>
      </c>
      <c r="Q33" s="250">
        <v>1.56</v>
      </c>
      <c r="R33" s="250">
        <v>1.69</v>
      </c>
      <c r="S33" s="250">
        <v>1.82</v>
      </c>
      <c r="T33" s="250">
        <v>1.96</v>
      </c>
      <c r="U33" s="250">
        <v>2.09</v>
      </c>
      <c r="V33" s="251">
        <v>2.23</v>
      </c>
      <c r="W33" s="216">
        <v>9</v>
      </c>
      <c r="X33" s="169">
        <v>9</v>
      </c>
      <c r="Y33" s="170">
        <f t="shared" si="0"/>
        <v>1.56</v>
      </c>
      <c r="Z33" s="171">
        <f t="shared" si="1"/>
        <v>1.56</v>
      </c>
      <c r="AA33" s="172">
        <f t="shared" si="2"/>
        <v>1.69</v>
      </c>
    </row>
    <row r="34" spans="1:27" x14ac:dyDescent="0.2">
      <c r="A34" s="298" t="s">
        <v>1122</v>
      </c>
      <c r="B34" s="3">
        <f>$N$10</f>
        <v>0.95099999999999996</v>
      </c>
      <c r="C34" s="243"/>
      <c r="D34" s="98" t="s">
        <v>1119</v>
      </c>
      <c r="E34" s="21"/>
      <c r="F34" s="21"/>
      <c r="G34" s="205"/>
      <c r="H34" s="21"/>
      <c r="I34" s="24"/>
      <c r="J34" s="51"/>
      <c r="K34" s="260">
        <v>0.6</v>
      </c>
      <c r="L34" s="253">
        <v>0.67300000000000004</v>
      </c>
      <c r="M34" s="254">
        <v>0.79300000000000004</v>
      </c>
      <c r="N34" s="254">
        <v>0.92900000000000005</v>
      </c>
      <c r="O34" s="250">
        <v>1.1000000000000001</v>
      </c>
      <c r="P34" s="250">
        <v>1.26</v>
      </c>
      <c r="Q34" s="250">
        <v>1.4</v>
      </c>
      <c r="R34" s="250">
        <v>1.52</v>
      </c>
      <c r="S34" s="250">
        <v>1.65</v>
      </c>
      <c r="T34" s="250">
        <v>1.77</v>
      </c>
      <c r="U34" s="250">
        <v>1.9</v>
      </c>
      <c r="V34" s="251">
        <v>2.0299999999999998</v>
      </c>
      <c r="W34" s="216">
        <v>10</v>
      </c>
      <c r="X34" s="169">
        <v>10</v>
      </c>
      <c r="Y34" s="170">
        <f t="shared" si="0"/>
        <v>1.4</v>
      </c>
      <c r="Z34" s="171">
        <f t="shared" si="1"/>
        <v>1.4</v>
      </c>
      <c r="AA34" s="172">
        <f t="shared" si="2"/>
        <v>1.52</v>
      </c>
    </row>
    <row r="35" spans="1:27" x14ac:dyDescent="0.2">
      <c r="A35" s="299" t="s">
        <v>1187</v>
      </c>
      <c r="B35" s="5">
        <f>$N$11</f>
        <v>76</v>
      </c>
      <c r="C35" s="138" t="s">
        <v>1114</v>
      </c>
      <c r="D35" s="73" t="s">
        <v>1120</v>
      </c>
      <c r="E35" s="21"/>
      <c r="F35" s="21"/>
      <c r="G35" s="205"/>
      <c r="H35" s="21"/>
      <c r="I35" s="24"/>
      <c r="J35" s="51"/>
      <c r="K35" s="260">
        <v>0.7</v>
      </c>
      <c r="L35" s="253">
        <v>0.58499999999999996</v>
      </c>
      <c r="M35" s="254">
        <v>0.69099999999999995</v>
      </c>
      <c r="N35" s="254">
        <v>0.81299999999999994</v>
      </c>
      <c r="O35" s="254">
        <v>0.97099999999999997</v>
      </c>
      <c r="P35" s="250">
        <v>1.1200000000000001</v>
      </c>
      <c r="Q35" s="250">
        <v>1.26</v>
      </c>
      <c r="R35" s="250">
        <v>1.38</v>
      </c>
      <c r="S35" s="250">
        <v>1.5</v>
      </c>
      <c r="T35" s="250">
        <v>1.62</v>
      </c>
      <c r="U35" s="250">
        <v>1.74</v>
      </c>
      <c r="V35" s="251">
        <v>1.87</v>
      </c>
      <c r="W35" s="216">
        <v>11</v>
      </c>
      <c r="X35" s="169">
        <v>11</v>
      </c>
      <c r="Y35" s="170">
        <f t="shared" si="0"/>
        <v>1.26</v>
      </c>
      <c r="Z35" s="171">
        <f t="shared" si="1"/>
        <v>1.26</v>
      </c>
      <c r="AA35" s="172">
        <f t="shared" si="2"/>
        <v>1.38</v>
      </c>
    </row>
    <row r="36" spans="1:27" ht="12.75" customHeight="1" x14ac:dyDescent="0.2">
      <c r="A36" s="299" t="s">
        <v>1125</v>
      </c>
      <c r="B36" s="3">
        <f>$N$12</f>
        <v>0</v>
      </c>
      <c r="C36" s="138" t="s">
        <v>1103</v>
      </c>
      <c r="D36" s="84" t="s">
        <v>1126</v>
      </c>
      <c r="E36" s="21"/>
      <c r="F36" s="21"/>
      <c r="G36" s="205"/>
      <c r="H36" s="21"/>
      <c r="I36" s="24"/>
      <c r="J36" s="51"/>
      <c r="K36" s="260">
        <v>0.8</v>
      </c>
      <c r="L36" s="253">
        <v>0.51700000000000002</v>
      </c>
      <c r="M36" s="254">
        <v>0.61099999999999999</v>
      </c>
      <c r="N36" s="254">
        <v>0.72099999999999997</v>
      </c>
      <c r="O36" s="254">
        <v>0.84299999999999997</v>
      </c>
      <c r="P36" s="250">
        <v>1</v>
      </c>
      <c r="Q36" s="250">
        <v>1.1399999999999999</v>
      </c>
      <c r="R36" s="250">
        <v>1.25</v>
      </c>
      <c r="S36" s="250">
        <v>1.37</v>
      </c>
      <c r="T36" s="250">
        <v>1.48</v>
      </c>
      <c r="U36" s="250">
        <v>1.6</v>
      </c>
      <c r="V36" s="251">
        <v>1.72</v>
      </c>
      <c r="W36" s="216">
        <v>12</v>
      </c>
      <c r="X36" s="169">
        <v>12</v>
      </c>
      <c r="Y36" s="170">
        <f t="shared" si="0"/>
        <v>1.1399999999999999</v>
      </c>
      <c r="Z36" s="171">
        <f t="shared" si="1"/>
        <v>1.1399999999999999</v>
      </c>
      <c r="AA36" s="172">
        <f t="shared" si="2"/>
        <v>1.25</v>
      </c>
    </row>
    <row r="37" spans="1:27" ht="12.75" customHeight="1" x14ac:dyDescent="0.2">
      <c r="A37" s="77" t="s">
        <v>1160</v>
      </c>
      <c r="B37" s="3" t="str">
        <f>$N$13</f>
        <v>N.A.</v>
      </c>
      <c r="C37" s="138"/>
      <c r="D37" s="73" t="s">
        <v>1142</v>
      </c>
      <c r="E37" s="112"/>
      <c r="F37" s="21"/>
      <c r="G37" s="21"/>
      <c r="H37" s="21"/>
      <c r="I37" s="24"/>
      <c r="J37" s="51"/>
      <c r="K37" s="260">
        <v>0.9</v>
      </c>
      <c r="L37" s="253">
        <v>0.46300000000000002</v>
      </c>
      <c r="M37" s="254">
        <v>0.54600000000000004</v>
      </c>
      <c r="N37" s="254">
        <v>0.64700000000000002</v>
      </c>
      <c r="O37" s="254">
        <v>0.75800000000000001</v>
      </c>
      <c r="P37" s="254">
        <v>0.90700000000000003</v>
      </c>
      <c r="Q37" s="250">
        <v>1.04</v>
      </c>
      <c r="R37" s="250">
        <v>1.1499999999999999</v>
      </c>
      <c r="S37" s="250">
        <v>1.26</v>
      </c>
      <c r="T37" s="250">
        <v>1.37</v>
      </c>
      <c r="U37" s="250">
        <v>1.48</v>
      </c>
      <c r="V37" s="251">
        <v>1.6</v>
      </c>
      <c r="W37" s="216">
        <v>13</v>
      </c>
      <c r="X37" s="169">
        <v>13</v>
      </c>
      <c r="Y37" s="170">
        <f t="shared" si="0"/>
        <v>1.04</v>
      </c>
      <c r="Z37" s="171">
        <f t="shared" si="1"/>
        <v>1.04</v>
      </c>
      <c r="AA37" s="172">
        <f t="shared" si="2"/>
        <v>1.1499999999999999</v>
      </c>
    </row>
    <row r="38" spans="1:27" ht="12.75" customHeight="1" x14ac:dyDescent="0.2">
      <c r="A38" s="77" t="s">
        <v>1130</v>
      </c>
      <c r="B38" s="3" t="str">
        <f>$N$14</f>
        <v>N.A.</v>
      </c>
      <c r="C38" s="138"/>
      <c r="D38" s="73" t="s">
        <v>1170</v>
      </c>
      <c r="E38" s="39"/>
      <c r="F38" s="21"/>
      <c r="G38" s="64"/>
      <c r="H38" s="21"/>
      <c r="I38" s="24"/>
      <c r="J38" s="51"/>
      <c r="K38" s="260">
        <v>1</v>
      </c>
      <c r="L38" s="253">
        <v>0.41899999999999998</v>
      </c>
      <c r="M38" s="254">
        <v>0.49399999999999999</v>
      </c>
      <c r="N38" s="254">
        <v>0.58599999999999997</v>
      </c>
      <c r="O38" s="254">
        <v>0.69</v>
      </c>
      <c r="P38" s="254">
        <v>0.82699999999999996</v>
      </c>
      <c r="Q38" s="254">
        <v>0.95099999999999996</v>
      </c>
      <c r="R38" s="250">
        <v>1.06</v>
      </c>
      <c r="S38" s="250">
        <v>1.1599999999999999</v>
      </c>
      <c r="T38" s="250">
        <v>1.27</v>
      </c>
      <c r="U38" s="250">
        <v>1.38</v>
      </c>
      <c r="V38" s="251">
        <v>1.49</v>
      </c>
      <c r="W38" s="216">
        <v>14</v>
      </c>
      <c r="X38" s="169">
        <v>14</v>
      </c>
      <c r="Y38" s="170">
        <f t="shared" si="0"/>
        <v>0.95099999999999996</v>
      </c>
      <c r="Z38" s="171">
        <f t="shared" si="1"/>
        <v>0.95099999999999996</v>
      </c>
      <c r="AA38" s="172">
        <f t="shared" si="2"/>
        <v>1.06</v>
      </c>
    </row>
    <row r="39" spans="1:27" ht="12.75" customHeight="1" x14ac:dyDescent="0.2">
      <c r="A39" s="77" t="s">
        <v>1188</v>
      </c>
      <c r="B39" s="3" t="str">
        <f>$N$15</f>
        <v>N.A.</v>
      </c>
      <c r="C39" s="138"/>
      <c r="D39" s="73" t="s">
        <v>1132</v>
      </c>
      <c r="E39" s="39"/>
      <c r="F39" s="64"/>
      <c r="G39" s="64"/>
      <c r="H39" s="21"/>
      <c r="I39" s="24"/>
      <c r="J39" s="51"/>
      <c r="K39" s="260">
        <v>1.2</v>
      </c>
      <c r="L39" s="253">
        <v>0.35099999999999998</v>
      </c>
      <c r="M39" s="254">
        <v>0.41399999999999998</v>
      </c>
      <c r="N39" s="254">
        <v>0.49299999999999999</v>
      </c>
      <c r="O39" s="254">
        <v>0.58399999999999996</v>
      </c>
      <c r="P39" s="254">
        <v>0.70199999999999996</v>
      </c>
      <c r="Q39" s="254">
        <v>0.81100000000000005</v>
      </c>
      <c r="R39" s="254">
        <v>0.91500000000000004</v>
      </c>
      <c r="S39" s="250">
        <v>1.01</v>
      </c>
      <c r="T39" s="250">
        <v>1.1100000000000001</v>
      </c>
      <c r="U39" s="250">
        <v>1.2</v>
      </c>
      <c r="V39" s="251">
        <v>1.31</v>
      </c>
      <c r="W39" s="216">
        <v>15</v>
      </c>
      <c r="X39" s="169">
        <v>15</v>
      </c>
      <c r="Y39" s="170">
        <f t="shared" si="0"/>
        <v>0.81100000000000005</v>
      </c>
      <c r="Z39" s="171">
        <f t="shared" si="1"/>
        <v>0.81100000000000005</v>
      </c>
      <c r="AA39" s="172">
        <f t="shared" si="2"/>
        <v>0.91500000000000004</v>
      </c>
    </row>
    <row r="40" spans="1:27" ht="12.75" customHeight="1" x14ac:dyDescent="0.2">
      <c r="A40" s="77" t="s">
        <v>1133</v>
      </c>
      <c r="B40" s="3" t="str">
        <f>$N$16</f>
        <v>N.A.</v>
      </c>
      <c r="C40" s="138"/>
      <c r="D40" s="73" t="s">
        <v>1104</v>
      </c>
      <c r="E40" s="39"/>
      <c r="F40" s="64"/>
      <c r="G40" s="64"/>
      <c r="H40" s="21"/>
      <c r="I40" s="24"/>
      <c r="J40" s="51"/>
      <c r="K40" s="260">
        <v>1.4</v>
      </c>
      <c r="L40" s="253">
        <v>0.30199999999999999</v>
      </c>
      <c r="M40" s="254">
        <v>0.35599999999999998</v>
      </c>
      <c r="N40" s="254">
        <v>0.42599999999999999</v>
      </c>
      <c r="O40" s="254">
        <v>0.50600000000000001</v>
      </c>
      <c r="P40" s="254">
        <v>0.60899999999999999</v>
      </c>
      <c r="Q40" s="254">
        <v>0.70599999999999996</v>
      </c>
      <c r="R40" s="254">
        <v>0.80500000000000005</v>
      </c>
      <c r="S40" s="254">
        <v>0.89100000000000001</v>
      </c>
      <c r="T40" s="254">
        <v>0.97899999999999998</v>
      </c>
      <c r="U40" s="250">
        <v>1.07</v>
      </c>
      <c r="V40" s="251">
        <v>1.1599999999999999</v>
      </c>
      <c r="W40" s="216">
        <v>16</v>
      </c>
      <c r="X40" s="169">
        <v>16</v>
      </c>
      <c r="Y40" s="170">
        <f t="shared" si="0"/>
        <v>0.70599999999999996</v>
      </c>
      <c r="Z40" s="171">
        <f t="shared" si="1"/>
        <v>0.70599999999999996</v>
      </c>
      <c r="AA40" s="172">
        <f t="shared" si="2"/>
        <v>0.80500000000000005</v>
      </c>
    </row>
    <row r="41" spans="1:27" ht="12.75" customHeight="1" x14ac:dyDescent="0.2">
      <c r="A41" s="77" t="s">
        <v>1143</v>
      </c>
      <c r="B41" s="3" t="str">
        <f>$N$17</f>
        <v>N.A.</v>
      </c>
      <c r="C41" s="138"/>
      <c r="D41" s="73" t="s">
        <v>1105</v>
      </c>
      <c r="E41" s="39"/>
      <c r="F41" s="64"/>
      <c r="G41" s="64"/>
      <c r="H41" s="21"/>
      <c r="I41" s="24"/>
      <c r="J41" s="51"/>
      <c r="K41" s="260">
        <v>1.6</v>
      </c>
      <c r="L41" s="253">
        <v>0.26500000000000001</v>
      </c>
      <c r="M41" s="254">
        <v>0.312</v>
      </c>
      <c r="N41" s="254">
        <v>0.374</v>
      </c>
      <c r="O41" s="254">
        <v>0.44700000000000001</v>
      </c>
      <c r="P41" s="254">
        <v>0.53700000000000003</v>
      </c>
      <c r="Q41" s="254">
        <v>0.624</v>
      </c>
      <c r="R41" s="254">
        <v>0.71599999999999997</v>
      </c>
      <c r="S41" s="254">
        <v>0.79600000000000004</v>
      </c>
      <c r="T41" s="254">
        <v>0.877</v>
      </c>
      <c r="U41" s="254">
        <v>0.96</v>
      </c>
      <c r="V41" s="251">
        <v>1.05</v>
      </c>
      <c r="W41" s="216">
        <v>17</v>
      </c>
      <c r="X41" s="169">
        <v>17</v>
      </c>
      <c r="Y41" s="170">
        <f t="shared" si="0"/>
        <v>0.624</v>
      </c>
      <c r="Z41" s="171">
        <f t="shared" si="1"/>
        <v>0.624</v>
      </c>
      <c r="AA41" s="172">
        <f t="shared" si="2"/>
        <v>0.71599999999999997</v>
      </c>
    </row>
    <row r="42" spans="1:27" x14ac:dyDescent="0.2">
      <c r="A42" s="77" t="s">
        <v>1193</v>
      </c>
      <c r="B42" s="3">
        <f>$N$18</f>
        <v>7.992</v>
      </c>
      <c r="C42" s="138" t="s">
        <v>1099</v>
      </c>
      <c r="D42" s="62" t="str">
        <f>IF($N$12&gt;0,"D(req'd) = P/(Ca*C1*L)","D(req'd) = P/(C*C1*L)")</f>
        <v>D(req'd) = P/(C*C1*L)</v>
      </c>
      <c r="E42" s="205"/>
      <c r="F42" s="64"/>
      <c r="G42" s="64"/>
      <c r="H42" s="21"/>
      <c r="I42" s="24"/>
      <c r="J42" s="51"/>
      <c r="K42" s="260">
        <v>1.8</v>
      </c>
      <c r="L42" s="253">
        <v>0.23599999999999999</v>
      </c>
      <c r="M42" s="254">
        <v>0.27800000000000002</v>
      </c>
      <c r="N42" s="254">
        <v>0.33400000000000002</v>
      </c>
      <c r="O42" s="254">
        <v>0.39900000000000002</v>
      </c>
      <c r="P42" s="254">
        <v>0.48</v>
      </c>
      <c r="Q42" s="254">
        <v>0.55900000000000005</v>
      </c>
      <c r="R42" s="254">
        <v>0.64300000000000002</v>
      </c>
      <c r="S42" s="254">
        <v>0.72</v>
      </c>
      <c r="T42" s="254">
        <v>0.79400000000000004</v>
      </c>
      <c r="U42" s="254">
        <v>0.87</v>
      </c>
      <c r="V42" s="255">
        <v>0.94899999999999995</v>
      </c>
      <c r="W42" s="216">
        <v>18</v>
      </c>
      <c r="X42" s="169">
        <v>18</v>
      </c>
      <c r="Y42" s="170">
        <f t="shared" si="0"/>
        <v>0.55900000000000005</v>
      </c>
      <c r="Z42" s="171">
        <f t="shared" si="1"/>
        <v>0.55900000000000005</v>
      </c>
      <c r="AA42" s="172">
        <f t="shared" si="2"/>
        <v>0.64300000000000002</v>
      </c>
    </row>
    <row r="43" spans="1:27" x14ac:dyDescent="0.2">
      <c r="A43" s="77" t="s">
        <v>1190</v>
      </c>
      <c r="B43" s="4">
        <f>$N$19</f>
        <v>9.9890000000000008</v>
      </c>
      <c r="C43" s="138" t="s">
        <v>1172</v>
      </c>
      <c r="D43" s="62" t="str">
        <f>IF($N$12&gt;0,"L(req'd) = P/(Ca*C1*D)","L(req'd) = P/(C*C1*D)")</f>
        <v>L(req'd) = P/(C*C1*D)</v>
      </c>
      <c r="E43" s="205"/>
      <c r="F43" s="64"/>
      <c r="G43" s="64"/>
      <c r="H43" s="21"/>
      <c r="I43" s="24"/>
      <c r="J43" s="51"/>
      <c r="K43" s="260">
        <v>2</v>
      </c>
      <c r="L43" s="253">
        <v>0.21299999999999999</v>
      </c>
      <c r="M43" s="254">
        <v>0.25</v>
      </c>
      <c r="N43" s="254">
        <v>0.30099999999999999</v>
      </c>
      <c r="O43" s="254">
        <v>0.36099999999999999</v>
      </c>
      <c r="P43" s="254">
        <v>0.434</v>
      </c>
      <c r="Q43" s="254">
        <v>0.50600000000000001</v>
      </c>
      <c r="R43" s="254">
        <v>0.58199999999999996</v>
      </c>
      <c r="S43" s="254">
        <v>0.65600000000000003</v>
      </c>
      <c r="T43" s="254">
        <v>0.72499999999999998</v>
      </c>
      <c r="U43" s="254">
        <v>0.79600000000000004</v>
      </c>
      <c r="V43" s="255">
        <v>0.86899999999999999</v>
      </c>
      <c r="W43" s="216">
        <v>19</v>
      </c>
      <c r="X43" s="169">
        <v>19</v>
      </c>
      <c r="Y43" s="170">
        <f t="shared" si="0"/>
        <v>0.50600000000000001</v>
      </c>
      <c r="Z43" s="171">
        <f t="shared" si="1"/>
        <v>0.50600000000000001</v>
      </c>
      <c r="AA43" s="172">
        <f t="shared" si="2"/>
        <v>0.58199999999999996</v>
      </c>
    </row>
    <row r="44" spans="1:27" ht="12.75" customHeight="1" x14ac:dyDescent="0.2">
      <c r="A44" s="30"/>
      <c r="B44" s="58"/>
      <c r="C44" s="21"/>
      <c r="D44" s="21"/>
      <c r="E44" s="21"/>
      <c r="F44" s="21"/>
      <c r="G44" s="21"/>
      <c r="H44" s="21"/>
      <c r="I44" s="24"/>
      <c r="J44" s="51"/>
      <c r="K44" s="260">
        <v>2.2000000000000002</v>
      </c>
      <c r="L44" s="253">
        <v>0.193</v>
      </c>
      <c r="M44" s="254">
        <v>0.22800000000000001</v>
      </c>
      <c r="N44" s="254">
        <v>0.27400000000000002</v>
      </c>
      <c r="O44" s="254">
        <v>0.32900000000000001</v>
      </c>
      <c r="P44" s="254">
        <v>0.39500000000000002</v>
      </c>
      <c r="Q44" s="254">
        <v>0.46200000000000002</v>
      </c>
      <c r="R44" s="254">
        <v>0.53200000000000003</v>
      </c>
      <c r="S44" s="254">
        <v>0.60299999999999998</v>
      </c>
      <c r="T44" s="254">
        <v>0.66700000000000004</v>
      </c>
      <c r="U44" s="254">
        <v>0.73299999999999998</v>
      </c>
      <c r="V44" s="255">
        <v>0.80100000000000005</v>
      </c>
      <c r="W44" s="216">
        <v>20</v>
      </c>
      <c r="X44" s="169">
        <v>20</v>
      </c>
      <c r="Y44" s="170">
        <f t="shared" si="0"/>
        <v>0.46200000000000002</v>
      </c>
      <c r="Z44" s="171">
        <f t="shared" si="1"/>
        <v>0.46200000000000002</v>
      </c>
      <c r="AA44" s="172">
        <f t="shared" si="2"/>
        <v>0.53200000000000003</v>
      </c>
    </row>
    <row r="45" spans="1:27" x14ac:dyDescent="0.2">
      <c r="A45" s="30"/>
      <c r="B45" s="58"/>
      <c r="C45" s="21"/>
      <c r="D45" s="301" t="str">
        <f>IF(OR($N$18&gt;$C$11*16,$N$19&gt;$N$3),"Weld is overstressed!","Weld is adequate!")</f>
        <v>Weld is adequate!</v>
      </c>
      <c r="E45" s="35"/>
      <c r="F45" s="36"/>
      <c r="G45" s="21"/>
      <c r="H45" s="21"/>
      <c r="I45" s="24"/>
      <c r="J45" s="51"/>
      <c r="K45" s="260">
        <v>2.4</v>
      </c>
      <c r="L45" s="253">
        <v>0.17699999999999999</v>
      </c>
      <c r="M45" s="254">
        <v>0.20899999999999999</v>
      </c>
      <c r="N45" s="254">
        <v>0.252</v>
      </c>
      <c r="O45" s="254">
        <v>0.30199999999999999</v>
      </c>
      <c r="P45" s="254">
        <v>0.36299999999999999</v>
      </c>
      <c r="Q45" s="254">
        <v>0.42499999999999999</v>
      </c>
      <c r="R45" s="254">
        <v>0.49</v>
      </c>
      <c r="S45" s="254">
        <v>0.55700000000000005</v>
      </c>
      <c r="T45" s="254">
        <v>0.61699999999999999</v>
      </c>
      <c r="U45" s="254">
        <v>0.67800000000000005</v>
      </c>
      <c r="V45" s="255">
        <v>0.74199999999999999</v>
      </c>
      <c r="W45" s="216">
        <v>21</v>
      </c>
      <c r="X45" s="169">
        <v>21</v>
      </c>
      <c r="Y45" s="170">
        <f t="shared" si="0"/>
        <v>0.42499999999999999</v>
      </c>
      <c r="Z45" s="171">
        <f t="shared" si="1"/>
        <v>0.42499999999999999</v>
      </c>
      <c r="AA45" s="172">
        <f t="shared" si="2"/>
        <v>0.49</v>
      </c>
    </row>
    <row r="46" spans="1:27" x14ac:dyDescent="0.2">
      <c r="A46" s="30"/>
      <c r="B46" s="58"/>
      <c r="C46" s="21"/>
      <c r="D46" s="302" t="str">
        <f>IF($N$18&gt;$C$11*16,"D(req'd) = "&amp;$N$18&amp;" &gt; "&amp;$C$11*16&amp;" (1/16's)","D(req'd) = "&amp;$N$18&amp;" &lt;= "&amp;$C$11*16&amp;" (1/16's)")</f>
        <v>D(req'd) = 7.992 &lt;= 8 (1/16's)</v>
      </c>
      <c r="E46" s="37"/>
      <c r="F46" s="303"/>
      <c r="G46" s="21"/>
      <c r="H46" s="21"/>
      <c r="I46" s="24"/>
      <c r="J46" s="51"/>
      <c r="K46" s="260">
        <v>2.6</v>
      </c>
      <c r="L46" s="253">
        <v>0.16400000000000001</v>
      </c>
      <c r="M46" s="254">
        <v>0.193</v>
      </c>
      <c r="N46" s="254">
        <v>0.23300000000000001</v>
      </c>
      <c r="O46" s="254">
        <v>0.27900000000000003</v>
      </c>
      <c r="P46" s="254">
        <v>0.33600000000000002</v>
      </c>
      <c r="Q46" s="254">
        <v>0.39300000000000002</v>
      </c>
      <c r="R46" s="254">
        <v>0.45400000000000001</v>
      </c>
      <c r="S46" s="254">
        <v>0.51800000000000002</v>
      </c>
      <c r="T46" s="254">
        <v>0.57399999999999995</v>
      </c>
      <c r="U46" s="254">
        <v>0.63200000000000001</v>
      </c>
      <c r="V46" s="255">
        <v>0.69099999999999995</v>
      </c>
      <c r="W46" s="216">
        <v>22</v>
      </c>
      <c r="X46" s="169">
        <v>22</v>
      </c>
      <c r="Y46" s="170">
        <f t="shared" si="0"/>
        <v>0.39300000000000002</v>
      </c>
      <c r="Z46" s="171">
        <f t="shared" si="1"/>
        <v>0.39300000000000002</v>
      </c>
      <c r="AA46" s="172">
        <f t="shared" si="2"/>
        <v>0.45400000000000001</v>
      </c>
    </row>
    <row r="47" spans="1:27" x14ac:dyDescent="0.2">
      <c r="A47" s="30"/>
      <c r="B47" s="58"/>
      <c r="C47" s="21"/>
      <c r="D47" s="304" t="str">
        <f>IF($N$19&gt;$N$3,"L(req'd) = "&amp;$N$19&amp;" &gt; "&amp;$N$3&amp;" in.","L(req'd) = "&amp;$N$19&amp;" &lt;= "&amp;$N$3&amp;" in.")</f>
        <v>L(req'd) = 9.989 &lt;= 10 in.</v>
      </c>
      <c r="E47" s="305"/>
      <c r="F47" s="306"/>
      <c r="G47" s="21"/>
      <c r="H47" s="21"/>
      <c r="I47" s="24"/>
      <c r="J47" s="51"/>
      <c r="K47" s="260">
        <v>2.8</v>
      </c>
      <c r="L47" s="253">
        <v>0.152</v>
      </c>
      <c r="M47" s="254">
        <v>0.18</v>
      </c>
      <c r="N47" s="254">
        <v>0.216</v>
      </c>
      <c r="O47" s="254">
        <v>0.26</v>
      </c>
      <c r="P47" s="254">
        <v>0.312</v>
      </c>
      <c r="Q47" s="254">
        <v>0.36599999999999999</v>
      </c>
      <c r="R47" s="254">
        <v>0.42199999999999999</v>
      </c>
      <c r="S47" s="254">
        <v>0.48199999999999998</v>
      </c>
      <c r="T47" s="254">
        <v>0.53600000000000003</v>
      </c>
      <c r="U47" s="254">
        <v>0.59099999999999997</v>
      </c>
      <c r="V47" s="255">
        <v>0.64700000000000002</v>
      </c>
      <c r="W47" s="216">
        <v>23</v>
      </c>
      <c r="X47" s="169">
        <v>23</v>
      </c>
      <c r="Y47" s="170">
        <f t="shared" si="0"/>
        <v>0.36599999999999999</v>
      </c>
      <c r="Z47" s="171">
        <f t="shared" si="1"/>
        <v>0.36599999999999999</v>
      </c>
      <c r="AA47" s="172">
        <f t="shared" si="2"/>
        <v>0.42199999999999999</v>
      </c>
    </row>
    <row r="48" spans="1:27" ht="12.75" customHeight="1" x14ac:dyDescent="0.2">
      <c r="A48" s="30"/>
      <c r="B48" s="58"/>
      <c r="C48" s="21"/>
      <c r="D48" s="21"/>
      <c r="E48" s="21"/>
      <c r="F48" s="21"/>
      <c r="G48" s="21"/>
      <c r="H48" s="21"/>
      <c r="I48" s="24"/>
      <c r="J48" s="51"/>
      <c r="K48" s="261">
        <v>3</v>
      </c>
      <c r="L48" s="256">
        <v>0.14199999999999999</v>
      </c>
      <c r="M48" s="257">
        <v>0.16800000000000001</v>
      </c>
      <c r="N48" s="257">
        <v>0.20200000000000001</v>
      </c>
      <c r="O48" s="257">
        <v>0.24299999999999999</v>
      </c>
      <c r="P48" s="257">
        <v>0.29199999999999998</v>
      </c>
      <c r="Q48" s="257">
        <v>0.34200000000000003</v>
      </c>
      <c r="R48" s="257">
        <v>0.39500000000000002</v>
      </c>
      <c r="S48" s="257">
        <v>0.45100000000000001</v>
      </c>
      <c r="T48" s="257">
        <v>0.503</v>
      </c>
      <c r="U48" s="257">
        <v>0.55500000000000005</v>
      </c>
      <c r="V48" s="258">
        <v>0.60799999999999998</v>
      </c>
      <c r="W48" s="216">
        <v>24</v>
      </c>
      <c r="X48" s="173">
        <v>24</v>
      </c>
      <c r="Y48" s="174">
        <f t="shared" si="0"/>
        <v>0.34200000000000003</v>
      </c>
      <c r="Z48" s="175">
        <f t="shared" si="1"/>
        <v>0.34200000000000003</v>
      </c>
      <c r="AA48" s="176">
        <f t="shared" si="2"/>
        <v>0.39500000000000002</v>
      </c>
    </row>
    <row r="49" spans="1:27" x14ac:dyDescent="0.2">
      <c r="A49" s="30"/>
      <c r="B49" s="58"/>
      <c r="C49" s="21"/>
      <c r="D49" s="21"/>
      <c r="E49" s="21"/>
      <c r="F49" s="21"/>
      <c r="G49" s="21"/>
      <c r="H49" s="21"/>
      <c r="I49" s="24"/>
      <c r="J49" s="51"/>
      <c r="K49" s="158" t="s">
        <v>1094</v>
      </c>
      <c r="L49" s="158">
        <v>1</v>
      </c>
      <c r="M49" s="158">
        <v>2</v>
      </c>
      <c r="N49" s="158">
        <v>3</v>
      </c>
      <c r="O49" s="158">
        <v>4</v>
      </c>
      <c r="P49" s="158">
        <v>5</v>
      </c>
      <c r="Q49" s="158">
        <v>6</v>
      </c>
      <c r="R49" s="158">
        <v>7</v>
      </c>
      <c r="S49" s="158">
        <v>8</v>
      </c>
      <c r="T49" s="158">
        <v>9</v>
      </c>
      <c r="U49" s="158">
        <v>10</v>
      </c>
      <c r="V49" s="158">
        <v>11</v>
      </c>
      <c r="W49" s="158"/>
      <c r="X49" s="178" t="s">
        <v>1096</v>
      </c>
      <c r="Y49" s="179"/>
      <c r="Z49" s="180"/>
      <c r="AA49" s="181" t="s">
        <v>1097</v>
      </c>
    </row>
    <row r="50" spans="1:27" x14ac:dyDescent="0.2">
      <c r="A50" s="31"/>
      <c r="B50" s="508"/>
      <c r="C50" s="32"/>
      <c r="D50" s="32"/>
      <c r="E50" s="32"/>
      <c r="F50" s="32"/>
      <c r="G50" s="32"/>
      <c r="H50" s="32"/>
      <c r="I50" s="33"/>
      <c r="J50" s="51"/>
      <c r="N50" s="43"/>
      <c r="Q50" s="18"/>
      <c r="R50" s="18"/>
      <c r="S50" s="18"/>
      <c r="T50" s="18"/>
      <c r="U50" s="18"/>
      <c r="V50" s="18"/>
      <c r="W50" s="18"/>
      <c r="X50" s="182">
        <f>IF($N$7&gt;=0.06,LOOKUP($Z$50,$K$25:$K$48,$W$25:$W$48),0)</f>
        <v>14</v>
      </c>
      <c r="Y50" s="183" t="s">
        <v>1194</v>
      </c>
      <c r="Z50" s="184">
        <f>IF($N$7&gt;=0.06,LOOKUP($N$7,$K$25:$K$48),0)</f>
        <v>1</v>
      </c>
      <c r="AA50" s="185">
        <f>IF($N$7&gt;=0.06,LOOKUP($Z$50,$K$25:$K$48,$Z25:$Z48),0.928*(2+2*$N$8))</f>
        <v>0.95099999999999996</v>
      </c>
    </row>
    <row r="51" spans="1:27" x14ac:dyDescent="0.2">
      <c r="A51" s="158"/>
      <c r="B51" s="158"/>
      <c r="C51" s="21"/>
      <c r="D51" s="21"/>
      <c r="E51" s="21"/>
      <c r="F51" s="21"/>
      <c r="G51" s="21"/>
      <c r="H51" s="21"/>
      <c r="I51" s="21"/>
      <c r="J51" s="51"/>
      <c r="M51" s="47"/>
      <c r="N51" s="47"/>
      <c r="O51" s="52"/>
      <c r="P51" s="47"/>
      <c r="Q51" s="18"/>
      <c r="R51" s="18"/>
      <c r="S51" s="18"/>
      <c r="T51" s="18"/>
      <c r="U51" s="18"/>
      <c r="V51" s="18"/>
      <c r="W51" s="18"/>
      <c r="X51" s="186"/>
      <c r="Y51" s="187" t="s">
        <v>1095</v>
      </c>
      <c r="Z51" s="171">
        <f>$N$7</f>
        <v>1</v>
      </c>
      <c r="AA51" s="188">
        <f>IF($Z$50=$Z$52,$AA$50,($AA$52-$AA$50)*($Z$51-$Z$50)/($Z$52-$Z$50)+$AA$50)</f>
        <v>0.95099999999999996</v>
      </c>
    </row>
    <row r="52" spans="1:27" x14ac:dyDescent="0.2">
      <c r="H52" s="21"/>
      <c r="I52" s="51"/>
      <c r="J52" s="51"/>
      <c r="N52" s="43"/>
      <c r="O52" s="52"/>
      <c r="Q52" s="18"/>
      <c r="R52" s="18"/>
      <c r="S52" s="18"/>
      <c r="T52" s="18"/>
      <c r="U52" s="18"/>
      <c r="V52" s="18"/>
      <c r="W52" s="18"/>
      <c r="X52" s="189">
        <f>LOOKUP($X$50+1,$W$25:$W$48)</f>
        <v>15</v>
      </c>
      <c r="Y52" s="190" t="s">
        <v>1194</v>
      </c>
      <c r="Z52" s="191">
        <f>LOOKUP($X$52,$W$25:$W$48,$K$25:$K$48)</f>
        <v>1.2</v>
      </c>
      <c r="AA52" s="176">
        <f>LOOKUP($Z$52,$K$25:$K$48,$Z25:$Z48)</f>
        <v>0.81100000000000005</v>
      </c>
    </row>
    <row r="53" spans="1:27" x14ac:dyDescent="0.2">
      <c r="H53" s="203"/>
      <c r="I53" s="21"/>
    </row>
    <row r="54" spans="1:27" x14ac:dyDescent="0.2">
      <c r="H54" s="203"/>
      <c r="I54" s="21"/>
      <c r="V54" s="14"/>
    </row>
    <row r="55" spans="1:27" x14ac:dyDescent="0.2">
      <c r="H55" s="203"/>
      <c r="I55" s="21"/>
      <c r="K55" s="55"/>
      <c r="N55" s="43"/>
      <c r="P55" s="44"/>
    </row>
    <row r="56" spans="1:27" x14ac:dyDescent="0.2">
      <c r="H56" s="203"/>
      <c r="I56" s="21"/>
      <c r="K56" s="55"/>
      <c r="P56" s="44"/>
    </row>
    <row r="57" spans="1:27" x14ac:dyDescent="0.2">
      <c r="H57" s="205"/>
      <c r="I57" s="125"/>
      <c r="K57" s="55"/>
      <c r="P57" s="44"/>
    </row>
    <row r="58" spans="1:27" x14ac:dyDescent="0.2">
      <c r="H58" s="205"/>
      <c r="I58" s="125"/>
      <c r="K58" s="55"/>
      <c r="P58" s="44"/>
    </row>
    <row r="59" spans="1:27" x14ac:dyDescent="0.2">
      <c r="H59" s="205"/>
      <c r="I59" s="11"/>
      <c r="K59" s="55"/>
      <c r="O59" s="192"/>
      <c r="P59" s="192"/>
      <c r="Q59" s="192"/>
    </row>
    <row r="60" spans="1:27" x14ac:dyDescent="0.2">
      <c r="H60" s="205"/>
      <c r="I60" s="58"/>
      <c r="J60" s="67"/>
      <c r="K60" s="55"/>
      <c r="O60" s="192"/>
      <c r="P60" s="192"/>
      <c r="Q60" s="192"/>
    </row>
    <row r="61" spans="1:27" x14ac:dyDescent="0.2">
      <c r="H61" s="205"/>
      <c r="I61" s="11"/>
      <c r="J61" s="71"/>
      <c r="K61" s="55"/>
      <c r="O61" s="192"/>
      <c r="P61" s="192"/>
      <c r="Q61" s="192"/>
    </row>
    <row r="62" spans="1:27" x14ac:dyDescent="0.2">
      <c r="H62" s="205"/>
      <c r="I62" s="11"/>
      <c r="J62" s="51"/>
      <c r="K62" s="55"/>
      <c r="O62" s="192"/>
      <c r="P62" s="192"/>
      <c r="Q62" s="192"/>
    </row>
    <row r="63" spans="1:27" x14ac:dyDescent="0.2">
      <c r="H63" s="21"/>
      <c r="I63" s="21"/>
      <c r="J63" s="51"/>
      <c r="K63" s="55"/>
      <c r="O63" s="192"/>
      <c r="P63" s="192"/>
      <c r="Q63" s="192"/>
    </row>
    <row r="64" spans="1:27" x14ac:dyDescent="0.2">
      <c r="H64" s="64"/>
      <c r="I64" s="64"/>
      <c r="J64" s="51"/>
    </row>
    <row r="65" spans="1:14" x14ac:dyDescent="0.2">
      <c r="H65" s="64"/>
      <c r="I65" s="64"/>
      <c r="J65" s="51"/>
      <c r="N65" s="43"/>
    </row>
    <row r="66" spans="1:14" x14ac:dyDescent="0.2">
      <c r="H66" s="64"/>
      <c r="I66" s="64"/>
      <c r="J66" s="51"/>
      <c r="N66" s="43"/>
    </row>
    <row r="67" spans="1:14" x14ac:dyDescent="0.2">
      <c r="H67" s="64"/>
      <c r="I67" s="64"/>
      <c r="N67" s="43"/>
    </row>
    <row r="68" spans="1:14" x14ac:dyDescent="0.2">
      <c r="H68" s="64"/>
      <c r="I68" s="64"/>
      <c r="N68" s="43"/>
    </row>
    <row r="69" spans="1:14" x14ac:dyDescent="0.2">
      <c r="H69" s="64"/>
      <c r="I69" s="64"/>
      <c r="N69" s="43"/>
    </row>
    <row r="70" spans="1:14" x14ac:dyDescent="0.2">
      <c r="A70" s="64"/>
      <c r="B70" s="64"/>
      <c r="C70" s="64"/>
      <c r="D70" s="64"/>
      <c r="E70" s="64"/>
      <c r="F70" s="64"/>
      <c r="G70" s="64"/>
      <c r="H70" s="64"/>
      <c r="I70" s="64"/>
      <c r="N70" s="43"/>
    </row>
    <row r="71" spans="1:14" x14ac:dyDescent="0.2">
      <c r="A71" s="71"/>
      <c r="B71" s="64"/>
      <c r="C71" s="64"/>
      <c r="D71" s="64"/>
      <c r="E71" s="64"/>
      <c r="F71" s="64"/>
      <c r="G71" s="64"/>
      <c r="H71" s="64"/>
      <c r="I71" s="64"/>
      <c r="N71" s="43"/>
    </row>
    <row r="72" spans="1:14" x14ac:dyDescent="0.2">
      <c r="A72" s="64"/>
      <c r="B72" s="64"/>
      <c r="C72" s="64"/>
      <c r="D72" s="64"/>
      <c r="E72" s="64"/>
      <c r="F72" s="64"/>
      <c r="G72" s="64"/>
      <c r="H72" s="64"/>
      <c r="I72" s="64"/>
      <c r="N72" s="43"/>
    </row>
    <row r="73" spans="1:14" x14ac:dyDescent="0.2">
      <c r="A73" s="93"/>
      <c r="B73" s="9"/>
      <c r="C73" s="73"/>
      <c r="D73" s="64"/>
      <c r="E73" s="64"/>
      <c r="F73" s="64"/>
      <c r="G73" s="64"/>
      <c r="H73" s="108"/>
      <c r="I73" s="57"/>
      <c r="N73" s="43"/>
    </row>
    <row r="74" spans="1:14" x14ac:dyDescent="0.2">
      <c r="A74" s="57"/>
      <c r="B74" s="57"/>
      <c r="C74" s="57"/>
      <c r="D74" s="65"/>
      <c r="E74" s="64"/>
      <c r="F74" s="64"/>
      <c r="G74" s="64"/>
      <c r="H74" s="64"/>
      <c r="I74" s="64"/>
      <c r="N74" s="54"/>
    </row>
    <row r="75" spans="1:14" x14ac:dyDescent="0.2">
      <c r="A75" s="93"/>
      <c r="B75" s="9"/>
      <c r="C75" s="62"/>
      <c r="D75" s="62"/>
      <c r="E75" s="62"/>
      <c r="F75" s="64"/>
      <c r="G75" s="64"/>
      <c r="H75" s="64"/>
      <c r="I75" s="57"/>
      <c r="N75" s="43"/>
    </row>
    <row r="76" spans="1:14" x14ac:dyDescent="0.2">
      <c r="A76" s="93"/>
      <c r="B76" s="9"/>
      <c r="C76" s="62"/>
      <c r="D76" s="73"/>
      <c r="E76" s="73"/>
      <c r="F76" s="64"/>
      <c r="G76" s="64"/>
      <c r="H76" s="64"/>
      <c r="I76" s="57"/>
      <c r="N76" s="43"/>
    </row>
    <row r="77" spans="1:14" x14ac:dyDescent="0.2">
      <c r="A77" s="100"/>
      <c r="B77" s="58"/>
      <c r="C77" s="62"/>
      <c r="D77" s="84"/>
      <c r="E77" s="84"/>
      <c r="F77" s="64"/>
      <c r="G77" s="64"/>
      <c r="H77" s="64"/>
      <c r="I77" s="64"/>
      <c r="N77" s="43"/>
    </row>
    <row r="78" spans="1:14" x14ac:dyDescent="0.2">
      <c r="A78" s="100"/>
      <c r="B78" s="58"/>
      <c r="C78" s="62"/>
      <c r="D78" s="84"/>
      <c r="E78" s="84"/>
      <c r="F78" s="64"/>
      <c r="G78" s="64"/>
      <c r="H78" s="64"/>
      <c r="I78" s="64"/>
      <c r="N78" s="43"/>
    </row>
    <row r="79" spans="1:14" x14ac:dyDescent="0.2">
      <c r="A79" s="64"/>
      <c r="B79" s="64"/>
      <c r="C79" s="64"/>
      <c r="D79" s="62"/>
      <c r="E79" s="64"/>
      <c r="F79" s="64"/>
      <c r="G79" s="64"/>
      <c r="H79" s="64"/>
      <c r="I79" s="64"/>
      <c r="N79" s="43"/>
    </row>
    <row r="80" spans="1:14" x14ac:dyDescent="0.2">
      <c r="A80" s="64"/>
      <c r="B80" s="64"/>
      <c r="C80" s="64"/>
      <c r="D80" s="64"/>
      <c r="E80" s="64"/>
      <c r="F80" s="64"/>
      <c r="G80" s="108"/>
      <c r="H80" s="64"/>
      <c r="I80" s="64"/>
      <c r="K80" s="70"/>
      <c r="N80" s="43"/>
    </row>
    <row r="81" spans="1:14" x14ac:dyDescent="0.2">
      <c r="A81" s="194"/>
      <c r="B81" s="64"/>
      <c r="C81" s="64"/>
      <c r="D81" s="64"/>
      <c r="E81" s="64"/>
      <c r="F81" s="108"/>
      <c r="G81" s="64"/>
      <c r="H81" s="64"/>
      <c r="I81" s="64"/>
      <c r="N81" s="43"/>
    </row>
    <row r="82" spans="1:14" x14ac:dyDescent="0.2">
      <c r="A82" s="57"/>
      <c r="B82" s="57"/>
      <c r="C82" s="57"/>
      <c r="D82" s="62"/>
      <c r="E82" s="57"/>
      <c r="F82" s="64"/>
      <c r="G82" s="64"/>
      <c r="H82" s="64"/>
      <c r="I82" s="64"/>
      <c r="N82" s="43"/>
    </row>
    <row r="83" spans="1:14" x14ac:dyDescent="0.2">
      <c r="A83" s="67"/>
      <c r="B83" s="58"/>
      <c r="C83" s="62"/>
      <c r="D83" s="62"/>
      <c r="E83" s="57"/>
      <c r="F83" s="57"/>
      <c r="G83" s="57"/>
      <c r="H83" s="57"/>
      <c r="I83" s="57"/>
      <c r="N83" s="43"/>
    </row>
    <row r="84" spans="1:14" x14ac:dyDescent="0.2">
      <c r="A84" s="67"/>
      <c r="B84" s="58"/>
      <c r="C84" s="62"/>
      <c r="D84" s="62"/>
      <c r="E84" s="57"/>
      <c r="F84" s="57"/>
      <c r="G84" s="57"/>
      <c r="H84" s="57"/>
      <c r="I84" s="64"/>
      <c r="N84" s="43"/>
    </row>
    <row r="85" spans="1:14" x14ac:dyDescent="0.2">
      <c r="A85" s="67"/>
      <c r="B85" s="9"/>
      <c r="C85" s="62"/>
      <c r="D85" s="62"/>
      <c r="E85" s="64"/>
      <c r="F85" s="64"/>
      <c r="G85" s="64"/>
      <c r="H85" s="64"/>
      <c r="I85" s="57"/>
      <c r="N85" s="43"/>
    </row>
    <row r="86" spans="1:14" x14ac:dyDescent="0.2">
      <c r="A86" s="67"/>
      <c r="B86" s="9"/>
      <c r="C86" s="62"/>
      <c r="D86" s="62"/>
      <c r="E86" s="57"/>
      <c r="F86" s="57"/>
      <c r="G86" s="64"/>
      <c r="H86" s="108"/>
      <c r="I86" s="57"/>
      <c r="N86" s="43"/>
    </row>
    <row r="87" spans="1:14" x14ac:dyDescent="0.2">
      <c r="A87" s="57"/>
      <c r="B87" s="64"/>
      <c r="C87" s="64"/>
      <c r="D87" s="62"/>
      <c r="E87" s="64"/>
      <c r="F87" s="64"/>
      <c r="G87" s="64"/>
      <c r="H87" s="64"/>
      <c r="I87" s="64"/>
      <c r="N87" s="43"/>
    </row>
    <row r="88" spans="1:14" x14ac:dyDescent="0.2">
      <c r="A88" s="67"/>
      <c r="B88" s="9"/>
      <c r="C88" s="62"/>
      <c r="D88" s="62"/>
      <c r="E88" s="57"/>
      <c r="F88" s="57"/>
      <c r="G88" s="57"/>
      <c r="H88" s="57"/>
      <c r="I88" s="57"/>
      <c r="N88" s="43"/>
    </row>
    <row r="89" spans="1:14" x14ac:dyDescent="0.2">
      <c r="A89" s="67"/>
      <c r="B89" s="89"/>
      <c r="C89" s="62"/>
      <c r="D89" s="62"/>
      <c r="E89" s="64"/>
      <c r="F89" s="64"/>
      <c r="G89" s="64"/>
      <c r="H89" s="108"/>
      <c r="I89" s="57"/>
      <c r="N89" s="43"/>
    </row>
    <row r="90" spans="1:14" x14ac:dyDescent="0.2">
      <c r="A90" s="57"/>
      <c r="B90" s="64"/>
      <c r="C90" s="64"/>
      <c r="D90" s="62"/>
      <c r="E90" s="64"/>
      <c r="F90" s="64"/>
      <c r="G90" s="64"/>
      <c r="H90" s="64"/>
      <c r="I90" s="57"/>
      <c r="N90" s="43"/>
    </row>
    <row r="91" spans="1:14" x14ac:dyDescent="0.2">
      <c r="A91" s="93"/>
      <c r="B91" s="9"/>
      <c r="C91" s="73"/>
      <c r="D91" s="62"/>
      <c r="E91" s="64"/>
      <c r="F91" s="64"/>
      <c r="G91" s="64"/>
      <c r="H91" s="64"/>
      <c r="I91" s="57"/>
      <c r="K91" s="47"/>
      <c r="N91" s="43"/>
    </row>
    <row r="92" spans="1:14" x14ac:dyDescent="0.2">
      <c r="A92" s="93"/>
      <c r="B92" s="9"/>
      <c r="C92" s="73"/>
      <c r="D92" s="62"/>
      <c r="E92" s="64"/>
      <c r="F92" s="64"/>
      <c r="G92" s="64"/>
      <c r="H92" s="64"/>
      <c r="I92" s="64"/>
      <c r="M92" s="52"/>
      <c r="N92" s="43"/>
    </row>
    <row r="93" spans="1:14" x14ac:dyDescent="0.2">
      <c r="A93" s="93"/>
      <c r="B93" s="9"/>
      <c r="C93" s="64"/>
      <c r="D93" s="62"/>
      <c r="E93" s="64"/>
      <c r="F93" s="64"/>
      <c r="G93" s="64"/>
      <c r="H93" s="64"/>
      <c r="I93" s="64"/>
      <c r="N93" s="43"/>
    </row>
    <row r="94" spans="1:14" x14ac:dyDescent="0.2">
      <c r="A94" s="93"/>
      <c r="B94" s="9"/>
      <c r="C94" s="64"/>
      <c r="D94" s="73"/>
      <c r="E94" s="64"/>
      <c r="F94" s="64"/>
      <c r="G94" s="64"/>
      <c r="H94" s="64"/>
      <c r="I94" s="57"/>
      <c r="N94" s="43"/>
    </row>
    <row r="95" spans="1:14" x14ac:dyDescent="0.2">
      <c r="A95" s="93"/>
      <c r="B95" s="9"/>
      <c r="C95" s="64"/>
      <c r="D95" s="73"/>
      <c r="E95" s="64"/>
      <c r="F95" s="64"/>
      <c r="G95" s="64"/>
      <c r="H95" s="64"/>
      <c r="I95" s="64"/>
      <c r="N95" s="43"/>
    </row>
    <row r="96" spans="1:14" x14ac:dyDescent="0.2">
      <c r="A96" s="93"/>
      <c r="B96" s="9"/>
      <c r="C96" s="73"/>
      <c r="D96" s="64"/>
      <c r="E96" s="64"/>
      <c r="F96" s="64"/>
      <c r="G96" s="64"/>
      <c r="H96" s="64"/>
      <c r="I96" s="57"/>
    </row>
    <row r="97" spans="1:14" x14ac:dyDescent="0.2">
      <c r="A97" s="57"/>
      <c r="B97" s="12"/>
      <c r="C97" s="57"/>
      <c r="D97" s="73"/>
      <c r="E97" s="64"/>
      <c r="F97" s="64"/>
      <c r="G97" s="64"/>
      <c r="H97" s="64"/>
      <c r="I97" s="57"/>
      <c r="K97" s="59"/>
      <c r="N97" s="43"/>
    </row>
    <row r="98" spans="1:14" x14ac:dyDescent="0.2">
      <c r="A98" s="57"/>
      <c r="B98" s="12"/>
      <c r="C98" s="57"/>
      <c r="D98" s="73"/>
      <c r="E98" s="64"/>
      <c r="F98" s="64"/>
      <c r="G98" s="64"/>
      <c r="H98" s="64"/>
      <c r="I98" s="64"/>
      <c r="N98" s="43"/>
    </row>
    <row r="99" spans="1:14" x14ac:dyDescent="0.2">
      <c r="A99" s="64"/>
      <c r="B99" s="64"/>
      <c r="C99" s="64"/>
      <c r="D99" s="64"/>
      <c r="E99" s="64"/>
      <c r="F99" s="64"/>
      <c r="G99" s="64"/>
      <c r="H99" s="108"/>
      <c r="I99" s="57"/>
      <c r="N99" s="43"/>
    </row>
    <row r="100" spans="1:14" x14ac:dyDescent="0.2">
      <c r="A100" s="64"/>
      <c r="B100" s="64"/>
      <c r="C100" s="64"/>
      <c r="D100" s="64"/>
      <c r="E100" s="57"/>
      <c r="F100" s="57"/>
      <c r="G100" s="57"/>
      <c r="H100" s="80"/>
      <c r="I100" s="12"/>
      <c r="N100" s="43"/>
    </row>
    <row r="101" spans="1:14" x14ac:dyDescent="0.2">
      <c r="A101" s="64"/>
      <c r="B101" s="64"/>
      <c r="C101" s="64"/>
      <c r="D101" s="64"/>
      <c r="E101" s="57"/>
      <c r="F101" s="57"/>
      <c r="G101" s="57"/>
      <c r="H101" s="80"/>
      <c r="I101" s="127"/>
      <c r="N101" s="43"/>
    </row>
    <row r="102" spans="1:14" x14ac:dyDescent="0.2">
      <c r="A102" s="194"/>
      <c r="B102" s="21"/>
      <c r="C102" s="21"/>
      <c r="D102" s="21"/>
      <c r="E102" s="21"/>
      <c r="F102" s="21"/>
      <c r="G102" s="21"/>
      <c r="H102" s="94"/>
      <c r="I102" s="96"/>
      <c r="N102" s="43"/>
    </row>
    <row r="103" spans="1:14" x14ac:dyDescent="0.2">
      <c r="A103" s="21"/>
      <c r="B103" s="21"/>
      <c r="C103" s="21"/>
      <c r="D103" s="21"/>
      <c r="E103" s="21"/>
      <c r="F103" s="21"/>
      <c r="G103" s="21"/>
      <c r="H103" s="94"/>
      <c r="I103" s="41"/>
      <c r="N103" s="43"/>
    </row>
    <row r="104" spans="1:14" x14ac:dyDescent="0.2">
      <c r="A104" s="126"/>
      <c r="B104" s="8"/>
      <c r="C104" s="62"/>
      <c r="D104" s="73"/>
      <c r="E104" s="21"/>
      <c r="F104" s="21"/>
      <c r="G104" s="21"/>
      <c r="H104" s="94"/>
      <c r="I104" s="41"/>
      <c r="N104" s="43"/>
    </row>
    <row r="105" spans="1:14" x14ac:dyDescent="0.2">
      <c r="A105" s="126"/>
      <c r="B105" s="8"/>
      <c r="C105" s="62"/>
      <c r="D105" s="73"/>
      <c r="E105" s="21"/>
      <c r="F105" s="21"/>
      <c r="G105" s="21"/>
      <c r="H105" s="94"/>
      <c r="I105" s="21"/>
      <c r="N105" s="43"/>
    </row>
    <row r="106" spans="1:14" x14ac:dyDescent="0.2">
      <c r="A106" s="126"/>
      <c r="B106" s="8"/>
      <c r="C106" s="10"/>
      <c r="D106" s="73"/>
      <c r="E106" s="21"/>
      <c r="F106" s="21"/>
      <c r="G106" s="21"/>
      <c r="H106" s="21"/>
      <c r="I106" s="21"/>
      <c r="N106" s="43"/>
    </row>
    <row r="107" spans="1:14" x14ac:dyDescent="0.2">
      <c r="A107" s="21"/>
      <c r="B107" s="21"/>
      <c r="C107" s="21"/>
      <c r="D107" s="21"/>
      <c r="E107" s="21"/>
      <c r="F107" s="21"/>
      <c r="G107" s="21"/>
      <c r="H107" s="21"/>
      <c r="I107" s="21"/>
      <c r="N107" s="43"/>
    </row>
    <row r="108" spans="1:14" x14ac:dyDescent="0.2">
      <c r="A108" s="57"/>
      <c r="B108" s="67"/>
      <c r="C108" s="62"/>
      <c r="D108" s="62"/>
      <c r="E108" s="21"/>
      <c r="F108" s="21"/>
      <c r="G108" s="21"/>
      <c r="H108" s="21"/>
      <c r="I108" s="21"/>
      <c r="N108" s="43"/>
    </row>
    <row r="109" spans="1:14" x14ac:dyDescent="0.2">
      <c r="A109" s="67"/>
      <c r="B109" s="8"/>
      <c r="C109" s="62"/>
      <c r="D109" s="62"/>
      <c r="E109" s="21"/>
      <c r="F109" s="21"/>
      <c r="G109" s="21"/>
      <c r="H109" s="21"/>
      <c r="I109" s="21"/>
      <c r="N109" s="43"/>
    </row>
    <row r="110" spans="1:14" x14ac:dyDescent="0.2">
      <c r="A110" s="67"/>
      <c r="B110" s="8"/>
      <c r="C110" s="62"/>
      <c r="D110" s="62"/>
      <c r="E110" s="21"/>
      <c r="F110" s="21"/>
      <c r="G110" s="21"/>
      <c r="H110" s="83"/>
      <c r="I110" s="64"/>
      <c r="N110" s="43"/>
    </row>
    <row r="111" spans="1:14" x14ac:dyDescent="0.2">
      <c r="A111" s="21"/>
      <c r="B111" s="21"/>
      <c r="C111" s="21"/>
      <c r="D111" s="21"/>
      <c r="E111" s="21"/>
      <c r="F111" s="21"/>
      <c r="G111" s="21"/>
      <c r="H111" s="21"/>
      <c r="I111" s="21"/>
      <c r="N111" s="43"/>
    </row>
    <row r="112" spans="1:14" x14ac:dyDescent="0.2">
      <c r="A112" s="57"/>
      <c r="B112" s="57"/>
      <c r="C112" s="57"/>
      <c r="D112" s="62"/>
      <c r="E112" s="57"/>
      <c r="F112" s="57"/>
      <c r="G112" s="57"/>
      <c r="H112" s="57"/>
      <c r="I112" s="57"/>
      <c r="N112" s="43"/>
    </row>
    <row r="113" spans="1:14" x14ac:dyDescent="0.2">
      <c r="A113" s="93"/>
      <c r="B113" s="8"/>
      <c r="C113" s="73"/>
      <c r="D113" s="73"/>
      <c r="E113" s="21"/>
      <c r="F113" s="21"/>
      <c r="G113" s="21"/>
      <c r="H113" s="21"/>
      <c r="I113" s="21"/>
      <c r="N113" s="43"/>
    </row>
    <row r="114" spans="1:14" x14ac:dyDescent="0.2">
      <c r="A114" s="93"/>
      <c r="B114" s="11"/>
      <c r="C114" s="73"/>
      <c r="D114" s="73"/>
      <c r="E114" s="21"/>
      <c r="F114" s="21"/>
      <c r="G114" s="21"/>
      <c r="H114" s="21"/>
      <c r="I114" s="21"/>
      <c r="N114" s="43"/>
    </row>
    <row r="115" spans="1:14" x14ac:dyDescent="0.2">
      <c r="A115" s="100"/>
      <c r="B115" s="11"/>
      <c r="C115" s="73"/>
      <c r="D115" s="84"/>
      <c r="E115" s="21"/>
      <c r="F115" s="21"/>
      <c r="G115" s="21"/>
      <c r="H115" s="21"/>
      <c r="I115" s="21"/>
      <c r="N115" s="43"/>
    </row>
    <row r="116" spans="1:14" x14ac:dyDescent="0.2">
      <c r="A116" s="100"/>
      <c r="B116" s="11"/>
      <c r="C116" s="73"/>
      <c r="D116" s="84"/>
      <c r="E116" s="21"/>
      <c r="F116" s="21"/>
      <c r="G116" s="21"/>
      <c r="H116" s="21"/>
      <c r="I116" s="21"/>
      <c r="N116" s="43"/>
    </row>
    <row r="117" spans="1:14" x14ac:dyDescent="0.2">
      <c r="A117" s="21"/>
      <c r="B117" s="21"/>
      <c r="C117" s="21"/>
      <c r="D117" s="21"/>
      <c r="E117" s="21"/>
      <c r="F117" s="21"/>
      <c r="G117" s="68"/>
      <c r="H117" s="21"/>
      <c r="I117" s="21"/>
      <c r="N117" s="43"/>
    </row>
    <row r="118" spans="1:14" x14ac:dyDescent="0.2">
      <c r="A118" s="99"/>
      <c r="B118" s="8"/>
      <c r="C118" s="62"/>
      <c r="D118" s="62"/>
      <c r="E118" s="57"/>
      <c r="F118" s="68"/>
      <c r="G118" s="57"/>
      <c r="H118" s="57"/>
      <c r="I118" s="57"/>
      <c r="N118" s="43"/>
    </row>
    <row r="119" spans="1:14" x14ac:dyDescent="0.2">
      <c r="A119" s="21"/>
      <c r="B119" s="21"/>
      <c r="C119" s="21"/>
      <c r="D119" s="21"/>
      <c r="E119" s="21"/>
      <c r="F119" s="21"/>
      <c r="G119" s="21"/>
      <c r="H119" s="21"/>
      <c r="I119" s="21"/>
      <c r="N119" s="43"/>
    </row>
    <row r="120" spans="1:14" x14ac:dyDescent="0.2">
      <c r="A120" s="126"/>
      <c r="B120" s="195"/>
      <c r="C120" s="62"/>
      <c r="D120" s="73"/>
      <c r="E120" s="57"/>
      <c r="F120" s="57"/>
      <c r="G120" s="57"/>
      <c r="H120" s="57"/>
      <c r="I120" s="21"/>
      <c r="N120" s="43"/>
    </row>
    <row r="121" spans="1:14" x14ac:dyDescent="0.2">
      <c r="A121" s="126"/>
      <c r="B121" s="8"/>
      <c r="C121" s="62"/>
      <c r="D121" s="73"/>
      <c r="E121" s="57"/>
      <c r="F121" s="57"/>
      <c r="G121" s="57"/>
      <c r="H121" s="57"/>
      <c r="I121" s="21"/>
      <c r="N121" s="43"/>
    </row>
    <row r="122" spans="1:14" x14ac:dyDescent="0.2">
      <c r="A122" s="74"/>
      <c r="B122" s="8"/>
      <c r="C122" s="10"/>
      <c r="D122" s="73"/>
      <c r="E122" s="57"/>
      <c r="F122" s="57"/>
      <c r="G122" s="57"/>
      <c r="H122" s="57"/>
      <c r="I122" s="21"/>
      <c r="N122" s="43"/>
    </row>
    <row r="123" spans="1:14" x14ac:dyDescent="0.2">
      <c r="A123" s="64"/>
      <c r="B123" s="93"/>
      <c r="C123" s="62"/>
      <c r="D123" s="57"/>
      <c r="E123" s="57"/>
      <c r="F123" s="57"/>
      <c r="G123" s="57"/>
      <c r="H123" s="57"/>
      <c r="I123" s="64"/>
      <c r="N123" s="43"/>
    </row>
    <row r="124" spans="1:14" x14ac:dyDescent="0.2">
      <c r="A124" s="93"/>
      <c r="B124" s="8"/>
      <c r="C124" s="62"/>
      <c r="D124" s="62"/>
      <c r="E124" s="57"/>
      <c r="F124" s="57"/>
      <c r="G124" s="57"/>
      <c r="H124" s="57"/>
      <c r="I124" s="64"/>
      <c r="L124" s="52"/>
      <c r="N124" s="43"/>
    </row>
    <row r="125" spans="1:14" x14ac:dyDescent="0.2">
      <c r="A125" s="93"/>
      <c r="B125" s="8"/>
      <c r="C125" s="73"/>
      <c r="D125" s="62"/>
      <c r="E125" s="51"/>
      <c r="F125" s="57"/>
      <c r="G125" s="21"/>
      <c r="H125" s="83"/>
      <c r="I125" s="57"/>
      <c r="N125" s="43"/>
    </row>
    <row r="126" spans="1:14" x14ac:dyDescent="0.2">
      <c r="A126" s="67"/>
      <c r="B126" s="13"/>
      <c r="C126" s="62"/>
      <c r="D126" s="62"/>
      <c r="E126" s="51"/>
      <c r="F126" s="21"/>
      <c r="G126" s="21"/>
      <c r="H126" s="57"/>
      <c r="I126" s="57"/>
      <c r="N126" s="43"/>
    </row>
    <row r="127" spans="1:14" x14ac:dyDescent="0.2">
      <c r="A127" s="93"/>
      <c r="B127" s="8"/>
      <c r="C127" s="62"/>
      <c r="D127" s="62"/>
      <c r="E127" s="57"/>
      <c r="F127" s="21"/>
      <c r="G127" s="83"/>
      <c r="H127" s="64"/>
      <c r="I127" s="57"/>
      <c r="N127" s="43"/>
    </row>
    <row r="128" spans="1:14" x14ac:dyDescent="0.2">
      <c r="A128" s="56"/>
      <c r="B128" s="8"/>
      <c r="C128" s="62"/>
      <c r="D128" s="21"/>
      <c r="E128" s="21"/>
      <c r="F128" s="21"/>
      <c r="G128" s="21"/>
      <c r="H128" s="21"/>
      <c r="I128" s="57"/>
      <c r="K128" s="54"/>
      <c r="N128" s="43"/>
    </row>
    <row r="129" spans="1:14" x14ac:dyDescent="0.2">
      <c r="A129" s="56"/>
      <c r="B129" s="8"/>
      <c r="C129" s="73"/>
      <c r="D129" s="62"/>
      <c r="E129" s="21"/>
      <c r="F129" s="21"/>
      <c r="G129" s="21"/>
      <c r="H129" s="83"/>
      <c r="I129" s="57"/>
      <c r="K129" s="52"/>
      <c r="N129" s="43"/>
    </row>
    <row r="130" spans="1:14" x14ac:dyDescent="0.2">
      <c r="A130" s="73"/>
      <c r="B130" s="64"/>
      <c r="C130" s="64"/>
      <c r="D130" s="73"/>
      <c r="E130" s="64"/>
      <c r="F130" s="64"/>
      <c r="G130" s="64"/>
      <c r="H130" s="57"/>
      <c r="I130" s="57"/>
      <c r="K130" s="54"/>
      <c r="N130" s="43"/>
    </row>
    <row r="131" spans="1:14" x14ac:dyDescent="0.2">
      <c r="A131" s="56"/>
      <c r="B131" s="8"/>
      <c r="C131" s="21"/>
      <c r="D131" s="73"/>
      <c r="E131" s="21"/>
      <c r="F131" s="21"/>
      <c r="G131" s="21"/>
      <c r="H131" s="21"/>
      <c r="I131" s="57"/>
      <c r="N131" s="43"/>
    </row>
    <row r="132" spans="1:14" x14ac:dyDescent="0.2">
      <c r="A132" s="93"/>
      <c r="B132" s="8"/>
      <c r="C132" s="73"/>
      <c r="D132" s="73"/>
      <c r="E132" s="64"/>
      <c r="F132" s="64"/>
      <c r="G132" s="64"/>
      <c r="H132" s="21"/>
      <c r="I132" s="57"/>
      <c r="N132" s="43"/>
    </row>
    <row r="133" spans="1:14" x14ac:dyDescent="0.2">
      <c r="A133" s="100"/>
      <c r="B133" s="11"/>
      <c r="C133" s="73"/>
      <c r="D133" s="84"/>
      <c r="E133" s="64"/>
      <c r="F133" s="64"/>
      <c r="G133" s="21"/>
      <c r="H133" s="21"/>
      <c r="I133" s="21"/>
      <c r="N133" s="43"/>
    </row>
    <row r="134" spans="1:14" x14ac:dyDescent="0.2">
      <c r="A134" s="100"/>
      <c r="B134" s="11"/>
      <c r="C134" s="73"/>
      <c r="D134" s="84"/>
      <c r="E134" s="21"/>
      <c r="F134" s="21"/>
      <c r="G134" s="21"/>
      <c r="H134" s="68"/>
      <c r="I134" s="21"/>
      <c r="N134" s="43"/>
    </row>
    <row r="135" spans="1:14" x14ac:dyDescent="0.2">
      <c r="A135" s="21"/>
      <c r="B135" s="21"/>
      <c r="C135" s="21"/>
      <c r="D135" s="21"/>
      <c r="E135" s="21"/>
      <c r="F135" s="21"/>
      <c r="G135" s="68"/>
      <c r="H135" s="21"/>
      <c r="I135" s="21"/>
      <c r="N135" s="43"/>
    </row>
    <row r="136" spans="1:14" x14ac:dyDescent="0.2">
      <c r="A136" s="73"/>
      <c r="B136" s="64"/>
      <c r="C136" s="57"/>
      <c r="D136" s="57"/>
      <c r="E136" s="21"/>
      <c r="F136" s="68"/>
      <c r="G136" s="21"/>
      <c r="H136" s="21"/>
      <c r="I136" s="21"/>
      <c r="N136" s="43"/>
    </row>
    <row r="137" spans="1:14" x14ac:dyDescent="0.2">
      <c r="A137" s="21"/>
      <c r="B137" s="21"/>
      <c r="C137" s="21"/>
      <c r="D137" s="21"/>
      <c r="E137" s="21"/>
      <c r="F137" s="21"/>
      <c r="G137" s="21"/>
      <c r="H137" s="21"/>
      <c r="I137" s="21"/>
      <c r="N137" s="43"/>
    </row>
    <row r="138" spans="1:14" x14ac:dyDescent="0.2">
      <c r="A138" s="106"/>
      <c r="B138" s="40"/>
      <c r="C138" s="40"/>
      <c r="D138" s="40"/>
      <c r="E138" s="40"/>
      <c r="F138" s="40"/>
      <c r="G138" s="40"/>
      <c r="H138" s="40"/>
      <c r="I138" s="21"/>
      <c r="N138" s="43"/>
    </row>
    <row r="139" spans="1:14" x14ac:dyDescent="0.2">
      <c r="A139" s="93"/>
      <c r="B139" s="8"/>
      <c r="C139" s="59"/>
      <c r="D139" s="59"/>
      <c r="E139" s="40"/>
      <c r="F139" s="40"/>
      <c r="G139" s="40"/>
      <c r="H139" s="40"/>
      <c r="I139" s="21"/>
      <c r="N139" s="43"/>
    </row>
    <row r="140" spans="1:14" x14ac:dyDescent="0.2">
      <c r="A140" s="93"/>
      <c r="B140" s="8"/>
      <c r="C140" s="59"/>
      <c r="D140" s="59"/>
      <c r="E140" s="40"/>
      <c r="F140" s="40"/>
      <c r="G140" s="40"/>
      <c r="H140" s="132"/>
      <c r="I140" s="21"/>
      <c r="N140" s="43"/>
    </row>
    <row r="141" spans="1:14" x14ac:dyDescent="0.2">
      <c r="A141" s="62"/>
      <c r="B141" s="40"/>
      <c r="C141" s="40"/>
      <c r="D141" s="59"/>
      <c r="E141" s="40"/>
      <c r="F141" s="40"/>
      <c r="G141" s="132"/>
      <c r="H141" s="40"/>
      <c r="I141" s="21"/>
      <c r="N141" s="43"/>
    </row>
    <row r="142" spans="1:14" x14ac:dyDescent="0.2">
      <c r="A142" s="67"/>
      <c r="B142" s="8"/>
      <c r="C142" s="59"/>
      <c r="D142" s="59"/>
      <c r="E142" s="40"/>
      <c r="F142" s="40"/>
      <c r="G142" s="40"/>
      <c r="H142" s="40"/>
      <c r="I142" s="21"/>
      <c r="N142" s="43"/>
    </row>
    <row r="143" spans="1:14" x14ac:dyDescent="0.2">
      <c r="A143" s="67"/>
      <c r="B143" s="8"/>
      <c r="C143" s="59"/>
      <c r="D143" s="59"/>
      <c r="E143" s="40"/>
      <c r="F143" s="40"/>
      <c r="G143" s="40"/>
      <c r="H143" s="40"/>
      <c r="I143" s="21"/>
      <c r="N143" s="43"/>
    </row>
    <row r="144" spans="1:14" x14ac:dyDescent="0.2">
      <c r="A144" s="99"/>
      <c r="B144" s="41"/>
      <c r="C144" s="59"/>
      <c r="D144" s="40"/>
      <c r="E144" s="40"/>
      <c r="F144" s="40"/>
      <c r="G144" s="40"/>
      <c r="H144" s="132"/>
      <c r="I144" s="21"/>
      <c r="N144" s="43"/>
    </row>
    <row r="145" spans="1:14" x14ac:dyDescent="0.2">
      <c r="A145" s="21"/>
      <c r="B145" s="40"/>
      <c r="C145" s="40"/>
      <c r="D145" s="40"/>
      <c r="E145" s="40"/>
      <c r="F145" s="40"/>
      <c r="G145" s="40"/>
      <c r="H145" s="40"/>
      <c r="I145" s="21"/>
      <c r="N145" s="43"/>
    </row>
    <row r="146" spans="1:14" x14ac:dyDescent="0.2">
      <c r="A146" s="113"/>
      <c r="B146" s="8"/>
      <c r="C146" s="196"/>
      <c r="D146" s="59"/>
      <c r="E146" s="40"/>
      <c r="F146" s="40"/>
      <c r="G146" s="40"/>
      <c r="H146" s="40"/>
      <c r="I146" s="21"/>
      <c r="N146" s="43"/>
    </row>
    <row r="147" spans="1:14" x14ac:dyDescent="0.2">
      <c r="A147" s="113"/>
      <c r="B147" s="8"/>
      <c r="C147" s="59"/>
      <c r="D147" s="59"/>
      <c r="E147" s="40"/>
      <c r="F147" s="40"/>
      <c r="G147" s="40"/>
      <c r="H147" s="40"/>
      <c r="I147" s="21"/>
      <c r="N147" s="43"/>
    </row>
    <row r="148" spans="1:14" x14ac:dyDescent="0.2">
      <c r="A148" s="62"/>
      <c r="B148" s="40"/>
      <c r="C148" s="40"/>
      <c r="D148" s="40"/>
      <c r="E148" s="40"/>
      <c r="F148" s="40"/>
      <c r="G148" s="40"/>
      <c r="H148" s="40"/>
      <c r="I148" s="21"/>
      <c r="N148" s="43"/>
    </row>
    <row r="149" spans="1:14" x14ac:dyDescent="0.2">
      <c r="A149" s="107"/>
      <c r="B149" s="91"/>
      <c r="C149" s="7"/>
      <c r="D149" s="7"/>
      <c r="E149" s="7"/>
      <c r="F149" s="7"/>
      <c r="G149" s="7"/>
      <c r="H149" s="7"/>
      <c r="I149" s="7"/>
      <c r="N149" s="43"/>
    </row>
    <row r="150" spans="1:14" x14ac:dyDescent="0.2">
      <c r="A150" s="21"/>
      <c r="B150" s="21"/>
      <c r="C150" s="21"/>
      <c r="D150" s="21"/>
      <c r="E150" s="21"/>
      <c r="F150" s="21"/>
      <c r="G150" s="21"/>
      <c r="H150" s="21"/>
      <c r="I150" s="12"/>
      <c r="N150" s="43"/>
    </row>
    <row r="151" spans="1:14" x14ac:dyDescent="0.2">
      <c r="A151" s="21"/>
      <c r="B151" s="21"/>
      <c r="C151" s="21"/>
      <c r="D151" s="21"/>
      <c r="E151" s="21"/>
      <c r="F151" s="21"/>
      <c r="G151" s="21"/>
      <c r="H151" s="94"/>
      <c r="I151" s="95"/>
      <c r="N151" s="43"/>
    </row>
    <row r="152" spans="1:14" x14ac:dyDescent="0.2">
      <c r="A152" s="99"/>
      <c r="B152" s="21"/>
      <c r="C152" s="21"/>
      <c r="D152" s="21"/>
      <c r="E152" s="21"/>
      <c r="F152" s="21"/>
      <c r="G152" s="21"/>
      <c r="H152" s="94"/>
      <c r="I152" s="96"/>
      <c r="N152" s="43"/>
    </row>
    <row r="153" spans="1:14" x14ac:dyDescent="0.2">
      <c r="A153" s="93"/>
      <c r="B153" s="8"/>
      <c r="C153" s="73"/>
      <c r="D153" s="73"/>
      <c r="E153" s="21"/>
      <c r="F153" s="64"/>
      <c r="G153" s="21"/>
      <c r="H153" s="97"/>
      <c r="I153" s="41"/>
      <c r="N153" s="43"/>
    </row>
    <row r="154" spans="1:14" x14ac:dyDescent="0.2">
      <c r="A154" s="67"/>
      <c r="B154" s="13"/>
      <c r="C154" s="62"/>
      <c r="D154" s="73"/>
      <c r="E154" s="21"/>
      <c r="F154" s="64"/>
      <c r="G154" s="21"/>
      <c r="H154" s="94"/>
      <c r="I154" s="41"/>
      <c r="N154" s="43"/>
    </row>
    <row r="155" spans="1:14" x14ac:dyDescent="0.2">
      <c r="A155" s="56"/>
      <c r="B155" s="8"/>
      <c r="C155" s="62"/>
      <c r="D155" s="73"/>
      <c r="E155" s="51"/>
      <c r="F155" s="51"/>
      <c r="G155" s="51"/>
      <c r="H155" s="21"/>
      <c r="I155" s="21"/>
      <c r="N155" s="43"/>
    </row>
    <row r="156" spans="1:14" x14ac:dyDescent="0.2">
      <c r="A156" s="93"/>
      <c r="B156" s="8"/>
      <c r="C156" s="73"/>
      <c r="D156" s="62"/>
      <c r="E156" s="21"/>
      <c r="F156" s="21"/>
      <c r="G156" s="21"/>
      <c r="H156" s="21"/>
      <c r="I156" s="21"/>
      <c r="N156" s="43"/>
    </row>
    <row r="157" spans="1:14" x14ac:dyDescent="0.2">
      <c r="A157" s="93"/>
      <c r="B157" s="8"/>
      <c r="C157" s="62"/>
      <c r="D157" s="62"/>
      <c r="E157" s="51"/>
      <c r="F157" s="51"/>
      <c r="G157" s="21"/>
      <c r="H157" s="83"/>
      <c r="I157" s="21"/>
      <c r="N157" s="43"/>
    </row>
    <row r="158" spans="1:14" x14ac:dyDescent="0.2">
      <c r="A158" s="56"/>
      <c r="B158" s="8"/>
      <c r="C158" s="73"/>
      <c r="D158" s="73"/>
      <c r="E158" s="21"/>
      <c r="F158" s="21"/>
      <c r="G158" s="21"/>
      <c r="H158" s="21"/>
      <c r="I158" s="21"/>
      <c r="N158" s="43"/>
    </row>
    <row r="159" spans="1:14" x14ac:dyDescent="0.2">
      <c r="A159" s="56"/>
      <c r="B159" s="8"/>
      <c r="C159" s="73"/>
      <c r="D159" s="90"/>
      <c r="E159" s="21"/>
      <c r="F159" s="21"/>
      <c r="G159" s="21"/>
      <c r="H159" s="21"/>
      <c r="I159" s="21"/>
      <c r="N159" s="43"/>
    </row>
    <row r="160" spans="1:14" x14ac:dyDescent="0.2">
      <c r="A160" s="67"/>
      <c r="B160" s="8"/>
      <c r="C160" s="62"/>
      <c r="D160" s="62"/>
      <c r="E160" s="21"/>
      <c r="F160" s="21"/>
      <c r="G160" s="21"/>
      <c r="H160" s="83"/>
      <c r="I160" s="21"/>
      <c r="N160" s="43"/>
    </row>
    <row r="161" spans="1:14" x14ac:dyDescent="0.2">
      <c r="A161" s="73"/>
      <c r="B161" s="64"/>
      <c r="C161" s="64"/>
      <c r="D161" s="64"/>
      <c r="E161" s="64"/>
      <c r="F161" s="21"/>
      <c r="G161" s="21"/>
      <c r="H161" s="21"/>
      <c r="I161" s="21"/>
      <c r="N161" s="43"/>
    </row>
    <row r="162" spans="1:14" x14ac:dyDescent="0.2">
      <c r="A162" s="67"/>
      <c r="B162" s="15"/>
      <c r="C162" s="73"/>
      <c r="D162" s="73"/>
      <c r="E162" s="64"/>
      <c r="F162" s="21"/>
      <c r="G162" s="21"/>
      <c r="H162" s="21"/>
      <c r="I162" s="21"/>
      <c r="N162" s="43"/>
    </row>
    <row r="163" spans="1:14" x14ac:dyDescent="0.2">
      <c r="A163" s="67"/>
      <c r="B163" s="15"/>
      <c r="C163" s="73"/>
      <c r="D163" s="73"/>
      <c r="E163" s="64"/>
      <c r="F163" s="21"/>
      <c r="G163" s="21"/>
      <c r="H163" s="21"/>
      <c r="I163" s="21"/>
      <c r="N163" s="43"/>
    </row>
    <row r="164" spans="1:14" x14ac:dyDescent="0.2">
      <c r="A164" s="67"/>
      <c r="B164" s="15"/>
      <c r="C164" s="73"/>
      <c r="D164" s="73"/>
      <c r="E164" s="64"/>
      <c r="F164" s="64"/>
      <c r="G164" s="21"/>
      <c r="H164" s="21"/>
      <c r="I164" s="64"/>
      <c r="N164" s="43"/>
    </row>
    <row r="165" spans="1:14" x14ac:dyDescent="0.2">
      <c r="A165" s="93"/>
      <c r="B165" s="15"/>
      <c r="C165" s="73"/>
      <c r="D165" s="73"/>
      <c r="E165" s="64"/>
      <c r="F165" s="64"/>
      <c r="G165" s="21"/>
      <c r="H165" s="57"/>
      <c r="I165" s="64"/>
      <c r="N165" s="43"/>
    </row>
    <row r="166" spans="1:14" x14ac:dyDescent="0.2">
      <c r="A166" s="100"/>
      <c r="B166" s="15"/>
      <c r="C166" s="64"/>
      <c r="D166" s="84"/>
      <c r="E166" s="64"/>
      <c r="F166" s="64"/>
      <c r="G166" s="21"/>
      <c r="H166" s="57"/>
      <c r="I166" s="21"/>
    </row>
    <row r="167" spans="1:14" x14ac:dyDescent="0.2">
      <c r="A167" s="93"/>
      <c r="B167" s="15"/>
      <c r="C167" s="73"/>
      <c r="D167" s="73"/>
      <c r="E167" s="64"/>
      <c r="F167" s="64"/>
      <c r="G167" s="21"/>
      <c r="H167" s="21"/>
      <c r="I167" s="21"/>
    </row>
    <row r="168" spans="1:14" x14ac:dyDescent="0.2">
      <c r="A168" s="100"/>
      <c r="B168" s="15"/>
      <c r="C168" s="64"/>
      <c r="D168" s="84"/>
      <c r="E168" s="64"/>
      <c r="F168" s="64"/>
      <c r="G168" s="21"/>
      <c r="H168" s="64"/>
      <c r="I168" s="64"/>
    </row>
    <row r="169" spans="1:14" x14ac:dyDescent="0.2">
      <c r="A169" s="100"/>
      <c r="B169" s="11"/>
      <c r="C169" s="64"/>
      <c r="D169" s="84"/>
      <c r="E169" s="64"/>
      <c r="F169" s="64"/>
      <c r="G169" s="64"/>
      <c r="H169" s="64"/>
      <c r="I169" s="64"/>
    </row>
    <row r="170" spans="1:14" x14ac:dyDescent="0.2">
      <c r="A170" s="100"/>
      <c r="B170" s="15"/>
      <c r="C170" s="64"/>
      <c r="D170" s="62"/>
      <c r="E170" s="64"/>
      <c r="F170" s="64"/>
      <c r="G170" s="64"/>
      <c r="H170" s="64"/>
      <c r="I170" s="64"/>
    </row>
    <row r="171" spans="1:14" x14ac:dyDescent="0.2">
      <c r="A171" s="93"/>
      <c r="B171" s="11"/>
      <c r="C171" s="73"/>
      <c r="D171" s="73"/>
      <c r="E171" s="64"/>
      <c r="F171" s="64"/>
      <c r="G171" s="64"/>
      <c r="H171" s="83"/>
      <c r="I171" s="64"/>
    </row>
    <row r="172" spans="1:14" x14ac:dyDescent="0.2">
      <c r="A172" s="93"/>
      <c r="B172" s="11"/>
      <c r="C172" s="73"/>
      <c r="D172" s="64"/>
      <c r="E172" s="64"/>
      <c r="F172" s="64"/>
      <c r="G172" s="64"/>
      <c r="H172" s="64"/>
      <c r="I172" s="64"/>
    </row>
    <row r="173" spans="1:14" x14ac:dyDescent="0.2">
      <c r="A173" s="100"/>
      <c r="B173" s="15"/>
      <c r="C173" s="64"/>
      <c r="D173" s="104"/>
      <c r="E173" s="64"/>
      <c r="F173" s="64"/>
      <c r="G173" s="64"/>
      <c r="H173" s="57"/>
      <c r="I173" s="64"/>
    </row>
    <row r="174" spans="1:14" x14ac:dyDescent="0.2">
      <c r="A174" s="93"/>
      <c r="B174" s="8"/>
      <c r="C174" s="73"/>
      <c r="D174" s="64"/>
      <c r="E174" s="64"/>
      <c r="F174" s="64"/>
      <c r="G174" s="64"/>
      <c r="H174" s="57"/>
      <c r="I174" s="64"/>
    </row>
    <row r="175" spans="1:14" x14ac:dyDescent="0.2">
      <c r="A175" s="64"/>
      <c r="B175" s="64"/>
      <c r="C175" s="64"/>
      <c r="D175" s="64"/>
      <c r="E175" s="64"/>
      <c r="F175" s="64"/>
      <c r="G175" s="64"/>
      <c r="H175" s="83"/>
      <c r="I175" s="64"/>
    </row>
    <row r="176" spans="1:14" x14ac:dyDescent="0.2">
      <c r="A176" s="62"/>
      <c r="B176" s="57"/>
      <c r="C176" s="57"/>
      <c r="D176" s="21"/>
      <c r="E176" s="21"/>
      <c r="F176" s="21"/>
      <c r="G176" s="21"/>
      <c r="H176" s="57"/>
      <c r="I176" s="64"/>
    </row>
    <row r="177" spans="1:9" x14ac:dyDescent="0.2">
      <c r="A177" s="67"/>
      <c r="B177" s="8"/>
      <c r="C177" s="62"/>
      <c r="D177" s="62"/>
      <c r="E177" s="21"/>
      <c r="F177" s="21"/>
      <c r="G177" s="21"/>
      <c r="H177" s="57"/>
      <c r="I177" s="21"/>
    </row>
    <row r="178" spans="1:9" x14ac:dyDescent="0.2">
      <c r="A178" s="67"/>
      <c r="B178" s="8"/>
      <c r="C178" s="62"/>
      <c r="D178" s="62"/>
      <c r="E178" s="21"/>
      <c r="F178" s="21"/>
      <c r="G178" s="21"/>
      <c r="H178" s="21"/>
      <c r="I178" s="21"/>
    </row>
    <row r="179" spans="1:9" x14ac:dyDescent="0.2">
      <c r="A179" s="67"/>
      <c r="B179" s="8"/>
      <c r="C179" s="62"/>
      <c r="D179" s="62"/>
      <c r="E179" s="21"/>
      <c r="F179" s="21"/>
      <c r="G179" s="21"/>
      <c r="H179" s="21"/>
      <c r="I179" s="21"/>
    </row>
    <row r="180" spans="1:9" x14ac:dyDescent="0.2">
      <c r="A180" s="67"/>
      <c r="B180" s="8"/>
      <c r="C180" s="62"/>
      <c r="D180" s="62"/>
      <c r="E180" s="57"/>
      <c r="F180" s="57"/>
      <c r="G180" s="21"/>
      <c r="H180" s="21"/>
      <c r="I180" s="21"/>
    </row>
    <row r="181" spans="1:9" x14ac:dyDescent="0.2">
      <c r="A181" s="62"/>
      <c r="B181" s="57"/>
      <c r="C181" s="57"/>
      <c r="D181" s="57"/>
      <c r="E181" s="57"/>
      <c r="F181" s="57"/>
      <c r="G181" s="21"/>
      <c r="H181" s="83"/>
      <c r="I181" s="21"/>
    </row>
    <row r="182" spans="1:9" x14ac:dyDescent="0.2">
      <c r="A182" s="67"/>
      <c r="B182" s="14"/>
      <c r="C182" s="62"/>
      <c r="D182" s="62"/>
      <c r="E182" s="57"/>
      <c r="F182" s="57"/>
      <c r="G182" s="57"/>
      <c r="H182" s="57"/>
      <c r="I182" s="21"/>
    </row>
    <row r="183" spans="1:9" x14ac:dyDescent="0.2">
      <c r="A183" s="67"/>
      <c r="B183" s="13"/>
      <c r="C183" s="62"/>
      <c r="D183" s="62"/>
      <c r="E183" s="57"/>
      <c r="F183" s="57"/>
      <c r="G183" s="57"/>
      <c r="H183" s="21"/>
      <c r="I183" s="21"/>
    </row>
    <row r="184" spans="1:9" x14ac:dyDescent="0.2">
      <c r="A184" s="67"/>
      <c r="B184" s="13"/>
      <c r="C184" s="73"/>
      <c r="D184" s="62"/>
      <c r="E184" s="57"/>
      <c r="F184" s="57"/>
      <c r="G184" s="21"/>
      <c r="H184" s="83"/>
      <c r="I184" s="21"/>
    </row>
    <row r="185" spans="1:9" x14ac:dyDescent="0.2">
      <c r="A185" s="57"/>
      <c r="B185" s="51"/>
      <c r="C185" s="64"/>
      <c r="D185" s="73"/>
      <c r="E185" s="64"/>
      <c r="F185" s="64"/>
      <c r="G185" s="64"/>
      <c r="H185" s="21"/>
      <c r="I185" s="21"/>
    </row>
    <row r="186" spans="1:9" x14ac:dyDescent="0.2">
      <c r="A186" s="113"/>
      <c r="B186" s="13"/>
      <c r="C186" s="62"/>
      <c r="D186" s="62"/>
      <c r="E186" s="64"/>
      <c r="F186" s="64"/>
      <c r="G186" s="64"/>
      <c r="H186" s="21"/>
      <c r="I186" s="21"/>
    </row>
    <row r="187" spans="1:9" x14ac:dyDescent="0.2">
      <c r="A187" s="67"/>
      <c r="B187" s="14"/>
      <c r="C187" s="73"/>
      <c r="D187" s="62"/>
      <c r="E187" s="57"/>
      <c r="F187" s="57"/>
      <c r="G187" s="57"/>
      <c r="H187" s="21"/>
      <c r="I187" s="21"/>
    </row>
    <row r="188" spans="1:9" x14ac:dyDescent="0.2">
      <c r="A188" s="67"/>
      <c r="B188" s="13"/>
      <c r="C188" s="73"/>
      <c r="D188" s="62"/>
      <c r="E188" s="57"/>
      <c r="F188" s="57"/>
      <c r="G188" s="57"/>
      <c r="H188" s="21"/>
      <c r="I188" s="21"/>
    </row>
    <row r="189" spans="1:9" x14ac:dyDescent="0.2">
      <c r="A189" s="67"/>
      <c r="B189" s="16"/>
      <c r="C189" s="73"/>
      <c r="D189" s="62"/>
      <c r="E189" s="57"/>
      <c r="F189" s="57"/>
      <c r="G189" s="57"/>
      <c r="H189" s="21"/>
      <c r="I189" s="21"/>
    </row>
    <row r="190" spans="1:9" x14ac:dyDescent="0.2">
      <c r="A190" s="67"/>
      <c r="B190" s="13"/>
      <c r="C190" s="73"/>
      <c r="D190" s="62"/>
      <c r="E190" s="57"/>
      <c r="F190" s="57"/>
      <c r="G190" s="57"/>
      <c r="H190" s="21"/>
      <c r="I190" s="21"/>
    </row>
    <row r="191" spans="1:9" x14ac:dyDescent="0.2">
      <c r="A191" s="67"/>
      <c r="B191" s="13"/>
      <c r="C191" s="73"/>
      <c r="D191" s="62"/>
      <c r="E191" s="57"/>
      <c r="F191" s="57"/>
      <c r="G191" s="21"/>
      <c r="H191" s="83"/>
      <c r="I191" s="57"/>
    </row>
    <row r="192" spans="1:9" x14ac:dyDescent="0.2">
      <c r="A192" s="64"/>
      <c r="B192" s="64"/>
      <c r="C192" s="64"/>
      <c r="D192" s="73"/>
      <c r="E192" s="64"/>
      <c r="F192" s="64"/>
      <c r="G192" s="64"/>
      <c r="H192" s="64"/>
      <c r="I192" s="57"/>
    </row>
    <row r="193" spans="1:9" x14ac:dyDescent="0.2">
      <c r="A193" s="93"/>
      <c r="B193" s="8"/>
      <c r="C193" s="73"/>
      <c r="D193" s="62"/>
      <c r="E193" s="64"/>
      <c r="F193" s="64"/>
      <c r="G193" s="64"/>
      <c r="H193" s="64"/>
      <c r="I193" s="21"/>
    </row>
    <row r="194" spans="1:9" x14ac:dyDescent="0.2">
      <c r="A194" s="93"/>
      <c r="B194" s="11"/>
      <c r="C194" s="73"/>
      <c r="D194" s="73"/>
      <c r="E194" s="64"/>
      <c r="F194" s="64"/>
      <c r="G194" s="64"/>
      <c r="H194" s="64"/>
      <c r="I194" s="64"/>
    </row>
    <row r="195" spans="1:9" x14ac:dyDescent="0.2">
      <c r="A195" s="100"/>
      <c r="B195" s="11"/>
      <c r="C195" s="73"/>
      <c r="D195" s="84"/>
      <c r="E195" s="21"/>
      <c r="F195" s="21"/>
      <c r="G195" s="21"/>
      <c r="H195" s="68"/>
      <c r="I195" s="57"/>
    </row>
    <row r="196" spans="1:9" x14ac:dyDescent="0.2">
      <c r="A196" s="100"/>
      <c r="B196" s="11"/>
      <c r="C196" s="73"/>
      <c r="D196" s="84"/>
      <c r="E196" s="21"/>
      <c r="F196" s="21"/>
      <c r="G196" s="21"/>
      <c r="H196" s="21"/>
      <c r="I196" s="21"/>
    </row>
    <row r="197" spans="1:9" x14ac:dyDescent="0.2">
      <c r="A197" s="21"/>
      <c r="B197" s="21"/>
      <c r="C197" s="21"/>
      <c r="D197" s="21"/>
      <c r="E197" s="21"/>
      <c r="F197" s="21"/>
      <c r="G197" s="68"/>
      <c r="H197" s="21"/>
      <c r="I197" s="21"/>
    </row>
    <row r="198" spans="1:9" x14ac:dyDescent="0.2">
      <c r="A198" s="21"/>
      <c r="B198" s="21"/>
      <c r="C198" s="21"/>
      <c r="D198" s="21"/>
      <c r="E198" s="57"/>
      <c r="F198" s="68" t="e">
        <f>IF(#REF!="Yes",IF(#REF!&gt;0,IF($B$195&gt;$B$196,"    Increase doubler or use full-pen. weld",""),""),"")</f>
        <v>#REF!</v>
      </c>
      <c r="G198" s="21"/>
      <c r="H198" s="21"/>
      <c r="I198" s="21"/>
    </row>
    <row r="199" spans="1:9" x14ac:dyDescent="0.2">
      <c r="A199" s="21"/>
      <c r="B199" s="21"/>
      <c r="C199" s="21"/>
      <c r="D199" s="21"/>
      <c r="E199" s="57"/>
      <c r="F199" s="57"/>
      <c r="G199" s="21"/>
      <c r="H199" s="21"/>
      <c r="I199" s="21"/>
    </row>
    <row r="200" spans="1:9" x14ac:dyDescent="0.2">
      <c r="A200" s="21"/>
      <c r="B200" s="21"/>
      <c r="C200" s="21"/>
      <c r="D200" s="21"/>
      <c r="E200" s="21"/>
      <c r="F200" s="21"/>
      <c r="G200" s="21"/>
      <c r="H200" s="21"/>
      <c r="I200" s="12"/>
    </row>
    <row r="201" spans="1:9" x14ac:dyDescent="0.2">
      <c r="A201" s="21"/>
      <c r="B201" s="21"/>
      <c r="C201" s="21"/>
      <c r="D201" s="21"/>
      <c r="E201" s="21"/>
      <c r="F201" s="21"/>
      <c r="G201" s="21"/>
      <c r="H201" s="94"/>
      <c r="I201" s="95"/>
    </row>
    <row r="202" spans="1:9" x14ac:dyDescent="0.2">
      <c r="A202" s="99"/>
      <c r="B202" s="21"/>
      <c r="C202" s="21"/>
      <c r="D202" s="21"/>
      <c r="E202" s="57"/>
      <c r="F202" s="57"/>
      <c r="G202" s="57"/>
      <c r="H202" s="94"/>
      <c r="I202" s="96"/>
    </row>
    <row r="203" spans="1:9" x14ac:dyDescent="0.2">
      <c r="A203" s="57"/>
      <c r="B203" s="51"/>
      <c r="C203" s="57"/>
      <c r="D203" s="62"/>
      <c r="E203" s="21"/>
      <c r="F203" s="51"/>
      <c r="G203" s="21"/>
      <c r="H203" s="97"/>
      <c r="I203" s="41"/>
    </row>
    <row r="204" spans="1:9" x14ac:dyDescent="0.2">
      <c r="A204" s="67"/>
      <c r="B204" s="14"/>
      <c r="C204" s="73"/>
      <c r="D204" s="62"/>
      <c r="E204" s="21"/>
      <c r="F204" s="51"/>
      <c r="G204" s="57"/>
      <c r="H204" s="94"/>
      <c r="I204" s="41"/>
    </row>
    <row r="205" spans="1:9" x14ac:dyDescent="0.2">
      <c r="A205" s="67"/>
      <c r="B205" s="13"/>
      <c r="C205" s="73"/>
      <c r="D205" s="62"/>
      <c r="E205" s="21"/>
      <c r="F205" s="51"/>
      <c r="G205" s="21"/>
      <c r="H205" s="21"/>
      <c r="I205" s="21"/>
    </row>
    <row r="206" spans="1:9" x14ac:dyDescent="0.2">
      <c r="A206" s="67"/>
      <c r="B206" s="13"/>
      <c r="C206" s="73"/>
      <c r="D206" s="62"/>
      <c r="E206" s="21"/>
      <c r="F206" s="21"/>
      <c r="G206" s="21"/>
      <c r="H206" s="83"/>
      <c r="I206" s="57"/>
    </row>
    <row r="207" spans="1:9" x14ac:dyDescent="0.2">
      <c r="A207" s="21"/>
      <c r="B207" s="21"/>
      <c r="C207" s="21"/>
      <c r="D207" s="21"/>
      <c r="E207" s="21"/>
      <c r="F207" s="21"/>
      <c r="G207" s="21"/>
      <c r="H207" s="21"/>
      <c r="I207" s="21"/>
    </row>
    <row r="208" spans="1:9" x14ac:dyDescent="0.2">
      <c r="A208" s="57"/>
      <c r="B208" s="64"/>
      <c r="C208" s="64"/>
      <c r="D208" s="73"/>
      <c r="E208" s="21"/>
      <c r="F208" s="21"/>
      <c r="G208" s="21"/>
      <c r="H208" s="21"/>
      <c r="I208" s="21"/>
    </row>
    <row r="209" spans="1:9" x14ac:dyDescent="0.2">
      <c r="A209" s="56"/>
      <c r="B209" s="11"/>
      <c r="C209" s="73"/>
      <c r="D209" s="73"/>
      <c r="E209" s="21"/>
      <c r="F209" s="21"/>
      <c r="G209" s="21"/>
      <c r="H209" s="21"/>
      <c r="I209" s="21"/>
    </row>
    <row r="210" spans="1:9" x14ac:dyDescent="0.2">
      <c r="A210" s="93"/>
      <c r="B210" s="8"/>
      <c r="C210" s="73"/>
      <c r="D210" s="73"/>
      <c r="E210" s="21"/>
      <c r="F210" s="21"/>
      <c r="G210" s="21"/>
      <c r="H210" s="21"/>
      <c r="I210" s="21"/>
    </row>
    <row r="211" spans="1:9" x14ac:dyDescent="0.2">
      <c r="A211" s="93"/>
      <c r="B211" s="11"/>
      <c r="C211" s="73"/>
      <c r="D211" s="73"/>
      <c r="E211" s="21"/>
      <c r="F211" s="21"/>
      <c r="G211" s="21"/>
      <c r="H211" s="21"/>
      <c r="I211" s="57"/>
    </row>
    <row r="212" spans="1:9" x14ac:dyDescent="0.2">
      <c r="A212" s="100"/>
      <c r="B212" s="11"/>
      <c r="C212" s="73"/>
      <c r="D212" s="84"/>
      <c r="E212" s="64"/>
      <c r="F212" s="21"/>
      <c r="G212" s="21"/>
      <c r="H212" s="68"/>
      <c r="I212" s="57"/>
    </row>
    <row r="213" spans="1:9" x14ac:dyDescent="0.2">
      <c r="A213" s="100"/>
      <c r="B213" s="11"/>
      <c r="C213" s="73"/>
      <c r="D213" s="84"/>
      <c r="E213" s="21"/>
      <c r="F213" s="21"/>
      <c r="G213" s="21"/>
      <c r="H213" s="21"/>
      <c r="I213" s="21"/>
    </row>
    <row r="214" spans="1:9" x14ac:dyDescent="0.2">
      <c r="A214" s="21"/>
      <c r="B214" s="21"/>
      <c r="C214" s="21"/>
      <c r="D214" s="21"/>
      <c r="E214" s="21"/>
      <c r="F214" s="21"/>
      <c r="G214" s="68"/>
      <c r="H214" s="21"/>
      <c r="I214" s="21"/>
    </row>
    <row r="215" spans="1:9" x14ac:dyDescent="0.2">
      <c r="A215" s="57"/>
      <c r="B215" s="21"/>
      <c r="C215" s="21"/>
      <c r="D215" s="21"/>
      <c r="E215" s="21"/>
      <c r="F215" s="68"/>
      <c r="G215" s="21"/>
      <c r="H215" s="21"/>
      <c r="I215" s="21"/>
    </row>
    <row r="216" spans="1:9" x14ac:dyDescent="0.2">
      <c r="A216" s="67"/>
      <c r="B216" s="8"/>
      <c r="C216" s="62"/>
      <c r="D216" s="62"/>
      <c r="E216" s="51"/>
      <c r="F216" s="21"/>
      <c r="G216" s="21"/>
      <c r="H216" s="21"/>
      <c r="I216" s="57"/>
    </row>
    <row r="217" spans="1:9" x14ac:dyDescent="0.2">
      <c r="A217" s="67"/>
      <c r="B217" s="8"/>
      <c r="C217" s="62"/>
      <c r="D217" s="62"/>
      <c r="E217" s="51"/>
      <c r="F217" s="51"/>
      <c r="G217" s="21"/>
      <c r="H217" s="83"/>
      <c r="I217" s="21"/>
    </row>
    <row r="218" spans="1:9" x14ac:dyDescent="0.2">
      <c r="A218" s="21"/>
      <c r="B218" s="21"/>
      <c r="C218" s="21"/>
      <c r="D218" s="21"/>
      <c r="E218" s="21"/>
      <c r="F218" s="21"/>
      <c r="G218" s="21"/>
      <c r="H218" s="21"/>
      <c r="I218" s="21"/>
    </row>
    <row r="219" spans="1:9" x14ac:dyDescent="0.2">
      <c r="A219" s="57"/>
      <c r="B219" s="57"/>
      <c r="C219" s="57"/>
      <c r="D219" s="62"/>
      <c r="E219" s="51"/>
      <c r="F219" s="51"/>
      <c r="G219" s="21"/>
      <c r="H219" s="21"/>
      <c r="I219" s="21"/>
    </row>
    <row r="220" spans="1:9" x14ac:dyDescent="0.2">
      <c r="A220" s="67"/>
      <c r="B220" s="15"/>
      <c r="C220" s="62"/>
      <c r="D220" s="62"/>
      <c r="E220" s="51"/>
      <c r="F220" s="51"/>
      <c r="G220" s="21"/>
      <c r="H220" s="21"/>
      <c r="I220" s="21"/>
    </row>
    <row r="221" spans="1:9" x14ac:dyDescent="0.2">
      <c r="A221" s="67"/>
      <c r="B221" s="8"/>
      <c r="C221" s="62"/>
      <c r="D221" s="62"/>
      <c r="E221" s="51"/>
      <c r="F221" s="51"/>
      <c r="G221" s="21"/>
      <c r="H221" s="21"/>
      <c r="I221" s="21"/>
    </row>
    <row r="222" spans="1:9" x14ac:dyDescent="0.2">
      <c r="A222" s="67"/>
      <c r="B222" s="8"/>
      <c r="C222" s="62"/>
      <c r="D222" s="62"/>
      <c r="E222" s="51"/>
      <c r="F222" s="51"/>
      <c r="G222" s="21"/>
      <c r="H222" s="21"/>
      <c r="I222" s="21"/>
    </row>
    <row r="223" spans="1:9" x14ac:dyDescent="0.2">
      <c r="A223" s="67"/>
      <c r="B223" s="8"/>
      <c r="C223" s="62"/>
      <c r="D223" s="62"/>
      <c r="E223" s="51"/>
      <c r="F223" s="51"/>
      <c r="G223" s="21"/>
      <c r="H223" s="83"/>
      <c r="I223" s="21"/>
    </row>
    <row r="224" spans="1:9" x14ac:dyDescent="0.2">
      <c r="A224" s="21"/>
      <c r="B224" s="21"/>
      <c r="C224" s="21"/>
      <c r="D224" s="21"/>
      <c r="E224" s="21"/>
      <c r="F224" s="21"/>
      <c r="G224" s="21"/>
      <c r="H224" s="21"/>
      <c r="I224" s="21"/>
    </row>
    <row r="225" spans="1:9" x14ac:dyDescent="0.2">
      <c r="A225" s="21"/>
      <c r="B225" s="21"/>
      <c r="C225" s="21"/>
      <c r="D225" s="21"/>
      <c r="E225" s="21"/>
      <c r="F225" s="21"/>
      <c r="G225" s="21"/>
      <c r="H225" s="21"/>
      <c r="I225" s="21"/>
    </row>
    <row r="226" spans="1:9" x14ac:dyDescent="0.2">
      <c r="A226" s="106"/>
      <c r="B226" s="21"/>
      <c r="C226" s="21"/>
      <c r="D226" s="21"/>
      <c r="E226" s="21"/>
      <c r="F226" s="21"/>
      <c r="G226" s="21"/>
      <c r="H226" s="21"/>
      <c r="I226" s="21"/>
    </row>
    <row r="227" spans="1:9" x14ac:dyDescent="0.2">
      <c r="A227" s="21"/>
      <c r="B227" s="21"/>
      <c r="C227" s="21"/>
      <c r="D227" s="21"/>
      <c r="E227" s="21"/>
      <c r="F227" s="21"/>
      <c r="G227" s="21"/>
      <c r="H227" s="21"/>
      <c r="I227" s="21"/>
    </row>
    <row r="228" spans="1:9" x14ac:dyDescent="0.2">
      <c r="A228" s="21"/>
      <c r="B228" s="21"/>
      <c r="C228" s="21"/>
      <c r="D228" s="21"/>
      <c r="E228" s="21"/>
      <c r="F228" s="21"/>
      <c r="G228" s="21"/>
      <c r="H228" s="21"/>
      <c r="I228" s="21"/>
    </row>
    <row r="229" spans="1:9" x14ac:dyDescent="0.2">
      <c r="A229" s="21"/>
      <c r="B229" s="21"/>
      <c r="C229" s="21"/>
      <c r="D229" s="21"/>
      <c r="E229" s="21"/>
      <c r="F229" s="21"/>
      <c r="G229" s="21"/>
      <c r="H229" s="21"/>
      <c r="I229" s="21"/>
    </row>
    <row r="230" spans="1:9" x14ac:dyDescent="0.2">
      <c r="A230" s="21"/>
      <c r="B230" s="21"/>
      <c r="C230" s="21"/>
      <c r="D230" s="21"/>
      <c r="E230" s="21"/>
      <c r="F230" s="21"/>
      <c r="G230" s="21"/>
      <c r="H230" s="21"/>
      <c r="I230" s="21"/>
    </row>
    <row r="231" spans="1:9" x14ac:dyDescent="0.2">
      <c r="A231" s="21"/>
      <c r="B231" s="21"/>
      <c r="C231" s="21"/>
      <c r="D231" s="21"/>
      <c r="E231" s="21"/>
      <c r="F231" s="21"/>
      <c r="G231" s="21"/>
      <c r="H231" s="21"/>
      <c r="I231" s="21"/>
    </row>
    <row r="232" spans="1:9" x14ac:dyDescent="0.2">
      <c r="A232" s="21"/>
      <c r="B232" s="21"/>
      <c r="C232" s="21"/>
      <c r="D232" s="21"/>
      <c r="E232" s="21"/>
      <c r="F232" s="21"/>
      <c r="G232" s="21"/>
      <c r="H232" s="21"/>
      <c r="I232" s="21"/>
    </row>
    <row r="233" spans="1:9" x14ac:dyDescent="0.2">
      <c r="A233" s="21"/>
      <c r="B233" s="21"/>
      <c r="C233" s="21"/>
      <c r="D233" s="21"/>
      <c r="E233" s="21"/>
      <c r="F233" s="21"/>
      <c r="G233" s="21"/>
      <c r="H233" s="21"/>
      <c r="I233" s="21"/>
    </row>
    <row r="234" spans="1:9" x14ac:dyDescent="0.2">
      <c r="A234" s="21"/>
      <c r="B234" s="21"/>
      <c r="C234" s="21"/>
      <c r="D234" s="21"/>
      <c r="E234" s="21"/>
      <c r="F234" s="21"/>
      <c r="G234" s="21"/>
      <c r="H234" s="21"/>
      <c r="I234" s="21"/>
    </row>
    <row r="235" spans="1:9" x14ac:dyDescent="0.2">
      <c r="A235" s="21"/>
      <c r="B235" s="21"/>
      <c r="C235" s="21"/>
      <c r="D235" s="21"/>
      <c r="E235" s="21"/>
      <c r="F235" s="21"/>
      <c r="G235" s="21"/>
      <c r="H235" s="21"/>
      <c r="I235" s="21"/>
    </row>
    <row r="236" spans="1:9" x14ac:dyDescent="0.2">
      <c r="A236" s="21"/>
      <c r="B236" s="21"/>
      <c r="C236" s="21"/>
      <c r="D236" s="21"/>
      <c r="E236" s="21"/>
      <c r="F236" s="21"/>
      <c r="G236" s="21"/>
      <c r="H236" s="21"/>
      <c r="I236" s="21"/>
    </row>
    <row r="237" spans="1:9" x14ac:dyDescent="0.2">
      <c r="A237" s="21"/>
      <c r="B237" s="21"/>
      <c r="C237" s="21"/>
      <c r="D237" s="21"/>
      <c r="E237" s="21"/>
      <c r="F237" s="21"/>
      <c r="G237" s="21"/>
      <c r="H237" s="21"/>
      <c r="I237" s="21"/>
    </row>
    <row r="238" spans="1:9" x14ac:dyDescent="0.2">
      <c r="A238" s="21"/>
      <c r="B238" s="21"/>
      <c r="C238" s="21"/>
      <c r="D238" s="21"/>
      <c r="E238" s="21"/>
      <c r="F238" s="21"/>
      <c r="G238" s="21"/>
      <c r="H238" s="21"/>
      <c r="I238" s="21"/>
    </row>
    <row r="239" spans="1:9" x14ac:dyDescent="0.2">
      <c r="A239" s="21"/>
      <c r="B239" s="21"/>
      <c r="C239" s="21"/>
      <c r="D239" s="21"/>
      <c r="E239" s="21"/>
      <c r="F239" s="21"/>
      <c r="G239" s="21"/>
      <c r="H239" s="21"/>
      <c r="I239" s="21"/>
    </row>
    <row r="240" spans="1:9" x14ac:dyDescent="0.2">
      <c r="A240" s="21"/>
      <c r="B240" s="21"/>
      <c r="C240" s="21"/>
      <c r="D240" s="21"/>
      <c r="E240" s="21"/>
      <c r="F240" s="21"/>
      <c r="G240" s="21"/>
      <c r="H240" s="21"/>
      <c r="I240" s="21"/>
    </row>
    <row r="241" spans="1:9" x14ac:dyDescent="0.2">
      <c r="A241" s="21"/>
      <c r="B241" s="21"/>
      <c r="C241" s="21"/>
      <c r="D241" s="21"/>
      <c r="E241" s="21"/>
      <c r="F241" s="21"/>
      <c r="G241" s="21"/>
      <c r="H241" s="21"/>
      <c r="I241" s="21"/>
    </row>
    <row r="242" spans="1:9" x14ac:dyDescent="0.2">
      <c r="A242" s="21"/>
      <c r="B242" s="21"/>
      <c r="C242" s="21"/>
      <c r="D242" s="21"/>
      <c r="E242" s="21"/>
      <c r="F242" s="21"/>
      <c r="G242" s="21"/>
      <c r="H242" s="21"/>
      <c r="I242" s="21"/>
    </row>
    <row r="243" spans="1:9" x14ac:dyDescent="0.2">
      <c r="A243" s="21"/>
      <c r="B243" s="21"/>
      <c r="C243" s="21"/>
      <c r="D243" s="21"/>
      <c r="E243" s="21"/>
      <c r="F243" s="21"/>
      <c r="G243" s="21"/>
      <c r="H243" s="21"/>
      <c r="I243" s="21"/>
    </row>
    <row r="244" spans="1:9" x14ac:dyDescent="0.2">
      <c r="A244" s="21"/>
      <c r="B244" s="21"/>
      <c r="C244" s="21"/>
      <c r="D244" s="21"/>
      <c r="E244" s="21"/>
      <c r="F244" s="21"/>
      <c r="G244" s="21"/>
      <c r="H244" s="21"/>
      <c r="I244" s="21"/>
    </row>
    <row r="245" spans="1:9" x14ac:dyDescent="0.2">
      <c r="A245" s="21"/>
      <c r="B245" s="21"/>
      <c r="C245" s="21"/>
      <c r="D245" s="21"/>
      <c r="E245" s="21"/>
      <c r="F245" s="21"/>
      <c r="G245" s="21"/>
      <c r="H245" s="21"/>
      <c r="I245" s="21"/>
    </row>
    <row r="246" spans="1:9" x14ac:dyDescent="0.2">
      <c r="A246" s="21"/>
      <c r="B246" s="21"/>
      <c r="C246" s="21"/>
      <c r="D246" s="21"/>
      <c r="E246" s="21"/>
      <c r="F246" s="21"/>
      <c r="G246" s="21"/>
      <c r="H246" s="21"/>
      <c r="I246" s="21"/>
    </row>
    <row r="247" spans="1:9" x14ac:dyDescent="0.2">
      <c r="A247" s="21"/>
      <c r="B247" s="21"/>
      <c r="C247" s="21"/>
      <c r="D247" s="21"/>
      <c r="E247" s="21"/>
      <c r="F247" s="21"/>
      <c r="G247" s="21"/>
      <c r="H247" s="21"/>
      <c r="I247" s="21"/>
    </row>
    <row r="248" spans="1:9" x14ac:dyDescent="0.2">
      <c r="A248" s="21"/>
      <c r="B248" s="21"/>
      <c r="C248" s="21"/>
      <c r="D248" s="21"/>
      <c r="E248" s="21"/>
      <c r="F248" s="21"/>
      <c r="G248" s="21"/>
      <c r="H248" s="21"/>
      <c r="I248" s="21"/>
    </row>
    <row r="249" spans="1:9" x14ac:dyDescent="0.2">
      <c r="A249" s="21"/>
      <c r="B249" s="21"/>
      <c r="C249" s="21"/>
      <c r="D249" s="21"/>
      <c r="E249" s="21"/>
      <c r="F249" s="21"/>
      <c r="G249" s="21"/>
      <c r="H249" s="21"/>
      <c r="I249" s="21"/>
    </row>
    <row r="250" spans="1:9" x14ac:dyDescent="0.2">
      <c r="A250" s="21"/>
      <c r="B250" s="21"/>
      <c r="C250" s="21"/>
      <c r="D250" s="21"/>
      <c r="E250" s="21"/>
      <c r="F250" s="21"/>
      <c r="G250" s="21"/>
      <c r="H250" s="21"/>
      <c r="I250" s="21"/>
    </row>
  </sheetData>
  <sheetProtection sheet="1" objects="1" scenarios="1"/>
  <phoneticPr fontId="0" type="noConversion"/>
  <dataValidations xWindow="208" yWindow="358" count="6">
    <dataValidation type="decimal" operator="greaterThan" allowBlank="1" showInputMessage="1" showErrorMessage="1" error="The value input MUST BE &gt; 0!" prompt="The value 'Pv' is actually the vertical component of the resultant load, 'P'.  'Pv' should always be input as a positive number (&gt;0)." sqref="C12">
      <formula1>0</formula1>
    </dataValidation>
    <dataValidation type="decimal" operator="greaterThanOrEqual" allowBlank="1" showInputMessage="1" showErrorMessage="1" error="The value input MUST BE &gt;= 0!" prompt="The value of 'Ph' is actually the horizontal component of the resultant load, 'P'.  'Ph' may be input = 0 for conditions where only vertical load applies.  'Ph' is assumed applied at the C.G. of the weld group." sqref="C13">
      <formula1>0</formula1>
    </dataValidation>
    <dataValidation type="decimal" allowBlank="1" showInputMessage="1" showErrorMessage="1" error="The value input MUST BE between 0 and 3*L!" prompt="The value input here should be the distance from the point of application of the vertical load (Pv) to the C.G. of the weld group." sqref="C14">
      <formula1>0</formula1>
      <formula2>3*$C$9</formula2>
    </dataValidation>
    <dataValidation type="decimal" allowBlank="1" showInputMessage="1" showErrorMessage="1" error="The value input MUST BE between 0 and L!_x000a_Use &quot;Weld Group (elastic)&quot; worksheet." sqref="C10">
      <formula1>0</formula1>
      <formula2>$C$9</formula2>
    </dataValidation>
    <dataValidation type="list" allowBlank="1" showInputMessage="1" showErrorMessage="1" error="Invalid fillet weld size!" sqref="C11">
      <formula1>$K$3:$K$11</formula1>
    </dataValidation>
    <dataValidation type="decimal" operator="greaterThanOrEqual" allowBlank="1" showInputMessage="1" showErrorMessage="1" error="The value input MUST BE &gt;= kL!_x000a_Use &quot;Weld Group (elastic)&quot; worksheet." sqref="C9">
      <formula1>$C$10</formula1>
    </dataValidation>
  </dataValidations>
  <pageMargins left="1" right="0.5" top="1" bottom="1" header="0.5" footer="0.5"/>
  <pageSetup scale="98" orientation="portrait" r:id="rId1"/>
  <headerFooter alignWithMargins="0">
    <oddHeader>&amp;R"WELDGRP.xls" Program
Version 2.3</oddHeader>
    <oddFooter>&amp;C&amp;P of &amp;N&amp;R&amp;D  &amp;T</oddFooter>
  </headerFooter>
  <rowBreaks count="3" manualBreakCount="3">
    <brk id="100" max="8" man="1"/>
    <brk id="150" max="8" man="1"/>
    <brk id="200" max="8" man="1"/>
  </rowBreaks>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121121111111111211"/>
  <dimension ref="A1:AF250"/>
  <sheetViews>
    <sheetView zoomScaleNormal="100" workbookViewId="0"/>
  </sheetViews>
  <sheetFormatPr defaultRowHeight="12.75" x14ac:dyDescent="0.2"/>
  <cols>
    <col min="1" max="1" width="11.28515625" style="18" customWidth="1"/>
    <col min="2" max="2" width="9.140625" style="18"/>
    <col min="3" max="4" width="10.7109375" style="18" customWidth="1"/>
    <col min="5" max="8" width="9.140625" style="18"/>
    <col min="9" max="9" width="12.140625" style="18" customWidth="1"/>
    <col min="10" max="13" width="0" style="43" hidden="1" customWidth="1"/>
    <col min="14" max="14" width="0" style="44" hidden="1" customWidth="1"/>
    <col min="15" max="23" width="0" style="43" hidden="1" customWidth="1"/>
    <col min="24" max="27" width="0" style="18" hidden="1" customWidth="1"/>
    <col min="28" max="16384" width="9.140625" style="18"/>
  </cols>
  <sheetData>
    <row r="1" spans="1:32" ht="15.75" x14ac:dyDescent="0.25">
      <c r="A1" s="17" t="s">
        <v>1205</v>
      </c>
      <c r="B1" s="26"/>
      <c r="C1" s="26"/>
      <c r="D1" s="26"/>
      <c r="E1" s="26"/>
      <c r="F1" s="26"/>
      <c r="G1" s="26"/>
      <c r="H1" s="26"/>
      <c r="I1" s="285"/>
      <c r="J1" s="213"/>
      <c r="K1" s="245"/>
      <c r="L1" s="129"/>
      <c r="M1" s="82" t="s">
        <v>1181</v>
      </c>
      <c r="N1" s="43"/>
      <c r="O1" s="44"/>
      <c r="R1" s="51"/>
      <c r="AB1" s="317" t="s">
        <v>1266</v>
      </c>
      <c r="AC1" s="43"/>
      <c r="AD1" s="43"/>
      <c r="AE1" s="43"/>
      <c r="AF1" s="43"/>
    </row>
    <row r="2" spans="1:32" x14ac:dyDescent="0.2">
      <c r="A2" s="27" t="s">
        <v>1365</v>
      </c>
      <c r="B2" s="28"/>
      <c r="C2" s="28"/>
      <c r="D2" s="28"/>
      <c r="E2" s="28"/>
      <c r="F2" s="28"/>
      <c r="G2" s="28"/>
      <c r="H2" s="28"/>
      <c r="I2" s="292"/>
      <c r="J2" s="213"/>
      <c r="K2" s="41"/>
      <c r="L2" s="129"/>
      <c r="N2" s="43"/>
      <c r="O2" s="44"/>
      <c r="R2" s="51"/>
      <c r="AB2" s="43"/>
      <c r="AC2" s="43"/>
      <c r="AD2" s="43"/>
      <c r="AE2" s="43"/>
      <c r="AF2" s="43"/>
    </row>
    <row r="3" spans="1:32" x14ac:dyDescent="0.2">
      <c r="A3" s="20" t="s">
        <v>1084</v>
      </c>
      <c r="B3" s="34"/>
      <c r="C3" s="34"/>
      <c r="D3" s="34"/>
      <c r="E3" s="34"/>
      <c r="F3" s="34"/>
      <c r="G3" s="34"/>
      <c r="H3" s="34"/>
      <c r="I3" s="326"/>
      <c r="J3" s="213"/>
      <c r="K3" s="208">
        <v>0.125</v>
      </c>
      <c r="M3" s="69" t="s">
        <v>1196</v>
      </c>
      <c r="N3" s="11">
        <f>$C$9</f>
        <v>10</v>
      </c>
      <c r="O3" s="59" t="s">
        <v>1172</v>
      </c>
      <c r="P3" s="59" t="s">
        <v>1108</v>
      </c>
      <c r="R3" s="51"/>
      <c r="AB3" s="43"/>
      <c r="AC3" s="43"/>
      <c r="AD3" s="43"/>
      <c r="AE3" s="43"/>
      <c r="AF3" s="43"/>
    </row>
    <row r="4" spans="1:32" x14ac:dyDescent="0.2">
      <c r="A4" s="286" t="s">
        <v>1115</v>
      </c>
      <c r="B4" s="287"/>
      <c r="C4" s="288"/>
      <c r="D4" s="288"/>
      <c r="E4" s="288"/>
      <c r="F4" s="291" t="s">
        <v>1206</v>
      </c>
      <c r="G4" s="423"/>
      <c r="H4" s="424"/>
      <c r="I4" s="314"/>
      <c r="J4" s="121"/>
      <c r="K4" s="208">
        <v>0.1875</v>
      </c>
      <c r="M4" s="69" t="s">
        <v>1180</v>
      </c>
      <c r="N4" s="11">
        <f>$C$10</f>
        <v>5</v>
      </c>
      <c r="O4" s="59" t="s">
        <v>1172</v>
      </c>
      <c r="P4" s="59" t="s">
        <v>1166</v>
      </c>
      <c r="R4" s="51"/>
      <c r="AB4" s="45" t="s">
        <v>1174</v>
      </c>
      <c r="AC4" s="43"/>
      <c r="AD4" s="43"/>
      <c r="AE4" s="43"/>
      <c r="AF4" s="43"/>
    </row>
    <row r="5" spans="1:32" x14ac:dyDescent="0.2">
      <c r="A5" s="286" t="s">
        <v>1111</v>
      </c>
      <c r="B5" s="313"/>
      <c r="C5" s="289"/>
      <c r="D5" s="289"/>
      <c r="E5" s="290"/>
      <c r="F5" s="291" t="s">
        <v>1207</v>
      </c>
      <c r="G5" s="312"/>
      <c r="H5" s="131" t="s">
        <v>1208</v>
      </c>
      <c r="I5" s="544"/>
      <c r="J5" s="121"/>
      <c r="K5" s="208">
        <v>0.25</v>
      </c>
      <c r="M5" s="69"/>
      <c r="N5" s="11"/>
      <c r="O5" s="59"/>
      <c r="P5" s="110"/>
      <c r="R5" s="51"/>
      <c r="AB5" s="12" t="s">
        <v>1173</v>
      </c>
      <c r="AC5" s="49" t="s">
        <v>1113</v>
      </c>
      <c r="AD5" s="43"/>
      <c r="AE5" s="43"/>
      <c r="AF5" s="50" t="s">
        <v>1081</v>
      </c>
    </row>
    <row r="6" spans="1:32" x14ac:dyDescent="0.2">
      <c r="A6" s="30"/>
      <c r="B6" s="121"/>
      <c r="C6" s="121"/>
      <c r="D6" s="121"/>
      <c r="E6" s="121"/>
      <c r="F6" s="121"/>
      <c r="G6" s="121"/>
      <c r="H6" s="121"/>
      <c r="I6" s="547"/>
      <c r="J6" s="121"/>
      <c r="K6" s="208">
        <v>0.3125</v>
      </c>
      <c r="M6" s="69" t="s">
        <v>1085</v>
      </c>
      <c r="N6" s="11">
        <f>$C$14</f>
        <v>11</v>
      </c>
      <c r="O6" s="59" t="s">
        <v>1172</v>
      </c>
      <c r="P6" s="110" t="s">
        <v>1118</v>
      </c>
      <c r="AB6" s="101" t="s">
        <v>1179</v>
      </c>
      <c r="AC6" s="43"/>
      <c r="AD6" s="43"/>
      <c r="AE6" s="43"/>
      <c r="AF6" s="85"/>
    </row>
    <row r="7" spans="1:32" x14ac:dyDescent="0.2">
      <c r="A7" s="115" t="s">
        <v>1112</v>
      </c>
      <c r="B7" s="121"/>
      <c r="C7" s="121"/>
      <c r="D7" s="121"/>
      <c r="E7" s="121"/>
      <c r="F7" s="121"/>
      <c r="G7" s="121"/>
      <c r="H7" s="121"/>
      <c r="I7" s="547"/>
      <c r="J7" s="121"/>
      <c r="K7" s="208">
        <v>0.375</v>
      </c>
      <c r="M7" s="69" t="s">
        <v>1124</v>
      </c>
      <c r="N7" s="11">
        <f>$N$6/$N$3</f>
        <v>1.1000000000000001</v>
      </c>
      <c r="O7" s="59"/>
      <c r="P7" s="110" t="s">
        <v>1086</v>
      </c>
      <c r="AB7" s="48">
        <v>42</v>
      </c>
      <c r="AC7" s="63" t="str">
        <f>IF($C$11*16&gt;=$N$18,"D(prov'd) &gt;= D(req'd), O.K.","D(prov'd) &lt; D(req'd), Fail")</f>
        <v>D(prov'd) &lt; D(req'd), Fail</v>
      </c>
      <c r="AD7" s="43"/>
      <c r="AE7" s="43"/>
      <c r="AF7" s="239">
        <f>$N$18/($C$11*16)</f>
        <v>1.0598749999999999</v>
      </c>
    </row>
    <row r="8" spans="1:32" x14ac:dyDescent="0.2">
      <c r="A8" s="30"/>
      <c r="B8" s="121"/>
      <c r="C8" s="121"/>
      <c r="D8" s="121"/>
      <c r="E8" s="121"/>
      <c r="F8" s="121"/>
      <c r="G8" s="121"/>
      <c r="H8" s="121"/>
      <c r="I8" s="547"/>
      <c r="K8" s="208">
        <v>0.4375</v>
      </c>
      <c r="M8" s="69" t="s">
        <v>1138</v>
      </c>
      <c r="N8" s="11">
        <f>$N$4/$N$3</f>
        <v>0.5</v>
      </c>
      <c r="O8" s="134" t="str">
        <f>IF($N$8&gt;2,"Value of 'k' exceeds 2.0, beyond scope of table!","")</f>
        <v/>
      </c>
      <c r="P8" s="110" t="s">
        <v>1088</v>
      </c>
      <c r="AB8" s="48">
        <v>43</v>
      </c>
      <c r="AC8" s="63" t="str">
        <f>IF($N$3&gt;=$N$19,"L(prov'd) &gt;= L(req'd), O.K.","L(prov'd) &lt; L(req'd), Fail")</f>
        <v>L(prov'd) &lt; L(req'd), Fail</v>
      </c>
      <c r="AD8" s="43"/>
      <c r="AE8" s="43"/>
      <c r="AF8" s="239">
        <f>$N$19/$N$3</f>
        <v>1.0599000000000001</v>
      </c>
    </row>
    <row r="9" spans="1:32" x14ac:dyDescent="0.2">
      <c r="A9" s="30"/>
      <c r="B9" s="56" t="s">
        <v>1140</v>
      </c>
      <c r="C9" s="280">
        <v>10</v>
      </c>
      <c r="D9" s="138" t="s">
        <v>1172</v>
      </c>
      <c r="E9" s="6"/>
      <c r="F9" s="40"/>
      <c r="G9" s="133"/>
      <c r="H9" s="25" t="str">
        <f>"        Pv="&amp;$C$12&amp;" k"</f>
        <v xml:space="preserve">        Pv=68 k</v>
      </c>
      <c r="I9" s="440"/>
      <c r="J9" s="21"/>
      <c r="K9" s="208">
        <v>0.5</v>
      </c>
      <c r="M9" s="46" t="s">
        <v>1184</v>
      </c>
      <c r="N9" s="136">
        <f>1</f>
        <v>1</v>
      </c>
      <c r="O9" s="44"/>
      <c r="P9" s="44" t="s">
        <v>1185</v>
      </c>
      <c r="S9" s="48"/>
      <c r="T9" s="63"/>
      <c r="W9" s="11"/>
    </row>
    <row r="10" spans="1:32" x14ac:dyDescent="0.2">
      <c r="A10" s="30"/>
      <c r="B10" s="56" t="s">
        <v>1091</v>
      </c>
      <c r="C10" s="281">
        <v>5</v>
      </c>
      <c r="D10" s="138" t="s">
        <v>1172</v>
      </c>
      <c r="E10" s="21"/>
      <c r="F10" s="21"/>
      <c r="G10" s="42"/>
      <c r="H10" s="114" t="s">
        <v>1141</v>
      </c>
      <c r="I10" s="294" t="str">
        <f>"= "&amp;ROUND($N$12,2)</f>
        <v>= 0</v>
      </c>
      <c r="J10" s="21"/>
      <c r="K10" s="208">
        <v>0.5625</v>
      </c>
      <c r="M10" s="69" t="s">
        <v>1122</v>
      </c>
      <c r="N10" s="11">
        <f>ROUND(IF($N$8&lt;=1,$AA$51,"N.A."),3)</f>
        <v>0.80200000000000005</v>
      </c>
      <c r="O10" s="137"/>
      <c r="P10" s="110" t="s">
        <v>1119</v>
      </c>
    </row>
    <row r="11" spans="1:32" x14ac:dyDescent="0.2">
      <c r="A11" s="30"/>
      <c r="B11" s="56" t="s">
        <v>1197</v>
      </c>
      <c r="C11" s="282">
        <v>0.5</v>
      </c>
      <c r="D11" s="138" t="str">
        <f>"in. = "&amp;$C$11*16&amp;" (1/16's)"</f>
        <v>in. = 8 (1/16's)</v>
      </c>
      <c r="E11" s="21"/>
      <c r="F11" s="21"/>
      <c r="G11" s="42" t="str">
        <f>"       aL="&amp;$N$6</f>
        <v xml:space="preserve">       aL=11</v>
      </c>
      <c r="H11" s="21"/>
      <c r="I11" s="441"/>
      <c r="K11" s="208">
        <v>0.625</v>
      </c>
      <c r="M11" s="46" t="s">
        <v>1187</v>
      </c>
      <c r="N11" s="54">
        <f>ROUND(SQRT($C$12^2+$C$13^2),2)</f>
        <v>68</v>
      </c>
      <c r="O11" s="44" t="s">
        <v>1114</v>
      </c>
      <c r="P11" s="44" t="s">
        <v>1120</v>
      </c>
    </row>
    <row r="12" spans="1:32" x14ac:dyDescent="0.2">
      <c r="A12" s="30"/>
      <c r="B12" s="56" t="s">
        <v>1102</v>
      </c>
      <c r="C12" s="283">
        <v>68</v>
      </c>
      <c r="D12" s="138" t="s">
        <v>1114</v>
      </c>
      <c r="E12" s="139"/>
      <c r="F12" s="21"/>
      <c r="G12" s="23"/>
      <c r="H12" s="21"/>
      <c r="I12" s="294" t="str">
        <f>IF($C$13&gt;0,"      P="&amp;$N$11&amp;" k","      P=Pv")</f>
        <v xml:space="preserve">      P=Pv</v>
      </c>
      <c r="J12" s="60"/>
      <c r="M12" s="46" t="s">
        <v>1183</v>
      </c>
      <c r="N12" s="52">
        <f>IF($C$13&gt;0,ROUND(90-(ATAN($C$12/$C$13)*(180/PI())),3),0)</f>
        <v>0</v>
      </c>
      <c r="O12" s="44" t="s">
        <v>1103</v>
      </c>
      <c r="P12" s="102" t="s">
        <v>1157</v>
      </c>
    </row>
    <row r="13" spans="1:32" x14ac:dyDescent="0.2">
      <c r="A13" s="30"/>
      <c r="B13" s="56" t="s">
        <v>1121</v>
      </c>
      <c r="C13" s="283">
        <v>0</v>
      </c>
      <c r="D13" s="138" t="s">
        <v>1114</v>
      </c>
      <c r="E13" s="231" t="s">
        <v>1180</v>
      </c>
      <c r="F13" s="21"/>
      <c r="G13" s="23"/>
      <c r="H13" s="142"/>
      <c r="I13" s="431"/>
      <c r="J13" s="60"/>
      <c r="M13" s="46" t="s">
        <v>1160</v>
      </c>
      <c r="N13" s="52" t="str">
        <f>IF($N$12&gt;0,$N$10,"N.A.")</f>
        <v>N.A.</v>
      </c>
      <c r="O13" s="44"/>
      <c r="P13" s="103" t="s">
        <v>1142</v>
      </c>
    </row>
    <row r="14" spans="1:32" x14ac:dyDescent="0.2">
      <c r="A14" s="30"/>
      <c r="B14" s="56" t="s">
        <v>1128</v>
      </c>
      <c r="C14" s="284">
        <v>11</v>
      </c>
      <c r="D14" s="138" t="s">
        <v>1172</v>
      </c>
      <c r="E14" s="234">
        <f>$N$4</f>
        <v>5</v>
      </c>
      <c r="F14" s="21"/>
      <c r="G14" s="142" t="s">
        <v>1489</v>
      </c>
      <c r="H14" s="142"/>
      <c r="I14" s="24"/>
      <c r="J14" s="40"/>
      <c r="K14" s="208"/>
      <c r="M14" s="46" t="s">
        <v>1130</v>
      </c>
      <c r="N14" s="52" t="str">
        <f>IF($N$12&gt;0,0.928*(2+2*$N$8),"N.A.")</f>
        <v>N.A.</v>
      </c>
      <c r="O14" s="44"/>
      <c r="P14" s="103" t="s">
        <v>1170</v>
      </c>
    </row>
    <row r="15" spans="1:32" x14ac:dyDescent="0.2">
      <c r="A15" s="30"/>
      <c r="B15" s="21"/>
      <c r="C15" s="21"/>
      <c r="D15" s="21"/>
      <c r="E15" s="21"/>
      <c r="F15" s="21"/>
      <c r="G15" s="145"/>
      <c r="H15" s="21"/>
      <c r="I15" s="294" t="str">
        <f>IF($C$13&gt;0,"Ph="&amp;$C$13&amp;" k","Ph=0")</f>
        <v>Ph=0</v>
      </c>
      <c r="J15" s="112"/>
      <c r="K15" s="208"/>
      <c r="M15" s="46" t="s">
        <v>1188</v>
      </c>
      <c r="N15" s="52" t="str">
        <f>IF($N$12&gt;0,IF($N$14/$N$13&lt;1,1,$N$14/$N$13),"N.A.")</f>
        <v>N.A.</v>
      </c>
      <c r="O15" s="44"/>
      <c r="P15" s="103" t="s">
        <v>1132</v>
      </c>
    </row>
    <row r="16" spans="1:32" x14ac:dyDescent="0.2">
      <c r="A16" s="22" t="s">
        <v>1201</v>
      </c>
      <c r="B16" s="21"/>
      <c r="C16" s="21"/>
      <c r="D16" s="21"/>
      <c r="E16" s="21"/>
      <c r="F16" s="143"/>
      <c r="G16" s="42" t="str">
        <f>"L = "&amp;$N$3</f>
        <v>L = 10</v>
      </c>
      <c r="H16" s="21"/>
      <c r="I16" s="502" t="str">
        <f>IF($C$13&gt;0,"(@ C.G.)","")</f>
        <v/>
      </c>
      <c r="J16" s="112"/>
      <c r="K16" s="208"/>
      <c r="M16" s="46" t="s">
        <v>1133</v>
      </c>
      <c r="N16" s="52" t="str">
        <f>IF($N$12&gt;0,IF($N$15/(SIN($N$12*PI()/180)+$N$15*COS($N$12*PI()/180))&lt;1,1,$N$15/(SIN($N$12*PI()/180)+$N$15*COS($N$12*PI()/180))),"N.A.")</f>
        <v>N.A.</v>
      </c>
      <c r="O16" s="44"/>
      <c r="P16" s="44" t="s">
        <v>1198</v>
      </c>
    </row>
    <row r="17" spans="1:27" ht="12.75" customHeight="1" x14ac:dyDescent="0.2">
      <c r="A17" s="30"/>
      <c r="B17" s="21"/>
      <c r="C17" s="21"/>
      <c r="D17" s="21"/>
      <c r="E17" s="21"/>
      <c r="F17" s="21"/>
      <c r="G17" s="21"/>
      <c r="H17" s="51"/>
      <c r="I17" s="24"/>
      <c r="K17" s="208"/>
      <c r="M17" s="46" t="s">
        <v>1143</v>
      </c>
      <c r="N17" s="52" t="str">
        <f>IF($N$12&gt;0,ROUND($N$16*$N$13,3),"N.A.")</f>
        <v>N.A.</v>
      </c>
      <c r="O17" s="44"/>
      <c r="P17" s="44" t="s">
        <v>1105</v>
      </c>
      <c r="S17" s="61"/>
      <c r="T17" s="110"/>
    </row>
    <row r="18" spans="1:27" x14ac:dyDescent="0.2">
      <c r="A18" s="105" t="str">
        <f>IF($C$13&gt;0,"P = Ca*C1*D*L  (for inclined load)","P = Pv = C*C1*D*L  (for vertical load only)")</f>
        <v>P = Pv = C*C1*D*L  (for vertical load only)</v>
      </c>
      <c r="B18" s="21"/>
      <c r="C18" s="21"/>
      <c r="D18" s="21"/>
      <c r="E18" s="21"/>
      <c r="F18" s="21"/>
      <c r="G18" s="21"/>
      <c r="H18" s="21"/>
      <c r="I18" s="24"/>
      <c r="K18" s="208"/>
      <c r="M18" s="69" t="s">
        <v>1193</v>
      </c>
      <c r="N18" s="11">
        <f>IF($N$12&gt;0,ROUND($N$11/($N$17*$N$9*$N$3),3),ROUND($N$11/($N$10*$N$9*$N$3),3))</f>
        <v>8.4789999999999992</v>
      </c>
      <c r="O18" s="140" t="s">
        <v>1099</v>
      </c>
      <c r="P18" s="59" t="str">
        <f>IF($N$12&gt;0,"D(req'd) = P/(Ca*C1*L)","D(req'd) = P/(C*C1*L)")</f>
        <v>D(req'd) = P/(C*C1*L)</v>
      </c>
      <c r="S18" s="61"/>
      <c r="T18" s="110"/>
    </row>
    <row r="19" spans="1:27" x14ac:dyDescent="0.2">
      <c r="A19" s="30" t="s">
        <v>1154</v>
      </c>
      <c r="B19" s="21"/>
      <c r="C19" s="21"/>
      <c r="D19" s="21"/>
      <c r="E19" s="21"/>
      <c r="F19" s="21"/>
      <c r="G19" s="21"/>
      <c r="H19" s="21"/>
      <c r="I19" s="24"/>
      <c r="J19" s="51"/>
      <c r="K19" s="208"/>
      <c r="M19" s="69" t="s">
        <v>1190</v>
      </c>
      <c r="N19" s="11">
        <f>IF($N$12&gt;0,ROUND($N$11/($N$9*$N$17*($C$11*16)),3),ROUND($N$11/($N$9*$N$10*($C$11*16)),3))</f>
        <v>10.599</v>
      </c>
      <c r="O19" s="59" t="s">
        <v>1172</v>
      </c>
      <c r="P19" s="59" t="str">
        <f>IF($N$12&gt;0,"L(req'd) = P/(Ca*C1*D)","L(req'd) = P/(C*C1*D)")</f>
        <v>L(req'd) = P/(C*C1*D)</v>
      </c>
    </row>
    <row r="20" spans="1:27" x14ac:dyDescent="0.2">
      <c r="A20" s="296" t="str">
        <f>IF($C$13&gt;0,"Ca = coefficient for inclined load, Alt. Method 2","C = coefficient interpolated from Table XXII")</f>
        <v>C = coefficient interpolated from Table XXII</v>
      </c>
      <c r="B20" s="21"/>
      <c r="C20" s="21"/>
      <c r="D20" s="21"/>
      <c r="E20" s="21"/>
      <c r="F20" s="21"/>
      <c r="G20" s="21"/>
      <c r="H20" s="21"/>
      <c r="I20" s="24"/>
      <c r="J20" s="51"/>
      <c r="N20" s="43"/>
      <c r="P20" s="44"/>
      <c r="T20" s="50"/>
    </row>
    <row r="21" spans="1:27" x14ac:dyDescent="0.2">
      <c r="A21" s="30" t="s">
        <v>1106</v>
      </c>
      <c r="B21" s="21"/>
      <c r="C21" s="21"/>
      <c r="D21" s="21"/>
      <c r="E21" s="21"/>
      <c r="F21" s="37"/>
      <c r="G21" s="37"/>
      <c r="H21" s="37"/>
      <c r="I21" s="24"/>
      <c r="J21" s="51"/>
      <c r="M21" s="47"/>
      <c r="N21" s="43"/>
      <c r="O21" s="52"/>
      <c r="Q21" s="18"/>
      <c r="R21" s="18"/>
      <c r="S21" s="18"/>
      <c r="T21" s="18"/>
      <c r="U21" s="18"/>
      <c r="V21" s="18"/>
      <c r="W21" s="18"/>
      <c r="X21" s="148" t="s">
        <v>1092</v>
      </c>
      <c r="Y21" s="149"/>
      <c r="Z21" s="149"/>
      <c r="AA21" s="150"/>
    </row>
    <row r="22" spans="1:27" x14ac:dyDescent="0.2">
      <c r="A22" s="30" t="s">
        <v>1135</v>
      </c>
      <c r="B22" s="21"/>
      <c r="C22" s="21"/>
      <c r="D22" s="21"/>
      <c r="E22" s="37"/>
      <c r="F22" s="21"/>
      <c r="G22" s="21"/>
      <c r="H22" s="21"/>
      <c r="I22" s="24"/>
      <c r="J22" s="51"/>
      <c r="K22" s="120" t="s">
        <v>1163</v>
      </c>
      <c r="L22" s="210"/>
      <c r="M22" s="210"/>
      <c r="N22" s="210"/>
      <c r="O22" s="210"/>
      <c r="P22" s="210"/>
      <c r="Q22" s="210"/>
      <c r="R22" s="209"/>
      <c r="S22" s="210"/>
      <c r="T22" s="210"/>
      <c r="U22" s="210"/>
      <c r="V22" s="221"/>
      <c r="W22" s="38"/>
      <c r="X22" s="151"/>
      <c r="Y22" s="152" t="s">
        <v>1093</v>
      </c>
      <c r="Z22" s="153" t="s">
        <v>1148</v>
      </c>
      <c r="AA22" s="154" t="s">
        <v>1093</v>
      </c>
    </row>
    <row r="23" spans="1:27" x14ac:dyDescent="0.2">
      <c r="A23" s="30" t="s">
        <v>1108</v>
      </c>
      <c r="B23" s="21"/>
      <c r="C23" s="37"/>
      <c r="D23" s="21"/>
      <c r="E23" s="21"/>
      <c r="F23" s="37"/>
      <c r="G23" s="37"/>
      <c r="H23" s="37"/>
      <c r="I23" s="303"/>
      <c r="J23" s="37"/>
      <c r="K23" s="223"/>
      <c r="L23" s="224" t="s">
        <v>1148</v>
      </c>
      <c r="M23" s="225"/>
      <c r="N23" s="225"/>
      <c r="O23" s="225"/>
      <c r="P23" s="225"/>
      <c r="Q23" s="225"/>
      <c r="R23" s="226"/>
      <c r="S23" s="225"/>
      <c r="T23" s="225"/>
      <c r="U23" s="225"/>
      <c r="V23" s="227"/>
      <c r="W23" s="90"/>
      <c r="X23" s="151"/>
      <c r="Y23" s="158">
        <f>LOOKUP($Y$24,$L$24:$V$24,$L$49:$V$49)</f>
        <v>6</v>
      </c>
      <c r="Z23" s="158" t="s">
        <v>1094</v>
      </c>
      <c r="AA23" s="159">
        <f>LOOKUP($Y$23+1,$L$49:V$49)</f>
        <v>7</v>
      </c>
    </row>
    <row r="24" spans="1:27" x14ac:dyDescent="0.2">
      <c r="A24" s="30"/>
      <c r="B24" s="214"/>
      <c r="C24" s="21"/>
      <c r="D24" s="21"/>
      <c r="E24" s="212" t="str">
        <f>IF($N$7&gt;3,"Value of 'a' exceeds 3.0, beyond scope of table!","")</f>
        <v/>
      </c>
      <c r="F24" s="21"/>
      <c r="G24" s="21"/>
      <c r="H24" s="21"/>
      <c r="I24" s="24"/>
      <c r="K24" s="160" t="s">
        <v>1095</v>
      </c>
      <c r="L24" s="161">
        <v>0</v>
      </c>
      <c r="M24" s="219">
        <v>0.1</v>
      </c>
      <c r="N24" s="161">
        <v>0.2</v>
      </c>
      <c r="O24" s="219">
        <v>0.3</v>
      </c>
      <c r="P24" s="161">
        <v>0.4</v>
      </c>
      <c r="Q24" s="219">
        <v>0.5</v>
      </c>
      <c r="R24" s="161">
        <v>0.6</v>
      </c>
      <c r="S24" s="219">
        <v>0.7</v>
      </c>
      <c r="T24" s="163">
        <v>0.8</v>
      </c>
      <c r="U24" s="219">
        <v>0.9</v>
      </c>
      <c r="V24" s="228">
        <v>1</v>
      </c>
      <c r="W24" s="216" t="s">
        <v>1096</v>
      </c>
      <c r="X24" s="165" t="s">
        <v>1096</v>
      </c>
      <c r="Y24" s="166">
        <f>LOOKUP($N$8,$L$24:$V$24)</f>
        <v>0.5</v>
      </c>
      <c r="Z24" s="167">
        <f>$N$8</f>
        <v>0.5</v>
      </c>
      <c r="AA24" s="168">
        <f>LOOKUP($AA$23,$L$49:$V$49,$L$24:$V$24)</f>
        <v>0.6</v>
      </c>
    </row>
    <row r="25" spans="1:27" x14ac:dyDescent="0.2">
      <c r="A25" s="222"/>
      <c r="B25" s="21"/>
      <c r="C25" s="21"/>
      <c r="D25" s="21"/>
      <c r="E25" s="212" t="str">
        <f>IF($N$8&gt;1,"Value of 'k' exceeds 1.0, beyond scope of table!","")</f>
        <v/>
      </c>
      <c r="F25" s="21"/>
      <c r="G25" s="21"/>
      <c r="H25" s="21"/>
      <c r="I25" s="24"/>
      <c r="K25" s="259">
        <v>0.06</v>
      </c>
      <c r="L25" s="246">
        <v>1.56</v>
      </c>
      <c r="M25" s="247">
        <v>1.69</v>
      </c>
      <c r="N25" s="247">
        <v>1.85</v>
      </c>
      <c r="O25" s="247">
        <v>2.0299999999999998</v>
      </c>
      <c r="P25" s="247">
        <v>2.21</v>
      </c>
      <c r="Q25" s="247">
        <v>2.39</v>
      </c>
      <c r="R25" s="247">
        <v>2.5499999999999998</v>
      </c>
      <c r="S25" s="247">
        <v>2.71</v>
      </c>
      <c r="T25" s="247">
        <v>2.86</v>
      </c>
      <c r="U25" s="247">
        <v>3.01</v>
      </c>
      <c r="V25" s="248">
        <v>3.15</v>
      </c>
      <c r="W25" s="216">
        <v>1</v>
      </c>
      <c r="X25" s="169">
        <v>1</v>
      </c>
      <c r="Y25" s="170">
        <f t="shared" ref="Y25:Y48" si="0">LOOKUP($Y$24,$L$24:$V$24,$L25:$V25)</f>
        <v>2.39</v>
      </c>
      <c r="Z25" s="171">
        <f t="shared" ref="Z25:Z48" si="1">IF($Y$24=$AA$24,$Y25,($AA25-$Y25)*($Z$24-$Y$24)/($AA$24-$Y$24)+$Y25)</f>
        <v>2.39</v>
      </c>
      <c r="AA25" s="172">
        <f t="shared" ref="AA25:AA48" si="2">LOOKUP($AA$24,$L$24:$V$24,$L25:$V25)</f>
        <v>2.5499999999999998</v>
      </c>
    </row>
    <row r="26" spans="1:27" x14ac:dyDescent="0.2">
      <c r="A26" s="22" t="s">
        <v>1113</v>
      </c>
      <c r="B26" s="215"/>
      <c r="C26" s="21"/>
      <c r="D26" s="21"/>
      <c r="E26" s="21"/>
      <c r="F26" s="21"/>
      <c r="G26" s="21"/>
      <c r="H26" s="21"/>
      <c r="I26" s="24"/>
      <c r="K26" s="260">
        <v>0.08</v>
      </c>
      <c r="L26" s="249">
        <v>1.48</v>
      </c>
      <c r="M26" s="250">
        <v>1.61</v>
      </c>
      <c r="N26" s="250">
        <v>1.78</v>
      </c>
      <c r="O26" s="250">
        <v>1.96</v>
      </c>
      <c r="P26" s="250">
        <v>2.14</v>
      </c>
      <c r="Q26" s="250">
        <v>2.33</v>
      </c>
      <c r="R26" s="250">
        <v>2.5099999999999998</v>
      </c>
      <c r="S26" s="250">
        <v>2.68</v>
      </c>
      <c r="T26" s="250">
        <v>2.84</v>
      </c>
      <c r="U26" s="250">
        <v>2.99</v>
      </c>
      <c r="V26" s="251">
        <v>3.14</v>
      </c>
      <c r="W26" s="216">
        <v>2</v>
      </c>
      <c r="X26" s="169">
        <v>2</v>
      </c>
      <c r="Y26" s="170">
        <f t="shared" si="0"/>
        <v>2.33</v>
      </c>
      <c r="Z26" s="171">
        <f t="shared" si="1"/>
        <v>2.33</v>
      </c>
      <c r="AA26" s="172">
        <f t="shared" si="2"/>
        <v>2.5099999999999998</v>
      </c>
    </row>
    <row r="27" spans="1:27" x14ac:dyDescent="0.2">
      <c r="A27" s="30"/>
      <c r="B27" s="9"/>
      <c r="C27" s="21"/>
      <c r="D27" s="62" t="str">
        <f>IF($N$12&gt;0,"(Note: AISC Alternate Method 2 is used for inclined load)","(Note: AISC Alternate Method 2 is not used for P=Pv)")</f>
        <v>(Note: AISC Alternate Method 2 is not used for P=Pv)</v>
      </c>
      <c r="E27" s="21"/>
      <c r="F27" s="21"/>
      <c r="G27" s="21"/>
      <c r="H27" s="21"/>
      <c r="I27" s="24"/>
      <c r="K27" s="260">
        <v>0.1</v>
      </c>
      <c r="L27" s="249">
        <v>1.41</v>
      </c>
      <c r="M27" s="250">
        <v>1.54</v>
      </c>
      <c r="N27" s="250">
        <v>1.71</v>
      </c>
      <c r="O27" s="250">
        <v>1.89</v>
      </c>
      <c r="P27" s="250">
        <v>2.08</v>
      </c>
      <c r="Q27" s="250">
        <v>2.27</v>
      </c>
      <c r="R27" s="250">
        <v>2.4500000000000002</v>
      </c>
      <c r="S27" s="250">
        <v>2.63</v>
      </c>
      <c r="T27" s="250">
        <v>2.8</v>
      </c>
      <c r="U27" s="250">
        <v>2.97</v>
      </c>
      <c r="V27" s="251">
        <v>3.12</v>
      </c>
      <c r="W27" s="216">
        <v>3</v>
      </c>
      <c r="X27" s="169">
        <v>3</v>
      </c>
      <c r="Y27" s="170">
        <f t="shared" si="0"/>
        <v>2.27</v>
      </c>
      <c r="Z27" s="171">
        <f t="shared" si="1"/>
        <v>2.27</v>
      </c>
      <c r="AA27" s="172">
        <f t="shared" si="2"/>
        <v>2.4500000000000002</v>
      </c>
    </row>
    <row r="28" spans="1:27" x14ac:dyDescent="0.2">
      <c r="A28" s="298" t="s">
        <v>1196</v>
      </c>
      <c r="B28" s="2">
        <f>$N$3</f>
        <v>10</v>
      </c>
      <c r="C28" s="138" t="s">
        <v>1172</v>
      </c>
      <c r="D28" s="62" t="s">
        <v>1108</v>
      </c>
      <c r="E28" s="21"/>
      <c r="F28" s="203"/>
      <c r="G28" s="21"/>
      <c r="H28" s="21"/>
      <c r="I28" s="24"/>
      <c r="K28" s="260">
        <v>0.15</v>
      </c>
      <c r="L28" s="249">
        <v>1.26</v>
      </c>
      <c r="M28" s="250">
        <v>1.4</v>
      </c>
      <c r="N28" s="250">
        <v>1.55</v>
      </c>
      <c r="O28" s="250">
        <v>1.73</v>
      </c>
      <c r="P28" s="250">
        <v>1.92</v>
      </c>
      <c r="Q28" s="250">
        <v>2.11</v>
      </c>
      <c r="R28" s="250">
        <v>2.31</v>
      </c>
      <c r="S28" s="250">
        <v>2.5</v>
      </c>
      <c r="T28" s="250">
        <v>2.68</v>
      </c>
      <c r="U28" s="250">
        <v>2.87</v>
      </c>
      <c r="V28" s="251">
        <v>3.04</v>
      </c>
      <c r="W28" s="216">
        <v>4</v>
      </c>
      <c r="X28" s="169">
        <v>4</v>
      </c>
      <c r="Y28" s="170">
        <f t="shared" si="0"/>
        <v>2.11</v>
      </c>
      <c r="Z28" s="171">
        <f t="shared" si="1"/>
        <v>2.11</v>
      </c>
      <c r="AA28" s="172">
        <f t="shared" si="2"/>
        <v>2.31</v>
      </c>
    </row>
    <row r="29" spans="1:27" x14ac:dyDescent="0.2">
      <c r="A29" s="298" t="s">
        <v>1180</v>
      </c>
      <c r="B29" s="3">
        <f>$N$4</f>
        <v>5</v>
      </c>
      <c r="C29" s="138" t="s">
        <v>1172</v>
      </c>
      <c r="D29" s="62" t="s">
        <v>1166</v>
      </c>
      <c r="E29" s="21"/>
      <c r="F29" s="203"/>
      <c r="G29" s="21"/>
      <c r="H29" s="21"/>
      <c r="I29" s="24"/>
      <c r="K29" s="260">
        <v>0.2</v>
      </c>
      <c r="L29" s="249">
        <v>1.1299999999999999</v>
      </c>
      <c r="M29" s="250">
        <v>1.27</v>
      </c>
      <c r="N29" s="250">
        <v>1.43</v>
      </c>
      <c r="O29" s="250">
        <v>1.59</v>
      </c>
      <c r="P29" s="250">
        <v>1.78</v>
      </c>
      <c r="Q29" s="250">
        <v>1.97</v>
      </c>
      <c r="R29" s="250">
        <v>2.16</v>
      </c>
      <c r="S29" s="250">
        <v>2.36</v>
      </c>
      <c r="T29" s="250">
        <v>2.5499999999999998</v>
      </c>
      <c r="U29" s="250">
        <v>2.74</v>
      </c>
      <c r="V29" s="251">
        <v>2.93</v>
      </c>
      <c r="W29" s="216">
        <v>5</v>
      </c>
      <c r="X29" s="169">
        <v>5</v>
      </c>
      <c r="Y29" s="170">
        <f t="shared" si="0"/>
        <v>1.97</v>
      </c>
      <c r="Z29" s="171">
        <f t="shared" si="1"/>
        <v>1.97</v>
      </c>
      <c r="AA29" s="172">
        <f t="shared" si="2"/>
        <v>2.16</v>
      </c>
    </row>
    <row r="30" spans="1:27" ht="13.5" customHeight="1" x14ac:dyDescent="0.2">
      <c r="A30" s="298" t="s">
        <v>1085</v>
      </c>
      <c r="B30" s="3">
        <f>$N$6</f>
        <v>11</v>
      </c>
      <c r="C30" s="138" t="s">
        <v>1172</v>
      </c>
      <c r="D30" s="98" t="s">
        <v>1118</v>
      </c>
      <c r="E30" s="21"/>
      <c r="F30" s="203"/>
      <c r="G30" s="21"/>
      <c r="H30" s="21"/>
      <c r="I30" s="24"/>
      <c r="K30" s="260">
        <v>0.25</v>
      </c>
      <c r="L30" s="249">
        <v>1.02</v>
      </c>
      <c r="M30" s="250">
        <v>1.1599999999999999</v>
      </c>
      <c r="N30" s="250">
        <v>1.31</v>
      </c>
      <c r="O30" s="250">
        <v>1.48</v>
      </c>
      <c r="P30" s="250">
        <v>1.65</v>
      </c>
      <c r="Q30" s="250">
        <v>1.84</v>
      </c>
      <c r="R30" s="250">
        <v>2.0299999999999998</v>
      </c>
      <c r="S30" s="250">
        <v>2.2200000000000002</v>
      </c>
      <c r="T30" s="250">
        <v>2.42</v>
      </c>
      <c r="U30" s="250">
        <v>2.62</v>
      </c>
      <c r="V30" s="251">
        <v>2.81</v>
      </c>
      <c r="W30" s="216">
        <v>6</v>
      </c>
      <c r="X30" s="169">
        <v>6</v>
      </c>
      <c r="Y30" s="170">
        <f t="shared" si="0"/>
        <v>1.84</v>
      </c>
      <c r="Z30" s="171">
        <f t="shared" si="1"/>
        <v>1.84</v>
      </c>
      <c r="AA30" s="172">
        <f t="shared" si="2"/>
        <v>2.0299999999999998</v>
      </c>
    </row>
    <row r="31" spans="1:27" ht="13.5" customHeight="1" x14ac:dyDescent="0.2">
      <c r="A31" s="298" t="s">
        <v>1124</v>
      </c>
      <c r="B31" s="3">
        <f>$N$7</f>
        <v>1.1000000000000001</v>
      </c>
      <c r="C31" s="242" t="str">
        <f>IF($N$7&gt;3,"&gt; 3.0","")</f>
        <v/>
      </c>
      <c r="D31" s="98" t="s">
        <v>1086</v>
      </c>
      <c r="E31" s="21"/>
      <c r="F31" s="203"/>
      <c r="G31" s="21"/>
      <c r="H31" s="21"/>
      <c r="I31" s="24"/>
      <c r="K31" s="260">
        <v>0.3</v>
      </c>
      <c r="L31" s="253">
        <v>0.93400000000000005</v>
      </c>
      <c r="M31" s="250">
        <v>1.06</v>
      </c>
      <c r="N31" s="250">
        <v>1.21</v>
      </c>
      <c r="O31" s="250">
        <v>1.37</v>
      </c>
      <c r="P31" s="250">
        <v>1.54</v>
      </c>
      <c r="Q31" s="250">
        <v>1.72</v>
      </c>
      <c r="R31" s="250">
        <v>1.9</v>
      </c>
      <c r="S31" s="250">
        <v>2.1</v>
      </c>
      <c r="T31" s="250">
        <v>2.29</v>
      </c>
      <c r="U31" s="250">
        <v>2.4900000000000002</v>
      </c>
      <c r="V31" s="251">
        <v>2.69</v>
      </c>
      <c r="W31" s="216">
        <v>7</v>
      </c>
      <c r="X31" s="169">
        <v>7</v>
      </c>
      <c r="Y31" s="170">
        <f t="shared" si="0"/>
        <v>1.72</v>
      </c>
      <c r="Z31" s="171">
        <f t="shared" si="1"/>
        <v>1.72</v>
      </c>
      <c r="AA31" s="172">
        <f t="shared" si="2"/>
        <v>1.9</v>
      </c>
    </row>
    <row r="32" spans="1:27" x14ac:dyDescent="0.2">
      <c r="A32" s="298" t="s">
        <v>1138</v>
      </c>
      <c r="B32" s="3">
        <f>$N$8</f>
        <v>0.5</v>
      </c>
      <c r="C32" s="242" t="str">
        <f>IF($N$8&gt;1,"&gt; 1.0","")</f>
        <v/>
      </c>
      <c r="D32" s="98" t="s">
        <v>1088</v>
      </c>
      <c r="E32" s="21"/>
      <c r="F32" s="58"/>
      <c r="G32" s="21"/>
      <c r="H32" s="21"/>
      <c r="I32" s="24"/>
      <c r="K32" s="260">
        <v>0.4</v>
      </c>
      <c r="L32" s="253">
        <v>0.78900000000000003</v>
      </c>
      <c r="M32" s="254">
        <v>0.90300000000000002</v>
      </c>
      <c r="N32" s="250">
        <v>1.04</v>
      </c>
      <c r="O32" s="250">
        <v>1.2</v>
      </c>
      <c r="P32" s="250">
        <v>1.35</v>
      </c>
      <c r="Q32" s="250">
        <v>1.52</v>
      </c>
      <c r="R32" s="250">
        <v>1.69</v>
      </c>
      <c r="S32" s="250">
        <v>1.87</v>
      </c>
      <c r="T32" s="250">
        <v>2.06</v>
      </c>
      <c r="U32" s="250">
        <v>2.25</v>
      </c>
      <c r="V32" s="251">
        <v>2.44</v>
      </c>
      <c r="W32" s="216">
        <v>8</v>
      </c>
      <c r="X32" s="169">
        <v>8</v>
      </c>
      <c r="Y32" s="170">
        <f t="shared" si="0"/>
        <v>1.52</v>
      </c>
      <c r="Z32" s="171">
        <f t="shared" si="1"/>
        <v>1.52</v>
      </c>
      <c r="AA32" s="172">
        <f t="shared" si="2"/>
        <v>1.69</v>
      </c>
    </row>
    <row r="33" spans="1:27" x14ac:dyDescent="0.2">
      <c r="A33" s="299" t="s">
        <v>1184</v>
      </c>
      <c r="B33" s="29">
        <f>$N$9</f>
        <v>1</v>
      </c>
      <c r="C33" s="138"/>
      <c r="D33" s="73" t="s">
        <v>1185</v>
      </c>
      <c r="E33" s="21"/>
      <c r="F33" s="205"/>
      <c r="G33" s="21"/>
      <c r="H33" s="21"/>
      <c r="I33" s="24"/>
      <c r="K33" s="260">
        <v>0.5</v>
      </c>
      <c r="L33" s="253">
        <v>0.68</v>
      </c>
      <c r="M33" s="254">
        <v>0.78200000000000003</v>
      </c>
      <c r="N33" s="254">
        <v>0.91100000000000003</v>
      </c>
      <c r="O33" s="250">
        <v>1.05</v>
      </c>
      <c r="P33" s="250">
        <v>1.2</v>
      </c>
      <c r="Q33" s="250">
        <v>1.35</v>
      </c>
      <c r="R33" s="250">
        <v>1.51</v>
      </c>
      <c r="S33" s="250">
        <v>1.68</v>
      </c>
      <c r="T33" s="250">
        <v>1.86</v>
      </c>
      <c r="U33" s="250">
        <v>2.04</v>
      </c>
      <c r="V33" s="251">
        <v>2.23</v>
      </c>
      <c r="W33" s="216">
        <v>9</v>
      </c>
      <c r="X33" s="169">
        <v>9</v>
      </c>
      <c r="Y33" s="170">
        <f t="shared" si="0"/>
        <v>1.35</v>
      </c>
      <c r="Z33" s="171">
        <f t="shared" si="1"/>
        <v>1.35</v>
      </c>
      <c r="AA33" s="172">
        <f t="shared" si="2"/>
        <v>1.51</v>
      </c>
    </row>
    <row r="34" spans="1:27" x14ac:dyDescent="0.2">
      <c r="A34" s="298" t="s">
        <v>1122</v>
      </c>
      <c r="B34" s="3">
        <f>$N$10</f>
        <v>0.80200000000000005</v>
      </c>
      <c r="C34" s="243"/>
      <c r="D34" s="98" t="s">
        <v>1137</v>
      </c>
      <c r="E34" s="21"/>
      <c r="F34" s="205"/>
      <c r="G34" s="21"/>
      <c r="H34" s="21"/>
      <c r="I34" s="24"/>
      <c r="K34" s="260">
        <v>0.6</v>
      </c>
      <c r="L34" s="253">
        <v>0.59499999999999997</v>
      </c>
      <c r="M34" s="254">
        <v>0.68700000000000006</v>
      </c>
      <c r="N34" s="254">
        <v>0.80600000000000005</v>
      </c>
      <c r="O34" s="254">
        <v>0.93799999999999994</v>
      </c>
      <c r="P34" s="250">
        <v>1.08</v>
      </c>
      <c r="Q34" s="250">
        <v>1.22</v>
      </c>
      <c r="R34" s="250">
        <v>1.37</v>
      </c>
      <c r="S34" s="250">
        <v>1.52</v>
      </c>
      <c r="T34" s="250">
        <v>1.69</v>
      </c>
      <c r="U34" s="250">
        <v>1.86</v>
      </c>
      <c r="V34" s="251">
        <v>2.0299999999999998</v>
      </c>
      <c r="W34" s="216">
        <v>10</v>
      </c>
      <c r="X34" s="169">
        <v>10</v>
      </c>
      <c r="Y34" s="170">
        <f t="shared" si="0"/>
        <v>1.22</v>
      </c>
      <c r="Z34" s="171">
        <f t="shared" si="1"/>
        <v>1.22</v>
      </c>
      <c r="AA34" s="172">
        <f t="shared" si="2"/>
        <v>1.37</v>
      </c>
    </row>
    <row r="35" spans="1:27" x14ac:dyDescent="0.2">
      <c r="A35" s="299" t="s">
        <v>1187</v>
      </c>
      <c r="B35" s="5">
        <f>$N$11</f>
        <v>68</v>
      </c>
      <c r="C35" s="138" t="s">
        <v>1114</v>
      </c>
      <c r="D35" s="73" t="s">
        <v>1120</v>
      </c>
      <c r="E35" s="21"/>
      <c r="F35" s="205"/>
      <c r="G35" s="21"/>
      <c r="H35" s="21"/>
      <c r="I35" s="24"/>
      <c r="K35" s="260">
        <v>0.7</v>
      </c>
      <c r="L35" s="253">
        <v>0.52800000000000002</v>
      </c>
      <c r="M35" s="254">
        <v>0.61199999999999999</v>
      </c>
      <c r="N35" s="254">
        <v>0.72</v>
      </c>
      <c r="O35" s="254">
        <v>0.84299999999999997</v>
      </c>
      <c r="P35" s="254">
        <v>0.97199999999999998</v>
      </c>
      <c r="Q35" s="250">
        <v>1.1100000000000001</v>
      </c>
      <c r="R35" s="250">
        <v>1.25</v>
      </c>
      <c r="S35" s="250">
        <v>1.39</v>
      </c>
      <c r="T35" s="250">
        <v>1.54</v>
      </c>
      <c r="U35" s="250">
        <v>1.7</v>
      </c>
      <c r="V35" s="251">
        <v>1.87</v>
      </c>
      <c r="W35" s="216">
        <v>11</v>
      </c>
      <c r="X35" s="169">
        <v>11</v>
      </c>
      <c r="Y35" s="170">
        <f t="shared" si="0"/>
        <v>1.1100000000000001</v>
      </c>
      <c r="Z35" s="171">
        <f t="shared" si="1"/>
        <v>1.1100000000000001</v>
      </c>
      <c r="AA35" s="172">
        <f t="shared" si="2"/>
        <v>1.25</v>
      </c>
    </row>
    <row r="36" spans="1:27" ht="12.75" customHeight="1" x14ac:dyDescent="0.2">
      <c r="A36" s="299" t="s">
        <v>1125</v>
      </c>
      <c r="B36" s="3">
        <f>$N$12</f>
        <v>0</v>
      </c>
      <c r="C36" s="138" t="s">
        <v>1103</v>
      </c>
      <c r="D36" s="84" t="s">
        <v>1126</v>
      </c>
      <c r="E36" s="21"/>
      <c r="F36" s="205"/>
      <c r="G36" s="21"/>
      <c r="H36" s="21"/>
      <c r="I36" s="24"/>
      <c r="K36" s="260">
        <v>0.8</v>
      </c>
      <c r="L36" s="253">
        <v>0.47299999999999998</v>
      </c>
      <c r="M36" s="254">
        <v>0.55000000000000004</v>
      </c>
      <c r="N36" s="254">
        <v>0.65</v>
      </c>
      <c r="O36" s="254">
        <v>0.76400000000000001</v>
      </c>
      <c r="P36" s="254">
        <v>0.88500000000000001</v>
      </c>
      <c r="Q36" s="250">
        <v>1.01</v>
      </c>
      <c r="R36" s="250">
        <v>1.1399999999999999</v>
      </c>
      <c r="S36" s="250">
        <v>1.28</v>
      </c>
      <c r="T36" s="250">
        <v>1.42</v>
      </c>
      <c r="U36" s="250">
        <v>1.57</v>
      </c>
      <c r="V36" s="251">
        <v>1.72</v>
      </c>
      <c r="W36" s="216">
        <v>12</v>
      </c>
      <c r="X36" s="169">
        <v>12</v>
      </c>
      <c r="Y36" s="170">
        <f t="shared" si="0"/>
        <v>1.01</v>
      </c>
      <c r="Z36" s="171">
        <f t="shared" si="1"/>
        <v>1.01</v>
      </c>
      <c r="AA36" s="172">
        <f t="shared" si="2"/>
        <v>1.1399999999999999</v>
      </c>
    </row>
    <row r="37" spans="1:27" ht="12.75" customHeight="1" x14ac:dyDescent="0.2">
      <c r="A37" s="77" t="s">
        <v>1160</v>
      </c>
      <c r="B37" s="3" t="str">
        <f>$N$13</f>
        <v>N.A.</v>
      </c>
      <c r="C37" s="138"/>
      <c r="D37" s="73" t="s">
        <v>1127</v>
      </c>
      <c r="E37" s="112"/>
      <c r="F37" s="21"/>
      <c r="G37" s="21"/>
      <c r="H37" s="21"/>
      <c r="I37" s="24"/>
      <c r="K37" s="260">
        <v>0.9</v>
      </c>
      <c r="L37" s="253">
        <v>0.42799999999999999</v>
      </c>
      <c r="M37" s="254">
        <v>0.499</v>
      </c>
      <c r="N37" s="254">
        <v>0.59199999999999997</v>
      </c>
      <c r="O37" s="254">
        <v>0.69699999999999995</v>
      </c>
      <c r="P37" s="254">
        <v>0.81100000000000005</v>
      </c>
      <c r="Q37" s="254">
        <v>0.92900000000000005</v>
      </c>
      <c r="R37" s="250">
        <v>1.05</v>
      </c>
      <c r="S37" s="250">
        <v>1.18</v>
      </c>
      <c r="T37" s="250">
        <v>1.31</v>
      </c>
      <c r="U37" s="250">
        <v>1.45</v>
      </c>
      <c r="V37" s="251">
        <v>1.6</v>
      </c>
      <c r="W37" s="216">
        <v>13</v>
      </c>
      <c r="X37" s="169">
        <v>13</v>
      </c>
      <c r="Y37" s="170">
        <f t="shared" si="0"/>
        <v>0.92900000000000005</v>
      </c>
      <c r="Z37" s="171">
        <f t="shared" si="1"/>
        <v>0.92900000000000005</v>
      </c>
      <c r="AA37" s="172">
        <f t="shared" si="2"/>
        <v>1.05</v>
      </c>
    </row>
    <row r="38" spans="1:27" ht="12.75" customHeight="1" x14ac:dyDescent="0.2">
      <c r="A38" s="77" t="s">
        <v>1130</v>
      </c>
      <c r="B38" s="3" t="str">
        <f>$N$14</f>
        <v>N.A.</v>
      </c>
      <c r="C38" s="138"/>
      <c r="D38" s="73" t="s">
        <v>1170</v>
      </c>
      <c r="E38" s="39"/>
      <c r="F38" s="21"/>
      <c r="G38" s="21"/>
      <c r="H38" s="21"/>
      <c r="I38" s="24"/>
      <c r="K38" s="260">
        <v>1</v>
      </c>
      <c r="L38" s="253">
        <v>0.39100000000000001</v>
      </c>
      <c r="M38" s="254">
        <v>0.45600000000000002</v>
      </c>
      <c r="N38" s="254">
        <v>0.54200000000000004</v>
      </c>
      <c r="O38" s="254">
        <v>0.64100000000000001</v>
      </c>
      <c r="P38" s="254">
        <v>0.747</v>
      </c>
      <c r="Q38" s="254">
        <v>0.85899999999999999</v>
      </c>
      <c r="R38" s="254">
        <v>0.97499999999999998</v>
      </c>
      <c r="S38" s="250">
        <v>1.0900000000000001</v>
      </c>
      <c r="T38" s="250">
        <v>1.22</v>
      </c>
      <c r="U38" s="250">
        <v>1.35</v>
      </c>
      <c r="V38" s="251">
        <v>1.49</v>
      </c>
      <c r="W38" s="216">
        <v>14</v>
      </c>
      <c r="X38" s="169">
        <v>14</v>
      </c>
      <c r="Y38" s="170">
        <f t="shared" si="0"/>
        <v>0.85899999999999999</v>
      </c>
      <c r="Z38" s="171">
        <f t="shared" si="1"/>
        <v>0.85899999999999999</v>
      </c>
      <c r="AA38" s="172">
        <f t="shared" si="2"/>
        <v>0.97499999999999998</v>
      </c>
    </row>
    <row r="39" spans="1:27" ht="12.75" customHeight="1" x14ac:dyDescent="0.2">
      <c r="A39" s="77" t="s">
        <v>1188</v>
      </c>
      <c r="B39" s="3" t="str">
        <f>$N$15</f>
        <v>N.A.</v>
      </c>
      <c r="C39" s="138"/>
      <c r="D39" s="73" t="s">
        <v>1132</v>
      </c>
      <c r="E39" s="39"/>
      <c r="F39" s="21"/>
      <c r="G39" s="21"/>
      <c r="H39" s="21"/>
      <c r="I39" s="24"/>
      <c r="K39" s="260">
        <v>1.2</v>
      </c>
      <c r="L39" s="253">
        <v>0.33300000000000002</v>
      </c>
      <c r="M39" s="254">
        <v>0.38900000000000001</v>
      </c>
      <c r="N39" s="254">
        <v>0.46400000000000002</v>
      </c>
      <c r="O39" s="254">
        <v>0.55100000000000005</v>
      </c>
      <c r="P39" s="254">
        <v>0.64500000000000002</v>
      </c>
      <c r="Q39" s="254">
        <v>0.74399999999999999</v>
      </c>
      <c r="R39" s="254">
        <v>0.84799999999999998</v>
      </c>
      <c r="S39" s="254">
        <v>0.95499999999999996</v>
      </c>
      <c r="T39" s="250">
        <v>1.07</v>
      </c>
      <c r="U39" s="250">
        <v>1.18</v>
      </c>
      <c r="V39" s="251">
        <v>1.31</v>
      </c>
      <c r="W39" s="216">
        <v>15</v>
      </c>
      <c r="X39" s="169">
        <v>15</v>
      </c>
      <c r="Y39" s="170">
        <f t="shared" si="0"/>
        <v>0.74399999999999999</v>
      </c>
      <c r="Z39" s="171">
        <f t="shared" si="1"/>
        <v>0.74399999999999999</v>
      </c>
      <c r="AA39" s="172">
        <f t="shared" si="2"/>
        <v>0.84799999999999998</v>
      </c>
    </row>
    <row r="40" spans="1:27" ht="12.75" customHeight="1" x14ac:dyDescent="0.2">
      <c r="A40" s="77" t="s">
        <v>1133</v>
      </c>
      <c r="B40" s="3" t="str">
        <f>$N$16</f>
        <v>N.A.</v>
      </c>
      <c r="C40" s="138"/>
      <c r="D40" s="73" t="s">
        <v>1104</v>
      </c>
      <c r="E40" s="39"/>
      <c r="F40" s="21"/>
      <c r="G40" s="21"/>
      <c r="H40" s="21"/>
      <c r="I40" s="24"/>
      <c r="K40" s="260">
        <v>1.4</v>
      </c>
      <c r="L40" s="253">
        <v>0.28899999999999998</v>
      </c>
      <c r="M40" s="254">
        <v>0.33900000000000002</v>
      </c>
      <c r="N40" s="254">
        <v>0.40500000000000003</v>
      </c>
      <c r="O40" s="254">
        <v>0.48199999999999998</v>
      </c>
      <c r="P40" s="254">
        <v>0.56599999999999995</v>
      </c>
      <c r="Q40" s="254">
        <v>0.65500000000000003</v>
      </c>
      <c r="R40" s="254">
        <v>0.749</v>
      </c>
      <c r="S40" s="254">
        <v>0.84599999999999997</v>
      </c>
      <c r="T40" s="254">
        <v>0.94699999999999995</v>
      </c>
      <c r="U40" s="250">
        <v>1.05</v>
      </c>
      <c r="V40" s="251">
        <v>1.1599999999999999</v>
      </c>
      <c r="W40" s="216">
        <v>16</v>
      </c>
      <c r="X40" s="169">
        <v>16</v>
      </c>
      <c r="Y40" s="170">
        <f t="shared" si="0"/>
        <v>0.65500000000000003</v>
      </c>
      <c r="Z40" s="171">
        <f t="shared" si="1"/>
        <v>0.65500000000000003</v>
      </c>
      <c r="AA40" s="172">
        <f t="shared" si="2"/>
        <v>0.749</v>
      </c>
    </row>
    <row r="41" spans="1:27" ht="12.75" customHeight="1" x14ac:dyDescent="0.2">
      <c r="A41" s="77" t="s">
        <v>1143</v>
      </c>
      <c r="B41" s="3" t="str">
        <f>$N$17</f>
        <v>N.A.</v>
      </c>
      <c r="C41" s="138"/>
      <c r="D41" s="73" t="s">
        <v>1105</v>
      </c>
      <c r="E41" s="39"/>
      <c r="F41" s="21"/>
      <c r="G41" s="21"/>
      <c r="H41" s="21"/>
      <c r="I41" s="24"/>
      <c r="K41" s="260">
        <v>1.6</v>
      </c>
      <c r="L41" s="253">
        <v>0.255</v>
      </c>
      <c r="M41" s="254">
        <v>0.3</v>
      </c>
      <c r="N41" s="254">
        <v>0.35899999999999999</v>
      </c>
      <c r="O41" s="254">
        <v>0.42799999999999999</v>
      </c>
      <c r="P41" s="254">
        <v>0.504</v>
      </c>
      <c r="Q41" s="254">
        <v>0.58399999999999996</v>
      </c>
      <c r="R41" s="254">
        <v>0.66900000000000004</v>
      </c>
      <c r="S41" s="254">
        <v>0.75800000000000001</v>
      </c>
      <c r="T41" s="254">
        <v>0.85</v>
      </c>
      <c r="U41" s="254">
        <v>0.94599999999999995</v>
      </c>
      <c r="V41" s="251">
        <v>1.05</v>
      </c>
      <c r="W41" s="216">
        <v>17</v>
      </c>
      <c r="X41" s="169">
        <v>17</v>
      </c>
      <c r="Y41" s="170">
        <f t="shared" si="0"/>
        <v>0.58399999999999996</v>
      </c>
      <c r="Z41" s="171">
        <f t="shared" si="1"/>
        <v>0.58399999999999996</v>
      </c>
      <c r="AA41" s="172">
        <f t="shared" si="2"/>
        <v>0.66900000000000004</v>
      </c>
    </row>
    <row r="42" spans="1:27" x14ac:dyDescent="0.2">
      <c r="A42" s="77" t="s">
        <v>1193</v>
      </c>
      <c r="B42" s="3">
        <f>$N$18</f>
        <v>8.4789999999999992</v>
      </c>
      <c r="C42" s="138" t="s">
        <v>1099</v>
      </c>
      <c r="D42" s="62" t="str">
        <f>IF($N$12&gt;0,"D(req'd) = P/(Ca*C1*L)","D(req'd) = P/(C*C1*L)")</f>
        <v>D(req'd) = P/(C*C1*L)</v>
      </c>
      <c r="E42" s="205"/>
      <c r="F42" s="21"/>
      <c r="G42" s="21"/>
      <c r="H42" s="21"/>
      <c r="I42" s="24"/>
      <c r="K42" s="260">
        <v>1.8</v>
      </c>
      <c r="L42" s="253">
        <v>0.22800000000000001</v>
      </c>
      <c r="M42" s="254">
        <v>0.26800000000000002</v>
      </c>
      <c r="N42" s="254">
        <v>0.32200000000000001</v>
      </c>
      <c r="O42" s="254">
        <v>0.38500000000000001</v>
      </c>
      <c r="P42" s="254">
        <v>0.45300000000000001</v>
      </c>
      <c r="Q42" s="254">
        <v>0.52700000000000002</v>
      </c>
      <c r="R42" s="254">
        <v>0.60499999999999998</v>
      </c>
      <c r="S42" s="254">
        <v>0.68600000000000005</v>
      </c>
      <c r="T42" s="254">
        <v>0.77</v>
      </c>
      <c r="U42" s="254">
        <v>0.85799999999999998</v>
      </c>
      <c r="V42" s="255">
        <v>0.94899999999999995</v>
      </c>
      <c r="W42" s="216">
        <v>18</v>
      </c>
      <c r="X42" s="169">
        <v>18</v>
      </c>
      <c r="Y42" s="170">
        <f t="shared" si="0"/>
        <v>0.52700000000000002</v>
      </c>
      <c r="Z42" s="171">
        <f t="shared" si="1"/>
        <v>0.52700000000000002</v>
      </c>
      <c r="AA42" s="172">
        <f t="shared" si="2"/>
        <v>0.60499999999999998</v>
      </c>
    </row>
    <row r="43" spans="1:27" x14ac:dyDescent="0.2">
      <c r="A43" s="77" t="s">
        <v>1190</v>
      </c>
      <c r="B43" s="4">
        <f>$N$19</f>
        <v>10.599</v>
      </c>
      <c r="C43" s="138" t="s">
        <v>1172</v>
      </c>
      <c r="D43" s="62" t="str">
        <f>IF($N$12&gt;0,"L(req'd) = P/(Ca*C1*D)","L(req'd) = P/(C*C1*D)")</f>
        <v>L(req'd) = P/(C*C1*D)</v>
      </c>
      <c r="E43" s="205"/>
      <c r="F43" s="21"/>
      <c r="G43" s="21"/>
      <c r="H43" s="21"/>
      <c r="I43" s="24"/>
      <c r="K43" s="260">
        <v>2</v>
      </c>
      <c r="L43" s="253">
        <v>0.20699999999999999</v>
      </c>
      <c r="M43" s="254">
        <v>0.24299999999999999</v>
      </c>
      <c r="N43" s="254">
        <v>0.29199999999999998</v>
      </c>
      <c r="O43" s="254">
        <v>0.34899999999999998</v>
      </c>
      <c r="P43" s="254">
        <v>0.41199999999999998</v>
      </c>
      <c r="Q43" s="254">
        <v>0.48</v>
      </c>
      <c r="R43" s="254">
        <v>0.55100000000000005</v>
      </c>
      <c r="S43" s="254">
        <v>0.626</v>
      </c>
      <c r="T43" s="254">
        <v>0.70299999999999996</v>
      </c>
      <c r="U43" s="254">
        <v>0.78400000000000003</v>
      </c>
      <c r="V43" s="255">
        <v>0.86899999999999999</v>
      </c>
      <c r="W43" s="216">
        <v>19</v>
      </c>
      <c r="X43" s="169">
        <v>19</v>
      </c>
      <c r="Y43" s="170">
        <f t="shared" si="0"/>
        <v>0.48</v>
      </c>
      <c r="Z43" s="171">
        <f t="shared" si="1"/>
        <v>0.48</v>
      </c>
      <c r="AA43" s="172">
        <f t="shared" si="2"/>
        <v>0.55100000000000005</v>
      </c>
    </row>
    <row r="44" spans="1:27" ht="12.75" customHeight="1" x14ac:dyDescent="0.2">
      <c r="A44" s="30"/>
      <c r="B44" s="58"/>
      <c r="C44" s="21"/>
      <c r="D44" s="21"/>
      <c r="E44" s="21"/>
      <c r="F44" s="21"/>
      <c r="G44" s="21"/>
      <c r="H44" s="21"/>
      <c r="I44" s="24"/>
      <c r="K44" s="260">
        <v>2.2000000000000002</v>
      </c>
      <c r="L44" s="253">
        <v>0.189</v>
      </c>
      <c r="M44" s="254">
        <v>0.222</v>
      </c>
      <c r="N44" s="254">
        <v>0.26700000000000002</v>
      </c>
      <c r="O44" s="254">
        <v>0.31900000000000001</v>
      </c>
      <c r="P44" s="254">
        <v>0.377</v>
      </c>
      <c r="Q44" s="254">
        <v>0.44</v>
      </c>
      <c r="R44" s="254">
        <v>0.50600000000000001</v>
      </c>
      <c r="S44" s="254">
        <v>0.57499999999999996</v>
      </c>
      <c r="T44" s="254">
        <v>0.64700000000000002</v>
      </c>
      <c r="U44" s="254">
        <v>0.72199999999999998</v>
      </c>
      <c r="V44" s="255">
        <v>0.80100000000000005</v>
      </c>
      <c r="W44" s="216">
        <v>20</v>
      </c>
      <c r="X44" s="169">
        <v>20</v>
      </c>
      <c r="Y44" s="170">
        <f t="shared" si="0"/>
        <v>0.44</v>
      </c>
      <c r="Z44" s="171">
        <f t="shared" si="1"/>
        <v>0.44</v>
      </c>
      <c r="AA44" s="172">
        <f t="shared" si="2"/>
        <v>0.50600000000000001</v>
      </c>
    </row>
    <row r="45" spans="1:27" x14ac:dyDescent="0.2">
      <c r="A45" s="30"/>
      <c r="B45" s="58"/>
      <c r="C45" s="21"/>
      <c r="D45" s="301" t="str">
        <f>IF(OR($N$18&gt;$C$11*16,$N$19&gt;$N$3),"Weld is overstressed!","Weld is adequate!")</f>
        <v>Weld is overstressed!</v>
      </c>
      <c r="E45" s="510"/>
      <c r="F45" s="428"/>
      <c r="G45" s="21"/>
      <c r="H45" s="21"/>
      <c r="I45" s="24"/>
      <c r="J45" s="51"/>
      <c r="K45" s="260">
        <v>2.4</v>
      </c>
      <c r="L45" s="253">
        <v>0.17299999999999999</v>
      </c>
      <c r="M45" s="254">
        <v>0.20399999999999999</v>
      </c>
      <c r="N45" s="254">
        <v>0.246</v>
      </c>
      <c r="O45" s="254">
        <v>0.29399999999999998</v>
      </c>
      <c r="P45" s="254">
        <v>0.34799999999999998</v>
      </c>
      <c r="Q45" s="254">
        <v>0.40600000000000003</v>
      </c>
      <c r="R45" s="254">
        <v>0.46700000000000003</v>
      </c>
      <c r="S45" s="254">
        <v>0.53200000000000003</v>
      </c>
      <c r="T45" s="254">
        <v>0.59899999999999998</v>
      </c>
      <c r="U45" s="254">
        <v>0.66900000000000004</v>
      </c>
      <c r="V45" s="255">
        <v>0.74199999999999999</v>
      </c>
      <c r="W45" s="216">
        <v>21</v>
      </c>
      <c r="X45" s="169">
        <v>21</v>
      </c>
      <c r="Y45" s="170">
        <f t="shared" si="0"/>
        <v>0.40600000000000003</v>
      </c>
      <c r="Z45" s="171">
        <f t="shared" si="1"/>
        <v>0.40600000000000003</v>
      </c>
      <c r="AA45" s="172">
        <f t="shared" si="2"/>
        <v>0.46700000000000003</v>
      </c>
    </row>
    <row r="46" spans="1:27" x14ac:dyDescent="0.2">
      <c r="A46" s="30"/>
      <c r="B46" s="58"/>
      <c r="C46" s="21"/>
      <c r="D46" s="302" t="str">
        <f>IF($N$18&gt;$C$11*16,"D(req'd) = "&amp;$N$18&amp;" &gt; "&amp;$C$11*16&amp;" (1/16's)","D(req'd) = "&amp;$N$18&amp;" &lt;= "&amp;$C$11*16&amp;" (1/16's)")</f>
        <v>D(req'd) = 8.479 &gt; 8 (1/16's)</v>
      </c>
      <c r="E46" s="341"/>
      <c r="F46" s="345"/>
      <c r="G46" s="21"/>
      <c r="H46" s="21"/>
      <c r="I46" s="24"/>
      <c r="J46" s="51"/>
      <c r="K46" s="260">
        <v>2.6</v>
      </c>
      <c r="L46" s="253">
        <v>0.161</v>
      </c>
      <c r="M46" s="254">
        <v>0.189</v>
      </c>
      <c r="N46" s="254">
        <v>0.22800000000000001</v>
      </c>
      <c r="O46" s="254">
        <v>0.27300000000000002</v>
      </c>
      <c r="P46" s="254">
        <v>0.32300000000000001</v>
      </c>
      <c r="Q46" s="254">
        <v>0.377</v>
      </c>
      <c r="R46" s="254">
        <v>0.434</v>
      </c>
      <c r="S46" s="254">
        <v>0.49399999999999999</v>
      </c>
      <c r="T46" s="254">
        <v>0.55700000000000005</v>
      </c>
      <c r="U46" s="254">
        <v>0.623</v>
      </c>
      <c r="V46" s="255">
        <v>0.69099999999999995</v>
      </c>
      <c r="W46" s="216">
        <v>22</v>
      </c>
      <c r="X46" s="169">
        <v>22</v>
      </c>
      <c r="Y46" s="170">
        <f t="shared" si="0"/>
        <v>0.377</v>
      </c>
      <c r="Z46" s="171">
        <f t="shared" si="1"/>
        <v>0.377</v>
      </c>
      <c r="AA46" s="172">
        <f t="shared" si="2"/>
        <v>0.434</v>
      </c>
    </row>
    <row r="47" spans="1:27" x14ac:dyDescent="0.2">
      <c r="A47" s="30"/>
      <c r="B47" s="58"/>
      <c r="C47" s="21"/>
      <c r="D47" s="304" t="str">
        <f>IF($N$19&gt;$N$3,"L(req'd) = "&amp;$N$19&amp;" &gt; "&amp;$N$3&amp;" in.","L(req'd) = "&amp;$N$19&amp;" &lt;= "&amp;$N$3&amp;" in.")</f>
        <v>L(req'd) = 10.599 &gt; 10 in.</v>
      </c>
      <c r="E47" s="511"/>
      <c r="F47" s="429"/>
      <c r="G47" s="21"/>
      <c r="H47" s="21"/>
      <c r="I47" s="24"/>
      <c r="J47" s="51"/>
      <c r="K47" s="260">
        <v>2.8</v>
      </c>
      <c r="L47" s="253">
        <v>0.14899999999999999</v>
      </c>
      <c r="M47" s="254">
        <v>0.17599999999999999</v>
      </c>
      <c r="N47" s="254">
        <v>0.21199999999999999</v>
      </c>
      <c r="O47" s="254">
        <v>0.254</v>
      </c>
      <c r="P47" s="254">
        <v>0.30099999999999999</v>
      </c>
      <c r="Q47" s="254">
        <v>0.35199999999999998</v>
      </c>
      <c r="R47" s="254">
        <v>0.40600000000000003</v>
      </c>
      <c r="S47" s="254">
        <v>0.46200000000000002</v>
      </c>
      <c r="T47" s="254">
        <v>0.52100000000000002</v>
      </c>
      <c r="U47" s="254">
        <v>0.58299999999999996</v>
      </c>
      <c r="V47" s="255">
        <v>0.64700000000000002</v>
      </c>
      <c r="W47" s="216">
        <v>23</v>
      </c>
      <c r="X47" s="169">
        <v>23</v>
      </c>
      <c r="Y47" s="170">
        <f t="shared" si="0"/>
        <v>0.35199999999999998</v>
      </c>
      <c r="Z47" s="171">
        <f t="shared" si="1"/>
        <v>0.35199999999999998</v>
      </c>
      <c r="AA47" s="172">
        <f t="shared" si="2"/>
        <v>0.40600000000000003</v>
      </c>
    </row>
    <row r="48" spans="1:27" ht="12.75" customHeight="1" x14ac:dyDescent="0.2">
      <c r="A48" s="30"/>
      <c r="B48" s="58"/>
      <c r="C48" s="21"/>
      <c r="D48" s="21"/>
      <c r="E48" s="21"/>
      <c r="F48" s="21"/>
      <c r="G48" s="21"/>
      <c r="H48" s="21"/>
      <c r="I48" s="24"/>
      <c r="J48" s="51"/>
      <c r="K48" s="261">
        <v>3</v>
      </c>
      <c r="L48" s="256">
        <v>0.14000000000000001</v>
      </c>
      <c r="M48" s="257">
        <v>0.16500000000000001</v>
      </c>
      <c r="N48" s="257">
        <v>0.19800000000000001</v>
      </c>
      <c r="O48" s="257">
        <v>0.23799999999999999</v>
      </c>
      <c r="P48" s="257">
        <v>0.28199999999999997</v>
      </c>
      <c r="Q48" s="257">
        <v>0.33</v>
      </c>
      <c r="R48" s="257">
        <v>0.38</v>
      </c>
      <c r="S48" s="257">
        <v>0.433</v>
      </c>
      <c r="T48" s="257">
        <v>0.48899999999999999</v>
      </c>
      <c r="U48" s="257">
        <v>0.54700000000000004</v>
      </c>
      <c r="V48" s="258">
        <v>0.60799999999999998</v>
      </c>
      <c r="W48" s="216">
        <v>24</v>
      </c>
      <c r="X48" s="173">
        <v>24</v>
      </c>
      <c r="Y48" s="174">
        <f t="shared" si="0"/>
        <v>0.33</v>
      </c>
      <c r="Z48" s="175">
        <f t="shared" si="1"/>
        <v>0.33</v>
      </c>
      <c r="AA48" s="176">
        <f t="shared" si="2"/>
        <v>0.38</v>
      </c>
    </row>
    <row r="49" spans="1:27" x14ac:dyDescent="0.2">
      <c r="A49" s="30"/>
      <c r="B49" s="58"/>
      <c r="C49" s="21"/>
      <c r="D49" s="21"/>
      <c r="E49" s="21"/>
      <c r="F49" s="21"/>
      <c r="G49" s="21"/>
      <c r="H49" s="21"/>
      <c r="I49" s="24"/>
      <c r="J49" s="51"/>
      <c r="K49" s="158" t="s">
        <v>1094</v>
      </c>
      <c r="L49" s="158">
        <v>1</v>
      </c>
      <c r="M49" s="158">
        <v>2</v>
      </c>
      <c r="N49" s="158">
        <v>3</v>
      </c>
      <c r="O49" s="158">
        <v>4</v>
      </c>
      <c r="P49" s="158">
        <v>5</v>
      </c>
      <c r="Q49" s="158">
        <v>6</v>
      </c>
      <c r="R49" s="158">
        <v>7</v>
      </c>
      <c r="S49" s="158">
        <v>8</v>
      </c>
      <c r="T49" s="158">
        <v>9</v>
      </c>
      <c r="U49" s="158">
        <v>10</v>
      </c>
      <c r="V49" s="158">
        <v>11</v>
      </c>
      <c r="W49" s="218"/>
      <c r="X49" s="178" t="s">
        <v>1096</v>
      </c>
      <c r="Y49" s="179"/>
      <c r="Z49" s="180"/>
      <c r="AA49" s="181" t="s">
        <v>1097</v>
      </c>
    </row>
    <row r="50" spans="1:27" x14ac:dyDescent="0.2">
      <c r="A50" s="31"/>
      <c r="B50" s="508"/>
      <c r="C50" s="32"/>
      <c r="D50" s="32"/>
      <c r="E50" s="32"/>
      <c r="F50" s="32"/>
      <c r="G50" s="32"/>
      <c r="H50" s="32"/>
      <c r="I50" s="33"/>
      <c r="J50" s="51"/>
      <c r="M50" s="47"/>
      <c r="N50" s="47"/>
      <c r="O50" s="52"/>
      <c r="P50" s="47"/>
      <c r="Q50" s="18"/>
      <c r="R50" s="18"/>
      <c r="S50" s="18"/>
      <c r="T50" s="18"/>
      <c r="U50" s="18"/>
      <c r="V50" s="18"/>
      <c r="W50" s="18"/>
      <c r="X50" s="182">
        <f>IF($N$7&gt;=0.06,LOOKUP($Z$50,$K$25:$K$48,$W$25:$W$48),0)</f>
        <v>14</v>
      </c>
      <c r="Y50" s="183" t="s">
        <v>1194</v>
      </c>
      <c r="Z50" s="184">
        <f>IF($N$7&gt;=0.06,LOOKUP($N$7,$K$25:$K$48),0)</f>
        <v>1</v>
      </c>
      <c r="AA50" s="185">
        <f>IF($N$7&gt;=0.06,LOOKUP($Z$50,$K$25:$K$48,$Z25:$Z48),0.928*(2+2*$N$8))</f>
        <v>0.85899999999999999</v>
      </c>
    </row>
    <row r="51" spans="1:27" x14ac:dyDescent="0.2">
      <c r="A51" s="158"/>
      <c r="B51" s="158"/>
      <c r="C51" s="21"/>
      <c r="D51" s="21"/>
      <c r="E51" s="21"/>
      <c r="F51" s="21"/>
      <c r="G51" s="21"/>
      <c r="H51" s="21"/>
      <c r="I51" s="21"/>
      <c r="J51" s="51"/>
      <c r="M51" s="47"/>
      <c r="N51" s="47"/>
      <c r="O51" s="52"/>
      <c r="P51" s="47"/>
      <c r="Q51" s="18"/>
      <c r="R51" s="18"/>
      <c r="S51" s="18"/>
      <c r="T51" s="18"/>
      <c r="U51" s="18"/>
      <c r="V51" s="18"/>
      <c r="W51" s="18"/>
      <c r="X51" s="186"/>
      <c r="Y51" s="187" t="s">
        <v>1095</v>
      </c>
      <c r="Z51" s="171">
        <f>$N$7</f>
        <v>1.1000000000000001</v>
      </c>
      <c r="AA51" s="188">
        <f>IF($Z$50=$Z$52,$AA$50,($AA$52-$AA$50)*($Z$51-$Z$50)/($Z$52-$Z$50)+$AA$50)</f>
        <v>0.80149999999999988</v>
      </c>
    </row>
    <row r="52" spans="1:27" x14ac:dyDescent="0.2">
      <c r="A52" s="21"/>
      <c r="B52" s="21"/>
      <c r="C52" s="21"/>
      <c r="D52" s="21"/>
      <c r="E52" s="21"/>
      <c r="F52" s="21"/>
      <c r="G52" s="21"/>
      <c r="H52" s="21"/>
      <c r="I52" s="51"/>
      <c r="J52" s="51"/>
      <c r="N52" s="43"/>
      <c r="O52" s="52"/>
      <c r="Q52" s="18"/>
      <c r="R52" s="18"/>
      <c r="S52" s="18"/>
      <c r="T52" s="18"/>
      <c r="U52" s="18"/>
      <c r="V52" s="18"/>
      <c r="W52" s="18"/>
      <c r="X52" s="189">
        <f>LOOKUP($X$50+1,$W$25:$W$48)</f>
        <v>15</v>
      </c>
      <c r="Y52" s="190" t="s">
        <v>1194</v>
      </c>
      <c r="Z52" s="191">
        <f>LOOKUP($X$52,$W$25:$W$48,$K$25:$K$48)</f>
        <v>1.2</v>
      </c>
      <c r="AA52" s="176">
        <f>LOOKUP($Z$52,$K$25:$K$48,$Z25:$Z48)</f>
        <v>0.74399999999999999</v>
      </c>
    </row>
    <row r="53" spans="1:27" x14ac:dyDescent="0.2">
      <c r="A53" s="203"/>
      <c r="B53" s="21"/>
      <c r="C53" s="21"/>
      <c r="D53" s="21"/>
      <c r="E53" s="21"/>
      <c r="F53" s="21"/>
      <c r="G53" s="21"/>
      <c r="H53" s="203"/>
      <c r="I53" s="21"/>
      <c r="J53" s="51"/>
    </row>
    <row r="54" spans="1:27" x14ac:dyDescent="0.2">
      <c r="A54" s="203"/>
      <c r="B54" s="21"/>
      <c r="C54" s="21"/>
      <c r="D54" s="21"/>
      <c r="E54" s="21"/>
      <c r="F54" s="21"/>
      <c r="G54" s="21"/>
      <c r="H54" s="203"/>
      <c r="I54" s="21"/>
      <c r="J54" s="51"/>
      <c r="V54" s="14"/>
    </row>
    <row r="55" spans="1:27" x14ac:dyDescent="0.2">
      <c r="A55" s="203"/>
      <c r="B55" s="21"/>
      <c r="C55" s="21"/>
      <c r="D55" s="21"/>
      <c r="E55" s="21"/>
      <c r="F55" s="21"/>
      <c r="G55" s="21"/>
      <c r="H55" s="203"/>
      <c r="I55" s="21"/>
      <c r="J55" s="51"/>
      <c r="K55" s="55"/>
      <c r="N55" s="43"/>
      <c r="P55" s="44"/>
    </row>
    <row r="56" spans="1:27" x14ac:dyDescent="0.2">
      <c r="A56" s="203"/>
      <c r="B56" s="21"/>
      <c r="C56" s="21"/>
      <c r="D56" s="21"/>
      <c r="E56" s="21"/>
      <c r="F56" s="21"/>
      <c r="G56" s="21"/>
      <c r="H56" s="203"/>
      <c r="I56" s="21"/>
      <c r="J56" s="51"/>
      <c r="K56" s="55"/>
      <c r="P56" s="44"/>
    </row>
    <row r="57" spans="1:27" x14ac:dyDescent="0.2">
      <c r="A57" s="203"/>
      <c r="B57" s="21"/>
      <c r="C57" s="21"/>
      <c r="D57" s="21"/>
      <c r="E57" s="21"/>
      <c r="F57" s="21"/>
      <c r="G57" s="21"/>
      <c r="H57" s="205"/>
      <c r="I57" s="125"/>
      <c r="J57" s="51"/>
      <c r="K57" s="55"/>
      <c r="P57" s="44"/>
    </row>
    <row r="58" spans="1:27" x14ac:dyDescent="0.2">
      <c r="A58" s="203"/>
      <c r="B58" s="21"/>
      <c r="C58" s="21"/>
      <c r="D58" s="21"/>
      <c r="E58" s="21"/>
      <c r="F58" s="21"/>
      <c r="G58" s="21"/>
      <c r="H58" s="205"/>
      <c r="I58" s="125"/>
      <c r="J58" s="51"/>
      <c r="K58" s="55"/>
      <c r="P58" s="44"/>
    </row>
    <row r="59" spans="1:27" x14ac:dyDescent="0.2">
      <c r="A59" s="203"/>
      <c r="B59" s="21"/>
      <c r="C59" s="21"/>
      <c r="D59" s="21"/>
      <c r="E59" s="21"/>
      <c r="F59" s="21"/>
      <c r="G59" s="21"/>
      <c r="H59" s="205"/>
      <c r="I59" s="11"/>
      <c r="J59" s="51"/>
      <c r="K59" s="55"/>
      <c r="O59" s="192"/>
      <c r="P59" s="192"/>
      <c r="Q59" s="192"/>
    </row>
    <row r="60" spans="1:27" x14ac:dyDescent="0.2">
      <c r="A60" s="203"/>
      <c r="B60" s="21"/>
      <c r="C60" s="21"/>
      <c r="D60" s="21"/>
      <c r="E60" s="21"/>
      <c r="F60" s="21"/>
      <c r="G60" s="21"/>
      <c r="H60" s="205"/>
      <c r="I60" s="58"/>
      <c r="J60" s="67"/>
      <c r="K60" s="55"/>
      <c r="O60" s="192"/>
      <c r="P60" s="192"/>
      <c r="Q60" s="192"/>
    </row>
    <row r="61" spans="1:27" x14ac:dyDescent="0.2">
      <c r="A61" s="203"/>
      <c r="B61" s="21"/>
      <c r="C61" s="21"/>
      <c r="D61" s="21"/>
      <c r="E61" s="21"/>
      <c r="F61" s="21"/>
      <c r="G61" s="21"/>
      <c r="H61" s="205"/>
      <c r="I61" s="11"/>
      <c r="J61" s="57"/>
      <c r="K61" s="55"/>
      <c r="O61" s="192"/>
      <c r="P61" s="192"/>
      <c r="Q61" s="192"/>
    </row>
    <row r="62" spans="1:27" x14ac:dyDescent="0.2">
      <c r="A62" s="203"/>
      <c r="B62" s="21"/>
      <c r="C62" s="21"/>
      <c r="D62" s="21"/>
      <c r="E62" s="21"/>
      <c r="F62" s="21"/>
      <c r="G62" s="205"/>
      <c r="H62" s="205"/>
      <c r="I62" s="11"/>
      <c r="J62" s="40"/>
      <c r="K62" s="55"/>
      <c r="O62" s="192"/>
      <c r="P62" s="192"/>
      <c r="Q62" s="192"/>
    </row>
    <row r="63" spans="1:27" x14ac:dyDescent="0.2">
      <c r="A63" s="203"/>
      <c r="B63" s="21"/>
      <c r="C63" s="21"/>
      <c r="D63" s="21"/>
      <c r="E63" s="21"/>
      <c r="F63" s="21"/>
      <c r="G63" s="21"/>
      <c r="H63" s="21"/>
      <c r="I63" s="21"/>
      <c r="J63" s="40"/>
      <c r="K63" s="55"/>
      <c r="O63" s="192"/>
      <c r="P63" s="192"/>
      <c r="Q63" s="192"/>
    </row>
    <row r="64" spans="1:27" x14ac:dyDescent="0.2">
      <c r="A64" s="21"/>
      <c r="B64" s="21"/>
      <c r="C64" s="21"/>
      <c r="D64" s="21"/>
      <c r="E64" s="21"/>
      <c r="F64" s="21"/>
      <c r="G64" s="64"/>
      <c r="H64" s="64"/>
      <c r="I64" s="64"/>
      <c r="J64" s="40"/>
    </row>
    <row r="65" spans="1:14" x14ac:dyDescent="0.2">
      <c r="A65" s="113"/>
      <c r="B65" s="9"/>
      <c r="C65" s="73"/>
      <c r="D65" s="73"/>
      <c r="E65" s="64"/>
      <c r="F65" s="64"/>
      <c r="G65" s="64"/>
      <c r="H65" s="64"/>
      <c r="I65" s="64"/>
      <c r="J65" s="40"/>
      <c r="N65" s="43"/>
    </row>
    <row r="66" spans="1:14" x14ac:dyDescent="0.2">
      <c r="A66" s="93"/>
      <c r="B66" s="9"/>
      <c r="C66" s="10"/>
      <c r="D66" s="73"/>
      <c r="E66" s="64"/>
      <c r="F66" s="64"/>
      <c r="G66" s="64"/>
      <c r="H66" s="64"/>
      <c r="I66" s="64"/>
      <c r="J66" s="51"/>
      <c r="N66" s="43"/>
    </row>
    <row r="67" spans="1:14" x14ac:dyDescent="0.2">
      <c r="A67" s="93"/>
      <c r="B67" s="9"/>
      <c r="D67" s="12"/>
      <c r="E67" s="64"/>
      <c r="F67" s="64"/>
      <c r="G67" s="64"/>
      <c r="H67" s="64"/>
      <c r="I67" s="64"/>
      <c r="N67" s="43"/>
    </row>
    <row r="68" spans="1:14" x14ac:dyDescent="0.2">
      <c r="A68" s="93"/>
      <c r="B68" s="9"/>
      <c r="D68" s="112"/>
      <c r="E68" s="64"/>
      <c r="F68" s="64"/>
      <c r="G68" s="64"/>
      <c r="H68" s="64"/>
      <c r="I68" s="64"/>
      <c r="N68" s="43"/>
    </row>
    <row r="69" spans="1:14" x14ac:dyDescent="0.2">
      <c r="A69" s="93"/>
      <c r="B69" s="9"/>
      <c r="D69" s="112"/>
      <c r="E69" s="64"/>
      <c r="F69" s="64"/>
      <c r="G69" s="64"/>
      <c r="H69" s="64"/>
      <c r="I69" s="64"/>
      <c r="N69" s="43"/>
    </row>
    <row r="70" spans="1:14" x14ac:dyDescent="0.2">
      <c r="A70" s="64"/>
      <c r="B70" s="64"/>
      <c r="C70" s="64"/>
      <c r="D70" s="64"/>
      <c r="E70" s="64"/>
      <c r="F70" s="64"/>
      <c r="G70" s="64"/>
      <c r="H70" s="64"/>
      <c r="I70" s="64"/>
      <c r="N70" s="43"/>
    </row>
    <row r="71" spans="1:14" x14ac:dyDescent="0.2">
      <c r="A71" s="71"/>
      <c r="B71" s="64"/>
      <c r="C71" s="64"/>
      <c r="D71" s="64"/>
      <c r="E71" s="64"/>
      <c r="F71" s="64"/>
      <c r="G71" s="64"/>
      <c r="H71" s="64"/>
      <c r="I71" s="64"/>
      <c r="N71" s="43"/>
    </row>
    <row r="72" spans="1:14" x14ac:dyDescent="0.2">
      <c r="A72" s="64"/>
      <c r="B72" s="64"/>
      <c r="C72" s="64"/>
      <c r="D72" s="64"/>
      <c r="E72" s="64"/>
      <c r="F72" s="64"/>
      <c r="G72" s="64"/>
      <c r="H72" s="64"/>
      <c r="I72" s="64"/>
      <c r="N72" s="43"/>
    </row>
    <row r="73" spans="1:14" x14ac:dyDescent="0.2">
      <c r="A73" s="93"/>
      <c r="B73" s="9"/>
      <c r="C73" s="73"/>
      <c r="D73" s="64"/>
      <c r="E73" s="64"/>
      <c r="F73" s="64"/>
      <c r="G73" s="64"/>
      <c r="H73" s="108"/>
      <c r="I73" s="57"/>
      <c r="N73" s="43"/>
    </row>
    <row r="74" spans="1:14" x14ac:dyDescent="0.2">
      <c r="A74" s="57"/>
      <c r="B74" s="57"/>
      <c r="C74" s="57"/>
      <c r="D74" s="65"/>
      <c r="E74" s="64"/>
      <c r="F74" s="64"/>
      <c r="G74" s="64"/>
      <c r="H74" s="64"/>
      <c r="I74" s="64"/>
      <c r="N74" s="54"/>
    </row>
    <row r="75" spans="1:14" x14ac:dyDescent="0.2">
      <c r="A75" s="93"/>
      <c r="B75" s="9"/>
      <c r="C75" s="62"/>
      <c r="D75" s="62"/>
      <c r="E75" s="62"/>
      <c r="F75" s="64"/>
      <c r="G75" s="64"/>
      <c r="H75" s="64"/>
      <c r="I75" s="57"/>
      <c r="N75" s="43"/>
    </row>
    <row r="76" spans="1:14" x14ac:dyDescent="0.2">
      <c r="A76" s="93"/>
      <c r="B76" s="9"/>
      <c r="C76" s="62"/>
      <c r="D76" s="73"/>
      <c r="E76" s="73"/>
      <c r="F76" s="64"/>
      <c r="G76" s="64"/>
      <c r="H76" s="64"/>
      <c r="I76" s="57"/>
      <c r="N76" s="43"/>
    </row>
    <row r="77" spans="1:14" x14ac:dyDescent="0.2">
      <c r="A77" s="100"/>
      <c r="B77" s="58"/>
      <c r="C77" s="62"/>
      <c r="D77" s="84"/>
      <c r="E77" s="84"/>
      <c r="F77" s="64"/>
      <c r="G77" s="64"/>
      <c r="H77" s="64"/>
      <c r="I77" s="64"/>
      <c r="N77" s="43"/>
    </row>
    <row r="78" spans="1:14" x14ac:dyDescent="0.2">
      <c r="A78" s="100"/>
      <c r="B78" s="58"/>
      <c r="C78" s="62"/>
      <c r="D78" s="84"/>
      <c r="E78" s="84"/>
      <c r="F78" s="64"/>
      <c r="G78" s="64"/>
      <c r="H78" s="64"/>
      <c r="I78" s="64"/>
      <c r="N78" s="43"/>
    </row>
    <row r="79" spans="1:14" x14ac:dyDescent="0.2">
      <c r="A79" s="64"/>
      <c r="B79" s="64"/>
      <c r="C79" s="64"/>
      <c r="D79" s="62"/>
      <c r="E79" s="64"/>
      <c r="F79" s="64"/>
      <c r="G79" s="64"/>
      <c r="H79" s="64"/>
      <c r="I79" s="64"/>
      <c r="N79" s="43"/>
    </row>
    <row r="80" spans="1:14" x14ac:dyDescent="0.2">
      <c r="A80" s="64"/>
      <c r="B80" s="64"/>
      <c r="C80" s="64"/>
      <c r="D80" s="64"/>
      <c r="E80" s="64"/>
      <c r="F80" s="64"/>
      <c r="G80" s="108"/>
      <c r="H80" s="64"/>
      <c r="I80" s="64"/>
      <c r="K80" s="70"/>
      <c r="N80" s="43"/>
    </row>
    <row r="81" spans="1:14" x14ac:dyDescent="0.2">
      <c r="A81" s="194"/>
      <c r="B81" s="64"/>
      <c r="C81" s="64"/>
      <c r="D81" s="64"/>
      <c r="E81" s="64"/>
      <c r="F81" s="108"/>
      <c r="G81" s="64"/>
      <c r="H81" s="64"/>
      <c r="I81" s="64"/>
      <c r="N81" s="43"/>
    </row>
    <row r="82" spans="1:14" x14ac:dyDescent="0.2">
      <c r="A82" s="57"/>
      <c r="B82" s="57"/>
      <c r="C82" s="57"/>
      <c r="D82" s="62"/>
      <c r="E82" s="57"/>
      <c r="F82" s="64"/>
      <c r="G82" s="64"/>
      <c r="H82" s="64"/>
      <c r="I82" s="64"/>
      <c r="N82" s="43"/>
    </row>
    <row r="83" spans="1:14" x14ac:dyDescent="0.2">
      <c r="A83" s="67"/>
      <c r="B83" s="58"/>
      <c r="C83" s="62"/>
      <c r="D83" s="62"/>
      <c r="E83" s="57"/>
      <c r="F83" s="57"/>
      <c r="G83" s="57"/>
      <c r="H83" s="57"/>
      <c r="I83" s="57"/>
      <c r="N83" s="43"/>
    </row>
    <row r="84" spans="1:14" x14ac:dyDescent="0.2">
      <c r="A84" s="67"/>
      <c r="B84" s="58"/>
      <c r="C84" s="62"/>
      <c r="D84" s="62"/>
      <c r="E84" s="57"/>
      <c r="F84" s="57"/>
      <c r="G84" s="57"/>
      <c r="H84" s="57"/>
      <c r="I84" s="64"/>
      <c r="N84" s="43"/>
    </row>
    <row r="85" spans="1:14" x14ac:dyDescent="0.2">
      <c r="A85" s="67"/>
      <c r="B85" s="9"/>
      <c r="C85" s="62"/>
      <c r="D85" s="62"/>
      <c r="E85" s="64"/>
      <c r="F85" s="64"/>
      <c r="G85" s="64"/>
      <c r="H85" s="64"/>
      <c r="I85" s="57"/>
      <c r="N85" s="43"/>
    </row>
    <row r="86" spans="1:14" x14ac:dyDescent="0.2">
      <c r="A86" s="67"/>
      <c r="B86" s="9"/>
      <c r="C86" s="62"/>
      <c r="D86" s="62"/>
      <c r="E86" s="57"/>
      <c r="F86" s="57"/>
      <c r="G86" s="64"/>
      <c r="H86" s="108"/>
      <c r="I86" s="57"/>
      <c r="N86" s="43"/>
    </row>
    <row r="87" spans="1:14" x14ac:dyDescent="0.2">
      <c r="A87" s="57"/>
      <c r="B87" s="64"/>
      <c r="C87" s="64"/>
      <c r="D87" s="62"/>
      <c r="E87" s="64"/>
      <c r="F87" s="64"/>
      <c r="G87" s="64"/>
      <c r="H87" s="64"/>
      <c r="I87" s="64"/>
      <c r="N87" s="43"/>
    </row>
    <row r="88" spans="1:14" x14ac:dyDescent="0.2">
      <c r="A88" s="67"/>
      <c r="B88" s="9"/>
      <c r="C88" s="62"/>
      <c r="D88" s="62"/>
      <c r="E88" s="57"/>
      <c r="F88" s="57"/>
      <c r="G88" s="57"/>
      <c r="H88" s="57"/>
      <c r="I88" s="57"/>
      <c r="N88" s="43"/>
    </row>
    <row r="89" spans="1:14" x14ac:dyDescent="0.2">
      <c r="A89" s="67"/>
      <c r="B89" s="89"/>
      <c r="C89" s="62"/>
      <c r="D89" s="62"/>
      <c r="E89" s="64"/>
      <c r="F89" s="64"/>
      <c r="G89" s="64"/>
      <c r="H89" s="108"/>
      <c r="I89" s="57"/>
      <c r="N89" s="43"/>
    </row>
    <row r="90" spans="1:14" x14ac:dyDescent="0.2">
      <c r="A90" s="57"/>
      <c r="B90" s="64"/>
      <c r="C90" s="64"/>
      <c r="D90" s="62"/>
      <c r="E90" s="64"/>
      <c r="F90" s="64"/>
      <c r="G90" s="64"/>
      <c r="H90" s="64"/>
      <c r="I90" s="57"/>
      <c r="N90" s="43"/>
    </row>
    <row r="91" spans="1:14" x14ac:dyDescent="0.2">
      <c r="A91" s="93"/>
      <c r="B91" s="9"/>
      <c r="C91" s="73"/>
      <c r="D91" s="62"/>
      <c r="E91" s="64"/>
      <c r="F91" s="64"/>
      <c r="G91" s="64"/>
      <c r="H91" s="64"/>
      <c r="I91" s="57"/>
      <c r="K91" s="47"/>
      <c r="N91" s="43"/>
    </row>
    <row r="92" spans="1:14" x14ac:dyDescent="0.2">
      <c r="A92" s="93"/>
      <c r="B92" s="9"/>
      <c r="C92" s="73"/>
      <c r="D92" s="62"/>
      <c r="E92" s="64"/>
      <c r="F92" s="64"/>
      <c r="G92" s="64"/>
      <c r="H92" s="64"/>
      <c r="I92" s="64"/>
      <c r="M92" s="52"/>
      <c r="N92" s="43"/>
    </row>
    <row r="93" spans="1:14" x14ac:dyDescent="0.2">
      <c r="A93" s="93"/>
      <c r="B93" s="9"/>
      <c r="C93" s="64"/>
      <c r="D93" s="62"/>
      <c r="E93" s="64"/>
      <c r="F93" s="64"/>
      <c r="G93" s="64"/>
      <c r="H93" s="64"/>
      <c r="I93" s="64"/>
      <c r="N93" s="43"/>
    </row>
    <row r="94" spans="1:14" x14ac:dyDescent="0.2">
      <c r="A94" s="93"/>
      <c r="B94" s="9"/>
      <c r="C94" s="64"/>
      <c r="D94" s="73"/>
      <c r="E94" s="64"/>
      <c r="F94" s="64"/>
      <c r="G94" s="64"/>
      <c r="H94" s="64"/>
      <c r="I94" s="57"/>
      <c r="N94" s="43"/>
    </row>
    <row r="95" spans="1:14" x14ac:dyDescent="0.2">
      <c r="A95" s="93"/>
      <c r="B95" s="9"/>
      <c r="C95" s="64"/>
      <c r="D95" s="73"/>
      <c r="E95" s="64"/>
      <c r="F95" s="64"/>
      <c r="G95" s="64"/>
      <c r="H95" s="64"/>
      <c r="I95" s="64"/>
      <c r="N95" s="43"/>
    </row>
    <row r="96" spans="1:14" x14ac:dyDescent="0.2">
      <c r="A96" s="93"/>
      <c r="B96" s="9"/>
      <c r="C96" s="73"/>
      <c r="D96" s="64"/>
      <c r="E96" s="64"/>
      <c r="F96" s="64"/>
      <c r="G96" s="64"/>
      <c r="H96" s="64"/>
      <c r="I96" s="57"/>
    </row>
    <row r="97" spans="1:14" x14ac:dyDescent="0.2">
      <c r="A97" s="57"/>
      <c r="B97" s="12"/>
      <c r="C97" s="57"/>
      <c r="D97" s="73"/>
      <c r="E97" s="64"/>
      <c r="F97" s="64"/>
      <c r="G97" s="64"/>
      <c r="H97" s="64"/>
      <c r="I97" s="57"/>
      <c r="K97" s="59"/>
      <c r="N97" s="43"/>
    </row>
    <row r="98" spans="1:14" x14ac:dyDescent="0.2">
      <c r="A98" s="57"/>
      <c r="B98" s="12"/>
      <c r="C98" s="57"/>
      <c r="D98" s="73"/>
      <c r="E98" s="64"/>
      <c r="F98" s="64"/>
      <c r="G98" s="64"/>
      <c r="H98" s="64"/>
      <c r="I98" s="64"/>
      <c r="N98" s="43"/>
    </row>
    <row r="99" spans="1:14" x14ac:dyDescent="0.2">
      <c r="A99" s="64"/>
      <c r="B99" s="64"/>
      <c r="C99" s="64"/>
      <c r="D99" s="64"/>
      <c r="E99" s="64"/>
      <c r="F99" s="64"/>
      <c r="G99" s="64"/>
      <c r="H99" s="108"/>
      <c r="I99" s="57"/>
      <c r="N99" s="43"/>
    </row>
    <row r="100" spans="1:14" x14ac:dyDescent="0.2">
      <c r="A100" s="64"/>
      <c r="B100" s="64"/>
      <c r="C100" s="64"/>
      <c r="D100" s="64"/>
      <c r="E100" s="57"/>
      <c r="F100" s="57"/>
      <c r="G100" s="57"/>
      <c r="H100" s="80"/>
      <c r="I100" s="12"/>
      <c r="N100" s="43"/>
    </row>
    <row r="101" spans="1:14" x14ac:dyDescent="0.2">
      <c r="A101" s="64"/>
      <c r="B101" s="64"/>
      <c r="C101" s="64"/>
      <c r="D101" s="64"/>
      <c r="E101" s="57"/>
      <c r="F101" s="57"/>
      <c r="G101" s="57"/>
      <c r="H101" s="80"/>
      <c r="I101" s="127"/>
      <c r="N101" s="43"/>
    </row>
    <row r="102" spans="1:14" x14ac:dyDescent="0.2">
      <c r="A102" s="194"/>
      <c r="B102" s="21"/>
      <c r="C102" s="21"/>
      <c r="D102" s="21"/>
      <c r="E102" s="21"/>
      <c r="F102" s="21"/>
      <c r="G102" s="21"/>
      <c r="H102" s="94"/>
      <c r="I102" s="96"/>
      <c r="N102" s="43"/>
    </row>
    <row r="103" spans="1:14" x14ac:dyDescent="0.2">
      <c r="A103" s="21"/>
      <c r="B103" s="21"/>
      <c r="C103" s="21"/>
      <c r="D103" s="21"/>
      <c r="E103" s="21"/>
      <c r="F103" s="21"/>
      <c r="G103" s="21"/>
      <c r="H103" s="94"/>
      <c r="I103" s="41"/>
      <c r="N103" s="43"/>
    </row>
    <row r="104" spans="1:14" x14ac:dyDescent="0.2">
      <c r="A104" s="126"/>
      <c r="B104" s="8"/>
      <c r="C104" s="62"/>
      <c r="D104" s="73"/>
      <c r="E104" s="21"/>
      <c r="F104" s="21"/>
      <c r="G104" s="21"/>
      <c r="H104" s="94"/>
      <c r="I104" s="41"/>
      <c r="N104" s="43"/>
    </row>
    <row r="105" spans="1:14" x14ac:dyDescent="0.2">
      <c r="A105" s="126"/>
      <c r="B105" s="8"/>
      <c r="C105" s="62"/>
      <c r="D105" s="73"/>
      <c r="E105" s="21"/>
      <c r="F105" s="21"/>
      <c r="G105" s="21"/>
      <c r="H105" s="94"/>
      <c r="I105" s="21"/>
      <c r="N105" s="43"/>
    </row>
    <row r="106" spans="1:14" x14ac:dyDescent="0.2">
      <c r="A106" s="126"/>
      <c r="B106" s="8"/>
      <c r="C106" s="10"/>
      <c r="D106" s="73"/>
      <c r="E106" s="21"/>
      <c r="F106" s="21"/>
      <c r="G106" s="21"/>
      <c r="H106" s="21"/>
      <c r="I106" s="21"/>
      <c r="N106" s="43"/>
    </row>
    <row r="107" spans="1:14" x14ac:dyDescent="0.2">
      <c r="A107" s="21"/>
      <c r="B107" s="21"/>
      <c r="C107" s="21"/>
      <c r="D107" s="21"/>
      <c r="E107" s="21"/>
      <c r="F107" s="21"/>
      <c r="G107" s="21"/>
      <c r="H107" s="21"/>
      <c r="I107" s="21"/>
      <c r="N107" s="43"/>
    </row>
    <row r="108" spans="1:14" x14ac:dyDescent="0.2">
      <c r="A108" s="57"/>
      <c r="B108" s="67"/>
      <c r="C108" s="62"/>
      <c r="D108" s="62"/>
      <c r="E108" s="21"/>
      <c r="F108" s="21"/>
      <c r="G108" s="21"/>
      <c r="H108" s="21"/>
      <c r="I108" s="21"/>
      <c r="N108" s="43"/>
    </row>
    <row r="109" spans="1:14" x14ac:dyDescent="0.2">
      <c r="A109" s="67"/>
      <c r="B109" s="8"/>
      <c r="C109" s="62"/>
      <c r="D109" s="62"/>
      <c r="E109" s="21"/>
      <c r="F109" s="21"/>
      <c r="G109" s="21"/>
      <c r="H109" s="21"/>
      <c r="I109" s="21"/>
      <c r="N109" s="43"/>
    </row>
    <row r="110" spans="1:14" x14ac:dyDescent="0.2">
      <c r="A110" s="67"/>
      <c r="B110" s="8"/>
      <c r="C110" s="62"/>
      <c r="D110" s="62"/>
      <c r="E110" s="21"/>
      <c r="F110" s="21"/>
      <c r="G110" s="21"/>
      <c r="H110" s="83"/>
      <c r="I110" s="64"/>
      <c r="N110" s="43"/>
    </row>
    <row r="111" spans="1:14" x14ac:dyDescent="0.2">
      <c r="A111" s="21"/>
      <c r="B111" s="21"/>
      <c r="C111" s="21"/>
      <c r="D111" s="21"/>
      <c r="E111" s="21"/>
      <c r="F111" s="21"/>
      <c r="G111" s="21"/>
      <c r="H111" s="21"/>
      <c r="I111" s="21"/>
      <c r="N111" s="43"/>
    </row>
    <row r="112" spans="1:14" x14ac:dyDescent="0.2">
      <c r="A112" s="57"/>
      <c r="B112" s="57"/>
      <c r="C112" s="57"/>
      <c r="D112" s="62"/>
      <c r="E112" s="57"/>
      <c r="F112" s="57"/>
      <c r="G112" s="57"/>
      <c r="H112" s="57"/>
      <c r="I112" s="57"/>
      <c r="N112" s="43"/>
    </row>
    <row r="113" spans="1:14" x14ac:dyDescent="0.2">
      <c r="A113" s="93"/>
      <c r="B113" s="8"/>
      <c r="C113" s="73"/>
      <c r="D113" s="73"/>
      <c r="E113" s="21"/>
      <c r="F113" s="21"/>
      <c r="G113" s="21"/>
      <c r="H113" s="21"/>
      <c r="I113" s="21"/>
      <c r="N113" s="43"/>
    </row>
    <row r="114" spans="1:14" x14ac:dyDescent="0.2">
      <c r="A114" s="93"/>
      <c r="B114" s="11"/>
      <c r="C114" s="73"/>
      <c r="D114" s="73"/>
      <c r="E114" s="21"/>
      <c r="F114" s="21"/>
      <c r="G114" s="21"/>
      <c r="H114" s="21"/>
      <c r="I114" s="21"/>
      <c r="N114" s="43"/>
    </row>
    <row r="115" spans="1:14" x14ac:dyDescent="0.2">
      <c r="A115" s="100"/>
      <c r="B115" s="11"/>
      <c r="C115" s="73"/>
      <c r="D115" s="84"/>
      <c r="E115" s="21"/>
      <c r="F115" s="21"/>
      <c r="G115" s="21"/>
      <c r="H115" s="21"/>
      <c r="I115" s="21"/>
      <c r="N115" s="43"/>
    </row>
    <row r="116" spans="1:14" x14ac:dyDescent="0.2">
      <c r="A116" s="100"/>
      <c r="B116" s="11"/>
      <c r="C116" s="73"/>
      <c r="D116" s="84"/>
      <c r="E116" s="21"/>
      <c r="F116" s="21"/>
      <c r="G116" s="21"/>
      <c r="H116" s="21"/>
      <c r="I116" s="21"/>
      <c r="N116" s="43"/>
    </row>
    <row r="117" spans="1:14" x14ac:dyDescent="0.2">
      <c r="A117" s="21"/>
      <c r="B117" s="21"/>
      <c r="C117" s="21"/>
      <c r="D117" s="21"/>
      <c r="E117" s="21"/>
      <c r="F117" s="21"/>
      <c r="G117" s="68"/>
      <c r="H117" s="21"/>
      <c r="I117" s="21"/>
      <c r="N117" s="43"/>
    </row>
    <row r="118" spans="1:14" x14ac:dyDescent="0.2">
      <c r="A118" s="99"/>
      <c r="B118" s="8"/>
      <c r="C118" s="62"/>
      <c r="D118" s="62"/>
      <c r="E118" s="57"/>
      <c r="F118" s="68"/>
      <c r="G118" s="57"/>
      <c r="H118" s="57"/>
      <c r="I118" s="57"/>
      <c r="N118" s="43"/>
    </row>
    <row r="119" spans="1:14" x14ac:dyDescent="0.2">
      <c r="A119" s="21"/>
      <c r="B119" s="21"/>
      <c r="C119" s="21"/>
      <c r="D119" s="21"/>
      <c r="E119" s="21"/>
      <c r="F119" s="21"/>
      <c r="G119" s="21"/>
      <c r="H119" s="21"/>
      <c r="I119" s="21"/>
      <c r="N119" s="43"/>
    </row>
    <row r="120" spans="1:14" x14ac:dyDescent="0.2">
      <c r="A120" s="126"/>
      <c r="B120" s="195"/>
      <c r="C120" s="62"/>
      <c r="D120" s="73"/>
      <c r="E120" s="57"/>
      <c r="F120" s="57"/>
      <c r="G120" s="57"/>
      <c r="H120" s="57"/>
      <c r="I120" s="21"/>
      <c r="N120" s="43"/>
    </row>
    <row r="121" spans="1:14" x14ac:dyDescent="0.2">
      <c r="A121" s="126"/>
      <c r="B121" s="8"/>
      <c r="C121" s="62"/>
      <c r="D121" s="73"/>
      <c r="E121" s="57"/>
      <c r="F121" s="57"/>
      <c r="G121" s="57"/>
      <c r="H121" s="57"/>
      <c r="I121" s="21"/>
      <c r="N121" s="43"/>
    </row>
    <row r="122" spans="1:14" x14ac:dyDescent="0.2">
      <c r="A122" s="74"/>
      <c r="B122" s="8"/>
      <c r="C122" s="10"/>
      <c r="D122" s="73"/>
      <c r="E122" s="57"/>
      <c r="F122" s="57"/>
      <c r="G122" s="57"/>
      <c r="H122" s="57"/>
      <c r="I122" s="21"/>
      <c r="N122" s="43"/>
    </row>
    <row r="123" spans="1:14" x14ac:dyDescent="0.2">
      <c r="A123" s="64"/>
      <c r="B123" s="93"/>
      <c r="C123" s="62"/>
      <c r="D123" s="57"/>
      <c r="E123" s="57"/>
      <c r="F123" s="57"/>
      <c r="G123" s="57"/>
      <c r="H123" s="57"/>
      <c r="I123" s="64"/>
      <c r="N123" s="43"/>
    </row>
    <row r="124" spans="1:14" x14ac:dyDescent="0.2">
      <c r="A124" s="93"/>
      <c r="B124" s="8"/>
      <c r="C124" s="62"/>
      <c r="D124" s="62"/>
      <c r="E124" s="57"/>
      <c r="F124" s="57"/>
      <c r="G124" s="57"/>
      <c r="H124" s="57"/>
      <c r="I124" s="64"/>
      <c r="L124" s="52"/>
      <c r="N124" s="43"/>
    </row>
    <row r="125" spans="1:14" x14ac:dyDescent="0.2">
      <c r="A125" s="93"/>
      <c r="B125" s="8"/>
      <c r="C125" s="73"/>
      <c r="D125" s="62"/>
      <c r="E125" s="51"/>
      <c r="F125" s="57"/>
      <c r="G125" s="21"/>
      <c r="H125" s="83"/>
      <c r="I125" s="57"/>
      <c r="N125" s="43"/>
    </row>
    <row r="126" spans="1:14" x14ac:dyDescent="0.2">
      <c r="A126" s="67"/>
      <c r="B126" s="13"/>
      <c r="C126" s="62"/>
      <c r="D126" s="62"/>
      <c r="E126" s="51"/>
      <c r="F126" s="21"/>
      <c r="G126" s="21"/>
      <c r="H126" s="57"/>
      <c r="I126" s="57"/>
      <c r="N126" s="43"/>
    </row>
    <row r="127" spans="1:14" x14ac:dyDescent="0.2">
      <c r="A127" s="93"/>
      <c r="B127" s="8"/>
      <c r="C127" s="62"/>
      <c r="D127" s="62"/>
      <c r="E127" s="57"/>
      <c r="F127" s="21"/>
      <c r="G127" s="83"/>
      <c r="H127" s="64"/>
      <c r="I127" s="57"/>
      <c r="N127" s="43"/>
    </row>
    <row r="128" spans="1:14" x14ac:dyDescent="0.2">
      <c r="A128" s="56"/>
      <c r="B128" s="8"/>
      <c r="C128" s="62"/>
      <c r="D128" s="21"/>
      <c r="E128" s="21"/>
      <c r="F128" s="21"/>
      <c r="G128" s="21"/>
      <c r="H128" s="21"/>
      <c r="I128" s="57"/>
      <c r="K128" s="54"/>
      <c r="N128" s="43"/>
    </row>
    <row r="129" spans="1:14" x14ac:dyDescent="0.2">
      <c r="A129" s="56"/>
      <c r="B129" s="8"/>
      <c r="C129" s="73"/>
      <c r="D129" s="62"/>
      <c r="E129" s="21"/>
      <c r="F129" s="21"/>
      <c r="G129" s="21"/>
      <c r="H129" s="83"/>
      <c r="I129" s="57"/>
      <c r="K129" s="52"/>
      <c r="N129" s="43"/>
    </row>
    <row r="130" spans="1:14" x14ac:dyDescent="0.2">
      <c r="A130" s="73"/>
      <c r="B130" s="64"/>
      <c r="C130" s="64"/>
      <c r="D130" s="73"/>
      <c r="E130" s="64"/>
      <c r="F130" s="64"/>
      <c r="G130" s="64"/>
      <c r="H130" s="57"/>
      <c r="I130" s="57"/>
      <c r="K130" s="54"/>
      <c r="N130" s="43"/>
    </row>
    <row r="131" spans="1:14" x14ac:dyDescent="0.2">
      <c r="A131" s="56"/>
      <c r="B131" s="8"/>
      <c r="C131" s="21"/>
      <c r="D131" s="73"/>
      <c r="E131" s="21"/>
      <c r="F131" s="21"/>
      <c r="G131" s="21"/>
      <c r="H131" s="21"/>
      <c r="I131" s="57"/>
      <c r="N131" s="43"/>
    </row>
    <row r="132" spans="1:14" x14ac:dyDescent="0.2">
      <c r="A132" s="93"/>
      <c r="B132" s="8"/>
      <c r="C132" s="73"/>
      <c r="D132" s="73"/>
      <c r="E132" s="64"/>
      <c r="F132" s="64"/>
      <c r="G132" s="64"/>
      <c r="H132" s="21"/>
      <c r="I132" s="57"/>
      <c r="N132" s="43"/>
    </row>
    <row r="133" spans="1:14" x14ac:dyDescent="0.2">
      <c r="A133" s="100"/>
      <c r="B133" s="11"/>
      <c r="C133" s="73"/>
      <c r="D133" s="84"/>
      <c r="E133" s="64"/>
      <c r="F133" s="64"/>
      <c r="G133" s="21"/>
      <c r="H133" s="21"/>
      <c r="I133" s="21"/>
      <c r="N133" s="43"/>
    </row>
    <row r="134" spans="1:14" x14ac:dyDescent="0.2">
      <c r="A134" s="100"/>
      <c r="B134" s="11"/>
      <c r="C134" s="73"/>
      <c r="D134" s="84"/>
      <c r="E134" s="21"/>
      <c r="F134" s="21"/>
      <c r="G134" s="21"/>
      <c r="H134" s="68"/>
      <c r="I134" s="21"/>
      <c r="N134" s="43"/>
    </row>
    <row r="135" spans="1:14" x14ac:dyDescent="0.2">
      <c r="A135" s="21"/>
      <c r="B135" s="21"/>
      <c r="C135" s="21"/>
      <c r="D135" s="21"/>
      <c r="E135" s="21"/>
      <c r="F135" s="21"/>
      <c r="G135" s="68"/>
      <c r="H135" s="21"/>
      <c r="I135" s="21"/>
      <c r="N135" s="43"/>
    </row>
    <row r="136" spans="1:14" x14ac:dyDescent="0.2">
      <c r="A136" s="73"/>
      <c r="B136" s="64"/>
      <c r="C136" s="57"/>
      <c r="D136" s="57"/>
      <c r="E136" s="21"/>
      <c r="F136" s="68"/>
      <c r="G136" s="21"/>
      <c r="H136" s="21"/>
      <c r="I136" s="21"/>
      <c r="N136" s="43"/>
    </row>
    <row r="137" spans="1:14" x14ac:dyDescent="0.2">
      <c r="A137" s="21"/>
      <c r="B137" s="21"/>
      <c r="C137" s="21"/>
      <c r="D137" s="21"/>
      <c r="E137" s="21"/>
      <c r="F137" s="21"/>
      <c r="G137" s="21"/>
      <c r="H137" s="21"/>
      <c r="I137" s="21"/>
      <c r="N137" s="43"/>
    </row>
    <row r="138" spans="1:14" x14ac:dyDescent="0.2">
      <c r="A138" s="106"/>
      <c r="B138" s="40"/>
      <c r="C138" s="40"/>
      <c r="D138" s="40"/>
      <c r="E138" s="40"/>
      <c r="F138" s="40"/>
      <c r="G138" s="40"/>
      <c r="H138" s="40"/>
      <c r="I138" s="21"/>
      <c r="N138" s="43"/>
    </row>
    <row r="139" spans="1:14" x14ac:dyDescent="0.2">
      <c r="A139" s="93"/>
      <c r="B139" s="8"/>
      <c r="C139" s="59"/>
      <c r="D139" s="59"/>
      <c r="E139" s="40"/>
      <c r="F139" s="40"/>
      <c r="G139" s="40"/>
      <c r="H139" s="40"/>
      <c r="I139" s="21"/>
      <c r="N139" s="43"/>
    </row>
    <row r="140" spans="1:14" x14ac:dyDescent="0.2">
      <c r="A140" s="93"/>
      <c r="B140" s="8"/>
      <c r="C140" s="59"/>
      <c r="D140" s="59"/>
      <c r="E140" s="40"/>
      <c r="F140" s="40"/>
      <c r="G140" s="40"/>
      <c r="H140" s="132"/>
      <c r="I140" s="21"/>
      <c r="N140" s="43"/>
    </row>
    <row r="141" spans="1:14" x14ac:dyDescent="0.2">
      <c r="A141" s="62"/>
      <c r="B141" s="40"/>
      <c r="C141" s="40"/>
      <c r="D141" s="59"/>
      <c r="E141" s="40"/>
      <c r="F141" s="40"/>
      <c r="G141" s="132"/>
      <c r="H141" s="40"/>
      <c r="I141" s="21"/>
      <c r="N141" s="43"/>
    </row>
    <row r="142" spans="1:14" x14ac:dyDescent="0.2">
      <c r="A142" s="67"/>
      <c r="B142" s="8"/>
      <c r="C142" s="59"/>
      <c r="D142" s="59"/>
      <c r="E142" s="40"/>
      <c r="F142" s="40"/>
      <c r="G142" s="40"/>
      <c r="H142" s="40"/>
      <c r="I142" s="21"/>
      <c r="N142" s="43"/>
    </row>
    <row r="143" spans="1:14" x14ac:dyDescent="0.2">
      <c r="A143" s="67"/>
      <c r="B143" s="8"/>
      <c r="C143" s="59"/>
      <c r="D143" s="59"/>
      <c r="E143" s="40"/>
      <c r="F143" s="40"/>
      <c r="G143" s="40"/>
      <c r="H143" s="40"/>
      <c r="I143" s="21"/>
      <c r="N143" s="43"/>
    </row>
    <row r="144" spans="1:14" x14ac:dyDescent="0.2">
      <c r="A144" s="99"/>
      <c r="B144" s="41"/>
      <c r="C144" s="59"/>
      <c r="D144" s="40"/>
      <c r="E144" s="40"/>
      <c r="F144" s="40"/>
      <c r="G144" s="40"/>
      <c r="H144" s="132"/>
      <c r="I144" s="21"/>
      <c r="N144" s="43"/>
    </row>
    <row r="145" spans="1:14" x14ac:dyDescent="0.2">
      <c r="A145" s="21"/>
      <c r="B145" s="40"/>
      <c r="C145" s="40"/>
      <c r="D145" s="40"/>
      <c r="E145" s="40"/>
      <c r="F145" s="40"/>
      <c r="G145" s="40"/>
      <c r="H145" s="40"/>
      <c r="I145" s="21"/>
      <c r="N145" s="43"/>
    </row>
    <row r="146" spans="1:14" x14ac:dyDescent="0.2">
      <c r="A146" s="113"/>
      <c r="B146" s="8"/>
      <c r="C146" s="196"/>
      <c r="D146" s="59"/>
      <c r="E146" s="40"/>
      <c r="F146" s="40"/>
      <c r="G146" s="40"/>
      <c r="H146" s="40"/>
      <c r="I146" s="21"/>
      <c r="N146" s="43"/>
    </row>
    <row r="147" spans="1:14" x14ac:dyDescent="0.2">
      <c r="A147" s="113"/>
      <c r="B147" s="8"/>
      <c r="C147" s="59"/>
      <c r="D147" s="59"/>
      <c r="E147" s="40"/>
      <c r="F147" s="40"/>
      <c r="G147" s="40"/>
      <c r="H147" s="40"/>
      <c r="I147" s="21"/>
      <c r="N147" s="43"/>
    </row>
    <row r="148" spans="1:14" x14ac:dyDescent="0.2">
      <c r="A148" s="62"/>
      <c r="B148" s="40"/>
      <c r="C148" s="40"/>
      <c r="D148" s="40"/>
      <c r="E148" s="40"/>
      <c r="F148" s="40"/>
      <c r="G148" s="40"/>
      <c r="H148" s="40"/>
      <c r="I148" s="21"/>
      <c r="N148" s="43"/>
    </row>
    <row r="149" spans="1:14" x14ac:dyDescent="0.2">
      <c r="A149" s="107"/>
      <c r="B149" s="91"/>
      <c r="C149" s="7"/>
      <c r="D149" s="7"/>
      <c r="E149" s="7"/>
      <c r="F149" s="7"/>
      <c r="G149" s="7"/>
      <c r="H149" s="7"/>
      <c r="I149" s="7"/>
      <c r="N149" s="43"/>
    </row>
    <row r="150" spans="1:14" x14ac:dyDescent="0.2">
      <c r="A150" s="21"/>
      <c r="B150" s="21"/>
      <c r="C150" s="21"/>
      <c r="D150" s="21"/>
      <c r="E150" s="21"/>
      <c r="F150" s="21"/>
      <c r="G150" s="21"/>
      <c r="H150" s="21"/>
      <c r="I150" s="12"/>
      <c r="N150" s="43"/>
    </row>
    <row r="151" spans="1:14" x14ac:dyDescent="0.2">
      <c r="A151" s="21"/>
      <c r="B151" s="21"/>
      <c r="C151" s="21"/>
      <c r="D151" s="21"/>
      <c r="E151" s="21"/>
      <c r="F151" s="21"/>
      <c r="G151" s="21"/>
      <c r="H151" s="94"/>
      <c r="I151" s="95"/>
      <c r="N151" s="43"/>
    </row>
    <row r="152" spans="1:14" x14ac:dyDescent="0.2">
      <c r="A152" s="99"/>
      <c r="B152" s="21"/>
      <c r="C152" s="21"/>
      <c r="D152" s="21"/>
      <c r="E152" s="21"/>
      <c r="F152" s="21"/>
      <c r="G152" s="21"/>
      <c r="H152" s="94"/>
      <c r="I152" s="96"/>
      <c r="N152" s="43"/>
    </row>
    <row r="153" spans="1:14" x14ac:dyDescent="0.2">
      <c r="A153" s="93"/>
      <c r="B153" s="8"/>
      <c r="C153" s="73"/>
      <c r="D153" s="73"/>
      <c r="E153" s="21"/>
      <c r="F153" s="64"/>
      <c r="G153" s="21"/>
      <c r="H153" s="97"/>
      <c r="I153" s="41"/>
      <c r="N153" s="43"/>
    </row>
    <row r="154" spans="1:14" x14ac:dyDescent="0.2">
      <c r="A154" s="67"/>
      <c r="B154" s="13"/>
      <c r="C154" s="62"/>
      <c r="D154" s="73"/>
      <c r="E154" s="21"/>
      <c r="F154" s="64"/>
      <c r="G154" s="21"/>
      <c r="H154" s="94"/>
      <c r="I154" s="41"/>
      <c r="N154" s="43"/>
    </row>
    <row r="155" spans="1:14" x14ac:dyDescent="0.2">
      <c r="A155" s="56"/>
      <c r="B155" s="8"/>
      <c r="C155" s="62"/>
      <c r="D155" s="73"/>
      <c r="E155" s="51"/>
      <c r="F155" s="51"/>
      <c r="G155" s="51"/>
      <c r="H155" s="21"/>
      <c r="I155" s="21"/>
      <c r="N155" s="43"/>
    </row>
    <row r="156" spans="1:14" x14ac:dyDescent="0.2">
      <c r="A156" s="93"/>
      <c r="B156" s="8"/>
      <c r="C156" s="73"/>
      <c r="D156" s="62"/>
      <c r="E156" s="21"/>
      <c r="F156" s="21"/>
      <c r="G156" s="21"/>
      <c r="H156" s="21"/>
      <c r="I156" s="21"/>
      <c r="N156" s="43"/>
    </row>
    <row r="157" spans="1:14" x14ac:dyDescent="0.2">
      <c r="A157" s="93"/>
      <c r="B157" s="8"/>
      <c r="C157" s="62"/>
      <c r="D157" s="62"/>
      <c r="E157" s="51"/>
      <c r="F157" s="51"/>
      <c r="G157" s="21"/>
      <c r="H157" s="83"/>
      <c r="I157" s="21"/>
      <c r="N157" s="43"/>
    </row>
    <row r="158" spans="1:14" x14ac:dyDescent="0.2">
      <c r="A158" s="56"/>
      <c r="B158" s="8"/>
      <c r="C158" s="73"/>
      <c r="D158" s="73"/>
      <c r="E158" s="21"/>
      <c r="F158" s="21"/>
      <c r="G158" s="21"/>
      <c r="H158" s="21"/>
      <c r="I158" s="21"/>
      <c r="N158" s="43"/>
    </row>
    <row r="159" spans="1:14" x14ac:dyDescent="0.2">
      <c r="A159" s="56"/>
      <c r="B159" s="8"/>
      <c r="C159" s="73"/>
      <c r="D159" s="90"/>
      <c r="E159" s="21"/>
      <c r="F159" s="21"/>
      <c r="G159" s="21"/>
      <c r="H159" s="21"/>
      <c r="I159" s="21"/>
      <c r="N159" s="43"/>
    </row>
    <row r="160" spans="1:14" x14ac:dyDescent="0.2">
      <c r="A160" s="67"/>
      <c r="B160" s="8"/>
      <c r="C160" s="62"/>
      <c r="D160" s="62"/>
      <c r="E160" s="21"/>
      <c r="F160" s="21"/>
      <c r="G160" s="21"/>
      <c r="H160" s="83"/>
      <c r="I160" s="21"/>
      <c r="N160" s="43"/>
    </row>
    <row r="161" spans="1:14" x14ac:dyDescent="0.2">
      <c r="A161" s="73"/>
      <c r="B161" s="64"/>
      <c r="C161" s="64"/>
      <c r="D161" s="64"/>
      <c r="E161" s="64"/>
      <c r="F161" s="21"/>
      <c r="G161" s="21"/>
      <c r="H161" s="21"/>
      <c r="I161" s="21"/>
      <c r="N161" s="43"/>
    </row>
    <row r="162" spans="1:14" x14ac:dyDescent="0.2">
      <c r="A162" s="67"/>
      <c r="B162" s="15"/>
      <c r="C162" s="73"/>
      <c r="D162" s="73"/>
      <c r="E162" s="64"/>
      <c r="F162" s="21"/>
      <c r="G162" s="21"/>
      <c r="H162" s="21"/>
      <c r="I162" s="21"/>
      <c r="N162" s="43"/>
    </row>
    <row r="163" spans="1:14" x14ac:dyDescent="0.2">
      <c r="A163" s="67"/>
      <c r="B163" s="15"/>
      <c r="C163" s="73"/>
      <c r="D163" s="73"/>
      <c r="E163" s="64"/>
      <c r="F163" s="21"/>
      <c r="G163" s="21"/>
      <c r="H163" s="21"/>
      <c r="I163" s="21"/>
      <c r="N163" s="43"/>
    </row>
    <row r="164" spans="1:14" x14ac:dyDescent="0.2">
      <c r="A164" s="67"/>
      <c r="B164" s="15"/>
      <c r="C164" s="73"/>
      <c r="D164" s="73"/>
      <c r="E164" s="64"/>
      <c r="F164" s="64"/>
      <c r="G164" s="21"/>
      <c r="H164" s="21"/>
      <c r="I164" s="64"/>
      <c r="N164" s="43"/>
    </row>
    <row r="165" spans="1:14" x14ac:dyDescent="0.2">
      <c r="A165" s="93"/>
      <c r="B165" s="15"/>
      <c r="C165" s="73"/>
      <c r="D165" s="73"/>
      <c r="E165" s="64"/>
      <c r="F165" s="64"/>
      <c r="G165" s="21"/>
      <c r="H165" s="57"/>
      <c r="I165" s="64"/>
      <c r="N165" s="43"/>
    </row>
    <row r="166" spans="1:14" x14ac:dyDescent="0.2">
      <c r="A166" s="100"/>
      <c r="B166" s="15"/>
      <c r="C166" s="64"/>
      <c r="D166" s="84"/>
      <c r="E166" s="64"/>
      <c r="F166" s="64"/>
      <c r="G166" s="21"/>
      <c r="H166" s="57"/>
      <c r="I166" s="21"/>
    </row>
    <row r="167" spans="1:14" x14ac:dyDescent="0.2">
      <c r="A167" s="93"/>
      <c r="B167" s="15"/>
      <c r="C167" s="73"/>
      <c r="D167" s="73"/>
      <c r="E167" s="64"/>
      <c r="F167" s="64"/>
      <c r="G167" s="21"/>
      <c r="H167" s="21"/>
      <c r="I167" s="21"/>
    </row>
    <row r="168" spans="1:14" x14ac:dyDescent="0.2">
      <c r="A168" s="100"/>
      <c r="B168" s="15"/>
      <c r="C168" s="64"/>
      <c r="D168" s="84"/>
      <c r="E168" s="64"/>
      <c r="F168" s="64"/>
      <c r="G168" s="21"/>
      <c r="H168" s="64"/>
      <c r="I168" s="64"/>
    </row>
    <row r="169" spans="1:14" x14ac:dyDescent="0.2">
      <c r="A169" s="100"/>
      <c r="B169" s="11"/>
      <c r="C169" s="64"/>
      <c r="D169" s="84"/>
      <c r="E169" s="64"/>
      <c r="F169" s="64"/>
      <c r="G169" s="64"/>
      <c r="H169" s="64"/>
      <c r="I169" s="64"/>
    </row>
    <row r="170" spans="1:14" x14ac:dyDescent="0.2">
      <c r="A170" s="100"/>
      <c r="B170" s="15"/>
      <c r="C170" s="64"/>
      <c r="D170" s="62"/>
      <c r="E170" s="64"/>
      <c r="F170" s="64"/>
      <c r="G170" s="64"/>
      <c r="H170" s="64"/>
      <c r="I170" s="64"/>
    </row>
    <row r="171" spans="1:14" x14ac:dyDescent="0.2">
      <c r="A171" s="93"/>
      <c r="B171" s="11"/>
      <c r="C171" s="73"/>
      <c r="D171" s="73"/>
      <c r="E171" s="64"/>
      <c r="F171" s="64"/>
      <c r="G171" s="64"/>
      <c r="H171" s="83"/>
      <c r="I171" s="64"/>
    </row>
    <row r="172" spans="1:14" x14ac:dyDescent="0.2">
      <c r="A172" s="93"/>
      <c r="B172" s="11"/>
      <c r="C172" s="73"/>
      <c r="D172" s="64"/>
      <c r="E172" s="64"/>
      <c r="F172" s="64"/>
      <c r="G172" s="64"/>
      <c r="H172" s="64"/>
      <c r="I172" s="64"/>
    </row>
    <row r="173" spans="1:14" x14ac:dyDescent="0.2">
      <c r="A173" s="100"/>
      <c r="B173" s="15"/>
      <c r="C173" s="64"/>
      <c r="D173" s="104"/>
      <c r="E173" s="64"/>
      <c r="F173" s="64"/>
      <c r="G173" s="64"/>
      <c r="H173" s="57"/>
      <c r="I173" s="64"/>
    </row>
    <row r="174" spans="1:14" x14ac:dyDescent="0.2">
      <c r="A174" s="93"/>
      <c r="B174" s="8"/>
      <c r="C174" s="73"/>
      <c r="D174" s="64"/>
      <c r="E174" s="64"/>
      <c r="F174" s="64"/>
      <c r="G174" s="64"/>
      <c r="H174" s="57"/>
      <c r="I174" s="64"/>
    </row>
    <row r="175" spans="1:14" x14ac:dyDescent="0.2">
      <c r="A175" s="64"/>
      <c r="B175" s="64"/>
      <c r="C175" s="64"/>
      <c r="D175" s="64"/>
      <c r="E175" s="64"/>
      <c r="F175" s="64"/>
      <c r="G175" s="64"/>
      <c r="H175" s="83"/>
      <c r="I175" s="64"/>
    </row>
    <row r="176" spans="1:14" x14ac:dyDescent="0.2">
      <c r="A176" s="62"/>
      <c r="B176" s="57"/>
      <c r="C176" s="57"/>
      <c r="D176" s="21"/>
      <c r="E176" s="21"/>
      <c r="F176" s="21"/>
      <c r="G176" s="21"/>
      <c r="H176" s="57"/>
      <c r="I176" s="64"/>
    </row>
    <row r="177" spans="1:9" x14ac:dyDescent="0.2">
      <c r="A177" s="67"/>
      <c r="B177" s="8"/>
      <c r="C177" s="62"/>
      <c r="D177" s="62"/>
      <c r="E177" s="21"/>
      <c r="F177" s="21"/>
      <c r="G177" s="21"/>
      <c r="H177" s="57"/>
      <c r="I177" s="21"/>
    </row>
    <row r="178" spans="1:9" x14ac:dyDescent="0.2">
      <c r="A178" s="67"/>
      <c r="B178" s="8"/>
      <c r="C178" s="62"/>
      <c r="D178" s="62"/>
      <c r="E178" s="21"/>
      <c r="F178" s="21"/>
      <c r="G178" s="21"/>
      <c r="H178" s="21"/>
      <c r="I178" s="21"/>
    </row>
    <row r="179" spans="1:9" x14ac:dyDescent="0.2">
      <c r="A179" s="67"/>
      <c r="B179" s="8"/>
      <c r="C179" s="62"/>
      <c r="D179" s="62"/>
      <c r="E179" s="21"/>
      <c r="F179" s="21"/>
      <c r="G179" s="21"/>
      <c r="H179" s="21"/>
      <c r="I179" s="21"/>
    </row>
    <row r="180" spans="1:9" x14ac:dyDescent="0.2">
      <c r="A180" s="67"/>
      <c r="B180" s="8"/>
      <c r="C180" s="62"/>
      <c r="D180" s="62"/>
      <c r="E180" s="57"/>
      <c r="F180" s="57"/>
      <c r="G180" s="21"/>
      <c r="H180" s="21"/>
      <c r="I180" s="21"/>
    </row>
    <row r="181" spans="1:9" x14ac:dyDescent="0.2">
      <c r="A181" s="62"/>
      <c r="B181" s="57"/>
      <c r="C181" s="57"/>
      <c r="D181" s="57"/>
      <c r="E181" s="57"/>
      <c r="F181" s="57"/>
      <c r="G181" s="21"/>
      <c r="H181" s="83"/>
      <c r="I181" s="21"/>
    </row>
    <row r="182" spans="1:9" x14ac:dyDescent="0.2">
      <c r="A182" s="67"/>
      <c r="B182" s="14"/>
      <c r="C182" s="62"/>
      <c r="D182" s="62"/>
      <c r="E182" s="57"/>
      <c r="F182" s="57"/>
      <c r="G182" s="57"/>
      <c r="H182" s="57"/>
      <c r="I182" s="21"/>
    </row>
    <row r="183" spans="1:9" x14ac:dyDescent="0.2">
      <c r="A183" s="67"/>
      <c r="B183" s="13"/>
      <c r="C183" s="62"/>
      <c r="D183" s="62"/>
      <c r="E183" s="57"/>
      <c r="F183" s="57"/>
      <c r="G183" s="57"/>
      <c r="H183" s="21"/>
      <c r="I183" s="21"/>
    </row>
    <row r="184" spans="1:9" x14ac:dyDescent="0.2">
      <c r="A184" s="67"/>
      <c r="B184" s="13"/>
      <c r="C184" s="73"/>
      <c r="D184" s="62"/>
      <c r="E184" s="57"/>
      <c r="F184" s="57"/>
      <c r="G184" s="21"/>
      <c r="H184" s="83"/>
      <c r="I184" s="21"/>
    </row>
    <row r="185" spans="1:9" x14ac:dyDescent="0.2">
      <c r="A185" s="57"/>
      <c r="B185" s="51"/>
      <c r="C185" s="64"/>
      <c r="D185" s="73"/>
      <c r="E185" s="64"/>
      <c r="F185" s="64"/>
      <c r="G185" s="64"/>
      <c r="H185" s="21"/>
      <c r="I185" s="21"/>
    </row>
    <row r="186" spans="1:9" x14ac:dyDescent="0.2">
      <c r="A186" s="113"/>
      <c r="B186" s="13"/>
      <c r="C186" s="62"/>
      <c r="D186" s="62"/>
      <c r="E186" s="64"/>
      <c r="F186" s="64"/>
      <c r="G186" s="64"/>
      <c r="H186" s="21"/>
      <c r="I186" s="21"/>
    </row>
    <row r="187" spans="1:9" x14ac:dyDescent="0.2">
      <c r="A187" s="67"/>
      <c r="B187" s="14"/>
      <c r="C187" s="73"/>
      <c r="D187" s="62"/>
      <c r="E187" s="57"/>
      <c r="F187" s="57"/>
      <c r="G187" s="57"/>
      <c r="H187" s="21"/>
      <c r="I187" s="21"/>
    </row>
    <row r="188" spans="1:9" x14ac:dyDescent="0.2">
      <c r="A188" s="67"/>
      <c r="B188" s="13"/>
      <c r="C188" s="73"/>
      <c r="D188" s="62"/>
      <c r="E188" s="57"/>
      <c r="F188" s="57"/>
      <c r="G188" s="57"/>
      <c r="H188" s="21"/>
      <c r="I188" s="21"/>
    </row>
    <row r="189" spans="1:9" x14ac:dyDescent="0.2">
      <c r="A189" s="67"/>
      <c r="B189" s="16"/>
      <c r="C189" s="73"/>
      <c r="D189" s="62"/>
      <c r="E189" s="57"/>
      <c r="F189" s="57"/>
      <c r="G189" s="57"/>
      <c r="H189" s="21"/>
      <c r="I189" s="21"/>
    </row>
    <row r="190" spans="1:9" x14ac:dyDescent="0.2">
      <c r="A190" s="67"/>
      <c r="B190" s="13"/>
      <c r="C190" s="73"/>
      <c r="D190" s="62"/>
      <c r="E190" s="57"/>
      <c r="F190" s="57"/>
      <c r="G190" s="57"/>
      <c r="H190" s="21"/>
      <c r="I190" s="21"/>
    </row>
    <row r="191" spans="1:9" x14ac:dyDescent="0.2">
      <c r="A191" s="67"/>
      <c r="B191" s="13"/>
      <c r="C191" s="73"/>
      <c r="D191" s="62"/>
      <c r="E191" s="57"/>
      <c r="F191" s="57"/>
      <c r="G191" s="21"/>
      <c r="H191" s="83"/>
      <c r="I191" s="57"/>
    </row>
    <row r="192" spans="1:9" x14ac:dyDescent="0.2">
      <c r="A192" s="64"/>
      <c r="B192" s="64"/>
      <c r="C192" s="64"/>
      <c r="D192" s="73"/>
      <c r="E192" s="64"/>
      <c r="F192" s="64"/>
      <c r="G192" s="64"/>
      <c r="H192" s="64"/>
      <c r="I192" s="57"/>
    </row>
    <row r="193" spans="1:9" x14ac:dyDescent="0.2">
      <c r="A193" s="93"/>
      <c r="B193" s="8"/>
      <c r="C193" s="73"/>
      <c r="D193" s="62"/>
      <c r="E193" s="64"/>
      <c r="F193" s="64"/>
      <c r="G193" s="64"/>
      <c r="H193" s="64"/>
      <c r="I193" s="21"/>
    </row>
    <row r="194" spans="1:9" x14ac:dyDescent="0.2">
      <c r="A194" s="93"/>
      <c r="B194" s="11"/>
      <c r="C194" s="73"/>
      <c r="D194" s="73"/>
      <c r="E194" s="64"/>
      <c r="F194" s="64"/>
      <c r="G194" s="64"/>
      <c r="H194" s="64"/>
      <c r="I194" s="64"/>
    </row>
    <row r="195" spans="1:9" x14ac:dyDescent="0.2">
      <c r="A195" s="100"/>
      <c r="B195" s="11"/>
      <c r="C195" s="73"/>
      <c r="D195" s="84"/>
      <c r="E195" s="21"/>
      <c r="F195" s="21"/>
      <c r="G195" s="21"/>
      <c r="H195" s="68"/>
      <c r="I195" s="57"/>
    </row>
    <row r="196" spans="1:9" x14ac:dyDescent="0.2">
      <c r="A196" s="100"/>
      <c r="B196" s="11"/>
      <c r="C196" s="73"/>
      <c r="D196" s="84"/>
      <c r="E196" s="21"/>
      <c r="F196" s="21"/>
      <c r="G196" s="21"/>
      <c r="H196" s="21"/>
      <c r="I196" s="21"/>
    </row>
    <row r="197" spans="1:9" x14ac:dyDescent="0.2">
      <c r="A197" s="21"/>
      <c r="B197" s="21"/>
      <c r="C197" s="21"/>
      <c r="D197" s="21"/>
      <c r="E197" s="21"/>
      <c r="F197" s="21"/>
      <c r="G197" s="68"/>
      <c r="H197" s="21"/>
      <c r="I197" s="21"/>
    </row>
    <row r="198" spans="1:9" x14ac:dyDescent="0.2">
      <c r="A198" s="21"/>
      <c r="B198" s="21"/>
      <c r="C198" s="21"/>
      <c r="D198" s="21"/>
      <c r="E198" s="57"/>
      <c r="F198" s="68" t="e">
        <f>IF(#REF!="Yes",IF(#REF!&gt;0,IF($B$195&gt;$B$196,"    Increase doubler or use full-pen. weld",""),""),"")</f>
        <v>#REF!</v>
      </c>
      <c r="G198" s="21"/>
      <c r="H198" s="21"/>
      <c r="I198" s="21"/>
    </row>
    <row r="199" spans="1:9" x14ac:dyDescent="0.2">
      <c r="A199" s="21"/>
      <c r="B199" s="21"/>
      <c r="C199" s="21"/>
      <c r="D199" s="21"/>
      <c r="E199" s="57"/>
      <c r="F199" s="57"/>
      <c r="G199" s="21"/>
      <c r="H199" s="21"/>
      <c r="I199" s="21"/>
    </row>
    <row r="200" spans="1:9" x14ac:dyDescent="0.2">
      <c r="A200" s="21"/>
      <c r="B200" s="21"/>
      <c r="C200" s="21"/>
      <c r="D200" s="21"/>
      <c r="E200" s="21"/>
      <c r="F200" s="21"/>
      <c r="G200" s="21"/>
      <c r="H200" s="21"/>
      <c r="I200" s="12"/>
    </row>
    <row r="201" spans="1:9" x14ac:dyDescent="0.2">
      <c r="A201" s="21"/>
      <c r="B201" s="21"/>
      <c r="C201" s="21"/>
      <c r="D201" s="21"/>
      <c r="E201" s="21"/>
      <c r="F201" s="21"/>
      <c r="G201" s="21"/>
      <c r="H201" s="94"/>
      <c r="I201" s="95"/>
    </row>
    <row r="202" spans="1:9" x14ac:dyDescent="0.2">
      <c r="A202" s="99"/>
      <c r="B202" s="21"/>
      <c r="C202" s="21"/>
      <c r="D202" s="21"/>
      <c r="E202" s="57"/>
      <c r="F202" s="57"/>
      <c r="G202" s="57"/>
      <c r="H202" s="94"/>
      <c r="I202" s="96"/>
    </row>
    <row r="203" spans="1:9" x14ac:dyDescent="0.2">
      <c r="A203" s="57"/>
      <c r="B203" s="51"/>
      <c r="C203" s="57"/>
      <c r="D203" s="62"/>
      <c r="E203" s="21"/>
      <c r="F203" s="51"/>
      <c r="G203" s="21"/>
      <c r="H203" s="97"/>
      <c r="I203" s="41"/>
    </row>
    <row r="204" spans="1:9" x14ac:dyDescent="0.2">
      <c r="A204" s="67"/>
      <c r="B204" s="14"/>
      <c r="C204" s="73"/>
      <c r="D204" s="62"/>
      <c r="E204" s="21"/>
      <c r="F204" s="51"/>
      <c r="G204" s="57"/>
      <c r="H204" s="94"/>
      <c r="I204" s="41"/>
    </row>
    <row r="205" spans="1:9" x14ac:dyDescent="0.2">
      <c r="A205" s="67"/>
      <c r="B205" s="13"/>
      <c r="C205" s="73"/>
      <c r="D205" s="62"/>
      <c r="E205" s="21"/>
      <c r="F205" s="51"/>
      <c r="G205" s="21"/>
      <c r="H205" s="21"/>
      <c r="I205" s="21"/>
    </row>
    <row r="206" spans="1:9" x14ac:dyDescent="0.2">
      <c r="A206" s="67"/>
      <c r="B206" s="13"/>
      <c r="C206" s="73"/>
      <c r="D206" s="62"/>
      <c r="E206" s="21"/>
      <c r="F206" s="21"/>
      <c r="G206" s="21"/>
      <c r="H206" s="83"/>
      <c r="I206" s="57"/>
    </row>
    <row r="207" spans="1:9" x14ac:dyDescent="0.2">
      <c r="A207" s="21"/>
      <c r="B207" s="21"/>
      <c r="C207" s="21"/>
      <c r="D207" s="21"/>
      <c r="E207" s="21"/>
      <c r="F207" s="21"/>
      <c r="G207" s="21"/>
      <c r="H207" s="21"/>
      <c r="I207" s="21"/>
    </row>
    <row r="208" spans="1:9" x14ac:dyDescent="0.2">
      <c r="A208" s="57"/>
      <c r="B208" s="64"/>
      <c r="C208" s="64"/>
      <c r="D208" s="73"/>
      <c r="E208" s="21"/>
      <c r="F208" s="21"/>
      <c r="G208" s="21"/>
      <c r="H208" s="21"/>
      <c r="I208" s="21"/>
    </row>
    <row r="209" spans="1:9" x14ac:dyDescent="0.2">
      <c r="A209" s="56"/>
      <c r="B209" s="11"/>
      <c r="C209" s="73"/>
      <c r="D209" s="73"/>
      <c r="E209" s="21"/>
      <c r="F209" s="21"/>
      <c r="G209" s="21"/>
      <c r="H209" s="21"/>
      <c r="I209" s="21"/>
    </row>
    <row r="210" spans="1:9" x14ac:dyDescent="0.2">
      <c r="A210" s="93"/>
      <c r="B210" s="8"/>
      <c r="C210" s="73"/>
      <c r="D210" s="73"/>
      <c r="E210" s="21"/>
      <c r="F210" s="21"/>
      <c r="G210" s="21"/>
      <c r="H210" s="21"/>
      <c r="I210" s="21"/>
    </row>
    <row r="211" spans="1:9" x14ac:dyDescent="0.2">
      <c r="A211" s="93"/>
      <c r="B211" s="11"/>
      <c r="C211" s="73"/>
      <c r="D211" s="73"/>
      <c r="E211" s="21"/>
      <c r="F211" s="21"/>
      <c r="G211" s="21"/>
      <c r="H211" s="21"/>
      <c r="I211" s="57"/>
    </row>
    <row r="212" spans="1:9" x14ac:dyDescent="0.2">
      <c r="A212" s="100"/>
      <c r="B212" s="11"/>
      <c r="C212" s="73"/>
      <c r="D212" s="84"/>
      <c r="E212" s="64"/>
      <c r="F212" s="21"/>
      <c r="G212" s="21"/>
      <c r="H212" s="68"/>
      <c r="I212" s="57"/>
    </row>
    <row r="213" spans="1:9" x14ac:dyDescent="0.2">
      <c r="A213" s="100"/>
      <c r="B213" s="11"/>
      <c r="C213" s="73"/>
      <c r="D213" s="84"/>
      <c r="E213" s="21"/>
      <c r="F213" s="21"/>
      <c r="G213" s="21"/>
      <c r="H213" s="21"/>
      <c r="I213" s="21"/>
    </row>
    <row r="214" spans="1:9" x14ac:dyDescent="0.2">
      <c r="A214" s="21"/>
      <c r="B214" s="21"/>
      <c r="C214" s="21"/>
      <c r="D214" s="21"/>
      <c r="E214" s="21"/>
      <c r="F214" s="21"/>
      <c r="G214" s="68"/>
      <c r="H214" s="21"/>
      <c r="I214" s="21"/>
    </row>
    <row r="215" spans="1:9" x14ac:dyDescent="0.2">
      <c r="A215" s="57"/>
      <c r="B215" s="21"/>
      <c r="C215" s="21"/>
      <c r="D215" s="21"/>
      <c r="E215" s="21"/>
      <c r="F215" s="68"/>
      <c r="G215" s="21"/>
      <c r="H215" s="21"/>
      <c r="I215" s="21"/>
    </row>
    <row r="216" spans="1:9" x14ac:dyDescent="0.2">
      <c r="A216" s="67"/>
      <c r="B216" s="8"/>
      <c r="C216" s="62"/>
      <c r="D216" s="62"/>
      <c r="E216" s="51"/>
      <c r="F216" s="21"/>
      <c r="G216" s="21"/>
      <c r="H216" s="21"/>
      <c r="I216" s="57"/>
    </row>
    <row r="217" spans="1:9" x14ac:dyDescent="0.2">
      <c r="A217" s="67"/>
      <c r="B217" s="8"/>
      <c r="C217" s="62"/>
      <c r="D217" s="62"/>
      <c r="E217" s="51"/>
      <c r="F217" s="51"/>
      <c r="G217" s="21"/>
      <c r="H217" s="83"/>
      <c r="I217" s="21"/>
    </row>
    <row r="218" spans="1:9" x14ac:dyDescent="0.2">
      <c r="A218" s="21"/>
      <c r="B218" s="21"/>
      <c r="C218" s="21"/>
      <c r="D218" s="21"/>
      <c r="E218" s="21"/>
      <c r="F218" s="21"/>
      <c r="G218" s="21"/>
      <c r="H218" s="21"/>
      <c r="I218" s="21"/>
    </row>
    <row r="219" spans="1:9" x14ac:dyDescent="0.2">
      <c r="A219" s="57"/>
      <c r="B219" s="57"/>
      <c r="C219" s="57"/>
      <c r="D219" s="62"/>
      <c r="E219" s="51"/>
      <c r="F219" s="51"/>
      <c r="G219" s="21"/>
      <c r="H219" s="21"/>
      <c r="I219" s="21"/>
    </row>
    <row r="220" spans="1:9" x14ac:dyDescent="0.2">
      <c r="A220" s="67"/>
      <c r="B220" s="15"/>
      <c r="C220" s="62"/>
      <c r="D220" s="62"/>
      <c r="E220" s="51"/>
      <c r="F220" s="51"/>
      <c r="G220" s="21"/>
      <c r="H220" s="21"/>
      <c r="I220" s="21"/>
    </row>
    <row r="221" spans="1:9" x14ac:dyDescent="0.2">
      <c r="A221" s="67"/>
      <c r="B221" s="8"/>
      <c r="C221" s="62"/>
      <c r="D221" s="62"/>
      <c r="E221" s="51"/>
      <c r="F221" s="51"/>
      <c r="G221" s="21"/>
      <c r="H221" s="21"/>
      <c r="I221" s="21"/>
    </row>
    <row r="222" spans="1:9" x14ac:dyDescent="0.2">
      <c r="A222" s="67"/>
      <c r="B222" s="8"/>
      <c r="C222" s="62"/>
      <c r="D222" s="62"/>
      <c r="E222" s="51"/>
      <c r="F222" s="51"/>
      <c r="G222" s="21"/>
      <c r="H222" s="21"/>
      <c r="I222" s="21"/>
    </row>
    <row r="223" spans="1:9" x14ac:dyDescent="0.2">
      <c r="A223" s="67"/>
      <c r="B223" s="8"/>
      <c r="C223" s="62"/>
      <c r="D223" s="62"/>
      <c r="E223" s="51"/>
      <c r="F223" s="51"/>
      <c r="G223" s="21"/>
      <c r="H223" s="83"/>
      <c r="I223" s="21"/>
    </row>
    <row r="224" spans="1:9" x14ac:dyDescent="0.2">
      <c r="A224" s="21"/>
      <c r="B224" s="21"/>
      <c r="C224" s="21"/>
      <c r="D224" s="21"/>
      <c r="E224" s="21"/>
      <c r="F224" s="21"/>
      <c r="G224" s="21"/>
      <c r="H224" s="21"/>
      <c r="I224" s="21"/>
    </row>
    <row r="225" spans="1:9" x14ac:dyDescent="0.2">
      <c r="A225" s="21"/>
      <c r="B225" s="21"/>
      <c r="C225" s="21"/>
      <c r="D225" s="21"/>
      <c r="E225" s="21"/>
      <c r="F225" s="21"/>
      <c r="G225" s="21"/>
      <c r="H225" s="21"/>
      <c r="I225" s="21"/>
    </row>
    <row r="226" spans="1:9" x14ac:dyDescent="0.2">
      <c r="A226" s="106"/>
      <c r="B226" s="21"/>
      <c r="C226" s="21"/>
      <c r="D226" s="21"/>
      <c r="E226" s="21"/>
      <c r="F226" s="21"/>
      <c r="G226" s="21"/>
      <c r="H226" s="21"/>
      <c r="I226" s="21"/>
    </row>
    <row r="227" spans="1:9" x14ac:dyDescent="0.2">
      <c r="A227" s="21"/>
      <c r="B227" s="21"/>
      <c r="C227" s="21"/>
      <c r="D227" s="21"/>
      <c r="E227" s="21"/>
      <c r="F227" s="21"/>
      <c r="G227" s="21"/>
      <c r="H227" s="21"/>
      <c r="I227" s="21"/>
    </row>
    <row r="228" spans="1:9" x14ac:dyDescent="0.2">
      <c r="A228" s="21"/>
      <c r="B228" s="21"/>
      <c r="C228" s="21"/>
      <c r="D228" s="21"/>
      <c r="E228" s="21"/>
      <c r="F228" s="21"/>
      <c r="G228" s="21"/>
      <c r="H228" s="21"/>
      <c r="I228" s="21"/>
    </row>
    <row r="229" spans="1:9" x14ac:dyDescent="0.2">
      <c r="A229" s="21"/>
      <c r="B229" s="21"/>
      <c r="C229" s="21"/>
      <c r="D229" s="21"/>
      <c r="E229" s="21"/>
      <c r="F229" s="21"/>
      <c r="G229" s="21"/>
      <c r="H229" s="21"/>
      <c r="I229" s="21"/>
    </row>
    <row r="230" spans="1:9" x14ac:dyDescent="0.2">
      <c r="A230" s="21"/>
      <c r="B230" s="21"/>
      <c r="C230" s="21"/>
      <c r="D230" s="21"/>
      <c r="E230" s="21"/>
      <c r="F230" s="21"/>
      <c r="G230" s="21"/>
      <c r="H230" s="21"/>
      <c r="I230" s="21"/>
    </row>
    <row r="231" spans="1:9" x14ac:dyDescent="0.2">
      <c r="A231" s="21"/>
      <c r="B231" s="21"/>
      <c r="C231" s="21"/>
      <c r="D231" s="21"/>
      <c r="E231" s="21"/>
      <c r="F231" s="21"/>
      <c r="G231" s="21"/>
      <c r="H231" s="21"/>
      <c r="I231" s="21"/>
    </row>
    <row r="232" spans="1:9" x14ac:dyDescent="0.2">
      <c r="A232" s="21"/>
      <c r="B232" s="21"/>
      <c r="C232" s="21"/>
      <c r="D232" s="21"/>
      <c r="E232" s="21"/>
      <c r="F232" s="21"/>
      <c r="G232" s="21"/>
      <c r="H232" s="21"/>
      <c r="I232" s="21"/>
    </row>
    <row r="233" spans="1:9" x14ac:dyDescent="0.2">
      <c r="A233" s="21"/>
      <c r="B233" s="21"/>
      <c r="C233" s="21"/>
      <c r="D233" s="21"/>
      <c r="E233" s="21"/>
      <c r="F233" s="21"/>
      <c r="G233" s="21"/>
      <c r="H233" s="21"/>
      <c r="I233" s="21"/>
    </row>
    <row r="234" spans="1:9" x14ac:dyDescent="0.2">
      <c r="A234" s="21"/>
      <c r="B234" s="21"/>
      <c r="C234" s="21"/>
      <c r="D234" s="21"/>
      <c r="E234" s="21"/>
      <c r="F234" s="21"/>
      <c r="G234" s="21"/>
      <c r="H234" s="21"/>
      <c r="I234" s="21"/>
    </row>
    <row r="235" spans="1:9" x14ac:dyDescent="0.2">
      <c r="A235" s="21"/>
      <c r="B235" s="21"/>
      <c r="C235" s="21"/>
      <c r="D235" s="21"/>
      <c r="E235" s="21"/>
      <c r="F235" s="21"/>
      <c r="G235" s="21"/>
      <c r="H235" s="21"/>
      <c r="I235" s="21"/>
    </row>
    <row r="236" spans="1:9" x14ac:dyDescent="0.2">
      <c r="A236" s="21"/>
      <c r="B236" s="21"/>
      <c r="C236" s="21"/>
      <c r="D236" s="21"/>
      <c r="E236" s="21"/>
      <c r="F236" s="21"/>
      <c r="G236" s="21"/>
      <c r="H236" s="21"/>
      <c r="I236" s="21"/>
    </row>
    <row r="237" spans="1:9" x14ac:dyDescent="0.2">
      <c r="A237" s="21"/>
      <c r="B237" s="21"/>
      <c r="C237" s="21"/>
      <c r="D237" s="21"/>
      <c r="E237" s="21"/>
      <c r="F237" s="21"/>
      <c r="G237" s="21"/>
      <c r="H237" s="21"/>
      <c r="I237" s="21"/>
    </row>
    <row r="238" spans="1:9" x14ac:dyDescent="0.2">
      <c r="A238" s="21"/>
      <c r="B238" s="21"/>
      <c r="C238" s="21"/>
      <c r="D238" s="21"/>
      <c r="E238" s="21"/>
      <c r="F238" s="21"/>
      <c r="G238" s="21"/>
      <c r="H238" s="21"/>
      <c r="I238" s="21"/>
    </row>
    <row r="239" spans="1:9" x14ac:dyDescent="0.2">
      <c r="A239" s="21"/>
      <c r="B239" s="21"/>
      <c r="C239" s="21"/>
      <c r="D239" s="21"/>
      <c r="E239" s="21"/>
      <c r="F239" s="21"/>
      <c r="G239" s="21"/>
      <c r="H239" s="21"/>
      <c r="I239" s="21"/>
    </row>
    <row r="240" spans="1:9" x14ac:dyDescent="0.2">
      <c r="A240" s="21"/>
      <c r="B240" s="21"/>
      <c r="C240" s="21"/>
      <c r="D240" s="21"/>
      <c r="E240" s="21"/>
      <c r="F240" s="21"/>
      <c r="G240" s="21"/>
      <c r="H240" s="21"/>
      <c r="I240" s="21"/>
    </row>
    <row r="241" spans="1:9" x14ac:dyDescent="0.2">
      <c r="A241" s="21"/>
      <c r="B241" s="21"/>
      <c r="C241" s="21"/>
      <c r="D241" s="21"/>
      <c r="E241" s="21"/>
      <c r="F241" s="21"/>
      <c r="G241" s="21"/>
      <c r="H241" s="21"/>
      <c r="I241" s="21"/>
    </row>
    <row r="242" spans="1:9" x14ac:dyDescent="0.2">
      <c r="A242" s="21"/>
      <c r="B242" s="21"/>
      <c r="C242" s="21"/>
      <c r="D242" s="21"/>
      <c r="E242" s="21"/>
      <c r="F242" s="21"/>
      <c r="G242" s="21"/>
      <c r="H242" s="21"/>
      <c r="I242" s="21"/>
    </row>
    <row r="243" spans="1:9" x14ac:dyDescent="0.2">
      <c r="A243" s="21"/>
      <c r="B243" s="21"/>
      <c r="C243" s="21"/>
      <c r="D243" s="21"/>
      <c r="E243" s="21"/>
      <c r="F243" s="21"/>
      <c r="G243" s="21"/>
      <c r="H243" s="21"/>
      <c r="I243" s="21"/>
    </row>
    <row r="244" spans="1:9" x14ac:dyDescent="0.2">
      <c r="A244" s="21"/>
      <c r="B244" s="21"/>
      <c r="C244" s="21"/>
      <c r="D244" s="21"/>
      <c r="E244" s="21"/>
      <c r="F244" s="21"/>
      <c r="G244" s="21"/>
      <c r="H244" s="21"/>
      <c r="I244" s="21"/>
    </row>
    <row r="245" spans="1:9" x14ac:dyDescent="0.2">
      <c r="A245" s="21"/>
      <c r="B245" s="21"/>
      <c r="C245" s="21"/>
      <c r="D245" s="21"/>
      <c r="E245" s="21"/>
      <c r="F245" s="21"/>
      <c r="G245" s="21"/>
      <c r="H245" s="21"/>
      <c r="I245" s="21"/>
    </row>
    <row r="246" spans="1:9" x14ac:dyDescent="0.2">
      <c r="A246" s="21"/>
      <c r="B246" s="21"/>
      <c r="C246" s="21"/>
      <c r="D246" s="21"/>
      <c r="E246" s="21"/>
      <c r="F246" s="21"/>
      <c r="G246" s="21"/>
      <c r="H246" s="21"/>
      <c r="I246" s="21"/>
    </row>
    <row r="247" spans="1:9" x14ac:dyDescent="0.2">
      <c r="A247" s="21"/>
      <c r="B247" s="21"/>
      <c r="C247" s="21"/>
      <c r="D247" s="21"/>
      <c r="E247" s="21"/>
      <c r="F247" s="21"/>
      <c r="G247" s="21"/>
      <c r="H247" s="21"/>
      <c r="I247" s="21"/>
    </row>
    <row r="248" spans="1:9" x14ac:dyDescent="0.2">
      <c r="A248" s="21"/>
      <c r="B248" s="21"/>
      <c r="C248" s="21"/>
      <c r="D248" s="21"/>
      <c r="E248" s="21"/>
      <c r="F248" s="21"/>
      <c r="G248" s="21"/>
      <c r="H248" s="21"/>
      <c r="I248" s="21"/>
    </row>
    <row r="249" spans="1:9" x14ac:dyDescent="0.2">
      <c r="A249" s="21"/>
      <c r="B249" s="21"/>
      <c r="C249" s="21"/>
      <c r="D249" s="21"/>
      <c r="E249" s="21"/>
      <c r="F249" s="21"/>
      <c r="G249" s="21"/>
      <c r="H249" s="21"/>
      <c r="I249" s="21"/>
    </row>
    <row r="250" spans="1:9" x14ac:dyDescent="0.2">
      <c r="A250" s="21"/>
      <c r="B250" s="21"/>
      <c r="C250" s="21"/>
      <c r="D250" s="21"/>
      <c r="E250" s="21"/>
      <c r="F250" s="21"/>
      <c r="G250" s="21"/>
      <c r="H250" s="21"/>
      <c r="I250" s="21"/>
    </row>
  </sheetData>
  <sheetProtection sheet="1" objects="1" scenarios="1"/>
  <phoneticPr fontId="0" type="noConversion"/>
  <dataValidations xWindow="208" yWindow="358" count="6">
    <dataValidation type="decimal" operator="greaterThan" allowBlank="1" showInputMessage="1" showErrorMessage="1" error="The value input MUST BE &gt; 0!" prompt="The value 'Pv' is actually the vertical component of the resultant load, 'P'.  'Pv' should always be input as a positive number (&gt;0)." sqref="C12">
      <formula1>0</formula1>
    </dataValidation>
    <dataValidation type="decimal" operator="greaterThanOrEqual" allowBlank="1" showInputMessage="1" showErrorMessage="1" error="The value input MUST BE &gt;= 0!" prompt="The value of 'Ph' is actually the horizontal component of the resultant load, 'P'.  'Ph' may be input = 0 for conditions where only vertical load applies.  'Ph' is assumed applied at the C.G. of the weld group." sqref="C13">
      <formula1>0</formula1>
    </dataValidation>
    <dataValidation type="decimal" allowBlank="1" showInputMessage="1" showErrorMessage="1" error="The value input MUST BE between 0 and 3*L!" prompt="The value input here should be the distance from the point of application of the vertical load (Pv) to the C.G. of the weld group." sqref="C14">
      <formula1>0</formula1>
      <formula2>3*$C$9</formula2>
    </dataValidation>
    <dataValidation type="list" allowBlank="1" showInputMessage="1" showErrorMessage="1" error="Invalid fillet weld size!" sqref="C11">
      <formula1>$K$3:$K$11</formula1>
    </dataValidation>
    <dataValidation type="decimal" allowBlank="1" showInputMessage="1" showErrorMessage="1" error="The value input MUST BE between 0 and L!_x000a_Use &quot;Weld Group (elastic)&quot; worksheet." sqref="C10">
      <formula1>0</formula1>
      <formula2>$C$9</formula2>
    </dataValidation>
    <dataValidation type="decimal" operator="greaterThanOrEqual" allowBlank="1" showInputMessage="1" showErrorMessage="1" error="The value input MUST BE &gt;= kL!_x000a_Use &quot;Weld Group (elastic)&quot; worksheet." sqref="C9">
      <formula1>$C$10</formula1>
    </dataValidation>
  </dataValidations>
  <pageMargins left="1" right="0.5" top="1" bottom="1" header="0.5" footer="0.5"/>
  <pageSetup scale="98" orientation="portrait" r:id="rId1"/>
  <headerFooter alignWithMargins="0">
    <oddHeader>&amp;R"WELDGRP.xls" Program
Version 2.3</oddHeader>
    <oddFooter>&amp;C&amp;P of &amp;N&amp;R&amp;D  &amp;T</oddFooter>
  </headerFooter>
  <rowBreaks count="3" manualBreakCount="3">
    <brk id="100" max="8" man="1"/>
    <brk id="150" max="8" man="1"/>
    <brk id="200" max="8" man="1"/>
  </rowBreaks>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1211211111111121"/>
  <dimension ref="A1:AL250"/>
  <sheetViews>
    <sheetView zoomScaleNormal="100" workbookViewId="0"/>
  </sheetViews>
  <sheetFormatPr defaultRowHeight="12.75" x14ac:dyDescent="0.2"/>
  <cols>
    <col min="1" max="1" width="11.28515625" style="18" customWidth="1"/>
    <col min="2" max="2" width="9.140625" style="18"/>
    <col min="3" max="4" width="10.7109375" style="18" customWidth="1"/>
    <col min="5" max="8" width="9.140625" style="18"/>
    <col min="9" max="9" width="12.140625" style="18" customWidth="1"/>
    <col min="10" max="13" width="9.140625" style="43" hidden="1" customWidth="1"/>
    <col min="14" max="14" width="9.140625" style="44" hidden="1" customWidth="1"/>
    <col min="15" max="23" width="9.140625" style="43" hidden="1" customWidth="1"/>
    <col min="24" max="33" width="9.140625" style="18" hidden="1" customWidth="1"/>
    <col min="34" max="16384" width="9.140625" style="18"/>
  </cols>
  <sheetData>
    <row r="1" spans="1:38" ht="15.75" x14ac:dyDescent="0.25">
      <c r="A1" s="17" t="s">
        <v>1101</v>
      </c>
      <c r="B1" s="26"/>
      <c r="C1" s="26"/>
      <c r="D1" s="26"/>
      <c r="E1" s="26"/>
      <c r="F1" s="26"/>
      <c r="G1" s="26"/>
      <c r="H1" s="26"/>
      <c r="I1" s="285"/>
      <c r="J1" s="213"/>
      <c r="K1" s="245"/>
      <c r="L1" s="129"/>
      <c r="M1" s="82" t="s">
        <v>1181</v>
      </c>
      <c r="N1" s="43"/>
      <c r="O1" s="44"/>
      <c r="R1" s="51"/>
      <c r="AH1" s="317" t="s">
        <v>1266</v>
      </c>
      <c r="AI1" s="43"/>
      <c r="AJ1" s="43"/>
      <c r="AK1" s="43"/>
      <c r="AL1" s="43"/>
    </row>
    <row r="2" spans="1:38" x14ac:dyDescent="0.2">
      <c r="A2" s="27" t="s">
        <v>1365</v>
      </c>
      <c r="B2" s="28"/>
      <c r="C2" s="28"/>
      <c r="D2" s="28"/>
      <c r="E2" s="28"/>
      <c r="F2" s="28"/>
      <c r="G2" s="28"/>
      <c r="H2" s="28"/>
      <c r="I2" s="292"/>
      <c r="J2" s="213"/>
      <c r="K2" s="41"/>
      <c r="L2" s="129"/>
      <c r="N2" s="43"/>
      <c r="O2" s="44"/>
      <c r="R2" s="51"/>
      <c r="AH2" s="43"/>
      <c r="AI2" s="43"/>
      <c r="AJ2" s="43"/>
      <c r="AK2" s="43"/>
      <c r="AL2" s="43"/>
    </row>
    <row r="3" spans="1:38" x14ac:dyDescent="0.2">
      <c r="A3" s="20" t="s">
        <v>1202</v>
      </c>
      <c r="B3" s="34"/>
      <c r="C3" s="34"/>
      <c r="D3" s="34"/>
      <c r="E3" s="34"/>
      <c r="F3" s="34"/>
      <c r="G3" s="34"/>
      <c r="H3" s="34"/>
      <c r="I3" s="426"/>
      <c r="J3" s="213"/>
      <c r="K3" s="208">
        <v>0.125</v>
      </c>
      <c r="M3" s="69" t="s">
        <v>1196</v>
      </c>
      <c r="N3" s="11">
        <f>$C$9</f>
        <v>10</v>
      </c>
      <c r="O3" s="59" t="s">
        <v>1172</v>
      </c>
      <c r="P3" s="59" t="s">
        <v>1178</v>
      </c>
      <c r="R3" s="51"/>
      <c r="AH3" s="43"/>
      <c r="AI3" s="43"/>
      <c r="AJ3" s="43"/>
      <c r="AK3" s="43"/>
      <c r="AL3" s="43"/>
    </row>
    <row r="4" spans="1:38" x14ac:dyDescent="0.2">
      <c r="A4" s="286" t="s">
        <v>1115</v>
      </c>
      <c r="B4" s="287"/>
      <c r="C4" s="288"/>
      <c r="D4" s="288"/>
      <c r="E4" s="288"/>
      <c r="F4" s="291" t="s">
        <v>1206</v>
      </c>
      <c r="G4" s="423"/>
      <c r="H4" s="424"/>
      <c r="I4" s="314"/>
      <c r="J4" s="121"/>
      <c r="K4" s="208">
        <v>0.1875</v>
      </c>
      <c r="M4" s="69" t="s">
        <v>1180</v>
      </c>
      <c r="N4" s="11">
        <f>$C$10</f>
        <v>5</v>
      </c>
      <c r="O4" s="59" t="s">
        <v>1172</v>
      </c>
      <c r="P4" s="59" t="s">
        <v>1100</v>
      </c>
      <c r="R4" s="51"/>
      <c r="AH4" s="45" t="s">
        <v>1174</v>
      </c>
      <c r="AI4" s="43"/>
      <c r="AJ4" s="43"/>
      <c r="AK4" s="43"/>
      <c r="AL4" s="43"/>
    </row>
    <row r="5" spans="1:38" x14ac:dyDescent="0.2">
      <c r="A5" s="286" t="s">
        <v>1111</v>
      </c>
      <c r="B5" s="313"/>
      <c r="C5" s="289"/>
      <c r="D5" s="289"/>
      <c r="E5" s="290"/>
      <c r="F5" s="291" t="s">
        <v>1207</v>
      </c>
      <c r="G5" s="312"/>
      <c r="H5" s="131" t="s">
        <v>1208</v>
      </c>
      <c r="I5" s="544"/>
      <c r="J5" s="121"/>
      <c r="K5" s="208">
        <v>0.25</v>
      </c>
      <c r="M5" s="69" t="s">
        <v>1195</v>
      </c>
      <c r="N5" s="11">
        <f>ROUND(($N$4^2/(2*$N$4+$N$3)),3)</f>
        <v>1.25</v>
      </c>
      <c r="O5" s="59" t="s">
        <v>1172</v>
      </c>
      <c r="P5" s="110" t="s">
        <v>1136</v>
      </c>
      <c r="R5" s="51"/>
      <c r="AH5" s="12" t="s">
        <v>1173</v>
      </c>
      <c r="AI5" s="49" t="s">
        <v>1113</v>
      </c>
      <c r="AJ5" s="43"/>
      <c r="AK5" s="43"/>
      <c r="AL5" s="50" t="s">
        <v>1081</v>
      </c>
    </row>
    <row r="6" spans="1:38" x14ac:dyDescent="0.2">
      <c r="A6" s="30"/>
      <c r="B6" s="121"/>
      <c r="C6" s="121"/>
      <c r="D6" s="121"/>
      <c r="E6" s="121"/>
      <c r="F6" s="121"/>
      <c r="G6" s="420"/>
      <c r="H6" s="122"/>
      <c r="I6" s="550"/>
      <c r="J6" s="51"/>
      <c r="K6" s="208">
        <v>0.3125</v>
      </c>
      <c r="M6" s="69" t="s">
        <v>1085</v>
      </c>
      <c r="N6" s="11">
        <f>$C$14-$N$5</f>
        <v>8.75</v>
      </c>
      <c r="O6" s="59" t="s">
        <v>1172</v>
      </c>
      <c r="P6" s="110" t="s">
        <v>1087</v>
      </c>
      <c r="AH6" s="101" t="s">
        <v>1179</v>
      </c>
      <c r="AI6" s="43"/>
      <c r="AJ6" s="43"/>
      <c r="AK6" s="43"/>
      <c r="AL6" s="85"/>
    </row>
    <row r="7" spans="1:38" x14ac:dyDescent="0.2">
      <c r="A7" s="115" t="s">
        <v>1112</v>
      </c>
      <c r="B7" s="121"/>
      <c r="C7" s="121"/>
      <c r="D7" s="121"/>
      <c r="E7" s="121"/>
      <c r="F7" s="121"/>
      <c r="G7" s="121"/>
      <c r="H7" s="122"/>
      <c r="I7" s="547"/>
      <c r="K7" s="208">
        <v>0.375</v>
      </c>
      <c r="M7" s="69" t="s">
        <v>1124</v>
      </c>
      <c r="N7" s="11">
        <f>$N$6/$N$3</f>
        <v>0.875</v>
      </c>
      <c r="O7" s="59"/>
      <c r="P7" s="110" t="s">
        <v>1086</v>
      </c>
      <c r="AH7" s="48">
        <v>44</v>
      </c>
      <c r="AI7" s="63" t="str">
        <f>IF($C$11*16&gt;=$N$18,"D(prov'd) &gt;= D(req'd), O.K.","D(prov'd) &lt; D(req'd), Fail")</f>
        <v>D(prov'd) &gt;= D(req'd), O.K.</v>
      </c>
      <c r="AJ7" s="43"/>
      <c r="AK7" s="43"/>
      <c r="AL7" s="239">
        <f>$N$18/($C$11*16)</f>
        <v>0.99912500000000004</v>
      </c>
    </row>
    <row r="8" spans="1:38" x14ac:dyDescent="0.2">
      <c r="A8" s="30"/>
      <c r="B8" s="121"/>
      <c r="C8" s="121"/>
      <c r="D8" s="121"/>
      <c r="E8" s="121"/>
      <c r="F8" s="121"/>
      <c r="G8" s="121"/>
      <c r="H8" s="122"/>
      <c r="I8" s="547"/>
      <c r="K8" s="208">
        <v>0.4375</v>
      </c>
      <c r="M8" s="69" t="s">
        <v>1138</v>
      </c>
      <c r="N8" s="11">
        <f>$N$4/$N$3</f>
        <v>0.5</v>
      </c>
      <c r="O8" s="134" t="str">
        <f>IF($N$8&gt;2,"Value of 'k' exceeds 2.0, beyond scope of table!","")</f>
        <v/>
      </c>
      <c r="P8" s="110" t="s">
        <v>1088</v>
      </c>
      <c r="AH8" s="48">
        <v>45</v>
      </c>
      <c r="AI8" s="63" t="str">
        <f>IF($N$3&gt;=$N$19,"L(prov'd) &gt;= L(req'd), O.K.","L(prov'd) &lt; L(req'd), Fail")</f>
        <v>L(prov'd) &gt;= L(req'd), O.K.</v>
      </c>
      <c r="AJ8" s="43"/>
      <c r="AK8" s="43"/>
      <c r="AL8" s="239">
        <f>$N$19/$N$3</f>
        <v>0.99909999999999999</v>
      </c>
    </row>
    <row r="9" spans="1:38" x14ac:dyDescent="0.2">
      <c r="A9" s="30"/>
      <c r="B9" s="56" t="s">
        <v>1091</v>
      </c>
      <c r="C9" s="280">
        <v>10</v>
      </c>
      <c r="D9" s="138" t="s">
        <v>1172</v>
      </c>
      <c r="E9" s="21"/>
      <c r="F9" s="21"/>
      <c r="G9" s="231">
        <f>$C$14</f>
        <v>10</v>
      </c>
      <c r="H9" s="309"/>
      <c r="I9" s="547"/>
      <c r="J9" s="137"/>
      <c r="K9" s="208">
        <v>0.5</v>
      </c>
      <c r="M9" s="46" t="s">
        <v>1184</v>
      </c>
      <c r="N9" s="136">
        <f>1</f>
        <v>1</v>
      </c>
      <c r="O9" s="44"/>
      <c r="P9" s="44" t="s">
        <v>1185</v>
      </c>
      <c r="AH9" s="48"/>
      <c r="AI9" s="63"/>
      <c r="AJ9" s="43"/>
      <c r="AK9" s="43"/>
      <c r="AL9" s="11"/>
    </row>
    <row r="10" spans="1:38" x14ac:dyDescent="0.2">
      <c r="A10" s="30"/>
      <c r="B10" s="56" t="s">
        <v>1140</v>
      </c>
      <c r="C10" s="281">
        <v>5</v>
      </c>
      <c r="D10" s="138" t="s">
        <v>1172</v>
      </c>
      <c r="E10" s="21"/>
      <c r="F10" s="21"/>
      <c r="G10" s="235" t="str">
        <f>"    aL="&amp;$N$6</f>
        <v xml:space="preserve">    aL=8.75</v>
      </c>
      <c r="H10" s="51"/>
      <c r="I10" s="549"/>
      <c r="J10" s="238"/>
      <c r="K10" s="208">
        <v>0.5625</v>
      </c>
      <c r="M10" s="69" t="s">
        <v>1122</v>
      </c>
      <c r="N10" s="11">
        <f>ROUND(IF($N$8&lt;=2,$AF$51,"N.A."),3)</f>
        <v>0.70399999999999996</v>
      </c>
      <c r="O10" s="137"/>
      <c r="P10" s="110" t="s">
        <v>1171</v>
      </c>
      <c r="AH10" s="43"/>
      <c r="AI10" s="43"/>
      <c r="AJ10" s="43"/>
      <c r="AK10" s="43"/>
      <c r="AL10" s="43"/>
    </row>
    <row r="11" spans="1:38" x14ac:dyDescent="0.2">
      <c r="A11" s="30"/>
      <c r="B11" s="56" t="s">
        <v>1197</v>
      </c>
      <c r="C11" s="282">
        <v>0.5</v>
      </c>
      <c r="D11" s="138" t="str">
        <f>"in. = "&amp;$C$11*16&amp;" (1/16's)"</f>
        <v>in. = 8 (1/16's)</v>
      </c>
      <c r="E11" s="121"/>
      <c r="F11" s="21"/>
      <c r="G11" s="235"/>
      <c r="H11" s="51"/>
      <c r="I11" s="78"/>
      <c r="J11" s="112"/>
      <c r="K11" s="208">
        <v>0.625</v>
      </c>
      <c r="M11" s="46" t="s">
        <v>1187</v>
      </c>
      <c r="N11" s="54">
        <f>ROUND(SQRT($C$12^2+$C$13^2),2)</f>
        <v>90</v>
      </c>
      <c r="O11" s="44" t="s">
        <v>1114</v>
      </c>
      <c r="P11" s="44" t="s">
        <v>1120</v>
      </c>
      <c r="AH11" s="43"/>
      <c r="AI11" s="301" t="str">
        <f>IF(OR($N$18&gt;$C$11*16,$N$19&gt;$N$3),"Weld is overstressed!","Weld is adequate!")</f>
        <v>Weld is adequate!</v>
      </c>
      <c r="AJ11" s="35"/>
      <c r="AK11" s="36"/>
      <c r="AL11" s="43"/>
    </row>
    <row r="12" spans="1:38" x14ac:dyDescent="0.2">
      <c r="A12" s="30"/>
      <c r="B12" s="56" t="s">
        <v>1102</v>
      </c>
      <c r="C12" s="283">
        <v>23.29</v>
      </c>
      <c r="D12" s="138" t="s">
        <v>1114</v>
      </c>
      <c r="E12" s="121"/>
      <c r="F12" s="21"/>
      <c r="G12" s="234"/>
      <c r="H12" s="42" t="str">
        <f>"  Pv="&amp;$C$12&amp;" k"</f>
        <v xml:space="preserve">  Pv=23.29 k</v>
      </c>
      <c r="I12" s="78"/>
      <c r="J12" s="12"/>
      <c r="M12" s="46" t="s">
        <v>1183</v>
      </c>
      <c r="N12" s="52">
        <f>IF($C$13&gt;0,ROUND(90-(ATAN($C$12/$C$13)*(180/PI())),3),0)</f>
        <v>75.001999999999995</v>
      </c>
      <c r="O12" s="44" t="s">
        <v>1103</v>
      </c>
      <c r="P12" s="102" t="s">
        <v>1157</v>
      </c>
      <c r="AH12" s="43"/>
      <c r="AI12" s="302" t="str">
        <f>IF($N$18&gt;$C$11*16,"D(req'd) = "&amp;$N$18&amp;" &gt; "&amp;$C$11*16&amp;" (1/16's)","D(req'd) = "&amp;$N$18&amp;" &lt;= "&amp;$C$11*16&amp;" (1/16's)")</f>
        <v>D(req'd) = 7.993 &lt;= 8 (1/16's)</v>
      </c>
      <c r="AJ12" s="37"/>
      <c r="AK12" s="303"/>
      <c r="AL12" s="43"/>
    </row>
    <row r="13" spans="1:38" x14ac:dyDescent="0.2">
      <c r="A13" s="30"/>
      <c r="B13" s="56" t="s">
        <v>1121</v>
      </c>
      <c r="C13" s="283">
        <v>86.93</v>
      </c>
      <c r="D13" s="138" t="s">
        <v>1114</v>
      </c>
      <c r="E13" s="21"/>
      <c r="F13" s="21"/>
      <c r="G13" s="56"/>
      <c r="H13" s="40" t="s">
        <v>1210</v>
      </c>
      <c r="I13" s="294" t="str">
        <f>""&amp;ROUND($N$12,2)</f>
        <v>75</v>
      </c>
      <c r="J13" s="12"/>
      <c r="M13" s="46" t="s">
        <v>1160</v>
      </c>
      <c r="N13" s="52">
        <f>IF($N$12&gt;0,$N$10,"N.A.")</f>
        <v>0.70399999999999996</v>
      </c>
      <c r="O13" s="44"/>
      <c r="P13" s="103" t="s">
        <v>1189</v>
      </c>
      <c r="AH13" s="43"/>
      <c r="AI13" s="304" t="str">
        <f>IF($N$19&gt;$N$3,"L(req'd) = "&amp;$N$19&amp;" &gt; "&amp;$N$3&amp;" in.","L(req'd) = "&amp;$N$19&amp;" &lt;= "&amp;$N$3&amp;" in.")</f>
        <v>L(req'd) = 9.991 &lt;= 10 in.</v>
      </c>
      <c r="AJ13" s="305"/>
      <c r="AK13" s="306"/>
      <c r="AL13" s="43"/>
    </row>
    <row r="14" spans="1:38" x14ac:dyDescent="0.2">
      <c r="A14" s="30"/>
      <c r="B14" s="56" t="s">
        <v>1158</v>
      </c>
      <c r="C14" s="284">
        <v>10</v>
      </c>
      <c r="D14" s="138" t="s">
        <v>1172</v>
      </c>
      <c r="E14" s="21"/>
      <c r="F14" s="21"/>
      <c r="G14" s="143"/>
      <c r="H14" s="300"/>
      <c r="I14" s="293"/>
      <c r="J14" s="12"/>
      <c r="M14" s="46" t="s">
        <v>1130</v>
      </c>
      <c r="N14" s="52">
        <f>IF($N$12&gt;0,0.928*(1+2*$N$8),"N.A.")</f>
        <v>1.8560000000000001</v>
      </c>
      <c r="O14" s="44"/>
      <c r="P14" s="103" t="s">
        <v>1131</v>
      </c>
      <c r="AH14" s="43"/>
      <c r="AI14" s="43"/>
      <c r="AJ14" s="43"/>
      <c r="AK14" s="43"/>
      <c r="AL14" s="43"/>
    </row>
    <row r="15" spans="1:38" x14ac:dyDescent="0.2">
      <c r="A15" s="30"/>
      <c r="B15" s="21"/>
      <c r="C15" s="21"/>
      <c r="D15" s="21"/>
      <c r="E15" s="21"/>
      <c r="F15" s="21"/>
      <c r="G15" s="60"/>
      <c r="H15" s="231"/>
      <c r="I15" s="294" t="str">
        <f>IF($C$13&gt;0,"     P="&amp;$N$11&amp;" k","     P=Pv")</f>
        <v xml:space="preserve">     P=90 k</v>
      </c>
      <c r="J15" s="12"/>
      <c r="M15" s="46" t="s">
        <v>1188</v>
      </c>
      <c r="N15" s="52">
        <f>IF($N$12&gt;0,IF($N$14/$N$13&lt;1,1,$N$14/$N$13),"N.A.")</f>
        <v>2.6363636363636367</v>
      </c>
      <c r="O15" s="44"/>
      <c r="P15" s="103" t="s">
        <v>1132</v>
      </c>
      <c r="AH15" s="43"/>
      <c r="AI15" s="43"/>
      <c r="AJ15" s="43"/>
      <c r="AK15" s="43"/>
      <c r="AL15" s="43"/>
    </row>
    <row r="16" spans="1:38" x14ac:dyDescent="0.2">
      <c r="A16" s="22" t="s">
        <v>1201</v>
      </c>
      <c r="B16" s="21"/>
      <c r="C16" s="21"/>
      <c r="D16" s="68" t="str">
        <f>IF($C$14&lt;$N$5,"(Use Table XXIV instead)","")</f>
        <v/>
      </c>
      <c r="E16" s="21"/>
      <c r="F16" s="21"/>
      <c r="G16" s="21"/>
      <c r="H16" s="60"/>
      <c r="I16" s="295"/>
      <c r="M16" s="46" t="s">
        <v>1133</v>
      </c>
      <c r="N16" s="52">
        <f>IF($N$12&gt;0,IF($N$15/(SIN($N$12*PI()/180)+$N$15*COS($N$12*PI()/180))&lt;1,1,$N$15/(SIN($N$12*PI()/180)+$N$15*COS($N$12*PI()/180))),"N.A.")</f>
        <v>1.599553628123439</v>
      </c>
      <c r="O16" s="44"/>
      <c r="P16" s="44" t="s">
        <v>1198</v>
      </c>
      <c r="AH16" s="43"/>
      <c r="AI16" s="43"/>
      <c r="AJ16" s="43"/>
      <c r="AK16" s="43"/>
      <c r="AL16" s="43"/>
    </row>
    <row r="17" spans="1:38" ht="12.75" customHeight="1" x14ac:dyDescent="0.2">
      <c r="A17" s="30"/>
      <c r="B17" s="21"/>
      <c r="C17" s="21"/>
      <c r="D17" s="21"/>
      <c r="E17" s="232" t="s">
        <v>1159</v>
      </c>
      <c r="F17" s="21"/>
      <c r="G17" s="21"/>
      <c r="H17" s="60"/>
      <c r="I17" s="293"/>
      <c r="J17" s="12"/>
      <c r="M17" s="46" t="s">
        <v>1143</v>
      </c>
      <c r="N17" s="52">
        <f>IF($N$12&gt;0,ROUND($N$16*$N$13,3),"N.A.")</f>
        <v>1.1259999999999999</v>
      </c>
      <c r="O17" s="44"/>
      <c r="P17" s="44" t="s">
        <v>1105</v>
      </c>
      <c r="AH17" s="240"/>
      <c r="AI17" s="118"/>
      <c r="AJ17" s="43"/>
      <c r="AK17" s="43"/>
      <c r="AL17" s="43"/>
    </row>
    <row r="18" spans="1:38" x14ac:dyDescent="0.2">
      <c r="A18" s="105" t="str">
        <f>IF($C$13&gt;0,"P = Ca*C1*D*L  (for inclined load)","P = Pv = C*C1*D*L  (for vertical load only)")</f>
        <v>P = Ca*C1*D*L  (for inclined load)</v>
      </c>
      <c r="B18" s="21"/>
      <c r="C18" s="21"/>
      <c r="D18" s="21"/>
      <c r="E18" s="231">
        <f>$N$3</f>
        <v>10</v>
      </c>
      <c r="F18" s="21"/>
      <c r="G18" s="311" t="s">
        <v>1175</v>
      </c>
      <c r="H18" s="25" t="str">
        <f>IF($C$13&gt;0,"        Ph="&amp;$C$13&amp;" k (@ C.G.)","                   Ph=0")</f>
        <v xml:space="preserve">        Ph=86.93 k (@ C.G.)</v>
      </c>
      <c r="I18" s="24"/>
      <c r="J18" s="47"/>
      <c r="M18" s="69" t="s">
        <v>1193</v>
      </c>
      <c r="N18" s="11">
        <f>IF($N$12&gt;0,ROUND($N$11/($N$17*$N$9*$N$3),3),ROUND($N$11/($N$10*$N$9*$N$3),3))</f>
        <v>7.9930000000000003</v>
      </c>
      <c r="O18" s="140" t="s">
        <v>1099</v>
      </c>
      <c r="P18" s="59" t="str">
        <f>IF($N$12&gt;0,"D(req'd) = P/(Ca*C1*L)","D(req'd) = P/(C*C1*L)")</f>
        <v>D(req'd) = P/(Ca*C1*L)</v>
      </c>
      <c r="AH18" s="240"/>
      <c r="AI18" s="118"/>
      <c r="AJ18" s="43"/>
      <c r="AK18" s="43"/>
      <c r="AL18" s="43"/>
    </row>
    <row r="19" spans="1:38" x14ac:dyDescent="0.2">
      <c r="A19" s="30" t="s">
        <v>1209</v>
      </c>
      <c r="B19" s="21"/>
      <c r="C19" s="21"/>
      <c r="D19" s="21"/>
      <c r="E19" s="21"/>
      <c r="F19" s="21"/>
      <c r="G19" s="21"/>
      <c r="H19" s="51"/>
      <c r="I19" s="78"/>
      <c r="J19" s="47"/>
      <c r="M19" s="69" t="s">
        <v>1190</v>
      </c>
      <c r="N19" s="11">
        <f>IF($N$12&gt;0,ROUND($N$11/($N$9*$N$17*($C$11*16)),3),ROUND($N$11/($N$9*$N$10*($C$11*16)),3))</f>
        <v>9.9909999999999997</v>
      </c>
      <c r="O19" s="59" t="s">
        <v>1172</v>
      </c>
      <c r="P19" s="59" t="str">
        <f>IF($N$12&gt;0,"L(req'd) = P/(Ca*C1*D)","L(req'd) = P/(C*C1*D)")</f>
        <v>L(req'd) = P/(Ca*C1*D)</v>
      </c>
    </row>
    <row r="20" spans="1:38" x14ac:dyDescent="0.2">
      <c r="A20" s="296" t="str">
        <f>IF($C$13&gt;0,"Ca = coefficient for inclined load, Alt. Method 2","C = coefficient interpolated from Table XXIII")</f>
        <v>Ca = coefficient for inclined load, Alt. Method 2</v>
      </c>
      <c r="B20" s="21"/>
      <c r="C20" s="21"/>
      <c r="D20" s="21"/>
      <c r="E20" s="21"/>
      <c r="F20" s="21"/>
      <c r="G20" s="21"/>
      <c r="H20" s="51"/>
      <c r="I20" s="78"/>
      <c r="J20" s="47"/>
      <c r="M20" s="128"/>
      <c r="N20" s="207"/>
      <c r="O20" s="40"/>
      <c r="P20" s="59"/>
    </row>
    <row r="21" spans="1:38" x14ac:dyDescent="0.2">
      <c r="A21" s="30" t="s">
        <v>1106</v>
      </c>
      <c r="B21" s="21"/>
      <c r="C21" s="21"/>
      <c r="D21" s="21"/>
      <c r="E21" s="21"/>
      <c r="F21" s="21"/>
      <c r="G21" s="21"/>
      <c r="H21" s="21"/>
      <c r="I21" s="78"/>
      <c r="J21" s="12"/>
      <c r="N21" s="43"/>
      <c r="P21" s="147"/>
      <c r="Q21" s="18"/>
      <c r="R21" s="18"/>
      <c r="S21" s="18"/>
      <c r="T21" s="18"/>
      <c r="U21" s="18"/>
      <c r="V21" s="18"/>
      <c r="W21" s="18"/>
      <c r="AC21" s="148" t="s">
        <v>1092</v>
      </c>
      <c r="AD21" s="149"/>
      <c r="AE21" s="149"/>
      <c r="AF21" s="150"/>
    </row>
    <row r="22" spans="1:38" x14ac:dyDescent="0.2">
      <c r="A22" s="30" t="s">
        <v>1135</v>
      </c>
      <c r="B22" s="21"/>
      <c r="C22" s="21"/>
      <c r="D22" s="21"/>
      <c r="E22" s="42" t="str">
        <f>"            xL="&amp;$N$5</f>
        <v xml:space="preserve">            xL=1.25</v>
      </c>
      <c r="F22" s="21"/>
      <c r="G22" s="25" t="str">
        <f>"          "&amp;($N$8-$N$5/$N$3)*$N$3</f>
        <v xml:space="preserve">          3.75</v>
      </c>
      <c r="H22" s="143"/>
      <c r="I22" s="293"/>
      <c r="J22" s="12"/>
      <c r="K22" s="120" t="s">
        <v>1089</v>
      </c>
      <c r="L22" s="209"/>
      <c r="M22" s="210"/>
      <c r="N22" s="210"/>
      <c r="O22" s="210"/>
      <c r="P22" s="210"/>
      <c r="Q22" s="210"/>
      <c r="R22" s="210"/>
      <c r="S22" s="210"/>
      <c r="T22" s="209"/>
      <c r="U22" s="210"/>
      <c r="V22" s="210"/>
      <c r="W22" s="210"/>
      <c r="X22" s="211"/>
      <c r="Y22" s="210"/>
      <c r="Z22" s="123"/>
      <c r="AA22" s="124"/>
      <c r="AB22" s="51"/>
      <c r="AC22" s="151"/>
      <c r="AD22" s="152" t="s">
        <v>1093</v>
      </c>
      <c r="AE22" s="153" t="s">
        <v>1148</v>
      </c>
      <c r="AF22" s="154" t="s">
        <v>1093</v>
      </c>
    </row>
    <row r="23" spans="1:38" x14ac:dyDescent="0.2">
      <c r="A23" s="30" t="s">
        <v>1178</v>
      </c>
      <c r="B23" s="21"/>
      <c r="C23" s="21"/>
      <c r="D23" s="37"/>
      <c r="E23" s="21"/>
      <c r="F23" s="21"/>
      <c r="G23" s="21"/>
      <c r="H23" s="83" t="str">
        <f>IF($K$2="Yes",IF($N$7&gt;3,"Value of 'a' exceeds 3.0, beyond scope of table!",""),"")</f>
        <v/>
      </c>
      <c r="I23" s="293"/>
      <c r="J23" s="7"/>
      <c r="K23" s="155"/>
      <c r="L23" s="156" t="s">
        <v>1148</v>
      </c>
      <c r="M23" s="116"/>
      <c r="N23" s="116"/>
      <c r="O23" s="116"/>
      <c r="P23" s="116"/>
      <c r="Q23" s="116"/>
      <c r="R23" s="116"/>
      <c r="S23" s="116"/>
      <c r="T23" s="157"/>
      <c r="U23" s="116"/>
      <c r="V23" s="116"/>
      <c r="W23" s="116"/>
      <c r="X23" s="116"/>
      <c r="Y23" s="116"/>
      <c r="Z23" s="116"/>
      <c r="AA23" s="117"/>
      <c r="AB23" s="51"/>
      <c r="AC23" s="151"/>
      <c r="AD23" s="158">
        <f>LOOKUP($AD$24,$L$24:$AA$24,$L$50:$AA$50)</f>
        <v>6</v>
      </c>
      <c r="AE23" s="158" t="s">
        <v>1094</v>
      </c>
      <c r="AF23" s="159">
        <f>LOOKUP($AD$23+1,$L$50:$AA$50)</f>
        <v>7</v>
      </c>
    </row>
    <row r="24" spans="1:38" x14ac:dyDescent="0.2">
      <c r="A24" s="543" t="str">
        <f>IF($N$7&gt;3,"Value of 'a' exceeds 3.0, beyond scope of table!","")</f>
        <v/>
      </c>
      <c r="B24" s="21"/>
      <c r="C24" s="21"/>
      <c r="D24" s="21"/>
      <c r="E24" s="42"/>
      <c r="F24" s="42" t="str">
        <f>"            kL="&amp;$N$4</f>
        <v xml:space="preserve">            kL=5</v>
      </c>
      <c r="G24" s="7"/>
      <c r="H24" s="83" t="str">
        <f>IF($K$2="Yes",IF($N$8&gt;2,"Value of 'k' exceeds 2.0, beyond scope of table!",""),"")</f>
        <v/>
      </c>
      <c r="I24" s="293"/>
      <c r="J24" s="112"/>
      <c r="K24" s="160" t="s">
        <v>1095</v>
      </c>
      <c r="L24" s="161">
        <v>0</v>
      </c>
      <c r="M24" s="162">
        <v>0.1</v>
      </c>
      <c r="N24" s="161">
        <v>0.2</v>
      </c>
      <c r="O24" s="162">
        <v>0.3</v>
      </c>
      <c r="P24" s="161">
        <v>0.4</v>
      </c>
      <c r="Q24" s="162">
        <v>0.5</v>
      </c>
      <c r="R24" s="161">
        <v>0.6</v>
      </c>
      <c r="S24" s="162">
        <v>0.7</v>
      </c>
      <c r="T24" s="161">
        <v>0.8</v>
      </c>
      <c r="U24" s="162">
        <v>0.9</v>
      </c>
      <c r="V24" s="163">
        <v>1</v>
      </c>
      <c r="W24" s="162">
        <v>1.2</v>
      </c>
      <c r="X24" s="161">
        <v>1.4</v>
      </c>
      <c r="Y24" s="162">
        <v>1.6</v>
      </c>
      <c r="Z24" s="161">
        <v>1.8</v>
      </c>
      <c r="AA24" s="164">
        <v>2</v>
      </c>
      <c r="AB24" s="307" t="s">
        <v>1096</v>
      </c>
      <c r="AC24" s="165" t="s">
        <v>1096</v>
      </c>
      <c r="AD24" s="166">
        <f>LOOKUP($N$8,$L$24:$AA$24)</f>
        <v>0.5</v>
      </c>
      <c r="AE24" s="167">
        <f>$N$8</f>
        <v>0.5</v>
      </c>
      <c r="AF24" s="168">
        <f>LOOKUP($AF$23,$L$50:$AA$50,$L$24:$AA$24)</f>
        <v>0.6</v>
      </c>
    </row>
    <row r="25" spans="1:38" x14ac:dyDescent="0.2">
      <c r="A25" s="543" t="str">
        <f>IF($N$8&gt;2,"Value of 'k' exceeds 2.0, beyond scope of table!","")</f>
        <v/>
      </c>
      <c r="B25" s="21"/>
      <c r="C25" s="21"/>
      <c r="D25" s="21"/>
      <c r="E25" s="21"/>
      <c r="F25" s="21"/>
      <c r="G25" s="21"/>
      <c r="H25" s="21"/>
      <c r="I25" s="297"/>
      <c r="K25" s="259">
        <v>0.06</v>
      </c>
      <c r="L25" s="262">
        <v>0.83499999999999996</v>
      </c>
      <c r="M25" s="263">
        <v>0.88300000000000001</v>
      </c>
      <c r="N25" s="247">
        <v>1.05</v>
      </c>
      <c r="O25" s="247">
        <v>1.22</v>
      </c>
      <c r="P25" s="247">
        <v>1.4</v>
      </c>
      <c r="Q25" s="247">
        <v>1.58</v>
      </c>
      <c r="R25" s="247">
        <v>1.76</v>
      </c>
      <c r="S25" s="247">
        <v>1.94</v>
      </c>
      <c r="T25" s="247">
        <v>2.12</v>
      </c>
      <c r="U25" s="247">
        <v>2.2999999999999998</v>
      </c>
      <c r="V25" s="247">
        <v>2.48</v>
      </c>
      <c r="W25" s="247">
        <v>2.84</v>
      </c>
      <c r="X25" s="247">
        <v>3.21</v>
      </c>
      <c r="Y25" s="247">
        <v>3.58</v>
      </c>
      <c r="Z25" s="247">
        <v>3.95</v>
      </c>
      <c r="AA25" s="248">
        <v>4.32</v>
      </c>
      <c r="AB25" s="307">
        <v>1</v>
      </c>
      <c r="AC25" s="169">
        <v>1</v>
      </c>
      <c r="AD25" s="170">
        <f t="shared" ref="AD25:AD48" si="0">LOOKUP($AD$24,$L$24:$AA$24,$L25:$AA25)</f>
        <v>1.58</v>
      </c>
      <c r="AE25" s="171">
        <f t="shared" ref="AE25:AE48" si="1">IF($AD$24=$AF$24,$AD25,($AF25-$AD25)*($AE$24-$AD$24)/($AF$24-$AD$24)+$AD25)</f>
        <v>1.58</v>
      </c>
      <c r="AF25" s="172">
        <f t="shared" ref="AF25:AF48" si="2">LOOKUP($AF$24,$L$24:$AA$24,$L25:$AA25)</f>
        <v>1.76</v>
      </c>
    </row>
    <row r="26" spans="1:38" x14ac:dyDescent="0.2">
      <c r="A26" s="22" t="s">
        <v>1113</v>
      </c>
      <c r="B26" s="21"/>
      <c r="C26" s="21"/>
      <c r="D26" s="21"/>
      <c r="E26" s="21"/>
      <c r="F26" s="21"/>
      <c r="G26" s="21"/>
      <c r="H26" s="21"/>
      <c r="I26" s="24"/>
      <c r="K26" s="260">
        <v>0.08</v>
      </c>
      <c r="L26" s="253">
        <v>0.82</v>
      </c>
      <c r="M26" s="254">
        <v>0.89500000000000002</v>
      </c>
      <c r="N26" s="250">
        <v>1.06</v>
      </c>
      <c r="O26" s="250">
        <v>1.23</v>
      </c>
      <c r="P26" s="250">
        <v>1.41</v>
      </c>
      <c r="Q26" s="250">
        <v>1.58</v>
      </c>
      <c r="R26" s="250">
        <v>1.76</v>
      </c>
      <c r="S26" s="250">
        <v>1.94</v>
      </c>
      <c r="T26" s="250">
        <v>2.12</v>
      </c>
      <c r="U26" s="250">
        <v>2.2999999999999998</v>
      </c>
      <c r="V26" s="250">
        <v>2.48</v>
      </c>
      <c r="W26" s="250">
        <v>2.85</v>
      </c>
      <c r="X26" s="250">
        <v>3.21</v>
      </c>
      <c r="Y26" s="250">
        <v>3.58</v>
      </c>
      <c r="Z26" s="250">
        <v>3.94</v>
      </c>
      <c r="AA26" s="251">
        <v>4.3099999999999996</v>
      </c>
      <c r="AB26" s="307">
        <v>2</v>
      </c>
      <c r="AC26" s="169">
        <v>2</v>
      </c>
      <c r="AD26" s="170">
        <f t="shared" si="0"/>
        <v>1.58</v>
      </c>
      <c r="AE26" s="171">
        <f t="shared" si="1"/>
        <v>1.58</v>
      </c>
      <c r="AF26" s="172">
        <f t="shared" si="2"/>
        <v>1.76</v>
      </c>
    </row>
    <row r="27" spans="1:38" x14ac:dyDescent="0.2">
      <c r="A27" s="30"/>
      <c r="B27" s="21"/>
      <c r="C27" s="21"/>
      <c r="D27" s="62" t="str">
        <f>IF($N$12&gt;0,"(Note: AISC Alternate Method 2 is used for inclined load)","(Note: AISC Alternate Method 2 is not used for P=Pv)")</f>
        <v>(Note: AISC Alternate Method 2 is used for inclined load)</v>
      </c>
      <c r="E27" s="21"/>
      <c r="F27" s="21"/>
      <c r="G27" s="21"/>
      <c r="H27" s="21"/>
      <c r="I27" s="24"/>
      <c r="J27" s="51"/>
      <c r="K27" s="260">
        <v>0.1</v>
      </c>
      <c r="L27" s="253">
        <v>0.80400000000000005</v>
      </c>
      <c r="M27" s="254">
        <v>0.90200000000000002</v>
      </c>
      <c r="N27" s="250">
        <v>1.07</v>
      </c>
      <c r="O27" s="250">
        <v>1.24</v>
      </c>
      <c r="P27" s="250">
        <v>1.41</v>
      </c>
      <c r="Q27" s="250">
        <v>1.59</v>
      </c>
      <c r="R27" s="250">
        <v>1.76</v>
      </c>
      <c r="S27" s="250">
        <v>1.94</v>
      </c>
      <c r="T27" s="250">
        <v>2.12</v>
      </c>
      <c r="U27" s="250">
        <v>2.2999999999999998</v>
      </c>
      <c r="V27" s="250">
        <v>2.48</v>
      </c>
      <c r="W27" s="250">
        <v>2.83</v>
      </c>
      <c r="X27" s="250">
        <v>3.2</v>
      </c>
      <c r="Y27" s="250">
        <v>3.56</v>
      </c>
      <c r="Z27" s="250">
        <v>3.92</v>
      </c>
      <c r="AA27" s="251">
        <v>4.28</v>
      </c>
      <c r="AB27" s="307">
        <v>3</v>
      </c>
      <c r="AC27" s="169">
        <v>3</v>
      </c>
      <c r="AD27" s="170">
        <f t="shared" si="0"/>
        <v>1.59</v>
      </c>
      <c r="AE27" s="171">
        <f t="shared" si="1"/>
        <v>1.59</v>
      </c>
      <c r="AF27" s="172">
        <f t="shared" si="2"/>
        <v>1.76</v>
      </c>
    </row>
    <row r="28" spans="1:38" x14ac:dyDescent="0.2">
      <c r="A28" s="298" t="s">
        <v>1196</v>
      </c>
      <c r="B28" s="276">
        <f>$N$3</f>
        <v>10</v>
      </c>
      <c r="C28" s="138" t="s">
        <v>1172</v>
      </c>
      <c r="D28" s="62" t="s">
        <v>1178</v>
      </c>
      <c r="E28" s="21"/>
      <c r="F28" s="203"/>
      <c r="G28" s="203"/>
      <c r="H28" s="21"/>
      <c r="I28" s="24"/>
      <c r="J28" s="51"/>
      <c r="K28" s="260">
        <v>0.15</v>
      </c>
      <c r="L28" s="253">
        <v>0.753</v>
      </c>
      <c r="M28" s="254">
        <v>0.89500000000000002</v>
      </c>
      <c r="N28" s="250">
        <v>1.06</v>
      </c>
      <c r="O28" s="250">
        <v>1.22</v>
      </c>
      <c r="P28" s="250">
        <v>1.39</v>
      </c>
      <c r="Q28" s="250">
        <v>1.56</v>
      </c>
      <c r="R28" s="250">
        <v>1.73</v>
      </c>
      <c r="S28" s="250">
        <v>1.9</v>
      </c>
      <c r="T28" s="250">
        <v>2.0699999999999998</v>
      </c>
      <c r="U28" s="250">
        <v>2.2400000000000002</v>
      </c>
      <c r="V28" s="250">
        <v>2.42</v>
      </c>
      <c r="W28" s="250">
        <v>2.76</v>
      </c>
      <c r="X28" s="250">
        <v>3.11</v>
      </c>
      <c r="Y28" s="250">
        <v>3.46</v>
      </c>
      <c r="Z28" s="250">
        <v>3.81</v>
      </c>
      <c r="AA28" s="251">
        <v>4.16</v>
      </c>
      <c r="AB28" s="307">
        <v>4</v>
      </c>
      <c r="AC28" s="169">
        <v>4</v>
      </c>
      <c r="AD28" s="170">
        <f t="shared" si="0"/>
        <v>1.56</v>
      </c>
      <c r="AE28" s="171">
        <f t="shared" si="1"/>
        <v>1.56</v>
      </c>
      <c r="AF28" s="172">
        <f t="shared" si="2"/>
        <v>1.73</v>
      </c>
    </row>
    <row r="29" spans="1:38" x14ac:dyDescent="0.2">
      <c r="A29" s="298" t="s">
        <v>1180</v>
      </c>
      <c r="B29" s="277">
        <f>$N$4</f>
        <v>5</v>
      </c>
      <c r="C29" s="138" t="s">
        <v>1172</v>
      </c>
      <c r="D29" s="62" t="s">
        <v>1100</v>
      </c>
      <c r="E29" s="21"/>
      <c r="F29" s="203"/>
      <c r="G29" s="203"/>
      <c r="H29" s="21"/>
      <c r="I29" s="24"/>
      <c r="J29" s="51"/>
      <c r="K29" s="260">
        <v>0.2</v>
      </c>
      <c r="L29" s="253">
        <v>0.69299999999999995</v>
      </c>
      <c r="M29" s="254">
        <v>0.86499999999999999</v>
      </c>
      <c r="N29" s="250">
        <v>1.02</v>
      </c>
      <c r="O29" s="250">
        <v>1.18</v>
      </c>
      <c r="P29" s="250">
        <v>1.34</v>
      </c>
      <c r="Q29" s="250">
        <v>1.5</v>
      </c>
      <c r="R29" s="250">
        <v>1.67</v>
      </c>
      <c r="S29" s="250">
        <v>1.83</v>
      </c>
      <c r="T29" s="250">
        <v>1.99</v>
      </c>
      <c r="U29" s="250">
        <v>2.16</v>
      </c>
      <c r="V29" s="250">
        <v>2.3199999999999998</v>
      </c>
      <c r="W29" s="250">
        <v>2.65</v>
      </c>
      <c r="X29" s="250">
        <v>2.99</v>
      </c>
      <c r="Y29" s="250">
        <v>3.32</v>
      </c>
      <c r="Z29" s="250">
        <v>3.66</v>
      </c>
      <c r="AA29" s="251">
        <v>4</v>
      </c>
      <c r="AB29" s="307">
        <v>5</v>
      </c>
      <c r="AC29" s="169">
        <v>5</v>
      </c>
      <c r="AD29" s="170">
        <f t="shared" si="0"/>
        <v>1.5</v>
      </c>
      <c r="AE29" s="171">
        <f t="shared" si="1"/>
        <v>1.5</v>
      </c>
      <c r="AF29" s="172">
        <f t="shared" si="2"/>
        <v>1.67</v>
      </c>
    </row>
    <row r="30" spans="1:38" ht="13.5" customHeight="1" x14ac:dyDescent="0.2">
      <c r="A30" s="298" t="s">
        <v>1195</v>
      </c>
      <c r="B30" s="277">
        <f>$N$5</f>
        <v>1.25</v>
      </c>
      <c r="C30" s="138" t="s">
        <v>1172</v>
      </c>
      <c r="D30" s="98" t="s">
        <v>1136</v>
      </c>
      <c r="E30" s="21"/>
      <c r="F30" s="203"/>
      <c r="G30" s="203"/>
      <c r="H30" s="21"/>
      <c r="I30" s="24"/>
      <c r="J30" s="51"/>
      <c r="K30" s="260">
        <v>0.25</v>
      </c>
      <c r="L30" s="253">
        <v>0.63</v>
      </c>
      <c r="M30" s="254">
        <v>0.82299999999999995</v>
      </c>
      <c r="N30" s="254">
        <v>0.97199999999999998</v>
      </c>
      <c r="O30" s="250">
        <v>1.1200000000000001</v>
      </c>
      <c r="P30" s="250">
        <v>1.28</v>
      </c>
      <c r="Q30" s="250">
        <v>1.43</v>
      </c>
      <c r="R30" s="250">
        <v>1.59</v>
      </c>
      <c r="S30" s="250">
        <v>1.74</v>
      </c>
      <c r="T30" s="250">
        <v>1.9</v>
      </c>
      <c r="U30" s="250">
        <v>2.06</v>
      </c>
      <c r="V30" s="250">
        <v>2.21</v>
      </c>
      <c r="W30" s="250">
        <v>2.5299999999999998</v>
      </c>
      <c r="X30" s="250">
        <v>2.85</v>
      </c>
      <c r="Y30" s="250">
        <v>3.18</v>
      </c>
      <c r="Z30" s="250">
        <v>3.51</v>
      </c>
      <c r="AA30" s="251">
        <v>3.84</v>
      </c>
      <c r="AB30" s="307">
        <v>6</v>
      </c>
      <c r="AC30" s="169">
        <v>6</v>
      </c>
      <c r="AD30" s="170">
        <f t="shared" si="0"/>
        <v>1.43</v>
      </c>
      <c r="AE30" s="171">
        <f t="shared" si="1"/>
        <v>1.43</v>
      </c>
      <c r="AF30" s="172">
        <f t="shared" si="2"/>
        <v>1.59</v>
      </c>
    </row>
    <row r="31" spans="1:38" ht="13.5" customHeight="1" x14ac:dyDescent="0.2">
      <c r="A31" s="298" t="s">
        <v>1085</v>
      </c>
      <c r="B31" s="277">
        <f>$N$6</f>
        <v>8.75</v>
      </c>
      <c r="C31" s="138" t="s">
        <v>1172</v>
      </c>
      <c r="D31" s="98" t="s">
        <v>1087</v>
      </c>
      <c r="E31" s="21"/>
      <c r="F31" s="203"/>
      <c r="G31" s="203"/>
      <c r="H31" s="21"/>
      <c r="I31" s="24"/>
      <c r="J31" s="51"/>
      <c r="K31" s="260">
        <v>0.3</v>
      </c>
      <c r="L31" s="253">
        <v>0.56999999999999995</v>
      </c>
      <c r="M31" s="254">
        <v>0.75</v>
      </c>
      <c r="N31" s="254">
        <v>0.91700000000000004</v>
      </c>
      <c r="O31" s="250">
        <v>1.06</v>
      </c>
      <c r="P31" s="250">
        <v>1.21</v>
      </c>
      <c r="Q31" s="250">
        <v>1.35</v>
      </c>
      <c r="R31" s="250">
        <v>1.5</v>
      </c>
      <c r="S31" s="250">
        <v>1.65</v>
      </c>
      <c r="T31" s="250">
        <v>1.8</v>
      </c>
      <c r="U31" s="250">
        <v>1.95</v>
      </c>
      <c r="V31" s="250">
        <v>2.1</v>
      </c>
      <c r="W31" s="250">
        <v>2.41</v>
      </c>
      <c r="X31" s="250">
        <v>2.72</v>
      </c>
      <c r="Y31" s="250">
        <v>3.04</v>
      </c>
      <c r="Z31" s="250">
        <v>3.36</v>
      </c>
      <c r="AA31" s="251">
        <v>3.68</v>
      </c>
      <c r="AB31" s="307">
        <v>7</v>
      </c>
      <c r="AC31" s="169">
        <v>7</v>
      </c>
      <c r="AD31" s="170">
        <f t="shared" si="0"/>
        <v>1.35</v>
      </c>
      <c r="AE31" s="171">
        <f t="shared" si="1"/>
        <v>1.35</v>
      </c>
      <c r="AF31" s="172">
        <f t="shared" si="2"/>
        <v>1.5</v>
      </c>
    </row>
    <row r="32" spans="1:38" x14ac:dyDescent="0.2">
      <c r="A32" s="298" t="s">
        <v>1124</v>
      </c>
      <c r="B32" s="277">
        <f>$N$7</f>
        <v>0.875</v>
      </c>
      <c r="C32" s="242" t="str">
        <f>IF($N$7&gt;3,"&gt; 3.0","")</f>
        <v/>
      </c>
      <c r="D32" s="98" t="s">
        <v>1086</v>
      </c>
      <c r="E32" s="21"/>
      <c r="F32" s="58"/>
      <c r="G32" s="205"/>
      <c r="H32" s="21"/>
      <c r="I32" s="24"/>
      <c r="J32" s="51"/>
      <c r="K32" s="260">
        <v>0.4</v>
      </c>
      <c r="L32" s="253">
        <v>0.46899999999999997</v>
      </c>
      <c r="M32" s="254">
        <v>0.627</v>
      </c>
      <c r="N32" s="254">
        <v>0.80300000000000005</v>
      </c>
      <c r="O32" s="254">
        <v>0.93400000000000005</v>
      </c>
      <c r="P32" s="250">
        <v>1.07</v>
      </c>
      <c r="Q32" s="250">
        <v>1.2</v>
      </c>
      <c r="R32" s="250">
        <v>1.33</v>
      </c>
      <c r="S32" s="250">
        <v>1.47</v>
      </c>
      <c r="T32" s="250">
        <v>1.61</v>
      </c>
      <c r="U32" s="250">
        <v>1.74</v>
      </c>
      <c r="V32" s="250">
        <v>1.89</v>
      </c>
      <c r="W32" s="250">
        <v>2.17</v>
      </c>
      <c r="X32" s="250">
        <v>2.4700000000000002</v>
      </c>
      <c r="Y32" s="250">
        <v>2.77</v>
      </c>
      <c r="Z32" s="250">
        <v>3.08</v>
      </c>
      <c r="AA32" s="251">
        <v>3.39</v>
      </c>
      <c r="AB32" s="307">
        <v>8</v>
      </c>
      <c r="AC32" s="169">
        <v>8</v>
      </c>
      <c r="AD32" s="170">
        <f t="shared" si="0"/>
        <v>1.2</v>
      </c>
      <c r="AE32" s="171">
        <f t="shared" si="1"/>
        <v>1.2</v>
      </c>
      <c r="AF32" s="172">
        <f t="shared" si="2"/>
        <v>1.33</v>
      </c>
    </row>
    <row r="33" spans="1:32" x14ac:dyDescent="0.2">
      <c r="A33" s="298" t="s">
        <v>1138</v>
      </c>
      <c r="B33" s="277">
        <f>$N$8</f>
        <v>0.5</v>
      </c>
      <c r="C33" s="242" t="str">
        <f>IF($N$8&gt;2,"&gt; 2.0","")</f>
        <v/>
      </c>
      <c r="D33" s="98" t="s">
        <v>1088</v>
      </c>
      <c r="E33" s="21"/>
      <c r="F33" s="205"/>
      <c r="G33" s="205"/>
      <c r="H33" s="21"/>
      <c r="I33" s="24"/>
      <c r="J33" s="51"/>
      <c r="K33" s="260">
        <v>0.5</v>
      </c>
      <c r="L33" s="253">
        <v>0.39300000000000002</v>
      </c>
      <c r="M33" s="254">
        <v>0.52900000000000003</v>
      </c>
      <c r="N33" s="254">
        <v>0.66600000000000004</v>
      </c>
      <c r="O33" s="254">
        <v>0.81899999999999995</v>
      </c>
      <c r="P33" s="254">
        <v>0.93700000000000006</v>
      </c>
      <c r="Q33" s="250">
        <v>1.06</v>
      </c>
      <c r="R33" s="250">
        <v>1.18</v>
      </c>
      <c r="S33" s="250">
        <v>1.3</v>
      </c>
      <c r="T33" s="250">
        <v>1.43</v>
      </c>
      <c r="U33" s="250">
        <v>1.56</v>
      </c>
      <c r="V33" s="250">
        <v>1.69</v>
      </c>
      <c r="W33" s="250">
        <v>1.96</v>
      </c>
      <c r="X33" s="250">
        <v>2.2400000000000002</v>
      </c>
      <c r="Y33" s="250">
        <v>2.5299999999999998</v>
      </c>
      <c r="Z33" s="250">
        <v>2.83</v>
      </c>
      <c r="AA33" s="251">
        <v>3.13</v>
      </c>
      <c r="AB33" s="307">
        <v>9</v>
      </c>
      <c r="AC33" s="169">
        <v>9</v>
      </c>
      <c r="AD33" s="170">
        <f t="shared" si="0"/>
        <v>1.06</v>
      </c>
      <c r="AE33" s="171">
        <f t="shared" si="1"/>
        <v>1.06</v>
      </c>
      <c r="AF33" s="172">
        <f t="shared" si="2"/>
        <v>1.18</v>
      </c>
    </row>
    <row r="34" spans="1:32" x14ac:dyDescent="0.2">
      <c r="A34" s="299" t="s">
        <v>1184</v>
      </c>
      <c r="B34" s="278">
        <f>$N$9</f>
        <v>1</v>
      </c>
      <c r="C34" s="138"/>
      <c r="D34" s="73" t="s">
        <v>1185</v>
      </c>
      <c r="E34" s="21"/>
      <c r="F34" s="205"/>
      <c r="G34" s="205"/>
      <c r="H34" s="21"/>
      <c r="I34" s="24"/>
      <c r="J34" s="51"/>
      <c r="K34" s="260">
        <v>0.6</v>
      </c>
      <c r="L34" s="253">
        <v>0.33600000000000002</v>
      </c>
      <c r="M34" s="254">
        <v>0.45300000000000001</v>
      </c>
      <c r="N34" s="254">
        <v>0.57399999999999995</v>
      </c>
      <c r="O34" s="254">
        <v>0.72099999999999997</v>
      </c>
      <c r="P34" s="254">
        <v>0.82899999999999996</v>
      </c>
      <c r="Q34" s="254">
        <v>0.93899999999999995</v>
      </c>
      <c r="R34" s="250">
        <v>1.05</v>
      </c>
      <c r="S34" s="250">
        <v>1.17</v>
      </c>
      <c r="T34" s="250">
        <v>1.28</v>
      </c>
      <c r="U34" s="250">
        <v>1.4</v>
      </c>
      <c r="V34" s="250">
        <v>1.53</v>
      </c>
      <c r="W34" s="250">
        <v>1.78</v>
      </c>
      <c r="X34" s="250">
        <v>2.0499999999999998</v>
      </c>
      <c r="Y34" s="250">
        <v>2.3199999999999998</v>
      </c>
      <c r="Z34" s="250">
        <v>2.61</v>
      </c>
      <c r="AA34" s="251">
        <v>2.9</v>
      </c>
      <c r="AB34" s="307">
        <v>10</v>
      </c>
      <c r="AC34" s="169">
        <v>10</v>
      </c>
      <c r="AD34" s="170">
        <f t="shared" si="0"/>
        <v>0.93899999999999995</v>
      </c>
      <c r="AE34" s="171">
        <f t="shared" si="1"/>
        <v>0.93899999999999995</v>
      </c>
      <c r="AF34" s="172">
        <f t="shared" si="2"/>
        <v>1.05</v>
      </c>
    </row>
    <row r="35" spans="1:32" x14ac:dyDescent="0.2">
      <c r="A35" s="298" t="s">
        <v>1122</v>
      </c>
      <c r="B35" s="277">
        <f>$N$10</f>
        <v>0.70399999999999996</v>
      </c>
      <c r="C35" s="243"/>
      <c r="D35" s="98" t="s">
        <v>1363</v>
      </c>
      <c r="E35" s="21"/>
      <c r="F35" s="205"/>
      <c r="G35" s="205"/>
      <c r="H35" s="21"/>
      <c r="I35" s="24"/>
      <c r="J35" s="51"/>
      <c r="K35" s="260">
        <v>0.7</v>
      </c>
      <c r="L35" s="253">
        <v>0.29299999999999998</v>
      </c>
      <c r="M35" s="254">
        <v>0.39500000000000002</v>
      </c>
      <c r="N35" s="254">
        <v>0.502</v>
      </c>
      <c r="O35" s="254">
        <v>0.61099999999999999</v>
      </c>
      <c r="P35" s="254">
        <v>0.73899999999999999</v>
      </c>
      <c r="Q35" s="254">
        <v>0.83899999999999997</v>
      </c>
      <c r="R35" s="254">
        <v>0.94199999999999995</v>
      </c>
      <c r="S35" s="250">
        <v>1.05</v>
      </c>
      <c r="T35" s="250">
        <v>1.1599999999999999</v>
      </c>
      <c r="U35" s="250">
        <v>1.27</v>
      </c>
      <c r="V35" s="250">
        <v>1.39</v>
      </c>
      <c r="W35" s="250">
        <v>1.63</v>
      </c>
      <c r="X35" s="250">
        <v>1.88</v>
      </c>
      <c r="Y35" s="250">
        <v>2.14</v>
      </c>
      <c r="Z35" s="250">
        <v>2.41</v>
      </c>
      <c r="AA35" s="251">
        <v>2.69</v>
      </c>
      <c r="AB35" s="307">
        <v>11</v>
      </c>
      <c r="AC35" s="169">
        <v>11</v>
      </c>
      <c r="AD35" s="170">
        <f t="shared" si="0"/>
        <v>0.83899999999999997</v>
      </c>
      <c r="AE35" s="171">
        <f t="shared" si="1"/>
        <v>0.83899999999999997</v>
      </c>
      <c r="AF35" s="172">
        <f t="shared" si="2"/>
        <v>0.94199999999999995</v>
      </c>
    </row>
    <row r="36" spans="1:32" ht="12.75" customHeight="1" x14ac:dyDescent="0.2">
      <c r="A36" s="299" t="s">
        <v>1187</v>
      </c>
      <c r="B36" s="277">
        <f>$N$11</f>
        <v>90</v>
      </c>
      <c r="C36" s="138" t="s">
        <v>1114</v>
      </c>
      <c r="D36" s="73" t="s">
        <v>1120</v>
      </c>
      <c r="E36" s="21"/>
      <c r="F36" s="205"/>
      <c r="G36" s="205"/>
      <c r="H36" s="21"/>
      <c r="I36" s="24"/>
      <c r="J36" s="51"/>
      <c r="K36" s="260">
        <v>0.8</v>
      </c>
      <c r="L36" s="253">
        <v>0.25900000000000001</v>
      </c>
      <c r="M36" s="254">
        <v>0.34899999999999998</v>
      </c>
      <c r="N36" s="254">
        <v>0.44400000000000001</v>
      </c>
      <c r="O36" s="254">
        <v>0.54300000000000004</v>
      </c>
      <c r="P36" s="254">
        <v>0.66400000000000003</v>
      </c>
      <c r="Q36" s="254">
        <v>0.75600000000000001</v>
      </c>
      <c r="R36" s="254">
        <v>0.85199999999999998</v>
      </c>
      <c r="S36" s="254">
        <v>0.95</v>
      </c>
      <c r="T36" s="250">
        <v>1.05</v>
      </c>
      <c r="U36" s="250">
        <v>1.1599999999999999</v>
      </c>
      <c r="V36" s="250">
        <v>1.27</v>
      </c>
      <c r="W36" s="250">
        <v>1.49</v>
      </c>
      <c r="X36" s="250">
        <v>1.73</v>
      </c>
      <c r="Y36" s="250">
        <v>1.98</v>
      </c>
      <c r="Z36" s="250">
        <v>2.2400000000000002</v>
      </c>
      <c r="AA36" s="251">
        <v>2.5099999999999998</v>
      </c>
      <c r="AB36" s="307">
        <v>12</v>
      </c>
      <c r="AC36" s="169">
        <v>12</v>
      </c>
      <c r="AD36" s="170">
        <f t="shared" si="0"/>
        <v>0.75600000000000001</v>
      </c>
      <c r="AE36" s="171">
        <f t="shared" si="1"/>
        <v>0.75600000000000001</v>
      </c>
      <c r="AF36" s="172">
        <f t="shared" si="2"/>
        <v>0.85199999999999998</v>
      </c>
    </row>
    <row r="37" spans="1:32" ht="12.75" customHeight="1" x14ac:dyDescent="0.2">
      <c r="A37" s="299" t="s">
        <v>1125</v>
      </c>
      <c r="B37" s="277">
        <f>$N$12</f>
        <v>75.001999999999995</v>
      </c>
      <c r="C37" s="138" t="s">
        <v>1103</v>
      </c>
      <c r="D37" s="84" t="s">
        <v>1126</v>
      </c>
      <c r="E37" s="21"/>
      <c r="F37" s="205"/>
      <c r="G37" s="205"/>
      <c r="H37" s="21"/>
      <c r="I37" s="24"/>
      <c r="J37" s="51"/>
      <c r="K37" s="260">
        <v>0.9</v>
      </c>
      <c r="L37" s="253">
        <v>0.23200000000000001</v>
      </c>
      <c r="M37" s="254">
        <v>0.312</v>
      </c>
      <c r="N37" s="254">
        <v>0.39800000000000002</v>
      </c>
      <c r="O37" s="254">
        <v>0.48799999999999999</v>
      </c>
      <c r="P37" s="254">
        <v>0.60199999999999998</v>
      </c>
      <c r="Q37" s="254">
        <v>0.68700000000000006</v>
      </c>
      <c r="R37" s="254">
        <v>0.77500000000000002</v>
      </c>
      <c r="S37" s="254">
        <v>0.86699999999999999</v>
      </c>
      <c r="T37" s="254">
        <v>0.96199999999999997</v>
      </c>
      <c r="U37" s="250">
        <v>1.06</v>
      </c>
      <c r="V37" s="250">
        <v>1.1599999999999999</v>
      </c>
      <c r="W37" s="250">
        <v>1.38</v>
      </c>
      <c r="X37" s="250">
        <v>1.6</v>
      </c>
      <c r="Y37" s="250">
        <v>1.84</v>
      </c>
      <c r="Z37" s="250">
        <v>2.09</v>
      </c>
      <c r="AA37" s="251">
        <v>2.36</v>
      </c>
      <c r="AB37" s="307">
        <v>13</v>
      </c>
      <c r="AC37" s="169">
        <v>13</v>
      </c>
      <c r="AD37" s="170">
        <f t="shared" si="0"/>
        <v>0.68700000000000006</v>
      </c>
      <c r="AE37" s="171">
        <f t="shared" si="1"/>
        <v>0.68700000000000006</v>
      </c>
      <c r="AF37" s="172">
        <f t="shared" si="2"/>
        <v>0.77500000000000002</v>
      </c>
    </row>
    <row r="38" spans="1:32" ht="12.75" customHeight="1" x14ac:dyDescent="0.2">
      <c r="A38" s="77" t="s">
        <v>1160</v>
      </c>
      <c r="B38" s="277">
        <f>$N$13</f>
        <v>0.70399999999999996</v>
      </c>
      <c r="C38" s="138"/>
      <c r="D38" s="73" t="s">
        <v>1364</v>
      </c>
      <c r="E38" s="112"/>
      <c r="F38" s="51"/>
      <c r="G38" s="51"/>
      <c r="H38" s="21"/>
      <c r="I38" s="78"/>
      <c r="J38" s="51"/>
      <c r="K38" s="260">
        <v>1</v>
      </c>
      <c r="L38" s="253">
        <v>0.20899999999999999</v>
      </c>
      <c r="M38" s="254">
        <v>0.28199999999999997</v>
      </c>
      <c r="N38" s="254">
        <v>0.36</v>
      </c>
      <c r="O38" s="254">
        <v>0.442</v>
      </c>
      <c r="P38" s="254">
        <v>0.55000000000000004</v>
      </c>
      <c r="Q38" s="254">
        <v>0.629</v>
      </c>
      <c r="R38" s="254">
        <v>0.71099999999999997</v>
      </c>
      <c r="S38" s="254">
        <v>0.79600000000000004</v>
      </c>
      <c r="T38" s="254">
        <v>0.88500000000000001</v>
      </c>
      <c r="U38" s="254">
        <v>0.97799999999999998</v>
      </c>
      <c r="V38" s="250">
        <v>1.07</v>
      </c>
      <c r="W38" s="250">
        <v>1.28</v>
      </c>
      <c r="X38" s="250">
        <v>1.49</v>
      </c>
      <c r="Y38" s="250">
        <v>1.72</v>
      </c>
      <c r="Z38" s="250">
        <v>1.96</v>
      </c>
      <c r="AA38" s="251">
        <v>2.21</v>
      </c>
      <c r="AB38" s="307">
        <v>14</v>
      </c>
      <c r="AC38" s="169">
        <v>14</v>
      </c>
      <c r="AD38" s="170">
        <f t="shared" si="0"/>
        <v>0.629</v>
      </c>
      <c r="AE38" s="171">
        <f t="shared" si="1"/>
        <v>0.629</v>
      </c>
      <c r="AF38" s="172">
        <f t="shared" si="2"/>
        <v>0.71099999999999997</v>
      </c>
    </row>
    <row r="39" spans="1:32" ht="12.75" customHeight="1" x14ac:dyDescent="0.2">
      <c r="A39" s="77" t="s">
        <v>1130</v>
      </c>
      <c r="B39" s="277">
        <f>$N$14</f>
        <v>1.8560000000000001</v>
      </c>
      <c r="C39" s="138"/>
      <c r="D39" s="73" t="s">
        <v>1131</v>
      </c>
      <c r="E39" s="39"/>
      <c r="F39" s="204"/>
      <c r="G39" s="39"/>
      <c r="H39" s="21"/>
      <c r="I39" s="78"/>
      <c r="J39" s="51"/>
      <c r="K39" s="260">
        <v>1.2</v>
      </c>
      <c r="L39" s="253">
        <v>0.17599999999999999</v>
      </c>
      <c r="M39" s="254">
        <v>0.23599999999999999</v>
      </c>
      <c r="N39" s="254">
        <v>0.30199999999999999</v>
      </c>
      <c r="O39" s="254">
        <v>0.372</v>
      </c>
      <c r="P39" s="254">
        <v>0.44500000000000001</v>
      </c>
      <c r="Q39" s="254">
        <v>0.53600000000000003</v>
      </c>
      <c r="R39" s="254">
        <v>0.60799999999999998</v>
      </c>
      <c r="S39" s="254">
        <v>0.68300000000000005</v>
      </c>
      <c r="T39" s="254">
        <v>0.76200000000000001</v>
      </c>
      <c r="U39" s="254">
        <v>0.84399999999999997</v>
      </c>
      <c r="V39" s="254">
        <v>0.92900000000000005</v>
      </c>
      <c r="W39" s="250">
        <v>1.1100000000000001</v>
      </c>
      <c r="X39" s="250">
        <v>1.31</v>
      </c>
      <c r="Y39" s="250">
        <v>1.52</v>
      </c>
      <c r="Z39" s="250">
        <v>1.74</v>
      </c>
      <c r="AA39" s="251">
        <v>1.97</v>
      </c>
      <c r="AB39" s="307">
        <v>15</v>
      </c>
      <c r="AC39" s="169">
        <v>15</v>
      </c>
      <c r="AD39" s="170">
        <f t="shared" si="0"/>
        <v>0.53600000000000003</v>
      </c>
      <c r="AE39" s="171">
        <f t="shared" si="1"/>
        <v>0.53600000000000003</v>
      </c>
      <c r="AF39" s="172">
        <f t="shared" si="2"/>
        <v>0.60799999999999998</v>
      </c>
    </row>
    <row r="40" spans="1:32" ht="12.75" customHeight="1" x14ac:dyDescent="0.2">
      <c r="A40" s="77" t="s">
        <v>1188</v>
      </c>
      <c r="B40" s="277">
        <f>$N$15</f>
        <v>2.6363636363636367</v>
      </c>
      <c r="C40" s="138"/>
      <c r="D40" s="73" t="s">
        <v>1132</v>
      </c>
      <c r="E40" s="39"/>
      <c r="F40" s="204"/>
      <c r="G40" s="39"/>
      <c r="H40" s="21"/>
      <c r="I40" s="78"/>
      <c r="J40" s="51"/>
      <c r="K40" s="260">
        <v>1.4</v>
      </c>
      <c r="L40" s="253">
        <v>0.151</v>
      </c>
      <c r="M40" s="254">
        <v>0.20300000000000001</v>
      </c>
      <c r="N40" s="254">
        <v>0.26</v>
      </c>
      <c r="O40" s="254">
        <v>0.32</v>
      </c>
      <c r="P40" s="254">
        <v>0.38400000000000001</v>
      </c>
      <c r="Q40" s="254">
        <v>0.46600000000000003</v>
      </c>
      <c r="R40" s="254">
        <v>0.53</v>
      </c>
      <c r="S40" s="254">
        <v>0.59699999999999998</v>
      </c>
      <c r="T40" s="254">
        <v>0.66700000000000004</v>
      </c>
      <c r="U40" s="254">
        <v>0.74099999999999999</v>
      </c>
      <c r="V40" s="254">
        <v>0.81799999999999995</v>
      </c>
      <c r="W40" s="254">
        <v>0.98499999999999999</v>
      </c>
      <c r="X40" s="250">
        <v>1.17</v>
      </c>
      <c r="Y40" s="250">
        <v>1.36</v>
      </c>
      <c r="Z40" s="250">
        <v>1.56</v>
      </c>
      <c r="AA40" s="251">
        <v>1.78</v>
      </c>
      <c r="AB40" s="307">
        <v>16</v>
      </c>
      <c r="AC40" s="169">
        <v>16</v>
      </c>
      <c r="AD40" s="170">
        <f t="shared" si="0"/>
        <v>0.46600000000000003</v>
      </c>
      <c r="AE40" s="171">
        <f t="shared" si="1"/>
        <v>0.46600000000000003</v>
      </c>
      <c r="AF40" s="172">
        <f t="shared" si="2"/>
        <v>0.53</v>
      </c>
    </row>
    <row r="41" spans="1:32" ht="12.75" customHeight="1" x14ac:dyDescent="0.2">
      <c r="A41" s="77" t="s">
        <v>1133</v>
      </c>
      <c r="B41" s="277">
        <f>$N$16</f>
        <v>1.599553628123439</v>
      </c>
      <c r="C41" s="138"/>
      <c r="D41" s="73" t="s">
        <v>1104</v>
      </c>
      <c r="E41" s="39"/>
      <c r="F41" s="204"/>
      <c r="G41" s="39"/>
      <c r="H41" s="21"/>
      <c r="I41" s="78"/>
      <c r="J41" s="51"/>
      <c r="K41" s="260">
        <v>1.6</v>
      </c>
      <c r="L41" s="253">
        <v>0.13200000000000001</v>
      </c>
      <c r="M41" s="254">
        <v>0.17799999999999999</v>
      </c>
      <c r="N41" s="254">
        <v>0.22800000000000001</v>
      </c>
      <c r="O41" s="254">
        <v>0.28100000000000003</v>
      </c>
      <c r="P41" s="254">
        <v>0.33800000000000002</v>
      </c>
      <c r="Q41" s="254">
        <v>0.41199999999999998</v>
      </c>
      <c r="R41" s="254">
        <v>0.46899999999999997</v>
      </c>
      <c r="S41" s="254">
        <v>0.52900000000000003</v>
      </c>
      <c r="T41" s="254">
        <v>0.59299999999999997</v>
      </c>
      <c r="U41" s="254">
        <v>0.66</v>
      </c>
      <c r="V41" s="254">
        <v>0.73099999999999998</v>
      </c>
      <c r="W41" s="254">
        <v>0.88300000000000001</v>
      </c>
      <c r="X41" s="250">
        <v>1.05</v>
      </c>
      <c r="Y41" s="250">
        <v>1.22</v>
      </c>
      <c r="Z41" s="250">
        <v>1.41</v>
      </c>
      <c r="AA41" s="251">
        <v>1.61</v>
      </c>
      <c r="AB41" s="307">
        <v>17</v>
      </c>
      <c r="AC41" s="169">
        <v>17</v>
      </c>
      <c r="AD41" s="170">
        <f t="shared" si="0"/>
        <v>0.41199999999999998</v>
      </c>
      <c r="AE41" s="171">
        <f t="shared" si="1"/>
        <v>0.41199999999999998</v>
      </c>
      <c r="AF41" s="172">
        <f t="shared" si="2"/>
        <v>0.46899999999999997</v>
      </c>
    </row>
    <row r="42" spans="1:32" x14ac:dyDescent="0.2">
      <c r="A42" s="77" t="s">
        <v>1143</v>
      </c>
      <c r="B42" s="277">
        <f>$N$17</f>
        <v>1.1259999999999999</v>
      </c>
      <c r="C42" s="138"/>
      <c r="D42" s="73" t="s">
        <v>1105</v>
      </c>
      <c r="E42" s="39"/>
      <c r="F42" s="204"/>
      <c r="G42" s="39"/>
      <c r="H42" s="21"/>
      <c r="I42" s="78"/>
      <c r="J42" s="51"/>
      <c r="K42" s="260">
        <v>1.8</v>
      </c>
      <c r="L42" s="253">
        <v>0.11799999999999999</v>
      </c>
      <c r="M42" s="254">
        <v>0.158</v>
      </c>
      <c r="N42" s="254">
        <v>0.20300000000000001</v>
      </c>
      <c r="O42" s="254">
        <v>0.25</v>
      </c>
      <c r="P42" s="254">
        <v>0.30099999999999999</v>
      </c>
      <c r="Q42" s="254">
        <v>0.36899999999999999</v>
      </c>
      <c r="R42" s="254">
        <v>0.42</v>
      </c>
      <c r="S42" s="254">
        <v>0.47499999999999998</v>
      </c>
      <c r="T42" s="254">
        <v>0.53300000000000003</v>
      </c>
      <c r="U42" s="254">
        <v>0.59499999999999997</v>
      </c>
      <c r="V42" s="254">
        <v>0.66</v>
      </c>
      <c r="W42" s="254">
        <v>0.79900000000000004</v>
      </c>
      <c r="X42" s="254">
        <v>0.95099999999999996</v>
      </c>
      <c r="Y42" s="250">
        <v>1.1100000000000001</v>
      </c>
      <c r="Z42" s="250">
        <v>1.29</v>
      </c>
      <c r="AA42" s="251">
        <v>1.47</v>
      </c>
      <c r="AB42" s="307">
        <v>18</v>
      </c>
      <c r="AC42" s="169">
        <v>18</v>
      </c>
      <c r="AD42" s="170">
        <f t="shared" si="0"/>
        <v>0.36899999999999999</v>
      </c>
      <c r="AE42" s="171">
        <f t="shared" si="1"/>
        <v>0.36899999999999999</v>
      </c>
      <c r="AF42" s="172">
        <f t="shared" si="2"/>
        <v>0.42</v>
      </c>
    </row>
    <row r="43" spans="1:32" x14ac:dyDescent="0.2">
      <c r="A43" s="77" t="s">
        <v>1193</v>
      </c>
      <c r="B43" s="277">
        <f>$N$18</f>
        <v>7.9930000000000003</v>
      </c>
      <c r="C43" s="138" t="s">
        <v>1099</v>
      </c>
      <c r="D43" s="62" t="str">
        <f>IF($N$12&gt;0,"D(req'd) = P/(Ca*C1*L)","D(req'd) = P/(C*C1*L)")</f>
        <v>D(req'd) = P/(Ca*C1*L)</v>
      </c>
      <c r="E43" s="205"/>
      <c r="F43" s="205"/>
      <c r="G43" s="205"/>
      <c r="H43" s="21"/>
      <c r="I43" s="206"/>
      <c r="J43" s="51"/>
      <c r="K43" s="260">
        <v>2</v>
      </c>
      <c r="L43" s="253">
        <v>0.106</v>
      </c>
      <c r="M43" s="254">
        <v>0.14199999999999999</v>
      </c>
      <c r="N43" s="254">
        <v>0.182</v>
      </c>
      <c r="O43" s="254">
        <v>0.22500000000000001</v>
      </c>
      <c r="P43" s="254">
        <v>0.27200000000000002</v>
      </c>
      <c r="Q43" s="254">
        <v>0.33400000000000002</v>
      </c>
      <c r="R43" s="254">
        <v>0.38100000000000001</v>
      </c>
      <c r="S43" s="254">
        <v>0.43099999999999999</v>
      </c>
      <c r="T43" s="254">
        <v>0.48399999999999999</v>
      </c>
      <c r="U43" s="254">
        <v>0.54100000000000004</v>
      </c>
      <c r="V43" s="254">
        <v>0.60099999999999998</v>
      </c>
      <c r="W43" s="254">
        <v>0.73</v>
      </c>
      <c r="X43" s="254">
        <v>0.87</v>
      </c>
      <c r="Y43" s="250">
        <v>1.02</v>
      </c>
      <c r="Z43" s="250">
        <v>1.18</v>
      </c>
      <c r="AA43" s="251">
        <v>1.35</v>
      </c>
      <c r="AB43" s="307">
        <v>19</v>
      </c>
      <c r="AC43" s="169">
        <v>19</v>
      </c>
      <c r="AD43" s="170">
        <f t="shared" si="0"/>
        <v>0.33400000000000002</v>
      </c>
      <c r="AE43" s="171">
        <f t="shared" si="1"/>
        <v>0.33400000000000002</v>
      </c>
      <c r="AF43" s="172">
        <f t="shared" si="2"/>
        <v>0.38100000000000001</v>
      </c>
    </row>
    <row r="44" spans="1:32" ht="12.75" customHeight="1" x14ac:dyDescent="0.2">
      <c r="A44" s="77" t="s">
        <v>1190</v>
      </c>
      <c r="B44" s="279">
        <f>$N$19</f>
        <v>9.9909999999999997</v>
      </c>
      <c r="C44" s="138" t="s">
        <v>1172</v>
      </c>
      <c r="D44" s="62" t="str">
        <f>IF($N$12&gt;0,"L(req'd) = P/(Ca*C1*D)","L(req'd) = P/(C*C1*D)")</f>
        <v>L(req'd) = P/(Ca*C1*D)</v>
      </c>
      <c r="E44" s="205"/>
      <c r="F44" s="205"/>
      <c r="G44" s="205"/>
      <c r="H44" s="21"/>
      <c r="I44" s="206"/>
      <c r="J44" s="51"/>
      <c r="K44" s="260">
        <v>2.2000000000000002</v>
      </c>
      <c r="L44" s="253">
        <v>9.7000000000000003E-2</v>
      </c>
      <c r="M44" s="254">
        <v>0.129</v>
      </c>
      <c r="N44" s="254">
        <v>0.16600000000000001</v>
      </c>
      <c r="O44" s="254">
        <v>0.20499999999999999</v>
      </c>
      <c r="P44" s="254">
        <v>0.247</v>
      </c>
      <c r="Q44" s="254">
        <v>0.30499999999999999</v>
      </c>
      <c r="R44" s="254">
        <v>0.34799999999999998</v>
      </c>
      <c r="S44" s="254">
        <v>0.39400000000000002</v>
      </c>
      <c r="T44" s="254">
        <v>0.44400000000000001</v>
      </c>
      <c r="U44" s="254">
        <v>0.496</v>
      </c>
      <c r="V44" s="254">
        <v>0.55200000000000005</v>
      </c>
      <c r="W44" s="254">
        <v>0.67100000000000004</v>
      </c>
      <c r="X44" s="254">
        <v>0.80200000000000005</v>
      </c>
      <c r="Y44" s="254">
        <v>0.94199999999999995</v>
      </c>
      <c r="Z44" s="250">
        <v>1.0900000000000001</v>
      </c>
      <c r="AA44" s="251">
        <v>1.25</v>
      </c>
      <c r="AB44" s="307">
        <v>20</v>
      </c>
      <c r="AC44" s="169">
        <v>20</v>
      </c>
      <c r="AD44" s="170">
        <f t="shared" si="0"/>
        <v>0.30499999999999999</v>
      </c>
      <c r="AE44" s="171">
        <f t="shared" si="1"/>
        <v>0.30499999999999999</v>
      </c>
      <c r="AF44" s="172">
        <f t="shared" si="2"/>
        <v>0.34799999999999998</v>
      </c>
    </row>
    <row r="45" spans="1:32" x14ac:dyDescent="0.2">
      <c r="A45" s="30"/>
      <c r="B45" s="21"/>
      <c r="C45" s="21"/>
      <c r="D45" s="21"/>
      <c r="E45" s="21"/>
      <c r="F45" s="21"/>
      <c r="G45" s="21"/>
      <c r="H45" s="21"/>
      <c r="I45" s="24"/>
      <c r="J45" s="51"/>
      <c r="K45" s="260">
        <v>2.4</v>
      </c>
      <c r="L45" s="253">
        <v>8.8999999999999996E-2</v>
      </c>
      <c r="M45" s="254">
        <v>0.11899999999999999</v>
      </c>
      <c r="N45" s="254">
        <v>0.152</v>
      </c>
      <c r="O45" s="254">
        <v>0.188</v>
      </c>
      <c r="P45" s="254">
        <v>0.22700000000000001</v>
      </c>
      <c r="Q45" s="254">
        <v>0.28000000000000003</v>
      </c>
      <c r="R45" s="254">
        <v>0.32</v>
      </c>
      <c r="S45" s="254">
        <v>0.36299999999999999</v>
      </c>
      <c r="T45" s="254">
        <v>0.40899999999999997</v>
      </c>
      <c r="U45" s="254">
        <v>0.45800000000000002</v>
      </c>
      <c r="V45" s="254">
        <v>0.51</v>
      </c>
      <c r="W45" s="254">
        <v>0.621</v>
      </c>
      <c r="X45" s="254">
        <v>0.74299999999999999</v>
      </c>
      <c r="Y45" s="254">
        <v>0.874</v>
      </c>
      <c r="Z45" s="250">
        <v>1.01</v>
      </c>
      <c r="AA45" s="251">
        <v>1.1599999999999999</v>
      </c>
      <c r="AB45" s="307">
        <v>21</v>
      </c>
      <c r="AC45" s="169">
        <v>21</v>
      </c>
      <c r="AD45" s="170">
        <f t="shared" si="0"/>
        <v>0.28000000000000003</v>
      </c>
      <c r="AE45" s="171">
        <f t="shared" si="1"/>
        <v>0.28000000000000003</v>
      </c>
      <c r="AF45" s="172">
        <f t="shared" si="2"/>
        <v>0.32</v>
      </c>
    </row>
    <row r="46" spans="1:32" x14ac:dyDescent="0.2">
      <c r="A46" s="30"/>
      <c r="B46" s="21"/>
      <c r="C46" s="21"/>
      <c r="D46" s="301" t="str">
        <f>IF(OR($N$18&gt;$C$11*16,$N$19&gt;$N$3),"Weld is overstressed!","Weld is adequate!")</f>
        <v>Weld is adequate!</v>
      </c>
      <c r="E46" s="35"/>
      <c r="F46" s="36"/>
      <c r="G46" s="21"/>
      <c r="H46" s="21"/>
      <c r="I46" s="24"/>
      <c r="J46" s="51"/>
      <c r="K46" s="260">
        <v>2.6</v>
      </c>
      <c r="L46" s="253">
        <v>8.2000000000000003E-2</v>
      </c>
      <c r="M46" s="254">
        <v>0.11</v>
      </c>
      <c r="N46" s="254">
        <v>0.14000000000000001</v>
      </c>
      <c r="O46" s="254">
        <v>0.17399999999999999</v>
      </c>
      <c r="P46" s="254">
        <v>0.21</v>
      </c>
      <c r="Q46" s="254">
        <v>0.25900000000000001</v>
      </c>
      <c r="R46" s="254">
        <v>0.29699999999999999</v>
      </c>
      <c r="S46" s="254">
        <v>0.33700000000000002</v>
      </c>
      <c r="T46" s="254">
        <v>0.38</v>
      </c>
      <c r="U46" s="254">
        <v>0.42499999999999999</v>
      </c>
      <c r="V46" s="254">
        <v>0.47399999999999998</v>
      </c>
      <c r="W46" s="254">
        <v>0.57799999999999996</v>
      </c>
      <c r="X46" s="254">
        <v>0.69199999999999995</v>
      </c>
      <c r="Y46" s="254">
        <v>0.81499999999999995</v>
      </c>
      <c r="Z46" s="254">
        <v>0.94599999999999995</v>
      </c>
      <c r="AA46" s="251">
        <v>1.0900000000000001</v>
      </c>
      <c r="AB46" s="307">
        <v>22</v>
      </c>
      <c r="AC46" s="169">
        <v>22</v>
      </c>
      <c r="AD46" s="170">
        <f t="shared" si="0"/>
        <v>0.25900000000000001</v>
      </c>
      <c r="AE46" s="171">
        <f t="shared" si="1"/>
        <v>0.25900000000000001</v>
      </c>
      <c r="AF46" s="172">
        <f t="shared" si="2"/>
        <v>0.29699999999999999</v>
      </c>
    </row>
    <row r="47" spans="1:32" x14ac:dyDescent="0.2">
      <c r="A47" s="30"/>
      <c r="B47" s="21"/>
      <c r="C47" s="21"/>
      <c r="D47" s="302" t="str">
        <f>IF($N$18&gt;$C$11*16,"D(req'd) = "&amp;$N$18&amp;" &gt; "&amp;$C$11*16&amp;" (1/16's)","D(req'd) = "&amp;$N$18&amp;" &lt;= "&amp;$C$11*16&amp;" (1/16's)")</f>
        <v>D(req'd) = 7.993 &lt;= 8 (1/16's)</v>
      </c>
      <c r="E47" s="37"/>
      <c r="F47" s="303"/>
      <c r="G47" s="21"/>
      <c r="H47" s="21"/>
      <c r="I47" s="24"/>
      <c r="J47" s="51"/>
      <c r="K47" s="260">
        <v>2.8</v>
      </c>
      <c r="L47" s="253">
        <v>7.5999999999999998E-2</v>
      </c>
      <c r="M47" s="254">
        <v>0.10199999999999999</v>
      </c>
      <c r="N47" s="254">
        <v>0.13</v>
      </c>
      <c r="O47" s="254">
        <v>0.161</v>
      </c>
      <c r="P47" s="254">
        <v>0.19500000000000001</v>
      </c>
      <c r="Q47" s="254">
        <v>0.24199999999999999</v>
      </c>
      <c r="R47" s="254">
        <v>0.27700000000000002</v>
      </c>
      <c r="S47" s="254">
        <v>0.314</v>
      </c>
      <c r="T47" s="254">
        <v>0.35399999999999998</v>
      </c>
      <c r="U47" s="254">
        <v>0.39700000000000002</v>
      </c>
      <c r="V47" s="254">
        <v>0.442</v>
      </c>
      <c r="W47" s="254">
        <v>0.54</v>
      </c>
      <c r="X47" s="254">
        <v>0.64700000000000002</v>
      </c>
      <c r="Y47" s="254">
        <v>0.76300000000000001</v>
      </c>
      <c r="Z47" s="254">
        <v>0.88600000000000001</v>
      </c>
      <c r="AA47" s="251">
        <v>1.02</v>
      </c>
      <c r="AB47" s="307">
        <v>23</v>
      </c>
      <c r="AC47" s="169">
        <v>23</v>
      </c>
      <c r="AD47" s="170">
        <f t="shared" si="0"/>
        <v>0.24199999999999999</v>
      </c>
      <c r="AE47" s="171">
        <f t="shared" si="1"/>
        <v>0.24199999999999999</v>
      </c>
      <c r="AF47" s="172">
        <f t="shared" si="2"/>
        <v>0.27700000000000002</v>
      </c>
    </row>
    <row r="48" spans="1:32" ht="12.75" customHeight="1" x14ac:dyDescent="0.2">
      <c r="A48" s="30"/>
      <c r="B48" s="21"/>
      <c r="C48" s="21"/>
      <c r="D48" s="304" t="str">
        <f>IF($N$19&gt;$N$3,"L(req'd) = "&amp;$N$19&amp;" &gt; "&amp;$N$3&amp;" in.","L(req'd) = "&amp;$N$19&amp;" &lt;= "&amp;$N$3&amp;" in.")</f>
        <v>L(req'd) = 9.991 &lt;= 10 in.</v>
      </c>
      <c r="E48" s="305"/>
      <c r="F48" s="306"/>
      <c r="G48" s="21"/>
      <c r="H48" s="21"/>
      <c r="I48" s="24"/>
      <c r="J48" s="51"/>
      <c r="K48" s="261">
        <v>3</v>
      </c>
      <c r="L48" s="256">
        <v>7.0999999999999994E-2</v>
      </c>
      <c r="M48" s="257">
        <v>9.5000000000000001E-2</v>
      </c>
      <c r="N48" s="257">
        <v>0.122</v>
      </c>
      <c r="O48" s="257">
        <v>0.151</v>
      </c>
      <c r="P48" s="257">
        <v>0.182</v>
      </c>
      <c r="Q48" s="257">
        <v>0.22600000000000001</v>
      </c>
      <c r="R48" s="257">
        <v>0.25900000000000001</v>
      </c>
      <c r="S48" s="257">
        <v>0.29399999999999998</v>
      </c>
      <c r="T48" s="257">
        <v>0.33200000000000002</v>
      </c>
      <c r="U48" s="257">
        <v>0.372</v>
      </c>
      <c r="V48" s="257">
        <v>0.41499999999999998</v>
      </c>
      <c r="W48" s="257">
        <v>0.50700000000000001</v>
      </c>
      <c r="X48" s="257">
        <v>0.60799999999999998</v>
      </c>
      <c r="Y48" s="257">
        <v>0.71699999999999997</v>
      </c>
      <c r="Z48" s="257">
        <v>0.83399999999999996</v>
      </c>
      <c r="AA48" s="258">
        <v>0.95799999999999996</v>
      </c>
      <c r="AB48" s="307">
        <v>24</v>
      </c>
      <c r="AC48" s="173">
        <v>24</v>
      </c>
      <c r="AD48" s="174">
        <f t="shared" si="0"/>
        <v>0.22600000000000001</v>
      </c>
      <c r="AE48" s="175">
        <f t="shared" si="1"/>
        <v>0.22600000000000001</v>
      </c>
      <c r="AF48" s="176">
        <f t="shared" si="2"/>
        <v>0.25900000000000001</v>
      </c>
    </row>
    <row r="49" spans="1:32" x14ac:dyDescent="0.2">
      <c r="A49" s="30"/>
      <c r="B49" s="21"/>
      <c r="C49" s="21"/>
      <c r="D49" s="21"/>
      <c r="E49" s="21"/>
      <c r="F49" s="21"/>
      <c r="G49" s="21"/>
      <c r="H49" s="21"/>
      <c r="I49" s="24"/>
      <c r="J49" s="51"/>
      <c r="K49" s="197" t="s">
        <v>1107</v>
      </c>
      <c r="L49" s="198">
        <v>0</v>
      </c>
      <c r="M49" s="199">
        <v>8.0000000000000002E-3</v>
      </c>
      <c r="N49" s="198">
        <v>2.8000000000000001E-2</v>
      </c>
      <c r="O49" s="199">
        <v>5.6000000000000001E-2</v>
      </c>
      <c r="P49" s="198">
        <v>8.7999999999999995E-2</v>
      </c>
      <c r="Q49" s="199">
        <v>0.125</v>
      </c>
      <c r="R49" s="198">
        <v>0.16300000000000001</v>
      </c>
      <c r="S49" s="199">
        <v>0.20399999999999999</v>
      </c>
      <c r="T49" s="198">
        <v>0.246</v>
      </c>
      <c r="U49" s="199">
        <v>0.28899999999999998</v>
      </c>
      <c r="V49" s="198">
        <v>0.33300000000000002</v>
      </c>
      <c r="W49" s="199">
        <v>0.42299999999999999</v>
      </c>
      <c r="X49" s="198">
        <v>0.51500000000000001</v>
      </c>
      <c r="Y49" s="199">
        <v>0.60899999999999999</v>
      </c>
      <c r="Z49" s="198">
        <v>0.70399999999999996</v>
      </c>
      <c r="AA49" s="200">
        <v>0.8</v>
      </c>
      <c r="AB49" s="308"/>
      <c r="AC49" s="178" t="s">
        <v>1096</v>
      </c>
      <c r="AD49" s="179"/>
      <c r="AE49" s="180"/>
      <c r="AF49" s="181" t="s">
        <v>1097</v>
      </c>
    </row>
    <row r="50" spans="1:32" x14ac:dyDescent="0.2">
      <c r="A50" s="31"/>
      <c r="B50" s="32"/>
      <c r="C50" s="32"/>
      <c r="D50" s="32"/>
      <c r="E50" s="32"/>
      <c r="F50" s="32"/>
      <c r="G50" s="32"/>
      <c r="H50" s="32"/>
      <c r="I50" s="33"/>
      <c r="J50" s="51"/>
      <c r="K50" s="217" t="s">
        <v>1094</v>
      </c>
      <c r="L50" s="217">
        <v>1</v>
      </c>
      <c r="M50" s="217">
        <v>2</v>
      </c>
      <c r="N50" s="217">
        <v>3</v>
      </c>
      <c r="O50" s="217">
        <v>4</v>
      </c>
      <c r="P50" s="217">
        <v>5</v>
      </c>
      <c r="Q50" s="217">
        <v>6</v>
      </c>
      <c r="R50" s="217">
        <v>7</v>
      </c>
      <c r="S50" s="217">
        <v>8</v>
      </c>
      <c r="T50" s="217">
        <v>9</v>
      </c>
      <c r="U50" s="217">
        <v>10</v>
      </c>
      <c r="V50" s="217">
        <v>11</v>
      </c>
      <c r="W50" s="217">
        <v>12</v>
      </c>
      <c r="X50" s="217">
        <v>13</v>
      </c>
      <c r="Y50" s="217">
        <v>14</v>
      </c>
      <c r="Z50" s="217">
        <v>15</v>
      </c>
      <c r="AA50" s="217">
        <v>16</v>
      </c>
      <c r="AB50" s="19"/>
      <c r="AC50" s="182">
        <f>IF($N$7&gt;=0.06,LOOKUP($AE$50,$K$25:$K$48,$AB$25:$AB$48),0)</f>
        <v>12</v>
      </c>
      <c r="AD50" s="183" t="s">
        <v>1194</v>
      </c>
      <c r="AE50" s="184">
        <f>IF($N$7&gt;=0.06,LOOKUP($N$7,$K$25:$K$48),0)</f>
        <v>0.8</v>
      </c>
      <c r="AF50" s="185">
        <f>IF($N$7&gt;=0.06,LOOKUP($AE$50,$K$25:$K$48,$AE25:$AE48),0.928*(1+2*$N$8))</f>
        <v>0.75600000000000001</v>
      </c>
    </row>
    <row r="51" spans="1:32" x14ac:dyDescent="0.2">
      <c r="A51" s="21"/>
      <c r="B51" s="21"/>
      <c r="C51" s="21"/>
      <c r="D51" s="21"/>
      <c r="E51" s="21"/>
      <c r="F51" s="21"/>
      <c r="G51" s="21"/>
      <c r="H51" s="21"/>
      <c r="I51" s="21"/>
      <c r="J51" s="51"/>
      <c r="M51" s="47"/>
      <c r="N51" s="47"/>
      <c r="O51" s="52"/>
      <c r="P51" s="47"/>
      <c r="Q51" s="18"/>
      <c r="R51" s="18"/>
      <c r="S51" s="18"/>
      <c r="T51" s="18"/>
      <c r="U51" s="18"/>
      <c r="V51" s="18"/>
      <c r="W51" s="18"/>
      <c r="AC51" s="186"/>
      <c r="AD51" s="187" t="s">
        <v>1095</v>
      </c>
      <c r="AE51" s="171">
        <f>$N$7</f>
        <v>0.875</v>
      </c>
      <c r="AF51" s="188">
        <f>IF($AE$50=$AE$52,$AF$50,($AF$52-$AF$50)*($AE$51-$AE$50)/($AE$52-$AE$50)+$AF$50)</f>
        <v>0.70425000000000004</v>
      </c>
    </row>
    <row r="52" spans="1:32" x14ac:dyDescent="0.2">
      <c r="A52" s="21"/>
      <c r="B52" s="21"/>
      <c r="C52" s="21"/>
      <c r="D52" s="21"/>
      <c r="E52" s="21"/>
      <c r="F52" s="21"/>
      <c r="G52" s="21"/>
      <c r="H52" s="21"/>
      <c r="I52" s="51"/>
      <c r="J52" s="51"/>
      <c r="M52" s="47"/>
      <c r="N52" s="47"/>
      <c r="O52" s="52"/>
      <c r="P52" s="47"/>
      <c r="Q52" s="18"/>
      <c r="R52" s="18"/>
      <c r="S52" s="18"/>
      <c r="T52" s="18"/>
      <c r="U52" s="18"/>
      <c r="V52" s="18"/>
      <c r="W52" s="18"/>
      <c r="AC52" s="189">
        <f>LOOKUP($AC$50+1,$AB$25:$AB$48)</f>
        <v>13</v>
      </c>
      <c r="AD52" s="190" t="s">
        <v>1194</v>
      </c>
      <c r="AE52" s="191">
        <f>LOOKUP($AC$52,$AB$25:$AB$48,$K$25:$K$48)</f>
        <v>0.9</v>
      </c>
      <c r="AF52" s="176">
        <f>LOOKUP($AE$52,$K$25:$K$48,$AE25:$AE48)</f>
        <v>0.68700000000000006</v>
      </c>
    </row>
    <row r="53" spans="1:32" x14ac:dyDescent="0.2">
      <c r="A53" s="21"/>
      <c r="B53" s="21"/>
      <c r="C53" s="21"/>
      <c r="D53" s="21"/>
      <c r="E53" s="21"/>
      <c r="F53" s="21"/>
      <c r="G53" s="21"/>
      <c r="H53" s="21"/>
      <c r="I53" s="21"/>
      <c r="J53" s="51"/>
      <c r="V53" s="52"/>
    </row>
    <row r="54" spans="1:32" x14ac:dyDescent="0.2">
      <c r="A54" s="21"/>
      <c r="B54" s="21"/>
      <c r="C54" s="21"/>
      <c r="D54" s="21"/>
      <c r="E54" s="21"/>
      <c r="F54" s="21"/>
      <c r="G54" s="21"/>
      <c r="H54" s="21"/>
      <c r="I54" s="21"/>
      <c r="J54" s="51"/>
      <c r="K54" s="55"/>
      <c r="N54" s="43"/>
      <c r="P54" s="44"/>
      <c r="V54" s="14"/>
    </row>
    <row r="55" spans="1:32" x14ac:dyDescent="0.2">
      <c r="A55" s="21"/>
      <c r="B55" s="21"/>
      <c r="C55" s="21"/>
      <c r="D55" s="21"/>
      <c r="E55" s="21"/>
      <c r="F55" s="21"/>
      <c r="G55" s="21"/>
      <c r="H55" s="21"/>
      <c r="I55" s="21"/>
      <c r="J55" s="51"/>
      <c r="K55" s="55"/>
      <c r="P55" s="44"/>
    </row>
    <row r="56" spans="1:32" x14ac:dyDescent="0.2">
      <c r="A56" s="21"/>
      <c r="B56" s="21"/>
      <c r="C56" s="21"/>
      <c r="D56" s="21"/>
      <c r="E56" s="21"/>
      <c r="F56" s="21"/>
      <c r="G56" s="21"/>
      <c r="H56" s="21"/>
      <c r="I56" s="21"/>
      <c r="J56" s="51"/>
      <c r="K56" s="55"/>
    </row>
    <row r="57" spans="1:32" x14ac:dyDescent="0.2">
      <c r="A57" s="21"/>
      <c r="B57" s="21"/>
      <c r="C57" s="21"/>
      <c r="D57" s="21"/>
      <c r="E57" s="21"/>
      <c r="F57" s="21"/>
      <c r="G57" s="21"/>
      <c r="H57" s="21"/>
      <c r="I57" s="125"/>
      <c r="J57" s="51"/>
      <c r="K57" s="55"/>
    </row>
    <row r="58" spans="1:32" x14ac:dyDescent="0.2">
      <c r="A58" s="21"/>
      <c r="B58" s="21"/>
      <c r="C58" s="21"/>
      <c r="D58" s="21"/>
      <c r="E58" s="21"/>
      <c r="F58" s="21"/>
      <c r="G58" s="21"/>
      <c r="H58" s="21"/>
      <c r="I58" s="125"/>
      <c r="J58" s="51"/>
      <c r="K58" s="55"/>
    </row>
    <row r="59" spans="1:32" x14ac:dyDescent="0.2">
      <c r="A59" s="21"/>
      <c r="B59" s="21"/>
      <c r="C59" s="21"/>
      <c r="D59" s="21"/>
      <c r="E59" s="21"/>
      <c r="F59" s="21"/>
      <c r="G59" s="21"/>
      <c r="H59" s="21"/>
      <c r="I59" s="11"/>
      <c r="J59" s="51"/>
      <c r="K59" s="55"/>
    </row>
    <row r="60" spans="1:32" x14ac:dyDescent="0.2">
      <c r="A60" s="57"/>
      <c r="B60" s="57"/>
      <c r="C60" s="57"/>
      <c r="D60" s="57"/>
      <c r="E60" s="57"/>
      <c r="F60" s="57"/>
      <c r="G60" s="57"/>
      <c r="H60" s="57"/>
      <c r="I60" s="58"/>
      <c r="J60" s="67"/>
      <c r="K60" s="55"/>
    </row>
    <row r="61" spans="1:32" x14ac:dyDescent="0.2">
      <c r="A61" s="57"/>
      <c r="B61" s="57"/>
      <c r="C61" s="57"/>
      <c r="D61" s="57"/>
      <c r="E61" s="57"/>
      <c r="F61" s="57"/>
      <c r="G61" s="57"/>
      <c r="H61" s="57"/>
      <c r="I61" s="58"/>
      <c r="J61" s="71"/>
      <c r="K61" s="55"/>
    </row>
    <row r="62" spans="1:32" x14ac:dyDescent="0.2">
      <c r="A62" s="57"/>
      <c r="B62" s="57"/>
      <c r="C62" s="57"/>
      <c r="D62" s="57"/>
      <c r="E62" s="57"/>
      <c r="F62" s="57"/>
      <c r="G62" s="57"/>
      <c r="H62" s="57"/>
      <c r="I62" s="58"/>
      <c r="J62" s="57"/>
      <c r="K62" s="55"/>
    </row>
    <row r="63" spans="1:32" x14ac:dyDescent="0.2">
      <c r="A63" s="57"/>
      <c r="B63" s="57"/>
      <c r="C63" s="57"/>
      <c r="D63" s="57"/>
      <c r="E63" s="57"/>
      <c r="F63" s="57"/>
      <c r="G63" s="57"/>
      <c r="H63" s="57"/>
      <c r="I63" s="57"/>
      <c r="J63" s="57"/>
      <c r="K63" s="55"/>
    </row>
    <row r="64" spans="1:32" x14ac:dyDescent="0.2">
      <c r="A64" s="57"/>
      <c r="B64" s="57"/>
      <c r="C64" s="57"/>
      <c r="D64" s="57"/>
      <c r="E64" s="57"/>
      <c r="F64" s="57"/>
      <c r="G64" s="57"/>
      <c r="H64" s="57"/>
      <c r="I64" s="57"/>
      <c r="J64" s="57"/>
    </row>
    <row r="65" spans="1:11" x14ac:dyDescent="0.2">
      <c r="A65" s="113"/>
      <c r="B65" s="9"/>
      <c r="C65" s="62"/>
      <c r="D65" s="62"/>
      <c r="E65" s="57"/>
      <c r="F65" s="57"/>
      <c r="G65" s="57"/>
      <c r="H65" s="57"/>
      <c r="I65" s="57"/>
      <c r="J65" s="57"/>
    </row>
    <row r="66" spans="1:11" x14ac:dyDescent="0.2">
      <c r="A66" s="93"/>
      <c r="B66" s="9"/>
      <c r="C66" s="21"/>
      <c r="D66" s="21"/>
      <c r="G66" s="64"/>
      <c r="H66" s="64"/>
      <c r="I66" s="64"/>
    </row>
    <row r="67" spans="1:11" x14ac:dyDescent="0.2">
      <c r="A67" s="93"/>
      <c r="B67" s="9"/>
      <c r="C67" s="119"/>
      <c r="D67" s="9"/>
      <c r="E67" s="88"/>
      <c r="F67" s="88"/>
      <c r="G67" s="64"/>
      <c r="H67" s="64"/>
      <c r="I67" s="64"/>
    </row>
    <row r="68" spans="1:11" x14ac:dyDescent="0.2">
      <c r="A68" s="67"/>
      <c r="B68" s="87"/>
      <c r="C68" s="119"/>
      <c r="D68" s="58"/>
      <c r="E68" s="88"/>
      <c r="F68" s="84"/>
      <c r="G68" s="64"/>
      <c r="H68" s="64"/>
      <c r="I68" s="64"/>
      <c r="J68" s="43" t="s">
        <v>1149</v>
      </c>
    </row>
    <row r="69" spans="1:11" x14ac:dyDescent="0.2">
      <c r="A69" s="67"/>
      <c r="B69" s="87"/>
      <c r="C69" s="119"/>
      <c r="D69" s="58"/>
      <c r="E69" s="88"/>
      <c r="F69" s="73"/>
      <c r="G69" s="64"/>
      <c r="H69" s="64"/>
      <c r="I69" s="64"/>
    </row>
    <row r="70" spans="1:11" x14ac:dyDescent="0.2">
      <c r="A70" s="67"/>
      <c r="B70" s="87"/>
      <c r="C70" s="119"/>
      <c r="D70" s="58"/>
      <c r="E70" s="88"/>
      <c r="F70" s="73"/>
      <c r="G70" s="64"/>
      <c r="H70" s="64"/>
      <c r="I70" s="64"/>
    </row>
    <row r="71" spans="1:11" x14ac:dyDescent="0.2">
      <c r="A71" s="67"/>
      <c r="B71" s="87"/>
      <c r="C71" s="119"/>
      <c r="D71" s="58"/>
      <c r="E71" s="88"/>
      <c r="F71" s="73"/>
      <c r="G71" s="64"/>
      <c r="H71" s="64"/>
      <c r="I71" s="64"/>
    </row>
    <row r="72" spans="1:11" x14ac:dyDescent="0.2">
      <c r="A72" s="74"/>
      <c r="B72" s="87"/>
      <c r="C72" s="119"/>
      <c r="D72" s="58"/>
      <c r="E72" s="88"/>
      <c r="F72" s="88"/>
      <c r="G72" s="64"/>
      <c r="H72" s="64"/>
      <c r="I72" s="64"/>
    </row>
    <row r="73" spans="1:11" x14ac:dyDescent="0.2">
      <c r="A73" s="57"/>
      <c r="B73" s="87"/>
      <c r="C73" s="119"/>
      <c r="D73" s="58"/>
      <c r="E73" s="88"/>
      <c r="F73" s="88"/>
      <c r="G73" s="64"/>
      <c r="H73" s="108"/>
      <c r="I73" s="57"/>
    </row>
    <row r="74" spans="1:11" x14ac:dyDescent="0.2">
      <c r="A74" s="57"/>
      <c r="B74" s="87"/>
      <c r="C74" s="119"/>
      <c r="D74" s="58"/>
      <c r="E74" s="88"/>
      <c r="F74" s="88"/>
      <c r="G74" s="64"/>
      <c r="H74" s="64"/>
      <c r="I74" s="64"/>
    </row>
    <row r="75" spans="1:11" x14ac:dyDescent="0.2">
      <c r="A75" s="57"/>
      <c r="G75" s="64"/>
      <c r="H75" s="64"/>
      <c r="I75" s="57"/>
    </row>
    <row r="76" spans="1:11" x14ac:dyDescent="0.2">
      <c r="A76" s="93"/>
      <c r="B76" s="9"/>
      <c r="C76" s="62"/>
      <c r="D76" s="73"/>
      <c r="E76" s="73"/>
      <c r="F76" s="64"/>
      <c r="G76" s="64"/>
      <c r="H76" s="64"/>
      <c r="I76" s="57"/>
    </row>
    <row r="77" spans="1:11" x14ac:dyDescent="0.2">
      <c r="A77" s="100"/>
      <c r="B77" s="58"/>
      <c r="C77" s="62"/>
      <c r="D77" s="84"/>
      <c r="E77" s="84"/>
      <c r="F77" s="64"/>
      <c r="G77" s="64"/>
      <c r="H77" s="64"/>
      <c r="I77" s="64"/>
    </row>
    <row r="78" spans="1:11" x14ac:dyDescent="0.2">
      <c r="A78" s="100"/>
      <c r="B78" s="58"/>
      <c r="C78" s="62"/>
      <c r="D78" s="84"/>
      <c r="E78" s="84"/>
      <c r="F78" s="64"/>
      <c r="G78" s="64"/>
      <c r="H78" s="64"/>
      <c r="I78" s="64"/>
    </row>
    <row r="79" spans="1:11" x14ac:dyDescent="0.2">
      <c r="A79" s="64"/>
      <c r="B79" s="64"/>
      <c r="C79" s="64"/>
      <c r="D79" s="62"/>
      <c r="E79" s="64"/>
      <c r="F79" s="64"/>
      <c r="G79" s="64"/>
      <c r="H79" s="64"/>
      <c r="I79" s="64"/>
    </row>
    <row r="80" spans="1:11" x14ac:dyDescent="0.2">
      <c r="A80" s="64"/>
      <c r="B80" s="64"/>
      <c r="C80" s="64"/>
      <c r="D80" s="64"/>
      <c r="E80" s="64"/>
      <c r="F80" s="64"/>
      <c r="G80" s="108"/>
      <c r="H80" s="64"/>
      <c r="I80" s="64"/>
      <c r="K80" s="70"/>
    </row>
    <row r="81" spans="1:14" x14ac:dyDescent="0.2">
      <c r="A81" s="194"/>
      <c r="B81" s="64"/>
      <c r="C81" s="64"/>
      <c r="D81" s="64"/>
      <c r="E81" s="64"/>
      <c r="F81" s="108"/>
      <c r="G81" s="64"/>
      <c r="H81" s="64"/>
      <c r="I81" s="64"/>
    </row>
    <row r="82" spans="1:14" x14ac:dyDescent="0.2">
      <c r="A82" s="57"/>
      <c r="B82" s="57"/>
      <c r="C82" s="57"/>
      <c r="D82" s="62"/>
      <c r="E82" s="57"/>
      <c r="F82" s="64"/>
      <c r="G82" s="64"/>
      <c r="H82" s="64"/>
      <c r="I82" s="64"/>
    </row>
    <row r="83" spans="1:14" x14ac:dyDescent="0.2">
      <c r="A83" s="67"/>
      <c r="B83" s="58"/>
      <c r="C83" s="62"/>
      <c r="D83" s="62"/>
      <c r="E83" s="57"/>
      <c r="F83" s="57"/>
      <c r="G83" s="57"/>
      <c r="H83" s="57"/>
      <c r="I83" s="57"/>
    </row>
    <row r="84" spans="1:14" x14ac:dyDescent="0.2">
      <c r="A84" s="67"/>
      <c r="B84" s="58"/>
      <c r="C84" s="62"/>
      <c r="D84" s="62"/>
      <c r="E84" s="57"/>
      <c r="F84" s="57"/>
      <c r="G84" s="57"/>
      <c r="H84" s="57"/>
      <c r="I84" s="64"/>
      <c r="L84" s="51"/>
    </row>
    <row r="85" spans="1:14" x14ac:dyDescent="0.2">
      <c r="A85" s="67"/>
      <c r="B85" s="9"/>
      <c r="C85" s="62"/>
      <c r="D85" s="62"/>
      <c r="E85" s="64"/>
      <c r="F85" s="64"/>
      <c r="G85" s="64"/>
      <c r="H85" s="64"/>
      <c r="I85" s="57"/>
      <c r="N85" s="43"/>
    </row>
    <row r="86" spans="1:14" x14ac:dyDescent="0.2">
      <c r="A86" s="67"/>
      <c r="B86" s="9"/>
      <c r="C86" s="62"/>
      <c r="D86" s="62"/>
      <c r="E86" s="57"/>
      <c r="F86" s="57"/>
      <c r="G86" s="64"/>
      <c r="H86" s="108"/>
      <c r="I86" s="57"/>
      <c r="N86" s="43"/>
    </row>
    <row r="87" spans="1:14" x14ac:dyDescent="0.2">
      <c r="A87" s="57"/>
      <c r="B87" s="64"/>
      <c r="C87" s="64"/>
      <c r="D87" s="62"/>
      <c r="E87" s="64"/>
      <c r="F87" s="64"/>
      <c r="G87" s="64"/>
      <c r="H87" s="64"/>
      <c r="I87" s="64"/>
      <c r="N87" s="43"/>
    </row>
    <row r="88" spans="1:14" x14ac:dyDescent="0.2">
      <c r="A88" s="67"/>
      <c r="B88" s="9"/>
      <c r="C88" s="62"/>
      <c r="D88" s="62"/>
      <c r="E88" s="57"/>
      <c r="F88" s="57"/>
      <c r="G88" s="57"/>
      <c r="H88" s="57"/>
      <c r="I88" s="57"/>
      <c r="N88" s="43"/>
    </row>
    <row r="89" spans="1:14" x14ac:dyDescent="0.2">
      <c r="A89" s="67"/>
      <c r="B89" s="89"/>
      <c r="C89" s="62"/>
      <c r="D89" s="62"/>
      <c r="E89" s="64"/>
      <c r="F89" s="64"/>
      <c r="G89" s="64"/>
      <c r="H89" s="108"/>
      <c r="I89" s="57"/>
      <c r="N89" s="43"/>
    </row>
    <row r="90" spans="1:14" x14ac:dyDescent="0.2">
      <c r="A90" s="57"/>
      <c r="B90" s="64"/>
      <c r="C90" s="64"/>
      <c r="D90" s="62"/>
      <c r="E90" s="64"/>
      <c r="F90" s="64"/>
      <c r="G90" s="64"/>
      <c r="H90" s="64"/>
      <c r="I90" s="57"/>
      <c r="N90" s="43"/>
    </row>
    <row r="91" spans="1:14" x14ac:dyDescent="0.2">
      <c r="A91" s="93"/>
      <c r="B91" s="9"/>
      <c r="C91" s="73"/>
      <c r="D91" s="62"/>
      <c r="E91" s="64"/>
      <c r="F91" s="64"/>
      <c r="G91" s="64"/>
      <c r="H91" s="64"/>
      <c r="I91" s="57"/>
      <c r="K91" s="47"/>
      <c r="N91" s="43"/>
    </row>
    <row r="92" spans="1:14" x14ac:dyDescent="0.2">
      <c r="A92" s="93"/>
      <c r="B92" s="9"/>
      <c r="C92" s="73"/>
      <c r="D92" s="62"/>
      <c r="E92" s="64"/>
      <c r="F92" s="64"/>
      <c r="G92" s="64"/>
      <c r="H92" s="64"/>
      <c r="I92" s="64"/>
      <c r="M92" s="52"/>
      <c r="N92" s="43"/>
    </row>
    <row r="93" spans="1:14" x14ac:dyDescent="0.2">
      <c r="A93" s="93"/>
      <c r="B93" s="9"/>
      <c r="C93" s="64"/>
      <c r="D93" s="62"/>
      <c r="E93" s="64"/>
      <c r="F93" s="64"/>
      <c r="G93" s="64"/>
      <c r="H93" s="64"/>
      <c r="I93" s="64"/>
      <c r="N93" s="43"/>
    </row>
    <row r="94" spans="1:14" x14ac:dyDescent="0.2">
      <c r="A94" s="93"/>
      <c r="B94" s="9"/>
      <c r="C94" s="64"/>
      <c r="D94" s="73"/>
      <c r="E94" s="64"/>
      <c r="F94" s="64"/>
      <c r="G94" s="64"/>
      <c r="H94" s="64"/>
      <c r="I94" s="57"/>
      <c r="N94" s="43"/>
    </row>
    <row r="95" spans="1:14" x14ac:dyDescent="0.2">
      <c r="A95" s="93"/>
      <c r="B95" s="9"/>
      <c r="C95" s="64"/>
      <c r="D95" s="73"/>
      <c r="E95" s="64"/>
      <c r="F95" s="64"/>
      <c r="G95" s="64"/>
      <c r="H95" s="64"/>
      <c r="I95" s="64"/>
      <c r="N95" s="43"/>
    </row>
    <row r="96" spans="1:14" x14ac:dyDescent="0.2">
      <c r="A96" s="93"/>
      <c r="B96" s="9"/>
      <c r="C96" s="73"/>
      <c r="D96" s="64"/>
      <c r="E96" s="64"/>
      <c r="F96" s="64"/>
      <c r="G96" s="64"/>
      <c r="H96" s="64"/>
      <c r="I96" s="57"/>
    </row>
    <row r="97" spans="1:14" x14ac:dyDescent="0.2">
      <c r="A97" s="57"/>
      <c r="B97" s="12"/>
      <c r="C97" s="57"/>
      <c r="D97" s="73"/>
      <c r="E97" s="64"/>
      <c r="F97" s="64"/>
      <c r="G97" s="64"/>
      <c r="H97" s="64"/>
      <c r="I97" s="57"/>
      <c r="K97" s="59"/>
      <c r="N97" s="43"/>
    </row>
    <row r="98" spans="1:14" x14ac:dyDescent="0.2">
      <c r="A98" s="57"/>
      <c r="B98" s="12"/>
      <c r="C98" s="57"/>
      <c r="D98" s="73"/>
      <c r="E98" s="64"/>
      <c r="F98" s="64"/>
      <c r="G98" s="64"/>
      <c r="H98" s="64"/>
      <c r="I98" s="64"/>
      <c r="N98" s="43"/>
    </row>
    <row r="99" spans="1:14" x14ac:dyDescent="0.2">
      <c r="A99" s="64"/>
      <c r="B99" s="64"/>
      <c r="C99" s="64"/>
      <c r="D99" s="64"/>
      <c r="E99" s="64"/>
      <c r="F99" s="64"/>
      <c r="G99" s="64"/>
      <c r="H99" s="108"/>
      <c r="I99" s="57"/>
      <c r="N99" s="43"/>
    </row>
    <row r="100" spans="1:14" x14ac:dyDescent="0.2">
      <c r="A100" s="64"/>
      <c r="B100" s="64"/>
      <c r="C100" s="64"/>
      <c r="D100" s="64"/>
      <c r="E100" s="57"/>
      <c r="F100" s="57"/>
      <c r="G100" s="57"/>
      <c r="H100" s="80"/>
      <c r="I100" s="12"/>
      <c r="N100" s="43"/>
    </row>
    <row r="101" spans="1:14" x14ac:dyDescent="0.2">
      <c r="A101" s="64"/>
      <c r="B101" s="64"/>
      <c r="C101" s="64"/>
      <c r="D101" s="64"/>
      <c r="E101" s="57"/>
      <c r="F101" s="57"/>
      <c r="G101" s="57"/>
      <c r="H101" s="80"/>
      <c r="I101" s="127"/>
      <c r="N101" s="43"/>
    </row>
    <row r="102" spans="1:14" x14ac:dyDescent="0.2">
      <c r="A102" s="194"/>
      <c r="B102" s="21"/>
      <c r="C102" s="21"/>
      <c r="D102" s="21"/>
      <c r="E102" s="21"/>
      <c r="F102" s="21"/>
      <c r="G102" s="21"/>
      <c r="H102" s="94"/>
      <c r="I102" s="96"/>
      <c r="N102" s="43"/>
    </row>
    <row r="103" spans="1:14" x14ac:dyDescent="0.2">
      <c r="A103" s="21"/>
      <c r="B103" s="21"/>
      <c r="C103" s="21"/>
      <c r="D103" s="21"/>
      <c r="E103" s="21"/>
      <c r="F103" s="21"/>
      <c r="G103" s="21"/>
      <c r="H103" s="94"/>
      <c r="I103" s="41"/>
      <c r="N103" s="43"/>
    </row>
    <row r="104" spans="1:14" x14ac:dyDescent="0.2">
      <c r="A104" s="126"/>
      <c r="B104" s="8"/>
      <c r="C104" s="62"/>
      <c r="D104" s="73"/>
      <c r="E104" s="21"/>
      <c r="F104" s="21"/>
      <c r="G104" s="21"/>
      <c r="H104" s="94"/>
      <c r="I104" s="41"/>
      <c r="N104" s="43"/>
    </row>
    <row r="105" spans="1:14" x14ac:dyDescent="0.2">
      <c r="A105" s="126"/>
      <c r="B105" s="8"/>
      <c r="C105" s="62"/>
      <c r="D105" s="73"/>
      <c r="E105" s="21"/>
      <c r="F105" s="21"/>
      <c r="G105" s="21"/>
      <c r="H105" s="94"/>
      <c r="I105" s="21"/>
      <c r="N105" s="43"/>
    </row>
    <row r="106" spans="1:14" x14ac:dyDescent="0.2">
      <c r="A106" s="126"/>
      <c r="B106" s="8"/>
      <c r="C106" s="10"/>
      <c r="D106" s="73"/>
      <c r="E106" s="21"/>
      <c r="F106" s="21"/>
      <c r="G106" s="21"/>
      <c r="H106" s="21"/>
      <c r="I106" s="21"/>
      <c r="N106" s="43"/>
    </row>
    <row r="107" spans="1:14" x14ac:dyDescent="0.2">
      <c r="A107" s="21"/>
      <c r="B107" s="21"/>
      <c r="C107" s="21"/>
      <c r="D107" s="21"/>
      <c r="E107" s="21"/>
      <c r="F107" s="21"/>
      <c r="G107" s="21"/>
      <c r="H107" s="21"/>
      <c r="I107" s="21"/>
      <c r="N107" s="43"/>
    </row>
    <row r="108" spans="1:14" x14ac:dyDescent="0.2">
      <c r="A108" s="57"/>
      <c r="B108" s="67"/>
      <c r="C108" s="62"/>
      <c r="D108" s="62"/>
      <c r="E108" s="21"/>
      <c r="F108" s="21"/>
      <c r="G108" s="21"/>
      <c r="H108" s="21"/>
      <c r="I108" s="21"/>
      <c r="N108" s="43"/>
    </row>
    <row r="109" spans="1:14" x14ac:dyDescent="0.2">
      <c r="A109" s="67"/>
      <c r="B109" s="8"/>
      <c r="C109" s="62"/>
      <c r="D109" s="62"/>
      <c r="E109" s="21"/>
      <c r="F109" s="21"/>
      <c r="G109" s="21"/>
      <c r="H109" s="21"/>
      <c r="I109" s="21"/>
      <c r="N109" s="43"/>
    </row>
    <row r="110" spans="1:14" x14ac:dyDescent="0.2">
      <c r="A110" s="67"/>
      <c r="B110" s="8"/>
      <c r="C110" s="62"/>
      <c r="D110" s="62"/>
      <c r="E110" s="21"/>
      <c r="F110" s="21"/>
      <c r="G110" s="21"/>
      <c r="H110" s="83"/>
      <c r="I110" s="64"/>
      <c r="N110" s="43"/>
    </row>
    <row r="111" spans="1:14" x14ac:dyDescent="0.2">
      <c r="A111" s="21"/>
      <c r="B111" s="21"/>
      <c r="C111" s="21"/>
      <c r="D111" s="21"/>
      <c r="E111" s="21"/>
      <c r="F111" s="21"/>
      <c r="G111" s="21"/>
      <c r="H111" s="21"/>
      <c r="I111" s="21"/>
      <c r="N111" s="43"/>
    </row>
    <row r="112" spans="1:14" x14ac:dyDescent="0.2">
      <c r="A112" s="57"/>
      <c r="B112" s="57"/>
      <c r="C112" s="57"/>
      <c r="D112" s="62"/>
      <c r="E112" s="57"/>
      <c r="F112" s="57"/>
      <c r="G112" s="57"/>
      <c r="H112" s="57"/>
      <c r="I112" s="57"/>
      <c r="N112" s="43"/>
    </row>
    <row r="113" spans="1:14" x14ac:dyDescent="0.2">
      <c r="A113" s="93"/>
      <c r="B113" s="8"/>
      <c r="C113" s="73"/>
      <c r="D113" s="73"/>
      <c r="E113" s="21"/>
      <c r="F113" s="21"/>
      <c r="G113" s="21"/>
      <c r="H113" s="21"/>
      <c r="I113" s="21"/>
      <c r="N113" s="43"/>
    </row>
    <row r="114" spans="1:14" x14ac:dyDescent="0.2">
      <c r="A114" s="93"/>
      <c r="B114" s="11"/>
      <c r="C114" s="73"/>
      <c r="D114" s="73"/>
      <c r="E114" s="21"/>
      <c r="F114" s="21"/>
      <c r="G114" s="21"/>
      <c r="H114" s="21"/>
      <c r="I114" s="21"/>
      <c r="N114" s="43"/>
    </row>
    <row r="115" spans="1:14" x14ac:dyDescent="0.2">
      <c r="A115" s="100"/>
      <c r="B115" s="11"/>
      <c r="C115" s="73"/>
      <c r="D115" s="84"/>
      <c r="E115" s="21"/>
      <c r="F115" s="21"/>
      <c r="G115" s="21"/>
      <c r="H115" s="21"/>
      <c r="I115" s="21"/>
      <c r="N115" s="43"/>
    </row>
    <row r="116" spans="1:14" x14ac:dyDescent="0.2">
      <c r="A116" s="100"/>
      <c r="B116" s="11"/>
      <c r="C116" s="73"/>
      <c r="D116" s="84"/>
      <c r="E116" s="21"/>
      <c r="F116" s="21"/>
      <c r="G116" s="21"/>
      <c r="H116" s="21"/>
      <c r="I116" s="21"/>
      <c r="N116" s="43"/>
    </row>
    <row r="117" spans="1:14" x14ac:dyDescent="0.2">
      <c r="A117" s="21"/>
      <c r="B117" s="21"/>
      <c r="C117" s="21"/>
      <c r="D117" s="21"/>
      <c r="E117" s="21"/>
      <c r="F117" s="21"/>
      <c r="G117" s="68"/>
      <c r="H117" s="21"/>
      <c r="I117" s="21"/>
      <c r="N117" s="43"/>
    </row>
    <row r="118" spans="1:14" x14ac:dyDescent="0.2">
      <c r="A118" s="99"/>
      <c r="B118" s="8"/>
      <c r="C118" s="62"/>
      <c r="D118" s="62"/>
      <c r="E118" s="57"/>
      <c r="F118" s="68"/>
      <c r="G118" s="57"/>
      <c r="H118" s="57"/>
      <c r="I118" s="57"/>
      <c r="N118" s="43"/>
    </row>
    <row r="119" spans="1:14" x14ac:dyDescent="0.2">
      <c r="A119" s="21"/>
      <c r="B119" s="21"/>
      <c r="C119" s="21"/>
      <c r="D119" s="21"/>
      <c r="E119" s="21"/>
      <c r="F119" s="21"/>
      <c r="G119" s="21"/>
      <c r="H119" s="21"/>
      <c r="I119" s="21"/>
      <c r="N119" s="43"/>
    </row>
    <row r="120" spans="1:14" x14ac:dyDescent="0.2">
      <c r="A120" s="126"/>
      <c r="B120" s="195"/>
      <c r="C120" s="62"/>
      <c r="D120" s="73"/>
      <c r="E120" s="57"/>
      <c r="F120" s="57"/>
      <c r="G120" s="57"/>
      <c r="H120" s="57"/>
      <c r="I120" s="21"/>
      <c r="N120" s="43"/>
    </row>
    <row r="121" spans="1:14" x14ac:dyDescent="0.2">
      <c r="A121" s="126"/>
      <c r="B121" s="8"/>
      <c r="C121" s="62"/>
      <c r="D121" s="73"/>
      <c r="E121" s="57"/>
      <c r="F121" s="57"/>
      <c r="G121" s="57"/>
      <c r="H121" s="57"/>
      <c r="I121" s="21"/>
      <c r="N121" s="43"/>
    </row>
    <row r="122" spans="1:14" x14ac:dyDescent="0.2">
      <c r="A122" s="74"/>
      <c r="B122" s="8"/>
      <c r="C122" s="10"/>
      <c r="D122" s="73"/>
      <c r="E122" s="57"/>
      <c r="F122" s="57"/>
      <c r="G122" s="57"/>
      <c r="H122" s="57"/>
      <c r="I122" s="21"/>
      <c r="N122" s="43"/>
    </row>
    <row r="123" spans="1:14" x14ac:dyDescent="0.2">
      <c r="A123" s="64"/>
      <c r="B123" s="93"/>
      <c r="C123" s="62"/>
      <c r="D123" s="57"/>
      <c r="E123" s="57"/>
      <c r="F123" s="57"/>
      <c r="G123" s="57"/>
      <c r="H123" s="57"/>
      <c r="I123" s="64"/>
      <c r="N123" s="43"/>
    </row>
    <row r="124" spans="1:14" x14ac:dyDescent="0.2">
      <c r="A124" s="93"/>
      <c r="B124" s="8"/>
      <c r="C124" s="62"/>
      <c r="D124" s="62"/>
      <c r="E124" s="57"/>
      <c r="F124" s="57"/>
      <c r="G124" s="57"/>
      <c r="H124" s="57"/>
      <c r="I124" s="64"/>
      <c r="L124" s="52"/>
      <c r="N124" s="43"/>
    </row>
    <row r="125" spans="1:14" x14ac:dyDescent="0.2">
      <c r="A125" s="93"/>
      <c r="B125" s="8"/>
      <c r="C125" s="73"/>
      <c r="D125" s="62"/>
      <c r="E125" s="51"/>
      <c r="F125" s="57"/>
      <c r="G125" s="21"/>
      <c r="H125" s="83"/>
      <c r="I125" s="57"/>
      <c r="N125" s="43"/>
    </row>
    <row r="126" spans="1:14" x14ac:dyDescent="0.2">
      <c r="A126" s="67"/>
      <c r="B126" s="13"/>
      <c r="C126" s="62"/>
      <c r="D126" s="62"/>
      <c r="E126" s="51"/>
      <c r="F126" s="21"/>
      <c r="G126" s="21"/>
      <c r="H126" s="57"/>
      <c r="I126" s="57"/>
      <c r="N126" s="43"/>
    </row>
    <row r="127" spans="1:14" x14ac:dyDescent="0.2">
      <c r="A127" s="93"/>
      <c r="B127" s="8"/>
      <c r="C127" s="62"/>
      <c r="D127" s="62"/>
      <c r="E127" s="57"/>
      <c r="F127" s="21"/>
      <c r="G127" s="83"/>
      <c r="H127" s="64"/>
      <c r="I127" s="57"/>
      <c r="N127" s="43"/>
    </row>
    <row r="128" spans="1:14" x14ac:dyDescent="0.2">
      <c r="A128" s="56"/>
      <c r="B128" s="8"/>
      <c r="C128" s="62"/>
      <c r="D128" s="21"/>
      <c r="E128" s="21"/>
      <c r="F128" s="21"/>
      <c r="G128" s="21"/>
      <c r="H128" s="21"/>
      <c r="I128" s="57"/>
      <c r="K128" s="54"/>
      <c r="N128" s="43"/>
    </row>
    <row r="129" spans="1:14" x14ac:dyDescent="0.2">
      <c r="A129" s="56"/>
      <c r="B129" s="8"/>
      <c r="C129" s="73"/>
      <c r="D129" s="62"/>
      <c r="E129" s="21"/>
      <c r="F129" s="21"/>
      <c r="G129" s="21"/>
      <c r="H129" s="83"/>
      <c r="I129" s="57"/>
      <c r="K129" s="52"/>
      <c r="N129" s="43"/>
    </row>
    <row r="130" spans="1:14" x14ac:dyDescent="0.2">
      <c r="A130" s="73"/>
      <c r="B130" s="64"/>
      <c r="C130" s="64"/>
      <c r="D130" s="73"/>
      <c r="E130" s="64"/>
      <c r="F130" s="64"/>
      <c r="G130" s="64"/>
      <c r="H130" s="57"/>
      <c r="I130" s="57"/>
      <c r="K130" s="54"/>
      <c r="N130" s="43"/>
    </row>
    <row r="131" spans="1:14" x14ac:dyDescent="0.2">
      <c r="A131" s="56"/>
      <c r="B131" s="8"/>
      <c r="C131" s="21"/>
      <c r="D131" s="73"/>
      <c r="E131" s="21"/>
      <c r="F131" s="21"/>
      <c r="G131" s="21"/>
      <c r="H131" s="21"/>
      <c r="I131" s="57"/>
      <c r="N131" s="43"/>
    </row>
    <row r="132" spans="1:14" x14ac:dyDescent="0.2">
      <c r="A132" s="93"/>
      <c r="B132" s="8"/>
      <c r="C132" s="73"/>
      <c r="D132" s="73"/>
      <c r="E132" s="64"/>
      <c r="F132" s="64"/>
      <c r="G132" s="64"/>
      <c r="H132" s="21"/>
      <c r="I132" s="57"/>
      <c r="N132" s="43"/>
    </row>
    <row r="133" spans="1:14" x14ac:dyDescent="0.2">
      <c r="A133" s="100"/>
      <c r="B133" s="11"/>
      <c r="C133" s="73"/>
      <c r="D133" s="84"/>
      <c r="E133" s="64"/>
      <c r="F133" s="64"/>
      <c r="G133" s="21"/>
      <c r="H133" s="21"/>
      <c r="I133" s="21"/>
      <c r="N133" s="43"/>
    </row>
    <row r="134" spans="1:14" x14ac:dyDescent="0.2">
      <c r="A134" s="100"/>
      <c r="B134" s="11"/>
      <c r="C134" s="73"/>
      <c r="D134" s="84"/>
      <c r="E134" s="21"/>
      <c r="F134" s="21"/>
      <c r="G134" s="21"/>
      <c r="H134" s="68"/>
      <c r="I134" s="21"/>
      <c r="N134" s="43"/>
    </row>
    <row r="135" spans="1:14" x14ac:dyDescent="0.2">
      <c r="A135" s="21"/>
      <c r="B135" s="21"/>
      <c r="C135" s="21"/>
      <c r="D135" s="21"/>
      <c r="E135" s="21"/>
      <c r="F135" s="21"/>
      <c r="G135" s="68"/>
      <c r="H135" s="21"/>
      <c r="I135" s="21"/>
      <c r="N135" s="43"/>
    </row>
    <row r="136" spans="1:14" x14ac:dyDescent="0.2">
      <c r="A136" s="73"/>
      <c r="B136" s="64"/>
      <c r="C136" s="57"/>
      <c r="D136" s="57"/>
      <c r="E136" s="21"/>
      <c r="F136" s="68"/>
      <c r="G136" s="21"/>
      <c r="H136" s="21"/>
      <c r="I136" s="21"/>
      <c r="N136" s="43"/>
    </row>
    <row r="137" spans="1:14" x14ac:dyDescent="0.2">
      <c r="A137" s="21"/>
      <c r="B137" s="21"/>
      <c r="C137" s="21"/>
      <c r="D137" s="21"/>
      <c r="E137" s="21"/>
      <c r="F137" s="21"/>
      <c r="G137" s="21"/>
      <c r="H137" s="21"/>
      <c r="I137" s="21"/>
      <c r="N137" s="43"/>
    </row>
    <row r="138" spans="1:14" x14ac:dyDescent="0.2">
      <c r="A138" s="106"/>
      <c r="B138" s="40"/>
      <c r="C138" s="40"/>
      <c r="D138" s="40"/>
      <c r="E138" s="40"/>
      <c r="F138" s="40"/>
      <c r="G138" s="40"/>
      <c r="H138" s="40"/>
      <c r="I138" s="21"/>
      <c r="N138" s="43"/>
    </row>
    <row r="139" spans="1:14" x14ac:dyDescent="0.2">
      <c r="A139" s="93"/>
      <c r="B139" s="8"/>
      <c r="C139" s="59"/>
      <c r="D139" s="59"/>
      <c r="E139" s="40"/>
      <c r="F139" s="40"/>
      <c r="G139" s="40"/>
      <c r="H139" s="40"/>
      <c r="I139" s="21"/>
      <c r="N139" s="43"/>
    </row>
    <row r="140" spans="1:14" x14ac:dyDescent="0.2">
      <c r="A140" s="93"/>
      <c r="B140" s="8"/>
      <c r="C140" s="59"/>
      <c r="D140" s="59"/>
      <c r="E140" s="40"/>
      <c r="F140" s="40"/>
      <c r="G140" s="40"/>
      <c r="H140" s="132"/>
      <c r="I140" s="21"/>
      <c r="N140" s="43"/>
    </row>
    <row r="141" spans="1:14" x14ac:dyDescent="0.2">
      <c r="A141" s="62"/>
      <c r="B141" s="40"/>
      <c r="C141" s="40"/>
      <c r="D141" s="59"/>
      <c r="E141" s="40"/>
      <c r="F141" s="40"/>
      <c r="G141" s="132"/>
      <c r="H141" s="40"/>
      <c r="I141" s="21"/>
      <c r="N141" s="43"/>
    </row>
    <row r="142" spans="1:14" x14ac:dyDescent="0.2">
      <c r="A142" s="67"/>
      <c r="B142" s="8"/>
      <c r="C142" s="59"/>
      <c r="D142" s="59"/>
      <c r="E142" s="40"/>
      <c r="F142" s="40"/>
      <c r="G142" s="40"/>
      <c r="H142" s="40"/>
      <c r="I142" s="21"/>
      <c r="N142" s="43"/>
    </row>
    <row r="143" spans="1:14" x14ac:dyDescent="0.2">
      <c r="A143" s="67"/>
      <c r="B143" s="8"/>
      <c r="C143" s="59"/>
      <c r="D143" s="59"/>
      <c r="E143" s="40"/>
      <c r="F143" s="40"/>
      <c r="G143" s="40"/>
      <c r="H143" s="40"/>
      <c r="I143" s="21"/>
      <c r="N143" s="43"/>
    </row>
    <row r="144" spans="1:14" x14ac:dyDescent="0.2">
      <c r="A144" s="99"/>
      <c r="B144" s="41"/>
      <c r="C144" s="59"/>
      <c r="D144" s="40"/>
      <c r="E144" s="40"/>
      <c r="F144" s="40"/>
      <c r="G144" s="40"/>
      <c r="H144" s="132"/>
      <c r="I144" s="21"/>
      <c r="N144" s="43"/>
    </row>
    <row r="145" spans="1:14" x14ac:dyDescent="0.2">
      <c r="A145" s="21"/>
      <c r="B145" s="40"/>
      <c r="C145" s="40"/>
      <c r="D145" s="40"/>
      <c r="E145" s="40"/>
      <c r="F145" s="40"/>
      <c r="G145" s="40"/>
      <c r="H145" s="40"/>
      <c r="I145" s="21"/>
      <c r="N145" s="43"/>
    </row>
    <row r="146" spans="1:14" x14ac:dyDescent="0.2">
      <c r="A146" s="113"/>
      <c r="B146" s="8"/>
      <c r="C146" s="196"/>
      <c r="D146" s="59"/>
      <c r="E146" s="40"/>
      <c r="F146" s="40"/>
      <c r="G146" s="40"/>
      <c r="H146" s="40"/>
      <c r="I146" s="21"/>
      <c r="N146" s="43"/>
    </row>
    <row r="147" spans="1:14" x14ac:dyDescent="0.2">
      <c r="A147" s="113"/>
      <c r="B147" s="8"/>
      <c r="C147" s="59"/>
      <c r="D147" s="59"/>
      <c r="E147" s="40"/>
      <c r="F147" s="40"/>
      <c r="G147" s="40"/>
      <c r="H147" s="40"/>
      <c r="I147" s="21"/>
      <c r="N147" s="43"/>
    </row>
    <row r="148" spans="1:14" x14ac:dyDescent="0.2">
      <c r="A148" s="62"/>
      <c r="B148" s="40"/>
      <c r="C148" s="40"/>
      <c r="D148" s="40"/>
      <c r="E148" s="40"/>
      <c r="F148" s="40"/>
      <c r="G148" s="40"/>
      <c r="H148" s="40"/>
      <c r="I148" s="21"/>
      <c r="N148" s="43"/>
    </row>
    <row r="149" spans="1:14" x14ac:dyDescent="0.2">
      <c r="A149" s="107"/>
      <c r="B149" s="91"/>
      <c r="C149" s="7"/>
      <c r="D149" s="7"/>
      <c r="E149" s="7"/>
      <c r="F149" s="7"/>
      <c r="G149" s="7"/>
      <c r="H149" s="7"/>
      <c r="I149" s="7"/>
      <c r="N149" s="43"/>
    </row>
    <row r="150" spans="1:14" x14ac:dyDescent="0.2">
      <c r="A150" s="21"/>
      <c r="B150" s="21"/>
      <c r="C150" s="21"/>
      <c r="D150" s="21"/>
      <c r="E150" s="21"/>
      <c r="F150" s="21"/>
      <c r="G150" s="21"/>
      <c r="H150" s="21"/>
      <c r="I150" s="12"/>
      <c r="N150" s="43"/>
    </row>
    <row r="151" spans="1:14" x14ac:dyDescent="0.2">
      <c r="A151" s="21"/>
      <c r="B151" s="21"/>
      <c r="C151" s="21"/>
      <c r="D151" s="21"/>
      <c r="E151" s="21"/>
      <c r="F151" s="21"/>
      <c r="G151" s="21"/>
      <c r="H151" s="94"/>
      <c r="I151" s="95"/>
      <c r="N151" s="43"/>
    </row>
    <row r="152" spans="1:14" x14ac:dyDescent="0.2">
      <c r="A152" s="99"/>
      <c r="B152" s="21"/>
      <c r="C152" s="21"/>
      <c r="D152" s="21"/>
      <c r="E152" s="21"/>
      <c r="F152" s="21"/>
      <c r="G152" s="21"/>
      <c r="H152" s="94"/>
      <c r="I152" s="96"/>
      <c r="N152" s="43"/>
    </row>
    <row r="153" spans="1:14" x14ac:dyDescent="0.2">
      <c r="A153" s="93"/>
      <c r="B153" s="8"/>
      <c r="C153" s="73"/>
      <c r="D153" s="73"/>
      <c r="E153" s="21"/>
      <c r="F153" s="64"/>
      <c r="G153" s="21"/>
      <c r="H153" s="97"/>
      <c r="I153" s="41"/>
      <c r="N153" s="43"/>
    </row>
    <row r="154" spans="1:14" x14ac:dyDescent="0.2">
      <c r="A154" s="67"/>
      <c r="B154" s="13"/>
      <c r="C154" s="62"/>
      <c r="D154" s="73"/>
      <c r="E154" s="21"/>
      <c r="F154" s="64"/>
      <c r="G154" s="21"/>
      <c r="H154" s="94"/>
      <c r="I154" s="41"/>
      <c r="N154" s="43"/>
    </row>
    <row r="155" spans="1:14" x14ac:dyDescent="0.2">
      <c r="A155" s="56"/>
      <c r="B155" s="8"/>
      <c r="C155" s="62"/>
      <c r="D155" s="73"/>
      <c r="E155" s="51"/>
      <c r="F155" s="51"/>
      <c r="G155" s="51"/>
      <c r="H155" s="21"/>
      <c r="I155" s="21"/>
      <c r="N155" s="43"/>
    </row>
    <row r="156" spans="1:14" x14ac:dyDescent="0.2">
      <c r="A156" s="93"/>
      <c r="B156" s="8"/>
      <c r="C156" s="73"/>
      <c r="D156" s="62"/>
      <c r="E156" s="21"/>
      <c r="F156" s="21"/>
      <c r="G156" s="21"/>
      <c r="H156" s="21"/>
      <c r="I156" s="21"/>
      <c r="N156" s="43"/>
    </row>
    <row r="157" spans="1:14" x14ac:dyDescent="0.2">
      <c r="A157" s="93"/>
      <c r="B157" s="8"/>
      <c r="C157" s="62"/>
      <c r="D157" s="62"/>
      <c r="E157" s="51"/>
      <c r="F157" s="51"/>
      <c r="G157" s="21"/>
      <c r="H157" s="83"/>
      <c r="I157" s="21"/>
      <c r="N157" s="43"/>
    </row>
    <row r="158" spans="1:14" x14ac:dyDescent="0.2">
      <c r="A158" s="56"/>
      <c r="B158" s="8"/>
      <c r="C158" s="73"/>
      <c r="D158" s="73"/>
      <c r="E158" s="21"/>
      <c r="F158" s="21"/>
      <c r="G158" s="21"/>
      <c r="H158" s="21"/>
      <c r="I158" s="21"/>
      <c r="N158" s="43"/>
    </row>
    <row r="159" spans="1:14" x14ac:dyDescent="0.2">
      <c r="A159" s="56"/>
      <c r="B159" s="8"/>
      <c r="C159" s="73"/>
      <c r="D159" s="90"/>
      <c r="E159" s="21"/>
      <c r="F159" s="21"/>
      <c r="G159" s="21"/>
      <c r="H159" s="21"/>
      <c r="I159" s="21"/>
      <c r="N159" s="43"/>
    </row>
    <row r="160" spans="1:14" x14ac:dyDescent="0.2">
      <c r="A160" s="67"/>
      <c r="B160" s="8"/>
      <c r="C160" s="62"/>
      <c r="D160" s="62"/>
      <c r="E160" s="21"/>
      <c r="F160" s="21"/>
      <c r="G160" s="21"/>
      <c r="H160" s="83"/>
      <c r="I160" s="21"/>
      <c r="N160" s="43"/>
    </row>
    <row r="161" spans="1:14" x14ac:dyDescent="0.2">
      <c r="A161" s="73"/>
      <c r="B161" s="64"/>
      <c r="C161" s="64"/>
      <c r="D161" s="64"/>
      <c r="E161" s="64"/>
      <c r="F161" s="21"/>
      <c r="G161" s="21"/>
      <c r="H161" s="21"/>
      <c r="I161" s="21"/>
      <c r="N161" s="43"/>
    </row>
    <row r="162" spans="1:14" x14ac:dyDescent="0.2">
      <c r="A162" s="67"/>
      <c r="B162" s="15"/>
      <c r="C162" s="73"/>
      <c r="D162" s="73"/>
      <c r="E162" s="64"/>
      <c r="F162" s="21"/>
      <c r="G162" s="21"/>
      <c r="H162" s="21"/>
      <c r="I162" s="21"/>
      <c r="N162" s="43"/>
    </row>
    <row r="163" spans="1:14" x14ac:dyDescent="0.2">
      <c r="A163" s="67"/>
      <c r="B163" s="15"/>
      <c r="C163" s="73"/>
      <c r="D163" s="73"/>
      <c r="E163" s="64"/>
      <c r="F163" s="21"/>
      <c r="G163" s="21"/>
      <c r="H163" s="21"/>
      <c r="I163" s="21"/>
      <c r="N163" s="43"/>
    </row>
    <row r="164" spans="1:14" x14ac:dyDescent="0.2">
      <c r="A164" s="67"/>
      <c r="B164" s="15"/>
      <c r="C164" s="73"/>
      <c r="D164" s="73"/>
      <c r="E164" s="64"/>
      <c r="F164" s="64"/>
      <c r="G164" s="21"/>
      <c r="H164" s="21"/>
      <c r="I164" s="64"/>
      <c r="N164" s="43"/>
    </row>
    <row r="165" spans="1:14" x14ac:dyDescent="0.2">
      <c r="A165" s="93"/>
      <c r="B165" s="15"/>
      <c r="C165" s="73"/>
      <c r="D165" s="73"/>
      <c r="E165" s="64"/>
      <c r="F165" s="64"/>
      <c r="G165" s="21"/>
      <c r="H165" s="57"/>
      <c r="I165" s="64"/>
      <c r="N165" s="43"/>
    </row>
    <row r="166" spans="1:14" x14ac:dyDescent="0.2">
      <c r="A166" s="100"/>
      <c r="B166" s="15"/>
      <c r="C166" s="64"/>
      <c r="D166" s="84"/>
      <c r="E166" s="64"/>
      <c r="F166" s="64"/>
      <c r="G166" s="21"/>
      <c r="H166" s="57"/>
      <c r="I166" s="21"/>
    </row>
    <row r="167" spans="1:14" x14ac:dyDescent="0.2">
      <c r="A167" s="93"/>
      <c r="B167" s="15"/>
      <c r="C167" s="73"/>
      <c r="D167" s="73"/>
      <c r="E167" s="64"/>
      <c r="F167" s="64"/>
      <c r="G167" s="21"/>
      <c r="H167" s="21"/>
      <c r="I167" s="21"/>
    </row>
    <row r="168" spans="1:14" x14ac:dyDescent="0.2">
      <c r="A168" s="100"/>
      <c r="B168" s="15"/>
      <c r="C168" s="64"/>
      <c r="D168" s="84"/>
      <c r="E168" s="64"/>
      <c r="F168" s="64"/>
      <c r="G168" s="21"/>
      <c r="H168" s="64"/>
      <c r="I168" s="64"/>
    </row>
    <row r="169" spans="1:14" x14ac:dyDescent="0.2">
      <c r="A169" s="100"/>
      <c r="B169" s="11"/>
      <c r="C169" s="64"/>
      <c r="D169" s="84"/>
      <c r="E169" s="64"/>
      <c r="F169" s="64"/>
      <c r="G169" s="64"/>
      <c r="H169" s="64"/>
      <c r="I169" s="64"/>
    </row>
    <row r="170" spans="1:14" x14ac:dyDescent="0.2">
      <c r="A170" s="100"/>
      <c r="B170" s="15"/>
      <c r="C170" s="64"/>
      <c r="D170" s="62"/>
      <c r="E170" s="64"/>
      <c r="F170" s="64"/>
      <c r="G170" s="64"/>
      <c r="H170" s="64"/>
      <c r="I170" s="64"/>
    </row>
    <row r="171" spans="1:14" x14ac:dyDescent="0.2">
      <c r="A171" s="93"/>
      <c r="B171" s="11"/>
      <c r="C171" s="73"/>
      <c r="D171" s="73"/>
      <c r="E171" s="64"/>
      <c r="F171" s="64"/>
      <c r="G171" s="64"/>
      <c r="H171" s="83"/>
      <c r="I171" s="64"/>
    </row>
    <row r="172" spans="1:14" x14ac:dyDescent="0.2">
      <c r="A172" s="93"/>
      <c r="B172" s="11"/>
      <c r="C172" s="73"/>
      <c r="D172" s="64"/>
      <c r="E172" s="64"/>
      <c r="F172" s="64"/>
      <c r="G172" s="64"/>
      <c r="H172" s="64"/>
      <c r="I172" s="64"/>
    </row>
    <row r="173" spans="1:14" x14ac:dyDescent="0.2">
      <c r="A173" s="100"/>
      <c r="B173" s="15"/>
      <c r="C173" s="64"/>
      <c r="D173" s="104"/>
      <c r="E173" s="64"/>
      <c r="F173" s="64"/>
      <c r="G173" s="64"/>
      <c r="H173" s="57"/>
      <c r="I173" s="64"/>
    </row>
    <row r="174" spans="1:14" x14ac:dyDescent="0.2">
      <c r="A174" s="93"/>
      <c r="B174" s="8"/>
      <c r="C174" s="73"/>
      <c r="D174" s="64"/>
      <c r="E174" s="64"/>
      <c r="F174" s="64"/>
      <c r="G174" s="64"/>
      <c r="H174" s="57"/>
      <c r="I174" s="64"/>
    </row>
    <row r="175" spans="1:14" x14ac:dyDescent="0.2">
      <c r="A175" s="64"/>
      <c r="B175" s="64"/>
      <c r="C175" s="64"/>
      <c r="D175" s="64"/>
      <c r="E175" s="64"/>
      <c r="F175" s="64"/>
      <c r="G175" s="64"/>
      <c r="H175" s="83"/>
      <c r="I175" s="64"/>
    </row>
    <row r="176" spans="1:14" x14ac:dyDescent="0.2">
      <c r="A176" s="62"/>
      <c r="B176" s="57"/>
      <c r="C176" s="57"/>
      <c r="D176" s="21"/>
      <c r="E176" s="21"/>
      <c r="F176" s="21"/>
      <c r="G176" s="21"/>
      <c r="H176" s="57"/>
      <c r="I176" s="64"/>
    </row>
    <row r="177" spans="1:9" x14ac:dyDescent="0.2">
      <c r="A177" s="67"/>
      <c r="B177" s="8"/>
      <c r="C177" s="62"/>
      <c r="D177" s="62"/>
      <c r="E177" s="21"/>
      <c r="F177" s="21"/>
      <c r="G177" s="21"/>
      <c r="H177" s="57"/>
      <c r="I177" s="21"/>
    </row>
    <row r="178" spans="1:9" x14ac:dyDescent="0.2">
      <c r="A178" s="67"/>
      <c r="B178" s="8"/>
      <c r="C178" s="62"/>
      <c r="D178" s="62"/>
      <c r="E178" s="21"/>
      <c r="F178" s="21"/>
      <c r="G178" s="21"/>
      <c r="H178" s="21"/>
      <c r="I178" s="21"/>
    </row>
    <row r="179" spans="1:9" x14ac:dyDescent="0.2">
      <c r="A179" s="67"/>
      <c r="B179" s="8"/>
      <c r="C179" s="62"/>
      <c r="D179" s="62"/>
      <c r="E179" s="21"/>
      <c r="F179" s="21"/>
      <c r="G179" s="21"/>
      <c r="H179" s="21"/>
      <c r="I179" s="21"/>
    </row>
    <row r="180" spans="1:9" x14ac:dyDescent="0.2">
      <c r="A180" s="67"/>
      <c r="B180" s="8"/>
      <c r="C180" s="62"/>
      <c r="D180" s="62"/>
      <c r="E180" s="57"/>
      <c r="F180" s="57"/>
      <c r="G180" s="21"/>
      <c r="H180" s="21"/>
      <c r="I180" s="21"/>
    </row>
    <row r="181" spans="1:9" x14ac:dyDescent="0.2">
      <c r="A181" s="62"/>
      <c r="B181" s="57"/>
      <c r="C181" s="57"/>
      <c r="D181" s="57"/>
      <c r="E181" s="57"/>
      <c r="F181" s="57"/>
      <c r="G181" s="21"/>
      <c r="H181" s="83"/>
      <c r="I181" s="21"/>
    </row>
    <row r="182" spans="1:9" x14ac:dyDescent="0.2">
      <c r="A182" s="67"/>
      <c r="B182" s="14"/>
      <c r="C182" s="62"/>
      <c r="D182" s="62"/>
      <c r="E182" s="57"/>
      <c r="F182" s="57"/>
      <c r="G182" s="57"/>
      <c r="H182" s="57"/>
      <c r="I182" s="21"/>
    </row>
    <row r="183" spans="1:9" x14ac:dyDescent="0.2">
      <c r="A183" s="67"/>
      <c r="B183" s="13"/>
      <c r="C183" s="62"/>
      <c r="D183" s="62"/>
      <c r="E183" s="57"/>
      <c r="F183" s="57"/>
      <c r="G183" s="57"/>
      <c r="H183" s="21"/>
      <c r="I183" s="21"/>
    </row>
    <row r="184" spans="1:9" x14ac:dyDescent="0.2">
      <c r="A184" s="67"/>
      <c r="B184" s="13"/>
      <c r="C184" s="73"/>
      <c r="D184" s="62"/>
      <c r="E184" s="57"/>
      <c r="F184" s="57"/>
      <c r="G184" s="21"/>
      <c r="H184" s="83"/>
      <c r="I184" s="21"/>
    </row>
    <row r="185" spans="1:9" x14ac:dyDescent="0.2">
      <c r="A185" s="57"/>
      <c r="B185" s="51"/>
      <c r="C185" s="64"/>
      <c r="D185" s="73"/>
      <c r="E185" s="64"/>
      <c r="F185" s="64"/>
      <c r="G185" s="64"/>
      <c r="H185" s="21"/>
      <c r="I185" s="21"/>
    </row>
    <row r="186" spans="1:9" x14ac:dyDescent="0.2">
      <c r="A186" s="113"/>
      <c r="B186" s="13"/>
      <c r="C186" s="62"/>
      <c r="D186" s="62"/>
      <c r="E186" s="64"/>
      <c r="F186" s="64"/>
      <c r="G186" s="64"/>
      <c r="H186" s="21"/>
      <c r="I186" s="21"/>
    </row>
    <row r="187" spans="1:9" x14ac:dyDescent="0.2">
      <c r="A187" s="67"/>
      <c r="B187" s="14"/>
      <c r="C187" s="73"/>
      <c r="D187" s="62"/>
      <c r="E187" s="57"/>
      <c r="F187" s="57"/>
      <c r="G187" s="57"/>
      <c r="H187" s="21"/>
      <c r="I187" s="21"/>
    </row>
    <row r="188" spans="1:9" x14ac:dyDescent="0.2">
      <c r="A188" s="67"/>
      <c r="B188" s="13"/>
      <c r="C188" s="73"/>
      <c r="D188" s="62"/>
      <c r="E188" s="57"/>
      <c r="F188" s="57"/>
      <c r="G188" s="57"/>
      <c r="H188" s="21"/>
      <c r="I188" s="21"/>
    </row>
    <row r="189" spans="1:9" x14ac:dyDescent="0.2">
      <c r="A189" s="67"/>
      <c r="B189" s="16"/>
      <c r="C189" s="73"/>
      <c r="D189" s="62"/>
      <c r="E189" s="57"/>
      <c r="F189" s="57"/>
      <c r="G189" s="57"/>
      <c r="H189" s="21"/>
      <c r="I189" s="21"/>
    </row>
    <row r="190" spans="1:9" x14ac:dyDescent="0.2">
      <c r="A190" s="67"/>
      <c r="B190" s="13"/>
      <c r="C190" s="73"/>
      <c r="D190" s="62"/>
      <c r="E190" s="57"/>
      <c r="F190" s="57"/>
      <c r="G190" s="57"/>
      <c r="H190" s="21"/>
      <c r="I190" s="21"/>
    </row>
    <row r="191" spans="1:9" x14ac:dyDescent="0.2">
      <c r="A191" s="67"/>
      <c r="B191" s="13"/>
      <c r="C191" s="73"/>
      <c r="D191" s="62"/>
      <c r="E191" s="57"/>
      <c r="F191" s="57"/>
      <c r="G191" s="21"/>
      <c r="H191" s="83"/>
      <c r="I191" s="57"/>
    </row>
    <row r="192" spans="1:9" x14ac:dyDescent="0.2">
      <c r="A192" s="64"/>
      <c r="B192" s="64"/>
      <c r="C192" s="64"/>
      <c r="D192" s="73"/>
      <c r="E192" s="64"/>
      <c r="F192" s="64"/>
      <c r="G192" s="64"/>
      <c r="H192" s="64"/>
      <c r="I192" s="57"/>
    </row>
    <row r="193" spans="1:9" x14ac:dyDescent="0.2">
      <c r="A193" s="93"/>
      <c r="B193" s="8"/>
      <c r="C193" s="73"/>
      <c r="D193" s="62"/>
      <c r="E193" s="64"/>
      <c r="F193" s="64"/>
      <c r="G193" s="64"/>
      <c r="H193" s="64"/>
      <c r="I193" s="21"/>
    </row>
    <row r="194" spans="1:9" x14ac:dyDescent="0.2">
      <c r="A194" s="93"/>
      <c r="B194" s="11"/>
      <c r="C194" s="73"/>
      <c r="D194" s="73"/>
      <c r="E194" s="64"/>
      <c r="F194" s="64"/>
      <c r="G194" s="64"/>
      <c r="H194" s="64"/>
      <c r="I194" s="64"/>
    </row>
    <row r="195" spans="1:9" x14ac:dyDescent="0.2">
      <c r="A195" s="100"/>
      <c r="B195" s="11"/>
      <c r="C195" s="73"/>
      <c r="D195" s="84"/>
      <c r="E195" s="21"/>
      <c r="F195" s="21"/>
      <c r="G195" s="21"/>
      <c r="H195" s="68"/>
      <c r="I195" s="57"/>
    </row>
    <row r="196" spans="1:9" x14ac:dyDescent="0.2">
      <c r="A196" s="100"/>
      <c r="B196" s="11"/>
      <c r="C196" s="73"/>
      <c r="D196" s="84"/>
      <c r="E196" s="21"/>
      <c r="F196" s="21"/>
      <c r="G196" s="21"/>
      <c r="H196" s="21"/>
      <c r="I196" s="21"/>
    </row>
    <row r="197" spans="1:9" x14ac:dyDescent="0.2">
      <c r="A197" s="21"/>
      <c r="B197" s="21"/>
      <c r="C197" s="21"/>
      <c r="D197" s="21"/>
      <c r="E197" s="21"/>
      <c r="F197" s="21"/>
      <c r="G197" s="68"/>
      <c r="H197" s="21"/>
      <c r="I197" s="21"/>
    </row>
    <row r="198" spans="1:9" x14ac:dyDescent="0.2">
      <c r="A198" s="21"/>
      <c r="B198" s="21"/>
      <c r="C198" s="21"/>
      <c r="D198" s="21"/>
      <c r="E198" s="57"/>
      <c r="F198" s="68" t="e">
        <f>IF(#REF!="Yes",IF(#REF!&gt;0,IF($B$195&gt;$B$196,"    Increase doubler or use full-pen. weld",""),""),"")</f>
        <v>#REF!</v>
      </c>
      <c r="G198" s="21"/>
      <c r="H198" s="21"/>
      <c r="I198" s="21"/>
    </row>
    <row r="199" spans="1:9" x14ac:dyDescent="0.2">
      <c r="A199" s="21"/>
      <c r="B199" s="21"/>
      <c r="C199" s="21"/>
      <c r="D199" s="21"/>
      <c r="E199" s="57"/>
      <c r="F199" s="57"/>
      <c r="G199" s="21"/>
      <c r="H199" s="21"/>
      <c r="I199" s="21"/>
    </row>
    <row r="200" spans="1:9" x14ac:dyDescent="0.2">
      <c r="A200" s="21"/>
      <c r="B200" s="21"/>
      <c r="C200" s="21"/>
      <c r="D200" s="21"/>
      <c r="E200" s="21"/>
      <c r="F200" s="21"/>
      <c r="G200" s="21"/>
      <c r="H200" s="21"/>
      <c r="I200" s="12"/>
    </row>
    <row r="201" spans="1:9" x14ac:dyDescent="0.2">
      <c r="A201" s="21"/>
      <c r="B201" s="21"/>
      <c r="C201" s="21"/>
      <c r="D201" s="21"/>
      <c r="E201" s="21"/>
      <c r="F201" s="21"/>
      <c r="G201" s="21"/>
      <c r="H201" s="94"/>
      <c r="I201" s="95"/>
    </row>
    <row r="202" spans="1:9" x14ac:dyDescent="0.2">
      <c r="A202" s="99"/>
      <c r="B202" s="21"/>
      <c r="C202" s="21"/>
      <c r="D202" s="21"/>
      <c r="E202" s="57"/>
      <c r="F202" s="57"/>
      <c r="G202" s="57"/>
      <c r="H202" s="94"/>
      <c r="I202" s="96"/>
    </row>
    <row r="203" spans="1:9" x14ac:dyDescent="0.2">
      <c r="A203" s="57"/>
      <c r="B203" s="51"/>
      <c r="C203" s="57"/>
      <c r="D203" s="62"/>
      <c r="E203" s="21"/>
      <c r="F203" s="51"/>
      <c r="G203" s="21"/>
      <c r="H203" s="97"/>
      <c r="I203" s="41"/>
    </row>
    <row r="204" spans="1:9" x14ac:dyDescent="0.2">
      <c r="A204" s="67"/>
      <c r="B204" s="14"/>
      <c r="C204" s="73"/>
      <c r="D204" s="62"/>
      <c r="E204" s="21"/>
      <c r="F204" s="51"/>
      <c r="G204" s="57"/>
      <c r="H204" s="94"/>
      <c r="I204" s="41"/>
    </row>
    <row r="205" spans="1:9" x14ac:dyDescent="0.2">
      <c r="A205" s="67"/>
      <c r="B205" s="13"/>
      <c r="C205" s="73"/>
      <c r="D205" s="62"/>
      <c r="E205" s="21"/>
      <c r="F205" s="51"/>
      <c r="G205" s="21"/>
      <c r="H205" s="21"/>
      <c r="I205" s="21"/>
    </row>
    <row r="206" spans="1:9" x14ac:dyDescent="0.2">
      <c r="A206" s="67"/>
      <c r="B206" s="13"/>
      <c r="C206" s="73"/>
      <c r="D206" s="62"/>
      <c r="E206" s="21"/>
      <c r="F206" s="21"/>
      <c r="G206" s="21"/>
      <c r="H206" s="83"/>
      <c r="I206" s="57"/>
    </row>
    <row r="207" spans="1:9" x14ac:dyDescent="0.2">
      <c r="A207" s="21"/>
      <c r="B207" s="21"/>
      <c r="C207" s="21"/>
      <c r="D207" s="21"/>
      <c r="E207" s="21"/>
      <c r="F207" s="21"/>
      <c r="G207" s="21"/>
      <c r="H207" s="21"/>
      <c r="I207" s="21"/>
    </row>
    <row r="208" spans="1:9" x14ac:dyDescent="0.2">
      <c r="A208" s="57"/>
      <c r="B208" s="64"/>
      <c r="C208" s="64"/>
      <c r="D208" s="73"/>
      <c r="E208" s="21"/>
      <c r="F208" s="21"/>
      <c r="G208" s="21"/>
      <c r="H208" s="21"/>
      <c r="I208" s="21"/>
    </row>
    <row r="209" spans="1:9" x14ac:dyDescent="0.2">
      <c r="A209" s="56"/>
      <c r="B209" s="11"/>
      <c r="C209" s="73"/>
      <c r="D209" s="73"/>
      <c r="E209" s="21"/>
      <c r="F209" s="21"/>
      <c r="G209" s="21"/>
      <c r="H209" s="21"/>
      <c r="I209" s="21"/>
    </row>
    <row r="210" spans="1:9" x14ac:dyDescent="0.2">
      <c r="A210" s="93"/>
      <c r="B210" s="8"/>
      <c r="C210" s="73"/>
      <c r="D210" s="73"/>
      <c r="E210" s="21"/>
      <c r="F210" s="21"/>
      <c r="G210" s="21"/>
      <c r="H210" s="21"/>
      <c r="I210" s="21"/>
    </row>
    <row r="211" spans="1:9" x14ac:dyDescent="0.2">
      <c r="A211" s="93"/>
      <c r="B211" s="11"/>
      <c r="C211" s="73"/>
      <c r="D211" s="73"/>
      <c r="E211" s="21"/>
      <c r="F211" s="21"/>
      <c r="G211" s="21"/>
      <c r="H211" s="21"/>
      <c r="I211" s="57"/>
    </row>
    <row r="212" spans="1:9" x14ac:dyDescent="0.2">
      <c r="A212" s="100"/>
      <c r="B212" s="11"/>
      <c r="C212" s="73"/>
      <c r="D212" s="84"/>
      <c r="E212" s="64"/>
      <c r="F212" s="21"/>
      <c r="G212" s="21"/>
      <c r="H212" s="68"/>
      <c r="I212" s="57"/>
    </row>
    <row r="213" spans="1:9" x14ac:dyDescent="0.2">
      <c r="A213" s="100"/>
      <c r="B213" s="11"/>
      <c r="C213" s="73"/>
      <c r="D213" s="84"/>
      <c r="E213" s="21"/>
      <c r="F213" s="21"/>
      <c r="G213" s="21"/>
      <c r="H213" s="21"/>
      <c r="I213" s="21"/>
    </row>
    <row r="214" spans="1:9" x14ac:dyDescent="0.2">
      <c r="A214" s="21"/>
      <c r="B214" s="21"/>
      <c r="C214" s="21"/>
      <c r="D214" s="21"/>
      <c r="E214" s="21"/>
      <c r="F214" s="21"/>
      <c r="G214" s="68"/>
      <c r="H214" s="21"/>
      <c r="I214" s="21"/>
    </row>
    <row r="215" spans="1:9" x14ac:dyDescent="0.2">
      <c r="A215" s="57"/>
      <c r="B215" s="21"/>
      <c r="C215" s="21"/>
      <c r="D215" s="21"/>
      <c r="E215" s="21"/>
      <c r="F215" s="68"/>
      <c r="G215" s="21"/>
      <c r="H215" s="21"/>
      <c r="I215" s="21"/>
    </row>
    <row r="216" spans="1:9" x14ac:dyDescent="0.2">
      <c r="A216" s="67"/>
      <c r="B216" s="8"/>
      <c r="C216" s="62"/>
      <c r="D216" s="62"/>
      <c r="E216" s="51"/>
      <c r="F216" s="21"/>
      <c r="G216" s="21"/>
      <c r="H216" s="21"/>
      <c r="I216" s="57"/>
    </row>
    <row r="217" spans="1:9" x14ac:dyDescent="0.2">
      <c r="A217" s="67"/>
      <c r="B217" s="8"/>
      <c r="C217" s="62"/>
      <c r="D217" s="62"/>
      <c r="E217" s="51"/>
      <c r="F217" s="51"/>
      <c r="G217" s="21"/>
      <c r="H217" s="83"/>
      <c r="I217" s="21"/>
    </row>
    <row r="218" spans="1:9" x14ac:dyDescent="0.2">
      <c r="A218" s="21"/>
      <c r="B218" s="21"/>
      <c r="C218" s="21"/>
      <c r="D218" s="21"/>
      <c r="E218" s="21"/>
      <c r="F218" s="21"/>
      <c r="G218" s="21"/>
      <c r="H218" s="21"/>
      <c r="I218" s="21"/>
    </row>
    <row r="219" spans="1:9" x14ac:dyDescent="0.2">
      <c r="A219" s="57"/>
      <c r="B219" s="57"/>
      <c r="C219" s="57"/>
      <c r="D219" s="62"/>
      <c r="E219" s="51"/>
      <c r="F219" s="51"/>
      <c r="G219" s="21"/>
      <c r="H219" s="21"/>
      <c r="I219" s="21"/>
    </row>
    <row r="220" spans="1:9" x14ac:dyDescent="0.2">
      <c r="A220" s="67"/>
      <c r="B220" s="15"/>
      <c r="C220" s="62"/>
      <c r="D220" s="62"/>
      <c r="E220" s="51"/>
      <c r="F220" s="51"/>
      <c r="G220" s="21"/>
      <c r="H220" s="21"/>
      <c r="I220" s="21"/>
    </row>
    <row r="221" spans="1:9" x14ac:dyDescent="0.2">
      <c r="A221" s="67"/>
      <c r="B221" s="8"/>
      <c r="C221" s="62"/>
      <c r="D221" s="62"/>
      <c r="E221" s="51"/>
      <c r="F221" s="51"/>
      <c r="G221" s="21"/>
      <c r="H221" s="21"/>
      <c r="I221" s="21"/>
    </row>
    <row r="222" spans="1:9" x14ac:dyDescent="0.2">
      <c r="A222" s="67"/>
      <c r="B222" s="8"/>
      <c r="C222" s="62"/>
      <c r="D222" s="62"/>
      <c r="E222" s="51"/>
      <c r="F222" s="51"/>
      <c r="G222" s="21"/>
      <c r="H222" s="21"/>
      <c r="I222" s="21"/>
    </row>
    <row r="223" spans="1:9" x14ac:dyDescent="0.2">
      <c r="A223" s="67"/>
      <c r="B223" s="8"/>
      <c r="C223" s="62"/>
      <c r="D223" s="62"/>
      <c r="E223" s="51"/>
      <c r="F223" s="51"/>
      <c r="G223" s="21"/>
      <c r="H223" s="83"/>
      <c r="I223" s="21"/>
    </row>
    <row r="224" spans="1:9" x14ac:dyDescent="0.2">
      <c r="A224" s="21"/>
      <c r="B224" s="21"/>
      <c r="C224" s="21"/>
      <c r="D224" s="21"/>
      <c r="E224" s="21"/>
      <c r="F224" s="21"/>
      <c r="G224" s="21"/>
      <c r="H224" s="21"/>
      <c r="I224" s="21"/>
    </row>
    <row r="225" spans="1:9" x14ac:dyDescent="0.2">
      <c r="A225" s="21"/>
      <c r="B225" s="21"/>
      <c r="C225" s="21"/>
      <c r="D225" s="21"/>
      <c r="E225" s="21"/>
      <c r="F225" s="21"/>
      <c r="G225" s="21"/>
      <c r="H225" s="21"/>
      <c r="I225" s="21"/>
    </row>
    <row r="226" spans="1:9" x14ac:dyDescent="0.2">
      <c r="A226" s="106"/>
      <c r="B226" s="21"/>
      <c r="C226" s="21"/>
      <c r="D226" s="21"/>
      <c r="E226" s="21"/>
      <c r="F226" s="21"/>
      <c r="G226" s="21"/>
      <c r="H226" s="21"/>
      <c r="I226" s="21"/>
    </row>
    <row r="227" spans="1:9" x14ac:dyDescent="0.2">
      <c r="A227" s="21"/>
      <c r="B227" s="21"/>
      <c r="C227" s="21"/>
      <c r="D227" s="21"/>
      <c r="E227" s="21"/>
      <c r="F227" s="21"/>
      <c r="G227" s="21"/>
      <c r="H227" s="21"/>
      <c r="I227" s="21"/>
    </row>
    <row r="228" spans="1:9" x14ac:dyDescent="0.2">
      <c r="A228" s="21"/>
      <c r="B228" s="21"/>
      <c r="C228" s="21"/>
      <c r="D228" s="21"/>
      <c r="E228" s="21"/>
      <c r="F228" s="21"/>
      <c r="G228" s="21"/>
      <c r="H228" s="21"/>
      <c r="I228" s="21"/>
    </row>
    <row r="229" spans="1:9" x14ac:dyDescent="0.2">
      <c r="A229" s="21"/>
      <c r="B229" s="21"/>
      <c r="C229" s="21"/>
      <c r="D229" s="21"/>
      <c r="E229" s="21"/>
      <c r="F229" s="21"/>
      <c r="G229" s="21"/>
      <c r="H229" s="21"/>
      <c r="I229" s="21"/>
    </row>
    <row r="230" spans="1:9" x14ac:dyDescent="0.2">
      <c r="A230" s="21"/>
      <c r="B230" s="21"/>
      <c r="C230" s="21"/>
      <c r="D230" s="21"/>
      <c r="E230" s="21"/>
      <c r="F230" s="21"/>
      <c r="G230" s="21"/>
      <c r="H230" s="21"/>
      <c r="I230" s="21"/>
    </row>
    <row r="231" spans="1:9" x14ac:dyDescent="0.2">
      <c r="A231" s="21"/>
      <c r="B231" s="21"/>
      <c r="C231" s="21"/>
      <c r="D231" s="21"/>
      <c r="E231" s="21"/>
      <c r="F231" s="21"/>
      <c r="G231" s="21"/>
      <c r="H231" s="21"/>
      <c r="I231" s="21"/>
    </row>
    <row r="232" spans="1:9" x14ac:dyDescent="0.2">
      <c r="A232" s="21"/>
      <c r="B232" s="21"/>
      <c r="C232" s="21"/>
      <c r="D232" s="21"/>
      <c r="E232" s="21"/>
      <c r="F232" s="21"/>
      <c r="G232" s="21"/>
      <c r="H232" s="21"/>
      <c r="I232" s="21"/>
    </row>
    <row r="233" spans="1:9" x14ac:dyDescent="0.2">
      <c r="A233" s="21"/>
      <c r="B233" s="21"/>
      <c r="C233" s="21"/>
      <c r="D233" s="21"/>
      <c r="E233" s="21"/>
      <c r="F233" s="21"/>
      <c r="G233" s="21"/>
      <c r="H233" s="21"/>
      <c r="I233" s="21"/>
    </row>
    <row r="234" spans="1:9" x14ac:dyDescent="0.2">
      <c r="A234" s="21"/>
      <c r="B234" s="21"/>
      <c r="C234" s="21"/>
      <c r="D234" s="21"/>
      <c r="E234" s="21"/>
      <c r="F234" s="21"/>
      <c r="G234" s="21"/>
      <c r="H234" s="21"/>
      <c r="I234" s="21"/>
    </row>
    <row r="235" spans="1:9" x14ac:dyDescent="0.2">
      <c r="A235" s="21"/>
      <c r="B235" s="21"/>
      <c r="C235" s="21"/>
      <c r="D235" s="21"/>
      <c r="E235" s="21"/>
      <c r="F235" s="21"/>
      <c r="G235" s="21"/>
      <c r="H235" s="21"/>
      <c r="I235" s="21"/>
    </row>
    <row r="236" spans="1:9" x14ac:dyDescent="0.2">
      <c r="A236" s="21"/>
      <c r="B236" s="21"/>
      <c r="C236" s="21"/>
      <c r="D236" s="21"/>
      <c r="E236" s="21"/>
      <c r="F236" s="21"/>
      <c r="G236" s="21"/>
      <c r="H236" s="21"/>
      <c r="I236" s="21"/>
    </row>
    <row r="237" spans="1:9" x14ac:dyDescent="0.2">
      <c r="A237" s="21"/>
      <c r="B237" s="21"/>
      <c r="C237" s="21"/>
      <c r="D237" s="21"/>
      <c r="E237" s="21"/>
      <c r="F237" s="21"/>
      <c r="G237" s="21"/>
      <c r="H237" s="21"/>
      <c r="I237" s="21"/>
    </row>
    <row r="238" spans="1:9" x14ac:dyDescent="0.2">
      <c r="A238" s="21"/>
      <c r="B238" s="21"/>
      <c r="C238" s="21"/>
      <c r="D238" s="21"/>
      <c r="E238" s="21"/>
      <c r="F238" s="21"/>
      <c r="G238" s="21"/>
      <c r="H238" s="21"/>
      <c r="I238" s="21"/>
    </row>
    <row r="239" spans="1:9" x14ac:dyDescent="0.2">
      <c r="A239" s="21"/>
      <c r="B239" s="21"/>
      <c r="C239" s="21"/>
      <c r="D239" s="21"/>
      <c r="E239" s="21"/>
      <c r="F239" s="21"/>
      <c r="G239" s="21"/>
      <c r="H239" s="21"/>
      <c r="I239" s="21"/>
    </row>
    <row r="240" spans="1:9" x14ac:dyDescent="0.2">
      <c r="A240" s="21"/>
      <c r="B240" s="21"/>
      <c r="C240" s="21"/>
      <c r="D240" s="21"/>
      <c r="E240" s="21"/>
      <c r="F240" s="21"/>
      <c r="G240" s="21"/>
      <c r="H240" s="21"/>
      <c r="I240" s="21"/>
    </row>
    <row r="241" spans="1:9" x14ac:dyDescent="0.2">
      <c r="A241" s="21"/>
      <c r="B241" s="21"/>
      <c r="C241" s="21"/>
      <c r="D241" s="21"/>
      <c r="E241" s="21"/>
      <c r="F241" s="21"/>
      <c r="G241" s="21"/>
      <c r="H241" s="21"/>
      <c r="I241" s="21"/>
    </row>
    <row r="242" spans="1:9" x14ac:dyDescent="0.2">
      <c r="A242" s="21"/>
      <c r="B242" s="21"/>
      <c r="C242" s="21"/>
      <c r="D242" s="21"/>
      <c r="E242" s="21"/>
      <c r="F242" s="21"/>
      <c r="G242" s="21"/>
      <c r="H242" s="21"/>
      <c r="I242" s="21"/>
    </row>
    <row r="243" spans="1:9" x14ac:dyDescent="0.2">
      <c r="A243" s="21"/>
      <c r="B243" s="21"/>
      <c r="C243" s="21"/>
      <c r="D243" s="21"/>
      <c r="E243" s="21"/>
      <c r="F243" s="21"/>
      <c r="G243" s="21"/>
      <c r="H243" s="21"/>
      <c r="I243" s="21"/>
    </row>
    <row r="244" spans="1:9" x14ac:dyDescent="0.2">
      <c r="A244" s="21"/>
      <c r="B244" s="21"/>
      <c r="C244" s="21"/>
      <c r="D244" s="21"/>
      <c r="E244" s="21"/>
      <c r="F244" s="21"/>
      <c r="G244" s="21"/>
      <c r="H244" s="21"/>
      <c r="I244" s="21"/>
    </row>
    <row r="245" spans="1:9" x14ac:dyDescent="0.2">
      <c r="A245" s="21"/>
      <c r="B245" s="21"/>
      <c r="C245" s="21"/>
      <c r="D245" s="21"/>
      <c r="E245" s="21"/>
      <c r="F245" s="21"/>
      <c r="G245" s="21"/>
      <c r="H245" s="21"/>
      <c r="I245" s="21"/>
    </row>
    <row r="246" spans="1:9" x14ac:dyDescent="0.2">
      <c r="A246" s="21"/>
      <c r="B246" s="21"/>
      <c r="C246" s="21"/>
      <c r="D246" s="21"/>
      <c r="E246" s="21"/>
      <c r="F246" s="21"/>
      <c r="G246" s="21"/>
      <c r="H246" s="21"/>
      <c r="I246" s="21"/>
    </row>
    <row r="247" spans="1:9" x14ac:dyDescent="0.2">
      <c r="A247" s="21"/>
      <c r="B247" s="21"/>
      <c r="C247" s="21"/>
      <c r="D247" s="21"/>
      <c r="E247" s="21"/>
      <c r="F247" s="21"/>
      <c r="G247" s="21"/>
      <c r="H247" s="21"/>
      <c r="I247" s="21"/>
    </row>
    <row r="248" spans="1:9" x14ac:dyDescent="0.2">
      <c r="A248" s="21"/>
      <c r="B248" s="21"/>
      <c r="C248" s="21"/>
      <c r="D248" s="21"/>
      <c r="E248" s="21"/>
      <c r="F248" s="21"/>
      <c r="G248" s="21"/>
      <c r="H248" s="21"/>
      <c r="I248" s="21"/>
    </row>
    <row r="249" spans="1:9" x14ac:dyDescent="0.2">
      <c r="A249" s="21"/>
      <c r="B249" s="21"/>
      <c r="C249" s="21"/>
      <c r="D249" s="21"/>
      <c r="E249" s="21"/>
      <c r="F249" s="21"/>
      <c r="G249" s="21"/>
      <c r="H249" s="21"/>
      <c r="I249" s="21"/>
    </row>
    <row r="250" spans="1:9" x14ac:dyDescent="0.2">
      <c r="A250" s="21"/>
      <c r="B250" s="21"/>
      <c r="C250" s="21"/>
      <c r="D250" s="21"/>
      <c r="E250" s="21"/>
      <c r="F250" s="21"/>
      <c r="G250" s="21"/>
      <c r="H250" s="21"/>
      <c r="I250" s="21"/>
    </row>
  </sheetData>
  <sheetProtection sheet="1" objects="1" scenarios="1"/>
  <phoneticPr fontId="0" type="noConversion"/>
  <dataValidations xWindow="208" yWindow="358" count="6">
    <dataValidation type="decimal" allowBlank="1" showInputMessage="1" showErrorMessage="1" error="The value input MUST BE between 0 and 3*L+(xL)!" prompt="The value input here should be the distance from the point of application of the vertical load (Pv) to the vertical weld portion (back) of the C-shaped weld group. " sqref="C14">
      <formula1>0</formula1>
      <formula2>3*$D$8+$V$5</formula2>
    </dataValidation>
    <dataValidation type="decimal" operator="greaterThan" allowBlank="1" showInputMessage="1" showErrorMessage="1" error="The value input MUST BE &gt; 0!" prompt="The value 'Pv' is actually the vertical component of the resultant load, 'P'.  'Pv' should always be input as a positive number (&gt;0)." sqref="C12">
      <formula1>0</formula1>
    </dataValidation>
    <dataValidation type="decimal" operator="greaterThanOrEqual" allowBlank="1" showInputMessage="1" showErrorMessage="1" error="The value input MUST BE &gt;= 0!" prompt="The value of 'Ph' is actually the horizontal component of the resultant load, 'P'.  'Ph' may be input = 0 for conditions where only vertical load applies.  'Ph' is assumed applied at the C.G. of the weld group." sqref="C13">
      <formula1>0</formula1>
    </dataValidation>
    <dataValidation type="decimal" allowBlank="1" showInputMessage="1" showErrorMessage="1" error="The value input MUST BE between 0 and 2*L!_x000a_Use &quot;Weld Group (elastic)&quot; worksheet." sqref="C10">
      <formula1>0</formula1>
      <formula2>2*$C$9</formula2>
    </dataValidation>
    <dataValidation type="list" allowBlank="1" showInputMessage="1" showErrorMessage="1" error="Invalid fillet weld size!" sqref="C11">
      <formula1>$K$3:$K$11</formula1>
    </dataValidation>
    <dataValidation type="decimal" operator="greaterThanOrEqual" allowBlank="1" showInputMessage="1" showErrorMessage="1" error="The value input MUST BE &gt;= 0.5*(kL)!_x000a_Use &quot;Weld Group (elastic)&quot; worksheet." sqref="C9">
      <formula1>0.5*$C$10</formula1>
    </dataValidation>
  </dataValidations>
  <pageMargins left="1" right="0.5" top="1" bottom="1" header="0.5" footer="0.5"/>
  <pageSetup scale="98" orientation="portrait" r:id="rId1"/>
  <headerFooter alignWithMargins="0">
    <oddHeader>&amp;R"WELDGRP.xls" Program
Version 2.3</oddHeader>
    <oddFooter>&amp;C&amp;P of &amp;N&amp;R&amp;D  &amp;T</oddFooter>
  </headerFooter>
  <rowBreaks count="3" manualBreakCount="3">
    <brk id="100" max="8" man="1"/>
    <brk id="150" max="8" man="1"/>
    <brk id="200" max="8" man="1"/>
  </rowBreaks>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12112111111111111"/>
  <dimension ref="A1:AL250"/>
  <sheetViews>
    <sheetView zoomScaleNormal="100" workbookViewId="0"/>
  </sheetViews>
  <sheetFormatPr defaultRowHeight="12.75" x14ac:dyDescent="0.2"/>
  <cols>
    <col min="1" max="1" width="11.28515625" style="18" customWidth="1"/>
    <col min="2" max="2" width="9.140625" style="18"/>
    <col min="3" max="4" width="10.7109375" style="18" customWidth="1"/>
    <col min="5" max="8" width="9.140625" style="18"/>
    <col min="9" max="9" width="12.140625" style="18" customWidth="1"/>
    <col min="10" max="10" width="9.140625" style="43" hidden="1" customWidth="1"/>
    <col min="11" max="13" width="0" style="43" hidden="1" customWidth="1"/>
    <col min="14" max="14" width="0" style="44" hidden="1" customWidth="1"/>
    <col min="15" max="23" width="0" style="43" hidden="1" customWidth="1"/>
    <col min="24" max="33" width="0" style="18" hidden="1" customWidth="1"/>
    <col min="34" max="16384" width="9.140625" style="18"/>
  </cols>
  <sheetData>
    <row r="1" spans="1:38" ht="15.75" x14ac:dyDescent="0.25">
      <c r="A1" s="17" t="s">
        <v>1101</v>
      </c>
      <c r="B1" s="26"/>
      <c r="C1" s="26"/>
      <c r="D1" s="26"/>
      <c r="E1" s="26"/>
      <c r="F1" s="26"/>
      <c r="G1" s="26"/>
      <c r="H1" s="26"/>
      <c r="I1" s="285"/>
      <c r="J1" s="38"/>
      <c r="K1" s="245"/>
      <c r="L1" s="129"/>
      <c r="M1" s="82" t="s">
        <v>1181</v>
      </c>
      <c r="N1" s="43"/>
      <c r="O1" s="44"/>
      <c r="R1" s="51"/>
      <c r="AH1" s="317" t="s">
        <v>1266</v>
      </c>
      <c r="AI1" s="43"/>
      <c r="AJ1" s="43"/>
      <c r="AK1" s="43"/>
      <c r="AL1" s="43"/>
    </row>
    <row r="2" spans="1:38" x14ac:dyDescent="0.2">
      <c r="A2" s="27" t="s">
        <v>1365</v>
      </c>
      <c r="B2" s="28"/>
      <c r="C2" s="28"/>
      <c r="D2" s="28"/>
      <c r="E2" s="28"/>
      <c r="F2" s="28"/>
      <c r="G2" s="28"/>
      <c r="H2" s="28"/>
      <c r="I2" s="292"/>
      <c r="J2" s="38"/>
      <c r="K2" s="41"/>
      <c r="L2" s="129"/>
      <c r="N2" s="43"/>
      <c r="O2" s="44"/>
      <c r="R2" s="51"/>
      <c r="AH2" s="43"/>
      <c r="AI2" s="43"/>
      <c r="AJ2" s="43"/>
      <c r="AK2" s="43"/>
      <c r="AL2" s="43"/>
    </row>
    <row r="3" spans="1:38" x14ac:dyDescent="0.2">
      <c r="A3" s="20" t="s">
        <v>1203</v>
      </c>
      <c r="B3" s="34"/>
      <c r="C3" s="34"/>
      <c r="D3" s="34"/>
      <c r="E3" s="34"/>
      <c r="F3" s="34"/>
      <c r="G3" s="34"/>
      <c r="H3" s="34"/>
      <c r="I3" s="326"/>
      <c r="J3" s="38"/>
      <c r="K3" s="208">
        <v>0.125</v>
      </c>
      <c r="M3" s="69" t="s">
        <v>1196</v>
      </c>
      <c r="N3" s="11">
        <f>$C$9</f>
        <v>10</v>
      </c>
      <c r="O3" s="59" t="s">
        <v>1172</v>
      </c>
      <c r="P3" s="59" t="s">
        <v>1178</v>
      </c>
      <c r="R3" s="51"/>
      <c r="AH3" s="43"/>
      <c r="AI3" s="43"/>
      <c r="AJ3" s="43"/>
      <c r="AK3" s="43"/>
      <c r="AL3" s="43"/>
    </row>
    <row r="4" spans="1:38" x14ac:dyDescent="0.2">
      <c r="A4" s="286" t="s">
        <v>1115</v>
      </c>
      <c r="B4" s="287"/>
      <c r="C4" s="288"/>
      <c r="D4" s="288"/>
      <c r="E4" s="288"/>
      <c r="F4" s="291" t="s">
        <v>1206</v>
      </c>
      <c r="G4" s="315"/>
      <c r="H4" s="316"/>
      <c r="I4" s="314"/>
      <c r="J4" s="121"/>
      <c r="K4" s="208">
        <v>0.1875</v>
      </c>
      <c r="M4" s="69" t="s">
        <v>1180</v>
      </c>
      <c r="N4" s="11">
        <f>$C$10</f>
        <v>5</v>
      </c>
      <c r="O4" s="59" t="s">
        <v>1172</v>
      </c>
      <c r="P4" s="59" t="s">
        <v>1100</v>
      </c>
      <c r="R4" s="51"/>
      <c r="AH4" s="45" t="s">
        <v>1174</v>
      </c>
      <c r="AI4" s="43"/>
      <c r="AJ4" s="43"/>
      <c r="AK4" s="43"/>
      <c r="AL4" s="43"/>
    </row>
    <row r="5" spans="1:38" x14ac:dyDescent="0.2">
      <c r="A5" s="286" t="s">
        <v>1111</v>
      </c>
      <c r="B5" s="313"/>
      <c r="C5" s="289"/>
      <c r="D5" s="289"/>
      <c r="E5" s="290"/>
      <c r="F5" s="291" t="s">
        <v>1207</v>
      </c>
      <c r="G5" s="312"/>
      <c r="H5" s="131" t="s">
        <v>1208</v>
      </c>
      <c r="I5" s="544"/>
      <c r="J5" s="121"/>
      <c r="K5" s="208">
        <v>0.25</v>
      </c>
      <c r="M5" s="69" t="s">
        <v>1195</v>
      </c>
      <c r="N5" s="11">
        <f>ROUND(($N$4^2/(2*$N$4+$N$3)),3)</f>
        <v>1.25</v>
      </c>
      <c r="O5" s="59" t="s">
        <v>1172</v>
      </c>
      <c r="P5" s="110" t="s">
        <v>1136</v>
      </c>
      <c r="R5" s="51"/>
      <c r="AH5" s="12" t="s">
        <v>1173</v>
      </c>
      <c r="AI5" s="49" t="s">
        <v>1113</v>
      </c>
      <c r="AJ5" s="43"/>
      <c r="AK5" s="43"/>
      <c r="AL5" s="50" t="s">
        <v>1081</v>
      </c>
    </row>
    <row r="6" spans="1:38" x14ac:dyDescent="0.2">
      <c r="A6" s="30"/>
      <c r="B6" s="121"/>
      <c r="C6" s="121"/>
      <c r="D6" s="121"/>
      <c r="E6" s="121"/>
      <c r="F6" s="121"/>
      <c r="G6" s="121"/>
      <c r="H6" s="121"/>
      <c r="I6" s="547"/>
      <c r="J6" s="39"/>
      <c r="K6" s="208">
        <v>0.3125</v>
      </c>
      <c r="M6" s="69" t="s">
        <v>1085</v>
      </c>
      <c r="N6" s="11">
        <f>$C$14+$N$5</f>
        <v>8.75</v>
      </c>
      <c r="O6" s="59" t="s">
        <v>1172</v>
      </c>
      <c r="P6" s="110" t="s">
        <v>1199</v>
      </c>
      <c r="AH6" s="101" t="s">
        <v>1179</v>
      </c>
      <c r="AI6" s="43"/>
      <c r="AJ6" s="43"/>
      <c r="AK6" s="43"/>
      <c r="AL6" s="85"/>
    </row>
    <row r="7" spans="1:38" x14ac:dyDescent="0.2">
      <c r="A7" s="115" t="s">
        <v>1112</v>
      </c>
      <c r="B7" s="121"/>
      <c r="C7" s="121"/>
      <c r="D7" s="121"/>
      <c r="E7" s="121"/>
      <c r="F7" s="121"/>
      <c r="G7" s="121"/>
      <c r="H7" s="121"/>
      <c r="I7" s="547"/>
      <c r="K7" s="208">
        <v>0.375</v>
      </c>
      <c r="M7" s="69" t="s">
        <v>1124</v>
      </c>
      <c r="N7" s="11">
        <f>$N$6/$N$3</f>
        <v>0.875</v>
      </c>
      <c r="O7" s="59"/>
      <c r="P7" s="110" t="s">
        <v>1086</v>
      </c>
      <c r="AH7" s="48">
        <v>44</v>
      </c>
      <c r="AI7" s="63" t="str">
        <f>IF($C$11*16&gt;=$N$18,"D(prov'd) &gt;= D(req'd), O.K.","D(prov'd) &lt; D(req'd), Fail")</f>
        <v>D(prov'd) &gt;= D(req'd), O.K.</v>
      </c>
      <c r="AJ7" s="43"/>
      <c r="AK7" s="43"/>
      <c r="AL7" s="239">
        <f>$N$18/($C$11*16)</f>
        <v>0.98862499999999998</v>
      </c>
    </row>
    <row r="8" spans="1:38" x14ac:dyDescent="0.2">
      <c r="A8" s="30"/>
      <c r="B8" s="121"/>
      <c r="C8" s="121"/>
      <c r="D8" s="121"/>
      <c r="E8" s="121"/>
      <c r="F8" s="121"/>
      <c r="G8" s="121"/>
      <c r="H8" s="121"/>
      <c r="I8" s="547"/>
      <c r="K8" s="208">
        <v>0.4375</v>
      </c>
      <c r="M8" s="69" t="s">
        <v>1138</v>
      </c>
      <c r="N8" s="11">
        <f>$N$4/$N$3</f>
        <v>0.5</v>
      </c>
      <c r="O8" s="134" t="str">
        <f>IF($N$8&gt;2,"Value of 'k' exceeds 2.0, beyond scope of table!","")</f>
        <v/>
      </c>
      <c r="P8" s="110" t="s">
        <v>1088</v>
      </c>
      <c r="AH8" s="48">
        <v>45</v>
      </c>
      <c r="AI8" s="63" t="str">
        <f>IF($N$3&gt;=$N$19,"L(prov'd) &gt;= L(req'd), O.K.","L(prov'd) &lt; L(req'd), Fail")</f>
        <v>L(prov'd) &gt;= L(req'd), O.K.</v>
      </c>
      <c r="AJ8" s="43"/>
      <c r="AK8" s="43"/>
      <c r="AL8" s="239">
        <f>$N$19/$N$3</f>
        <v>0.98859999999999992</v>
      </c>
    </row>
    <row r="9" spans="1:38" x14ac:dyDescent="0.2">
      <c r="A9" s="30"/>
      <c r="B9" s="56" t="s">
        <v>1091</v>
      </c>
      <c r="C9" s="280">
        <v>10</v>
      </c>
      <c r="D9" s="138" t="s">
        <v>1172</v>
      </c>
      <c r="E9" s="21"/>
      <c r="F9" s="42" t="str">
        <f>"    aL="&amp;$N$6</f>
        <v xml:space="preserve">    aL=8.75</v>
      </c>
      <c r="G9" s="21"/>
      <c r="H9" s="21"/>
      <c r="I9" s="389"/>
      <c r="J9" s="137"/>
      <c r="K9" s="208">
        <v>0.5</v>
      </c>
      <c r="M9" s="46" t="s">
        <v>1184</v>
      </c>
      <c r="N9" s="136">
        <f>1</f>
        <v>1</v>
      </c>
      <c r="O9" s="44"/>
      <c r="P9" s="44" t="s">
        <v>1185</v>
      </c>
      <c r="AH9" s="48"/>
      <c r="AI9" s="63"/>
      <c r="AJ9" s="43"/>
      <c r="AK9" s="43"/>
      <c r="AL9" s="11"/>
    </row>
    <row r="10" spans="1:38" x14ac:dyDescent="0.2">
      <c r="A10" s="30"/>
      <c r="B10" s="56" t="s">
        <v>1140</v>
      </c>
      <c r="C10" s="281">
        <v>5</v>
      </c>
      <c r="D10" s="138" t="s">
        <v>1172</v>
      </c>
      <c r="E10" s="21"/>
      <c r="F10" s="231">
        <f>$C$14</f>
        <v>7.5</v>
      </c>
      <c r="G10" s="21"/>
      <c r="H10" s="141"/>
      <c r="I10" s="389"/>
      <c r="J10" s="238"/>
      <c r="K10" s="208">
        <v>0.5625</v>
      </c>
      <c r="M10" s="69" t="s">
        <v>1122</v>
      </c>
      <c r="N10" s="11">
        <f>ROUND(IF($N$8&lt;=2,$AF$51,"N.A."),3)</f>
        <v>0.72199999999999998</v>
      </c>
      <c r="O10" s="137"/>
      <c r="P10" s="110" t="s">
        <v>1171</v>
      </c>
      <c r="AH10" s="43"/>
      <c r="AI10" s="43"/>
      <c r="AJ10" s="43"/>
      <c r="AK10" s="43"/>
      <c r="AL10" s="43"/>
    </row>
    <row r="11" spans="1:38" x14ac:dyDescent="0.2">
      <c r="A11" s="30"/>
      <c r="B11" s="56" t="s">
        <v>1197</v>
      </c>
      <c r="C11" s="282">
        <v>0.5</v>
      </c>
      <c r="D11" s="138" t="str">
        <f>"in. = "&amp;$C$11*16&amp;" (1/16's)"</f>
        <v>in. = 8 (1/16's)</v>
      </c>
      <c r="E11" s="42" t="str">
        <f>"           Pv="&amp;$C$12&amp;" k"</f>
        <v xml:space="preserve">           Pv=23.29 k</v>
      </c>
      <c r="F11" s="231"/>
      <c r="G11" s="21"/>
      <c r="H11" s="135"/>
      <c r="I11" s="24"/>
      <c r="J11" s="56"/>
      <c r="K11" s="208">
        <v>0.625</v>
      </c>
      <c r="M11" s="46" t="s">
        <v>1187</v>
      </c>
      <c r="N11" s="54">
        <f>ROUND(SQRT($C$12^2+$C$13^2),2)</f>
        <v>90</v>
      </c>
      <c r="O11" s="44" t="s">
        <v>1114</v>
      </c>
      <c r="P11" s="44" t="s">
        <v>1120</v>
      </c>
      <c r="AH11" s="43"/>
      <c r="AI11" s="301" t="str">
        <f>IF(OR($N$18&gt;$C$11*16,$N$19&gt;$N$3),"Weld is overstressed!","Weld is adequate!")</f>
        <v>Weld is adequate!</v>
      </c>
      <c r="AJ11" s="35"/>
      <c r="AK11" s="36"/>
      <c r="AL11" s="43"/>
    </row>
    <row r="12" spans="1:38" x14ac:dyDescent="0.2">
      <c r="A12" s="30"/>
      <c r="B12" s="56" t="s">
        <v>1102</v>
      </c>
      <c r="C12" s="283">
        <v>23.29</v>
      </c>
      <c r="D12" s="138" t="s">
        <v>1114</v>
      </c>
      <c r="E12" s="203" t="s">
        <v>1362</v>
      </c>
      <c r="F12" s="42" t="str">
        <f>""&amp;ROUND($N$12,2)</f>
        <v>75</v>
      </c>
      <c r="G12" s="21"/>
      <c r="H12" s="56"/>
      <c r="I12" s="24"/>
      <c r="J12" s="21"/>
      <c r="M12" s="46" t="s">
        <v>1183</v>
      </c>
      <c r="N12" s="52">
        <f>IF($C$13&gt;0,ROUND(90-(ATAN($C$12/$C$13)*(180/PI())),3),0)</f>
        <v>75.001999999999995</v>
      </c>
      <c r="O12" s="44" t="s">
        <v>1103</v>
      </c>
      <c r="P12" s="102" t="s">
        <v>1157</v>
      </c>
      <c r="AH12" s="43"/>
      <c r="AI12" s="302" t="str">
        <f>IF($N$18&gt;$C$11*16,"D(req'd) = "&amp;$N$18&amp;" &gt; "&amp;$C$11*16&amp;" (1/16's)","D(req'd) = "&amp;$N$18&amp;" &lt;= "&amp;$C$11*16&amp;" (1/16's)")</f>
        <v>D(req'd) = 7.909 &lt;= 8 (1/16's)</v>
      </c>
      <c r="AJ12" s="37"/>
      <c r="AK12" s="303"/>
      <c r="AL12" s="43"/>
    </row>
    <row r="13" spans="1:38" x14ac:dyDescent="0.2">
      <c r="A13" s="30"/>
      <c r="B13" s="56" t="s">
        <v>1121</v>
      </c>
      <c r="C13" s="283">
        <v>86.93</v>
      </c>
      <c r="D13" s="138" t="s">
        <v>1114</v>
      </c>
      <c r="E13" s="422"/>
      <c r="F13" s="25"/>
      <c r="G13" s="21"/>
      <c r="H13" s="143"/>
      <c r="I13" s="24"/>
      <c r="J13" s="21"/>
      <c r="M13" s="46" t="s">
        <v>1160</v>
      </c>
      <c r="N13" s="52">
        <f>IF($N$12&gt;0,$N$10,"N.A.")</f>
        <v>0.72199999999999998</v>
      </c>
      <c r="O13" s="44"/>
      <c r="P13" s="103" t="s">
        <v>1189</v>
      </c>
      <c r="AH13" s="43"/>
      <c r="AI13" s="304" t="str">
        <f>IF($N$19&gt;$N$3,"L(req'd) = "&amp;$N$19&amp;" &gt; "&amp;$N$3&amp;" in.","L(req'd) = "&amp;$N$19&amp;" &lt;= "&amp;$N$3&amp;" in.")</f>
        <v>L(req'd) = 9.886 &lt;= 10 in.</v>
      </c>
      <c r="AJ13" s="305"/>
      <c r="AK13" s="306"/>
      <c r="AL13" s="43"/>
    </row>
    <row r="14" spans="1:38" x14ac:dyDescent="0.2">
      <c r="A14" s="30"/>
      <c r="B14" s="56" t="s">
        <v>1158</v>
      </c>
      <c r="C14" s="284">
        <v>7.5</v>
      </c>
      <c r="D14" s="138" t="s">
        <v>1172</v>
      </c>
      <c r="E14" s="114"/>
      <c r="F14" s="25" t="str">
        <f>IF($C$13&gt;0,"      P="&amp;$N$11&amp;" k","      P=Pv")</f>
        <v xml:space="preserve">      P=90 k</v>
      </c>
      <c r="G14" s="21"/>
      <c r="H14" s="60"/>
      <c r="I14" s="24"/>
      <c r="J14" s="21"/>
      <c r="K14" s="208"/>
      <c r="M14" s="46" t="s">
        <v>1130</v>
      </c>
      <c r="N14" s="52">
        <f>IF($N$12&gt;0,0.928*(1+2*$N$8),"N.A.")</f>
        <v>1.8560000000000001</v>
      </c>
      <c r="O14" s="44"/>
      <c r="P14" s="103" t="s">
        <v>1131</v>
      </c>
      <c r="AH14" s="43"/>
      <c r="AI14" s="43"/>
      <c r="AJ14" s="43"/>
      <c r="AK14" s="43"/>
      <c r="AL14" s="43"/>
    </row>
    <row r="15" spans="1:38" x14ac:dyDescent="0.2">
      <c r="A15" s="30"/>
      <c r="B15" s="21"/>
      <c r="C15" s="21"/>
      <c r="D15" s="25" t="str">
        <f>"         Pv="&amp;$C$12&amp;" k"</f>
        <v xml:space="preserve">         Pv=23.29 k</v>
      </c>
      <c r="E15" s="60"/>
      <c r="F15" s="143"/>
      <c r="G15" s="21"/>
      <c r="H15" s="21"/>
      <c r="I15" s="24"/>
      <c r="J15" s="25"/>
      <c r="K15" s="208"/>
      <c r="M15" s="46" t="s">
        <v>1188</v>
      </c>
      <c r="N15" s="52">
        <f>IF($N$12&gt;0,IF($N$14/$N$13&lt;1,1,$N$14/$N$13),"N.A.")</f>
        <v>2.5706371191135737</v>
      </c>
      <c r="O15" s="44"/>
      <c r="P15" s="103" t="s">
        <v>1132</v>
      </c>
      <c r="AH15" s="43"/>
      <c r="AI15" s="43"/>
      <c r="AJ15" s="43"/>
      <c r="AK15" s="43"/>
      <c r="AL15" s="43"/>
    </row>
    <row r="16" spans="1:38" x14ac:dyDescent="0.2">
      <c r="A16" s="22" t="s">
        <v>1201</v>
      </c>
      <c r="B16" s="21"/>
      <c r="C16" s="21"/>
      <c r="D16" s="21"/>
      <c r="E16" s="60"/>
      <c r="F16" s="112"/>
      <c r="G16" s="21"/>
      <c r="H16" s="25" t="str">
        <f>"                 L="&amp;$N$3</f>
        <v xml:space="preserve">                 L=10</v>
      </c>
      <c r="I16" s="24"/>
      <c r="J16" s="233"/>
      <c r="K16" s="208"/>
      <c r="M16" s="46" t="s">
        <v>1133</v>
      </c>
      <c r="N16" s="52">
        <f>IF($N$12&gt;0,IF($N$15/(SIN($N$12*PI()/180)+$N$15*COS($N$12*PI()/180))&lt;1,1,$N$15/(SIN($N$12*PI()/180)+$N$15*COS($N$12*PI()/180))),"N.A.")</f>
        <v>1.5759390283560213</v>
      </c>
      <c r="O16" s="44"/>
      <c r="P16" s="44" t="s">
        <v>1198</v>
      </c>
      <c r="AH16" s="43"/>
      <c r="AI16" s="43"/>
      <c r="AJ16" s="43"/>
      <c r="AK16" s="43"/>
      <c r="AL16" s="43"/>
    </row>
    <row r="17" spans="1:38" ht="12.75" customHeight="1" x14ac:dyDescent="0.2">
      <c r="A17" s="30"/>
      <c r="B17" s="21"/>
      <c r="C17" s="21"/>
      <c r="D17" s="21"/>
      <c r="E17" s="40"/>
      <c r="F17" s="25" t="str">
        <f>IF($C$13&gt;0,"Ph="&amp;$C$13&amp;" k","Ph=0")</f>
        <v>Ph=86.93 k</v>
      </c>
      <c r="G17" s="21"/>
      <c r="H17" s="233"/>
      <c r="I17" s="24"/>
      <c r="J17" s="12"/>
      <c r="K17" s="208"/>
      <c r="M17" s="46" t="s">
        <v>1143</v>
      </c>
      <c r="N17" s="52">
        <f>IF($N$12&gt;0,ROUND($N$16*$N$13,3),"N.A.")</f>
        <v>1.1379999999999999</v>
      </c>
      <c r="O17" s="44"/>
      <c r="P17" s="44" t="s">
        <v>1105</v>
      </c>
      <c r="AH17" s="86"/>
      <c r="AI17" s="398"/>
      <c r="AJ17" s="43"/>
      <c r="AK17" s="43"/>
      <c r="AL17" s="43"/>
    </row>
    <row r="18" spans="1:38" x14ac:dyDescent="0.2">
      <c r="A18" s="105" t="str">
        <f>IF($C$13&gt;0,"P = Ca*C1*D*L  (for inclined load)","P = Pv = C*C1*D*L  (for vertical load only)")</f>
        <v>P = Ca*C1*D*L  (for inclined load)</v>
      </c>
      <c r="B18" s="21"/>
      <c r="C18" s="21"/>
      <c r="D18" s="21"/>
      <c r="E18" s="42"/>
      <c r="F18" s="42" t="str">
        <f>IF($C$13&gt;0,"(@ C.G.)","")</f>
        <v>(@ C.G.)</v>
      </c>
      <c r="G18" s="21"/>
      <c r="H18" s="21"/>
      <c r="I18" s="24"/>
      <c r="J18" s="12"/>
      <c r="K18" s="208"/>
      <c r="M18" s="69" t="s">
        <v>1193</v>
      </c>
      <c r="N18" s="11">
        <f>IF($N$12&gt;0,ROUND($N$11/($N$17*$N$9*$N$3),3),ROUND($N$11/($N$10*$N$9*$N$3),3))</f>
        <v>7.9089999999999998</v>
      </c>
      <c r="O18" s="140" t="s">
        <v>1099</v>
      </c>
      <c r="P18" s="59" t="str">
        <f>IF($N$12&gt;0,"D(req'd) = P/(Ca*C1*L)","D(req'd) = P/(C*C1*L)")</f>
        <v>D(req'd) = P/(Ca*C1*L)</v>
      </c>
      <c r="AH18" s="86"/>
      <c r="AI18" s="398"/>
      <c r="AJ18" s="43"/>
      <c r="AK18" s="43"/>
      <c r="AL18" s="43"/>
    </row>
    <row r="19" spans="1:38" x14ac:dyDescent="0.2">
      <c r="A19" s="30" t="s">
        <v>1154</v>
      </c>
      <c r="B19" s="21"/>
      <c r="C19" s="21"/>
      <c r="D19" s="21"/>
      <c r="E19" s="21"/>
      <c r="F19" s="21"/>
      <c r="G19" s="21"/>
      <c r="H19" s="21"/>
      <c r="I19" s="24"/>
      <c r="J19" s="12"/>
      <c r="K19" s="208"/>
      <c r="M19" s="69" t="s">
        <v>1190</v>
      </c>
      <c r="N19" s="11">
        <f>IF($N$12&gt;0,ROUND($N$11/($N$9*$N$17*($C$11*16)),3),ROUND($N$11/($N$9*$N$10*($C$11*16)),3))</f>
        <v>9.8859999999999992</v>
      </c>
      <c r="O19" s="59" t="s">
        <v>1172</v>
      </c>
      <c r="P19" s="59" t="str">
        <f>IF($N$12&gt;0,"L(req'd) = P/(Ca*C1*D)","L(req'd) = P/(C*C1*D)")</f>
        <v>L(req'd) = P/(Ca*C1*D)</v>
      </c>
      <c r="AH19" s="43"/>
      <c r="AI19" s="43"/>
      <c r="AJ19" s="43"/>
      <c r="AK19" s="43"/>
      <c r="AL19" s="43"/>
    </row>
    <row r="20" spans="1:38" x14ac:dyDescent="0.2">
      <c r="A20" s="296" t="str">
        <f>IF($C$13&gt;0,"Ca = coefficient for inclined load, Alt. Method 2","C = coefficient interpolated from Table XXIV")</f>
        <v>Ca = coefficient for inclined load, Alt. Method 2</v>
      </c>
      <c r="B20" s="21"/>
      <c r="C20" s="21"/>
      <c r="D20" s="21"/>
      <c r="E20" s="21"/>
      <c r="F20" s="21"/>
      <c r="G20" s="21"/>
      <c r="H20" s="21"/>
      <c r="I20" s="24"/>
      <c r="J20" s="12"/>
      <c r="K20" s="208"/>
      <c r="M20" s="61"/>
      <c r="N20" s="55"/>
      <c r="O20" s="40"/>
      <c r="P20" s="59"/>
    </row>
    <row r="21" spans="1:38" x14ac:dyDescent="0.2">
      <c r="A21" s="30" t="s">
        <v>1106</v>
      </c>
      <c r="B21" s="21"/>
      <c r="C21" s="21"/>
      <c r="D21" s="21"/>
      <c r="E21" s="21"/>
      <c r="F21" s="42" t="str">
        <f>"            xL="&amp;$N$5</f>
        <v xml:space="preserve">            xL=1.25</v>
      </c>
      <c r="G21" s="21"/>
      <c r="H21" s="25" t="str">
        <f>"          "&amp;($N$8-$N$5/$N$3)*$N$3</f>
        <v xml:space="preserve">          3.75</v>
      </c>
      <c r="I21" s="24"/>
      <c r="J21" s="12"/>
      <c r="N21" s="43"/>
      <c r="Q21" s="18"/>
      <c r="R21" s="18"/>
      <c r="S21" s="18"/>
      <c r="T21" s="18"/>
      <c r="U21" s="18"/>
      <c r="V21" s="18"/>
      <c r="W21" s="18"/>
      <c r="AC21" s="148" t="s">
        <v>1092</v>
      </c>
      <c r="AD21" s="149"/>
      <c r="AE21" s="149"/>
      <c r="AF21" s="150"/>
    </row>
    <row r="22" spans="1:38" x14ac:dyDescent="0.2">
      <c r="A22" s="30" t="s">
        <v>1135</v>
      </c>
      <c r="B22" s="21"/>
      <c r="C22" s="21"/>
      <c r="D22" s="21"/>
      <c r="E22" s="21"/>
      <c r="F22" s="21"/>
      <c r="G22" s="21"/>
      <c r="H22" s="21"/>
      <c r="I22" s="24"/>
      <c r="J22" s="12"/>
      <c r="K22" s="120" t="s">
        <v>1150</v>
      </c>
      <c r="L22" s="209"/>
      <c r="M22" s="210"/>
      <c r="N22" s="210"/>
      <c r="O22" s="210"/>
      <c r="P22" s="210"/>
      <c r="Q22" s="210"/>
      <c r="R22" s="210"/>
      <c r="S22" s="210"/>
      <c r="T22" s="209"/>
      <c r="U22" s="210"/>
      <c r="V22" s="210"/>
      <c r="W22" s="210"/>
      <c r="X22" s="211"/>
      <c r="Y22" s="210"/>
      <c r="Z22" s="123"/>
      <c r="AA22" s="124"/>
      <c r="AB22" s="51"/>
      <c r="AC22" s="151"/>
      <c r="AD22" s="152" t="s">
        <v>1093</v>
      </c>
      <c r="AE22" s="153" t="s">
        <v>1148</v>
      </c>
      <c r="AF22" s="154" t="s">
        <v>1093</v>
      </c>
    </row>
    <row r="23" spans="1:38" x14ac:dyDescent="0.2">
      <c r="A23" s="30" t="s">
        <v>1178</v>
      </c>
      <c r="B23" s="21"/>
      <c r="C23" s="37"/>
      <c r="D23" s="37"/>
      <c r="E23" s="21"/>
      <c r="F23" s="42"/>
      <c r="G23" s="42" t="str">
        <f>"            kL="&amp;$N$4</f>
        <v xml:space="preserve">            kL=5</v>
      </c>
      <c r="H23" s="7"/>
      <c r="I23" s="24"/>
      <c r="J23" s="7"/>
      <c r="K23" s="155"/>
      <c r="L23" s="156" t="s">
        <v>1148</v>
      </c>
      <c r="M23" s="116"/>
      <c r="N23" s="116"/>
      <c r="O23" s="116"/>
      <c r="P23" s="116"/>
      <c r="Q23" s="116"/>
      <c r="R23" s="116"/>
      <c r="S23" s="116"/>
      <c r="T23" s="157"/>
      <c r="U23" s="116"/>
      <c r="V23" s="116"/>
      <c r="W23" s="116"/>
      <c r="X23" s="116"/>
      <c r="Y23" s="116"/>
      <c r="Z23" s="116"/>
      <c r="AA23" s="117"/>
      <c r="AB23" s="51"/>
      <c r="AC23" s="151"/>
      <c r="AD23" s="158">
        <f>LOOKUP($AD$24,$L$24:$AA$24,$L$50:$AA$50)</f>
        <v>6</v>
      </c>
      <c r="AE23" s="158" t="s">
        <v>1094</v>
      </c>
      <c r="AF23" s="159">
        <f>LOOKUP($AD$23+1,$L$50:$AA$50)</f>
        <v>7</v>
      </c>
    </row>
    <row r="24" spans="1:38" x14ac:dyDescent="0.2">
      <c r="A24" s="30"/>
      <c r="B24" s="212" t="str">
        <f>IF($N$7&gt;3,"Value of 'a' exceeds 3.0, beyond scope of table!","")</f>
        <v/>
      </c>
      <c r="C24" s="21"/>
      <c r="D24" s="21"/>
      <c r="E24" s="21"/>
      <c r="F24" s="21"/>
      <c r="G24" s="21"/>
      <c r="H24" s="21"/>
      <c r="I24" s="24"/>
      <c r="K24" s="160" t="s">
        <v>1095</v>
      </c>
      <c r="L24" s="161">
        <v>0</v>
      </c>
      <c r="M24" s="162">
        <v>0.1</v>
      </c>
      <c r="N24" s="161">
        <v>0.2</v>
      </c>
      <c r="O24" s="162">
        <v>0.3</v>
      </c>
      <c r="P24" s="161">
        <v>0.4</v>
      </c>
      <c r="Q24" s="162">
        <v>0.5</v>
      </c>
      <c r="R24" s="161">
        <v>0.6</v>
      </c>
      <c r="S24" s="162">
        <v>0.7</v>
      </c>
      <c r="T24" s="161">
        <v>0.8</v>
      </c>
      <c r="U24" s="162">
        <v>0.9</v>
      </c>
      <c r="V24" s="163">
        <v>1</v>
      </c>
      <c r="W24" s="162">
        <v>1.2</v>
      </c>
      <c r="X24" s="161">
        <v>1.4</v>
      </c>
      <c r="Y24" s="162">
        <v>1.6</v>
      </c>
      <c r="Z24" s="161">
        <v>1.8</v>
      </c>
      <c r="AA24" s="164">
        <v>2</v>
      </c>
      <c r="AB24" s="307" t="s">
        <v>1096</v>
      </c>
      <c r="AC24" s="165" t="s">
        <v>1096</v>
      </c>
      <c r="AD24" s="166">
        <f>LOOKUP($N$8,$L$24:$AA$24)</f>
        <v>0.5</v>
      </c>
      <c r="AE24" s="167">
        <f>$N$8</f>
        <v>0.5</v>
      </c>
      <c r="AF24" s="168">
        <f>LOOKUP($AF$23,$L$50:$AA$50,$L$24:$AA$24)</f>
        <v>0.6</v>
      </c>
    </row>
    <row r="25" spans="1:38" x14ac:dyDescent="0.2">
      <c r="A25" s="30"/>
      <c r="B25" s="212" t="str">
        <f>IF($N$8&gt;2,"Value of 'k' exceeds 2.0, beyond scope of table!","")</f>
        <v/>
      </c>
      <c r="C25" s="21"/>
      <c r="D25" s="21"/>
      <c r="E25" s="21"/>
      <c r="F25" s="21"/>
      <c r="G25" s="21"/>
      <c r="H25" s="21"/>
      <c r="I25" s="24"/>
      <c r="K25" s="259">
        <v>0.06</v>
      </c>
      <c r="L25" s="262">
        <v>0.83399999999999996</v>
      </c>
      <c r="M25" s="263">
        <v>0.89900000000000002</v>
      </c>
      <c r="N25" s="247">
        <v>1.07</v>
      </c>
      <c r="O25" s="247">
        <v>1.25</v>
      </c>
      <c r="P25" s="247">
        <v>1.42</v>
      </c>
      <c r="Q25" s="247">
        <v>1.6</v>
      </c>
      <c r="R25" s="247">
        <v>1.78</v>
      </c>
      <c r="S25" s="247">
        <v>1.95</v>
      </c>
      <c r="T25" s="247">
        <v>2.13</v>
      </c>
      <c r="U25" s="247">
        <v>2.2999999999999998</v>
      </c>
      <c r="V25" s="247">
        <v>2.48</v>
      </c>
      <c r="W25" s="247">
        <v>2.82</v>
      </c>
      <c r="X25" s="247">
        <v>3.17</v>
      </c>
      <c r="Y25" s="247">
        <v>3.51</v>
      </c>
      <c r="Z25" s="247">
        <v>3.85</v>
      </c>
      <c r="AA25" s="248">
        <v>4.2</v>
      </c>
      <c r="AB25" s="307">
        <v>1</v>
      </c>
      <c r="AC25" s="169">
        <v>1</v>
      </c>
      <c r="AD25" s="170">
        <f t="shared" ref="AD25:AD48" si="0">LOOKUP($AD$24,$L$24:$AA$24,$L25:$AA25)</f>
        <v>1.6</v>
      </c>
      <c r="AE25" s="171">
        <f t="shared" ref="AE25:AE48" si="1">IF($AD$24=$AF$24,$AD25,($AF25-$AD25)*($AE$24-$AD$24)/($AF$24-$AD$24)+$AD25)</f>
        <v>1.6</v>
      </c>
      <c r="AF25" s="172">
        <f t="shared" ref="AF25:AF48" si="2">LOOKUP($AF$24,$L$24:$AA$24,$L25:$AA25)</f>
        <v>1.78</v>
      </c>
    </row>
    <row r="26" spans="1:38" x14ac:dyDescent="0.2">
      <c r="A26" s="22" t="s">
        <v>1113</v>
      </c>
      <c r="B26" s="21"/>
      <c r="C26" s="21"/>
      <c r="D26" s="21"/>
      <c r="E26" s="21"/>
      <c r="F26" s="21"/>
      <c r="G26" s="21"/>
      <c r="H26" s="21"/>
      <c r="I26" s="24"/>
      <c r="K26" s="260">
        <v>0.08</v>
      </c>
      <c r="L26" s="253">
        <v>0.82</v>
      </c>
      <c r="M26" s="254">
        <v>0.90700000000000003</v>
      </c>
      <c r="N26" s="250">
        <v>1.08</v>
      </c>
      <c r="O26" s="250">
        <v>1.25</v>
      </c>
      <c r="P26" s="250">
        <v>1.42</v>
      </c>
      <c r="Q26" s="250">
        <v>1.6</v>
      </c>
      <c r="R26" s="250">
        <v>1.77</v>
      </c>
      <c r="S26" s="250">
        <v>1.94</v>
      </c>
      <c r="T26" s="250">
        <v>2.12</v>
      </c>
      <c r="U26" s="250">
        <v>2.29</v>
      </c>
      <c r="V26" s="250">
        <v>2.46</v>
      </c>
      <c r="W26" s="250">
        <v>2.8</v>
      </c>
      <c r="X26" s="250">
        <v>3.14</v>
      </c>
      <c r="Y26" s="250">
        <v>3.48</v>
      </c>
      <c r="Z26" s="250">
        <v>3.81</v>
      </c>
      <c r="AA26" s="251">
        <v>4.1500000000000004</v>
      </c>
      <c r="AB26" s="307">
        <v>2</v>
      </c>
      <c r="AC26" s="169">
        <v>2</v>
      </c>
      <c r="AD26" s="170">
        <f t="shared" si="0"/>
        <v>1.6</v>
      </c>
      <c r="AE26" s="171">
        <f t="shared" si="1"/>
        <v>1.6</v>
      </c>
      <c r="AF26" s="172">
        <f t="shared" si="2"/>
        <v>1.77</v>
      </c>
    </row>
    <row r="27" spans="1:38" x14ac:dyDescent="0.2">
      <c r="A27" s="30"/>
      <c r="B27" s="21"/>
      <c r="C27" s="21"/>
      <c r="D27" s="62" t="str">
        <f>IF($N$12&gt;0,"(Note: AISC Alternate Method 2 is used for inclined load)","(Note: AISC Alternate Method 2 is not used for P=Pv)")</f>
        <v>(Note: AISC Alternate Method 2 is used for inclined load)</v>
      </c>
      <c r="E27" s="21"/>
      <c r="F27" s="21"/>
      <c r="G27" s="21"/>
      <c r="H27" s="21"/>
      <c r="I27" s="24"/>
      <c r="K27" s="260">
        <v>0.1</v>
      </c>
      <c r="L27" s="253">
        <v>0.80400000000000005</v>
      </c>
      <c r="M27" s="254">
        <v>0.91100000000000003</v>
      </c>
      <c r="N27" s="250">
        <v>1.08</v>
      </c>
      <c r="O27" s="250">
        <v>1.25</v>
      </c>
      <c r="P27" s="250">
        <v>1.42</v>
      </c>
      <c r="Q27" s="250">
        <v>1.59</v>
      </c>
      <c r="R27" s="250">
        <v>1.76</v>
      </c>
      <c r="S27" s="250">
        <v>1.93</v>
      </c>
      <c r="T27" s="250">
        <v>2.1</v>
      </c>
      <c r="U27" s="250">
        <v>2.27</v>
      </c>
      <c r="V27" s="250">
        <v>2.44</v>
      </c>
      <c r="W27" s="250">
        <v>2.77</v>
      </c>
      <c r="X27" s="250">
        <v>3.11</v>
      </c>
      <c r="Y27" s="250">
        <v>3.44</v>
      </c>
      <c r="Z27" s="250">
        <v>3.77</v>
      </c>
      <c r="AA27" s="251">
        <v>4.0999999999999996</v>
      </c>
      <c r="AB27" s="307">
        <v>3</v>
      </c>
      <c r="AC27" s="169">
        <v>3</v>
      </c>
      <c r="AD27" s="170">
        <f t="shared" si="0"/>
        <v>1.59</v>
      </c>
      <c r="AE27" s="171">
        <f t="shared" si="1"/>
        <v>1.59</v>
      </c>
      <c r="AF27" s="172">
        <f t="shared" si="2"/>
        <v>1.76</v>
      </c>
    </row>
    <row r="28" spans="1:38" x14ac:dyDescent="0.2">
      <c r="A28" s="298" t="s">
        <v>1196</v>
      </c>
      <c r="B28" s="2">
        <f>$N$3</f>
        <v>10</v>
      </c>
      <c r="C28" s="138" t="s">
        <v>1172</v>
      </c>
      <c r="D28" s="62" t="s">
        <v>1178</v>
      </c>
      <c r="E28" s="21"/>
      <c r="F28" s="203"/>
      <c r="G28" s="21"/>
      <c r="H28" s="21"/>
      <c r="I28" s="24"/>
      <c r="K28" s="260">
        <v>0.15</v>
      </c>
      <c r="L28" s="253">
        <v>0.753</v>
      </c>
      <c r="M28" s="254">
        <v>0.90400000000000003</v>
      </c>
      <c r="N28" s="250">
        <v>1.07</v>
      </c>
      <c r="O28" s="250">
        <v>1.23</v>
      </c>
      <c r="P28" s="250">
        <v>1.39</v>
      </c>
      <c r="Q28" s="250">
        <v>1.56</v>
      </c>
      <c r="R28" s="250">
        <v>1.72</v>
      </c>
      <c r="S28" s="250">
        <v>1.88</v>
      </c>
      <c r="T28" s="250">
        <v>2.0499999999999998</v>
      </c>
      <c r="U28" s="250">
        <v>2.21</v>
      </c>
      <c r="V28" s="250">
        <v>2.37</v>
      </c>
      <c r="W28" s="250">
        <v>2.69</v>
      </c>
      <c r="X28" s="250">
        <v>3.01</v>
      </c>
      <c r="Y28" s="250">
        <v>3.33</v>
      </c>
      <c r="Z28" s="250">
        <v>3.66</v>
      </c>
      <c r="AA28" s="251">
        <v>3.98</v>
      </c>
      <c r="AB28" s="307">
        <v>4</v>
      </c>
      <c r="AC28" s="169">
        <v>4</v>
      </c>
      <c r="AD28" s="170">
        <f t="shared" si="0"/>
        <v>1.56</v>
      </c>
      <c r="AE28" s="171">
        <f t="shared" si="1"/>
        <v>1.56</v>
      </c>
      <c r="AF28" s="172">
        <f t="shared" si="2"/>
        <v>1.72</v>
      </c>
    </row>
    <row r="29" spans="1:38" x14ac:dyDescent="0.2">
      <c r="A29" s="298" t="s">
        <v>1180</v>
      </c>
      <c r="B29" s="3">
        <f>$N$4</f>
        <v>5</v>
      </c>
      <c r="C29" s="138" t="s">
        <v>1172</v>
      </c>
      <c r="D29" s="62" t="s">
        <v>1100</v>
      </c>
      <c r="E29" s="21"/>
      <c r="F29" s="203"/>
      <c r="G29" s="21"/>
      <c r="H29" s="21"/>
      <c r="I29" s="24"/>
      <c r="K29" s="260">
        <v>0.2</v>
      </c>
      <c r="L29" s="253">
        <v>0.69199999999999995</v>
      </c>
      <c r="M29" s="254">
        <v>0.877</v>
      </c>
      <c r="N29" s="250">
        <v>1.03</v>
      </c>
      <c r="O29" s="250">
        <v>1.19</v>
      </c>
      <c r="P29" s="250">
        <v>1.35</v>
      </c>
      <c r="Q29" s="250">
        <v>1.51</v>
      </c>
      <c r="R29" s="250">
        <v>1.67</v>
      </c>
      <c r="S29" s="250">
        <v>1.82</v>
      </c>
      <c r="T29" s="250">
        <v>1.98</v>
      </c>
      <c r="U29" s="250">
        <v>2.13</v>
      </c>
      <c r="V29" s="250">
        <v>2.29</v>
      </c>
      <c r="W29" s="250">
        <v>2.6</v>
      </c>
      <c r="X29" s="250">
        <v>2.91</v>
      </c>
      <c r="Y29" s="250">
        <v>3.22</v>
      </c>
      <c r="Z29" s="250">
        <v>3.54</v>
      </c>
      <c r="AA29" s="251">
        <v>3.85</v>
      </c>
      <c r="AB29" s="307">
        <v>5</v>
      </c>
      <c r="AC29" s="169">
        <v>5</v>
      </c>
      <c r="AD29" s="170">
        <f t="shared" si="0"/>
        <v>1.51</v>
      </c>
      <c r="AE29" s="171">
        <f t="shared" si="1"/>
        <v>1.51</v>
      </c>
      <c r="AF29" s="172">
        <f t="shared" si="2"/>
        <v>1.67</v>
      </c>
    </row>
    <row r="30" spans="1:38" ht="13.5" customHeight="1" x14ac:dyDescent="0.2">
      <c r="A30" s="298" t="s">
        <v>1195</v>
      </c>
      <c r="B30" s="3">
        <f>$N$5</f>
        <v>1.25</v>
      </c>
      <c r="C30" s="138" t="s">
        <v>1172</v>
      </c>
      <c r="D30" s="98" t="s">
        <v>1136</v>
      </c>
      <c r="E30" s="21"/>
      <c r="F30" s="203"/>
      <c r="G30" s="21"/>
      <c r="H30" s="21"/>
      <c r="I30" s="24"/>
      <c r="K30" s="260">
        <v>0.25</v>
      </c>
      <c r="L30" s="253">
        <v>0.63</v>
      </c>
      <c r="M30" s="254">
        <v>0.82</v>
      </c>
      <c r="N30" s="254">
        <v>0.99299999999999999</v>
      </c>
      <c r="O30" s="250">
        <v>1.1499999999999999</v>
      </c>
      <c r="P30" s="250">
        <v>1.3</v>
      </c>
      <c r="Q30" s="250">
        <v>1.45</v>
      </c>
      <c r="R30" s="250">
        <v>1.6</v>
      </c>
      <c r="S30" s="250">
        <v>1.75</v>
      </c>
      <c r="T30" s="250">
        <v>1.9</v>
      </c>
      <c r="U30" s="250">
        <v>2.0499999999999998</v>
      </c>
      <c r="V30" s="250">
        <v>2.2000000000000002</v>
      </c>
      <c r="W30" s="250">
        <v>2.5</v>
      </c>
      <c r="X30" s="250">
        <v>2.81</v>
      </c>
      <c r="Y30" s="250">
        <v>3.11</v>
      </c>
      <c r="Z30" s="250">
        <v>3.42</v>
      </c>
      <c r="AA30" s="251">
        <v>3.72</v>
      </c>
      <c r="AB30" s="307">
        <v>6</v>
      </c>
      <c r="AC30" s="169">
        <v>6</v>
      </c>
      <c r="AD30" s="170">
        <f t="shared" si="0"/>
        <v>1.45</v>
      </c>
      <c r="AE30" s="171">
        <f t="shared" si="1"/>
        <v>1.45</v>
      </c>
      <c r="AF30" s="172">
        <f t="shared" si="2"/>
        <v>1.6</v>
      </c>
    </row>
    <row r="31" spans="1:38" ht="13.5" customHeight="1" x14ac:dyDescent="0.2">
      <c r="A31" s="298" t="s">
        <v>1085</v>
      </c>
      <c r="B31" s="3">
        <f>$N$6</f>
        <v>8.75</v>
      </c>
      <c r="C31" s="138" t="s">
        <v>1172</v>
      </c>
      <c r="D31" s="98" t="s">
        <v>1199</v>
      </c>
      <c r="E31" s="21"/>
      <c r="F31" s="203"/>
      <c r="G31" s="21"/>
      <c r="H31" s="21"/>
      <c r="I31" s="24"/>
      <c r="K31" s="260">
        <v>0.3</v>
      </c>
      <c r="L31" s="253">
        <v>0.56999999999999995</v>
      </c>
      <c r="M31" s="254">
        <v>0.752</v>
      </c>
      <c r="N31" s="254">
        <v>0.93200000000000005</v>
      </c>
      <c r="O31" s="250">
        <v>1.0900000000000001</v>
      </c>
      <c r="P31" s="250">
        <v>1.24</v>
      </c>
      <c r="Q31" s="250">
        <v>1.39</v>
      </c>
      <c r="R31" s="250">
        <v>1.53</v>
      </c>
      <c r="S31" s="250">
        <v>1.68</v>
      </c>
      <c r="T31" s="250">
        <v>1.82</v>
      </c>
      <c r="U31" s="250">
        <v>1.97</v>
      </c>
      <c r="V31" s="250">
        <v>2.11</v>
      </c>
      <c r="W31" s="250">
        <v>2.41</v>
      </c>
      <c r="X31" s="250">
        <v>2.7</v>
      </c>
      <c r="Y31" s="250">
        <v>3</v>
      </c>
      <c r="Z31" s="250">
        <v>3.3</v>
      </c>
      <c r="AA31" s="251">
        <v>3.6</v>
      </c>
      <c r="AB31" s="307">
        <v>7</v>
      </c>
      <c r="AC31" s="169">
        <v>7</v>
      </c>
      <c r="AD31" s="170">
        <f t="shared" si="0"/>
        <v>1.39</v>
      </c>
      <c r="AE31" s="171">
        <f t="shared" si="1"/>
        <v>1.39</v>
      </c>
      <c r="AF31" s="172">
        <f t="shared" si="2"/>
        <v>1.53</v>
      </c>
    </row>
    <row r="32" spans="1:38" x14ac:dyDescent="0.2">
      <c r="A32" s="298" t="s">
        <v>1124</v>
      </c>
      <c r="B32" s="3">
        <f>$N$7</f>
        <v>0.875</v>
      </c>
      <c r="C32" s="242" t="str">
        <f>IF($N$7&gt;3,"&gt; 3.0","")</f>
        <v/>
      </c>
      <c r="D32" s="98" t="s">
        <v>1086</v>
      </c>
      <c r="E32" s="21"/>
      <c r="F32" s="58"/>
      <c r="G32" s="21"/>
      <c r="H32" s="21"/>
      <c r="I32" s="24"/>
      <c r="K32" s="260">
        <v>0.4</v>
      </c>
      <c r="L32" s="253">
        <v>0.46899999999999997</v>
      </c>
      <c r="M32" s="254">
        <v>0.628</v>
      </c>
      <c r="N32" s="254">
        <v>0.79</v>
      </c>
      <c r="O32" s="254">
        <v>0.95599999999999996</v>
      </c>
      <c r="P32" s="250">
        <v>1.1200000000000001</v>
      </c>
      <c r="Q32" s="250">
        <v>1.25</v>
      </c>
      <c r="R32" s="250">
        <v>1.39</v>
      </c>
      <c r="S32" s="250">
        <v>1.53</v>
      </c>
      <c r="T32" s="250">
        <v>1.66</v>
      </c>
      <c r="U32" s="250">
        <v>1.8</v>
      </c>
      <c r="V32" s="250">
        <v>1.94</v>
      </c>
      <c r="W32" s="250">
        <v>2.21</v>
      </c>
      <c r="X32" s="250">
        <v>2.4900000000000002</v>
      </c>
      <c r="Y32" s="250">
        <v>2.78</v>
      </c>
      <c r="Z32" s="250">
        <v>3.07</v>
      </c>
      <c r="AA32" s="251">
        <v>3.36</v>
      </c>
      <c r="AB32" s="307">
        <v>8</v>
      </c>
      <c r="AC32" s="169">
        <v>8</v>
      </c>
      <c r="AD32" s="170">
        <f t="shared" si="0"/>
        <v>1.25</v>
      </c>
      <c r="AE32" s="171">
        <f t="shared" si="1"/>
        <v>1.25</v>
      </c>
      <c r="AF32" s="172">
        <f t="shared" si="2"/>
        <v>1.39</v>
      </c>
    </row>
    <row r="33" spans="1:32" x14ac:dyDescent="0.2">
      <c r="A33" s="298" t="s">
        <v>1138</v>
      </c>
      <c r="B33" s="3">
        <f>$N$8</f>
        <v>0.5</v>
      </c>
      <c r="C33" s="242" t="str">
        <f>IF($N$8&gt;2,"&gt; 2.0","")</f>
        <v/>
      </c>
      <c r="D33" s="98" t="s">
        <v>1088</v>
      </c>
      <c r="E33" s="21"/>
      <c r="F33" s="205"/>
      <c r="G33" s="21"/>
      <c r="H33" s="21"/>
      <c r="I33" s="24"/>
      <c r="K33" s="260">
        <v>0.5</v>
      </c>
      <c r="L33" s="253">
        <v>0.39300000000000002</v>
      </c>
      <c r="M33" s="254">
        <v>0.52800000000000002</v>
      </c>
      <c r="N33" s="254">
        <v>0.66800000000000004</v>
      </c>
      <c r="O33" s="254">
        <v>0.81499999999999995</v>
      </c>
      <c r="P33" s="254">
        <v>0.96699999999999997</v>
      </c>
      <c r="Q33" s="250">
        <v>1.1200000000000001</v>
      </c>
      <c r="R33" s="250">
        <v>1.25</v>
      </c>
      <c r="S33" s="250">
        <v>1.38</v>
      </c>
      <c r="T33" s="250">
        <v>1.5</v>
      </c>
      <c r="U33" s="250">
        <v>1.63</v>
      </c>
      <c r="V33" s="250">
        <v>1.76</v>
      </c>
      <c r="W33" s="250">
        <v>2.0299999999999998</v>
      </c>
      <c r="X33" s="250">
        <v>2.2999999999999998</v>
      </c>
      <c r="Y33" s="250">
        <v>2.57</v>
      </c>
      <c r="Z33" s="250">
        <v>2.85</v>
      </c>
      <c r="AA33" s="251">
        <v>3.13</v>
      </c>
      <c r="AB33" s="307">
        <v>9</v>
      </c>
      <c r="AC33" s="169">
        <v>9</v>
      </c>
      <c r="AD33" s="170">
        <f t="shared" si="0"/>
        <v>1.1200000000000001</v>
      </c>
      <c r="AE33" s="171">
        <f t="shared" si="1"/>
        <v>1.1200000000000001</v>
      </c>
      <c r="AF33" s="172">
        <f t="shared" si="2"/>
        <v>1.25</v>
      </c>
    </row>
    <row r="34" spans="1:32" x14ac:dyDescent="0.2">
      <c r="A34" s="299" t="s">
        <v>1184</v>
      </c>
      <c r="B34" s="29">
        <f>$N$9</f>
        <v>1</v>
      </c>
      <c r="C34" s="138"/>
      <c r="D34" s="73" t="s">
        <v>1185</v>
      </c>
      <c r="E34" s="21"/>
      <c r="F34" s="205"/>
      <c r="G34" s="21"/>
      <c r="H34" s="21"/>
      <c r="I34" s="24"/>
      <c r="K34" s="260">
        <v>0.6</v>
      </c>
      <c r="L34" s="253">
        <v>0.33600000000000002</v>
      </c>
      <c r="M34" s="254">
        <v>0.45</v>
      </c>
      <c r="N34" s="254">
        <v>0.56799999999999995</v>
      </c>
      <c r="O34" s="254">
        <v>0.69599999999999995</v>
      </c>
      <c r="P34" s="254">
        <v>0.83399999999999996</v>
      </c>
      <c r="Q34" s="254">
        <v>0.97899999999999998</v>
      </c>
      <c r="R34" s="250">
        <v>1.1200000000000001</v>
      </c>
      <c r="S34" s="250">
        <v>1.24</v>
      </c>
      <c r="T34" s="250">
        <v>1.37</v>
      </c>
      <c r="U34" s="250">
        <v>1.49</v>
      </c>
      <c r="V34" s="250">
        <v>1.61</v>
      </c>
      <c r="W34" s="250">
        <v>1.87</v>
      </c>
      <c r="X34" s="250">
        <v>2.12</v>
      </c>
      <c r="Y34" s="250">
        <v>2.39</v>
      </c>
      <c r="Z34" s="250">
        <v>2.66</v>
      </c>
      <c r="AA34" s="251">
        <v>2.93</v>
      </c>
      <c r="AB34" s="307">
        <v>10</v>
      </c>
      <c r="AC34" s="169">
        <v>10</v>
      </c>
      <c r="AD34" s="170">
        <f t="shared" si="0"/>
        <v>0.97899999999999998</v>
      </c>
      <c r="AE34" s="171">
        <f t="shared" si="1"/>
        <v>0.97899999999999998</v>
      </c>
      <c r="AF34" s="172">
        <f t="shared" si="2"/>
        <v>1.1200000000000001</v>
      </c>
    </row>
    <row r="35" spans="1:32" x14ac:dyDescent="0.2">
      <c r="A35" s="298" t="s">
        <v>1122</v>
      </c>
      <c r="B35" s="3">
        <f>$N$10</f>
        <v>0.72199999999999998</v>
      </c>
      <c r="C35" s="243"/>
      <c r="D35" s="98" t="s">
        <v>1366</v>
      </c>
      <c r="E35" s="21"/>
      <c r="F35" s="205"/>
      <c r="G35" s="21"/>
      <c r="H35" s="21"/>
      <c r="I35" s="24"/>
      <c r="K35" s="260">
        <v>0.7</v>
      </c>
      <c r="L35" s="253">
        <v>0.29299999999999998</v>
      </c>
      <c r="M35" s="254">
        <v>0.39</v>
      </c>
      <c r="N35" s="254">
        <v>0.49199999999999999</v>
      </c>
      <c r="O35" s="254">
        <v>0.60799999999999998</v>
      </c>
      <c r="P35" s="254">
        <v>0.73399999999999999</v>
      </c>
      <c r="Q35" s="254">
        <v>0.86799999999999999</v>
      </c>
      <c r="R35" s="250">
        <v>1.01</v>
      </c>
      <c r="S35" s="250">
        <v>1.1299999999999999</v>
      </c>
      <c r="T35" s="250">
        <v>1.25</v>
      </c>
      <c r="U35" s="250">
        <v>1.37</v>
      </c>
      <c r="V35" s="250">
        <v>1.48</v>
      </c>
      <c r="W35" s="250">
        <v>1.72</v>
      </c>
      <c r="X35" s="250">
        <v>1.97</v>
      </c>
      <c r="Y35" s="250">
        <v>2.2200000000000002</v>
      </c>
      <c r="Z35" s="250">
        <v>2.48</v>
      </c>
      <c r="AA35" s="251">
        <v>2.75</v>
      </c>
      <c r="AB35" s="307">
        <v>11</v>
      </c>
      <c r="AC35" s="169">
        <v>11</v>
      </c>
      <c r="AD35" s="170">
        <f t="shared" si="0"/>
        <v>0.86799999999999999</v>
      </c>
      <c r="AE35" s="171">
        <f t="shared" si="1"/>
        <v>0.86799999999999999</v>
      </c>
      <c r="AF35" s="172">
        <f t="shared" si="2"/>
        <v>1.01</v>
      </c>
    </row>
    <row r="36" spans="1:32" ht="12.75" customHeight="1" x14ac:dyDescent="0.2">
      <c r="A36" s="299" t="s">
        <v>1187</v>
      </c>
      <c r="B36" s="3">
        <f>$N$11</f>
        <v>90</v>
      </c>
      <c r="C36" s="138" t="s">
        <v>1114</v>
      </c>
      <c r="D36" s="73" t="s">
        <v>1120</v>
      </c>
      <c r="E36" s="21"/>
      <c r="F36" s="205"/>
      <c r="G36" s="21"/>
      <c r="H36" s="21"/>
      <c r="I36" s="24"/>
      <c r="K36" s="260">
        <v>0.8</v>
      </c>
      <c r="L36" s="253">
        <v>0.25900000000000001</v>
      </c>
      <c r="M36" s="254">
        <v>0.34300000000000003</v>
      </c>
      <c r="N36" s="254">
        <v>0.434</v>
      </c>
      <c r="O36" s="254">
        <v>0.53900000000000003</v>
      </c>
      <c r="P36" s="254">
        <v>0.65500000000000003</v>
      </c>
      <c r="Q36" s="254">
        <v>0.77700000000000002</v>
      </c>
      <c r="R36" s="254">
        <v>0.90500000000000003</v>
      </c>
      <c r="S36" s="250">
        <v>1.04</v>
      </c>
      <c r="T36" s="250">
        <v>1.1499999999999999</v>
      </c>
      <c r="U36" s="250">
        <v>1.26</v>
      </c>
      <c r="V36" s="250">
        <v>1.37</v>
      </c>
      <c r="W36" s="250">
        <v>1.6</v>
      </c>
      <c r="X36" s="250">
        <v>1.84</v>
      </c>
      <c r="Y36" s="250">
        <v>2.08</v>
      </c>
      <c r="Z36" s="250">
        <v>2.33</v>
      </c>
      <c r="AA36" s="251">
        <v>2.58</v>
      </c>
      <c r="AB36" s="307">
        <v>12</v>
      </c>
      <c r="AC36" s="169">
        <v>12</v>
      </c>
      <c r="AD36" s="170">
        <f t="shared" si="0"/>
        <v>0.77700000000000002</v>
      </c>
      <c r="AE36" s="171">
        <f t="shared" si="1"/>
        <v>0.77700000000000002</v>
      </c>
      <c r="AF36" s="172">
        <f t="shared" si="2"/>
        <v>0.90500000000000003</v>
      </c>
    </row>
    <row r="37" spans="1:32" ht="12.75" customHeight="1" x14ac:dyDescent="0.2">
      <c r="A37" s="299" t="s">
        <v>1125</v>
      </c>
      <c r="B37" s="3">
        <f>$N$12</f>
        <v>75.001999999999995</v>
      </c>
      <c r="C37" s="138" t="s">
        <v>1103</v>
      </c>
      <c r="D37" s="84" t="s">
        <v>1126</v>
      </c>
      <c r="E37" s="21"/>
      <c r="F37" s="205"/>
      <c r="G37" s="21"/>
      <c r="H37" s="21"/>
      <c r="I37" s="24"/>
      <c r="K37" s="260">
        <v>0.9</v>
      </c>
      <c r="L37" s="253">
        <v>0.23200000000000001</v>
      </c>
      <c r="M37" s="254">
        <v>0.30499999999999999</v>
      </c>
      <c r="N37" s="254">
        <v>0.38900000000000001</v>
      </c>
      <c r="O37" s="254">
        <v>0.48399999999999999</v>
      </c>
      <c r="P37" s="254">
        <v>0.59</v>
      </c>
      <c r="Q37" s="254">
        <v>0.70299999999999996</v>
      </c>
      <c r="R37" s="254">
        <v>0.82099999999999995</v>
      </c>
      <c r="S37" s="254">
        <v>0.94399999999999995</v>
      </c>
      <c r="T37" s="250">
        <v>1.06</v>
      </c>
      <c r="U37" s="250">
        <v>1.1599999999999999</v>
      </c>
      <c r="V37" s="250">
        <v>1.27</v>
      </c>
      <c r="W37" s="250">
        <v>1.49</v>
      </c>
      <c r="X37" s="250">
        <v>1.71</v>
      </c>
      <c r="Y37" s="250">
        <v>1.95</v>
      </c>
      <c r="Z37" s="250">
        <v>2.19</v>
      </c>
      <c r="AA37" s="251">
        <v>2.4300000000000002</v>
      </c>
      <c r="AB37" s="307">
        <v>13</v>
      </c>
      <c r="AC37" s="169">
        <v>13</v>
      </c>
      <c r="AD37" s="170">
        <f t="shared" si="0"/>
        <v>0.70299999999999996</v>
      </c>
      <c r="AE37" s="171">
        <f t="shared" si="1"/>
        <v>0.70299999999999996</v>
      </c>
      <c r="AF37" s="172">
        <f t="shared" si="2"/>
        <v>0.82099999999999995</v>
      </c>
    </row>
    <row r="38" spans="1:32" ht="12.75" customHeight="1" x14ac:dyDescent="0.2">
      <c r="A38" s="77" t="s">
        <v>1160</v>
      </c>
      <c r="B38" s="3">
        <f>$N$13</f>
        <v>0.72199999999999998</v>
      </c>
      <c r="C38" s="138"/>
      <c r="D38" s="73" t="s">
        <v>1367</v>
      </c>
      <c r="E38" s="112"/>
      <c r="F38" s="51"/>
      <c r="G38" s="51"/>
      <c r="H38" s="21"/>
      <c r="I38" s="24"/>
      <c r="K38" s="260">
        <v>1</v>
      </c>
      <c r="L38" s="253">
        <v>0.20899999999999999</v>
      </c>
      <c r="M38" s="254">
        <v>0.27600000000000002</v>
      </c>
      <c r="N38" s="254">
        <v>0.35199999999999998</v>
      </c>
      <c r="O38" s="254">
        <v>0.439</v>
      </c>
      <c r="P38" s="254">
        <v>0.53600000000000003</v>
      </c>
      <c r="Q38" s="254">
        <v>0.64</v>
      </c>
      <c r="R38" s="254">
        <v>0.75</v>
      </c>
      <c r="S38" s="254">
        <v>0.86499999999999999</v>
      </c>
      <c r="T38" s="254">
        <v>0.98299999999999998</v>
      </c>
      <c r="U38" s="250">
        <v>1.08</v>
      </c>
      <c r="V38" s="250">
        <v>1.18</v>
      </c>
      <c r="W38" s="250">
        <v>1.39</v>
      </c>
      <c r="X38" s="250">
        <v>1.61</v>
      </c>
      <c r="Y38" s="250">
        <v>1.83</v>
      </c>
      <c r="Z38" s="250">
        <v>2.06</v>
      </c>
      <c r="AA38" s="251">
        <v>2.2999999999999998</v>
      </c>
      <c r="AB38" s="307">
        <v>14</v>
      </c>
      <c r="AC38" s="169">
        <v>14</v>
      </c>
      <c r="AD38" s="170">
        <f t="shared" si="0"/>
        <v>0.64</v>
      </c>
      <c r="AE38" s="171">
        <f t="shared" si="1"/>
        <v>0.64</v>
      </c>
      <c r="AF38" s="172">
        <f t="shared" si="2"/>
        <v>0.75</v>
      </c>
    </row>
    <row r="39" spans="1:32" ht="12.75" customHeight="1" x14ac:dyDescent="0.2">
      <c r="A39" s="77" t="s">
        <v>1130</v>
      </c>
      <c r="B39" s="3">
        <f>$N$14</f>
        <v>1.8560000000000001</v>
      </c>
      <c r="C39" s="138"/>
      <c r="D39" s="73" t="s">
        <v>1131</v>
      </c>
      <c r="E39" s="39"/>
      <c r="F39" s="204"/>
      <c r="G39" s="39"/>
      <c r="H39" s="21"/>
      <c r="I39" s="24"/>
      <c r="K39" s="260">
        <v>1.2</v>
      </c>
      <c r="L39" s="253">
        <v>0.17599999999999999</v>
      </c>
      <c r="M39" s="254">
        <v>0.23100000000000001</v>
      </c>
      <c r="N39" s="254">
        <v>0.29499999999999998</v>
      </c>
      <c r="O39" s="254">
        <v>0.37</v>
      </c>
      <c r="P39" s="254">
        <v>0.45200000000000001</v>
      </c>
      <c r="Q39" s="254">
        <v>0.54100000000000004</v>
      </c>
      <c r="R39" s="254">
        <v>0.63800000000000001</v>
      </c>
      <c r="S39" s="254">
        <v>0.73899999999999999</v>
      </c>
      <c r="T39" s="254">
        <v>0.84399999999999997</v>
      </c>
      <c r="U39" s="254">
        <v>0.94499999999999995</v>
      </c>
      <c r="V39" s="250">
        <v>1.04</v>
      </c>
      <c r="W39" s="250">
        <v>1.23</v>
      </c>
      <c r="X39" s="250">
        <v>1.42</v>
      </c>
      <c r="Y39" s="250">
        <v>1.63</v>
      </c>
      <c r="Z39" s="250">
        <v>1.84</v>
      </c>
      <c r="AA39" s="251">
        <v>2.06</v>
      </c>
      <c r="AB39" s="307">
        <v>15</v>
      </c>
      <c r="AC39" s="169">
        <v>15</v>
      </c>
      <c r="AD39" s="170">
        <f t="shared" si="0"/>
        <v>0.54100000000000004</v>
      </c>
      <c r="AE39" s="171">
        <f t="shared" si="1"/>
        <v>0.54100000000000004</v>
      </c>
      <c r="AF39" s="172">
        <f t="shared" si="2"/>
        <v>0.63800000000000001</v>
      </c>
    </row>
    <row r="40" spans="1:32" ht="12.75" customHeight="1" x14ac:dyDescent="0.2">
      <c r="A40" s="77" t="s">
        <v>1188</v>
      </c>
      <c r="B40" s="3">
        <f>$N$15</f>
        <v>2.5706371191135737</v>
      </c>
      <c r="C40" s="138"/>
      <c r="D40" s="73" t="s">
        <v>1132</v>
      </c>
      <c r="E40" s="39"/>
      <c r="F40" s="204"/>
      <c r="G40" s="39"/>
      <c r="H40" s="21"/>
      <c r="I40" s="24"/>
      <c r="K40" s="260">
        <v>1.4</v>
      </c>
      <c r="L40" s="253">
        <v>0.151</v>
      </c>
      <c r="M40" s="254">
        <v>0.19900000000000001</v>
      </c>
      <c r="N40" s="254">
        <v>0.255</v>
      </c>
      <c r="O40" s="254">
        <v>0.318</v>
      </c>
      <c r="P40" s="254">
        <v>0.39</v>
      </c>
      <c r="Q40" s="254">
        <v>0.46800000000000003</v>
      </c>
      <c r="R40" s="254">
        <v>0.55300000000000005</v>
      </c>
      <c r="S40" s="254">
        <v>0.64200000000000002</v>
      </c>
      <c r="T40" s="254">
        <v>0.73599999999999999</v>
      </c>
      <c r="U40" s="254">
        <v>0.83399999999999996</v>
      </c>
      <c r="V40" s="254">
        <v>0.91900000000000004</v>
      </c>
      <c r="W40" s="250">
        <v>1.0900000000000001</v>
      </c>
      <c r="X40" s="250">
        <v>1.27</v>
      </c>
      <c r="Y40" s="250">
        <v>1.46</v>
      </c>
      <c r="Z40" s="250">
        <v>1.66</v>
      </c>
      <c r="AA40" s="251">
        <v>1.86</v>
      </c>
      <c r="AB40" s="307">
        <v>16</v>
      </c>
      <c r="AC40" s="169">
        <v>16</v>
      </c>
      <c r="AD40" s="170">
        <f t="shared" si="0"/>
        <v>0.46800000000000003</v>
      </c>
      <c r="AE40" s="171">
        <f t="shared" si="1"/>
        <v>0.46800000000000003</v>
      </c>
      <c r="AF40" s="172">
        <f t="shared" si="2"/>
        <v>0.55300000000000005</v>
      </c>
    </row>
    <row r="41" spans="1:32" ht="12.75" customHeight="1" x14ac:dyDescent="0.2">
      <c r="A41" s="77" t="s">
        <v>1133</v>
      </c>
      <c r="B41" s="3">
        <f>$N$16</f>
        <v>1.5759390283560213</v>
      </c>
      <c r="C41" s="138"/>
      <c r="D41" s="73" t="s">
        <v>1104</v>
      </c>
      <c r="E41" s="39"/>
      <c r="F41" s="204"/>
      <c r="G41" s="39"/>
      <c r="H41" s="21"/>
      <c r="I41" s="24"/>
      <c r="K41" s="260">
        <v>1.6</v>
      </c>
      <c r="L41" s="253">
        <v>0.13200000000000001</v>
      </c>
      <c r="M41" s="254">
        <v>0.17399999999999999</v>
      </c>
      <c r="N41" s="254">
        <v>0.223</v>
      </c>
      <c r="O41" s="254">
        <v>0.28000000000000003</v>
      </c>
      <c r="P41" s="254">
        <v>0.34300000000000003</v>
      </c>
      <c r="Q41" s="254">
        <v>0.41199999999999998</v>
      </c>
      <c r="R41" s="254">
        <v>0.48699999999999999</v>
      </c>
      <c r="S41" s="254">
        <v>0.56599999999999995</v>
      </c>
      <c r="T41" s="254">
        <v>0.65100000000000002</v>
      </c>
      <c r="U41" s="254">
        <v>0.73899999999999999</v>
      </c>
      <c r="V41" s="254">
        <v>0.82399999999999995</v>
      </c>
      <c r="W41" s="254">
        <v>0.98199999999999998</v>
      </c>
      <c r="X41" s="250">
        <v>1.1499999999999999</v>
      </c>
      <c r="Y41" s="250">
        <v>1.32</v>
      </c>
      <c r="Z41" s="250">
        <v>1.5</v>
      </c>
      <c r="AA41" s="251">
        <v>1.69</v>
      </c>
      <c r="AB41" s="307">
        <v>17</v>
      </c>
      <c r="AC41" s="169">
        <v>17</v>
      </c>
      <c r="AD41" s="170">
        <f t="shared" si="0"/>
        <v>0.41199999999999998</v>
      </c>
      <c r="AE41" s="171">
        <f t="shared" si="1"/>
        <v>0.41199999999999998</v>
      </c>
      <c r="AF41" s="172">
        <f t="shared" si="2"/>
        <v>0.48699999999999999</v>
      </c>
    </row>
    <row r="42" spans="1:32" x14ac:dyDescent="0.2">
      <c r="A42" s="77" t="s">
        <v>1143</v>
      </c>
      <c r="B42" s="3">
        <f>$N$17</f>
        <v>1.1379999999999999</v>
      </c>
      <c r="C42" s="138"/>
      <c r="D42" s="73" t="s">
        <v>1105</v>
      </c>
      <c r="E42" s="39"/>
      <c r="F42" s="204"/>
      <c r="G42" s="39"/>
      <c r="H42" s="21"/>
      <c r="I42" s="24"/>
      <c r="K42" s="260">
        <v>1.8</v>
      </c>
      <c r="L42" s="253">
        <v>0.11799999999999999</v>
      </c>
      <c r="M42" s="254">
        <v>0.155</v>
      </c>
      <c r="N42" s="254">
        <v>0.19900000000000001</v>
      </c>
      <c r="O42" s="254">
        <v>0.249</v>
      </c>
      <c r="P42" s="254">
        <v>0.30499999999999999</v>
      </c>
      <c r="Q42" s="254">
        <v>0.36699999999999999</v>
      </c>
      <c r="R42" s="254">
        <v>0.434</v>
      </c>
      <c r="S42" s="254">
        <v>0.50600000000000001</v>
      </c>
      <c r="T42" s="254">
        <v>0.58199999999999996</v>
      </c>
      <c r="U42" s="254">
        <v>0.66300000000000003</v>
      </c>
      <c r="V42" s="254">
        <v>0.746</v>
      </c>
      <c r="W42" s="254">
        <v>0.89100000000000001</v>
      </c>
      <c r="X42" s="250">
        <v>1.04</v>
      </c>
      <c r="Y42" s="250">
        <v>1.21</v>
      </c>
      <c r="Z42" s="250">
        <v>1.38</v>
      </c>
      <c r="AA42" s="251">
        <v>1.55</v>
      </c>
      <c r="AB42" s="307">
        <v>18</v>
      </c>
      <c r="AC42" s="169">
        <v>18</v>
      </c>
      <c r="AD42" s="170">
        <f t="shared" si="0"/>
        <v>0.36699999999999999</v>
      </c>
      <c r="AE42" s="171">
        <f t="shared" si="1"/>
        <v>0.36699999999999999</v>
      </c>
      <c r="AF42" s="172">
        <f t="shared" si="2"/>
        <v>0.434</v>
      </c>
    </row>
    <row r="43" spans="1:32" x14ac:dyDescent="0.2">
      <c r="A43" s="77" t="s">
        <v>1193</v>
      </c>
      <c r="B43" s="3">
        <f>$N$18</f>
        <v>7.9089999999999998</v>
      </c>
      <c r="C43" s="138" t="s">
        <v>1099</v>
      </c>
      <c r="D43" s="62" t="str">
        <f>IF($N$12&gt;0,"D(req'd) = P/(Ca*C1*L)","D(req'd) = P/(C*C1*L)")</f>
        <v>D(req'd) = P/(Ca*C1*L)</v>
      </c>
      <c r="E43" s="205"/>
      <c r="F43" s="205"/>
      <c r="G43" s="205"/>
      <c r="H43" s="21"/>
      <c r="I43" s="24"/>
      <c r="K43" s="260">
        <v>2</v>
      </c>
      <c r="L43" s="253">
        <v>0.106</v>
      </c>
      <c r="M43" s="254">
        <v>0.14000000000000001</v>
      </c>
      <c r="N43" s="254">
        <v>0.18</v>
      </c>
      <c r="O43" s="254">
        <v>0.22500000000000001</v>
      </c>
      <c r="P43" s="254">
        <v>0.27500000000000002</v>
      </c>
      <c r="Q43" s="254">
        <v>0.33100000000000002</v>
      </c>
      <c r="R43" s="254">
        <v>0.39200000000000002</v>
      </c>
      <c r="S43" s="254">
        <v>0.45700000000000002</v>
      </c>
      <c r="T43" s="254">
        <v>0.53600000000000003</v>
      </c>
      <c r="U43" s="254">
        <v>0.60399999999999998</v>
      </c>
      <c r="V43" s="254">
        <v>0.67400000000000004</v>
      </c>
      <c r="W43" s="254">
        <v>0.81499999999999995</v>
      </c>
      <c r="X43" s="254">
        <v>0.95699999999999996</v>
      </c>
      <c r="Y43" s="250">
        <v>1.1100000000000001</v>
      </c>
      <c r="Z43" s="250">
        <v>1.27</v>
      </c>
      <c r="AA43" s="251">
        <v>1.43</v>
      </c>
      <c r="AB43" s="307">
        <v>19</v>
      </c>
      <c r="AC43" s="169">
        <v>19</v>
      </c>
      <c r="AD43" s="170">
        <f t="shared" si="0"/>
        <v>0.33100000000000002</v>
      </c>
      <c r="AE43" s="171">
        <f t="shared" si="1"/>
        <v>0.33100000000000002</v>
      </c>
      <c r="AF43" s="172">
        <f t="shared" si="2"/>
        <v>0.39200000000000002</v>
      </c>
    </row>
    <row r="44" spans="1:32" ht="12.75" customHeight="1" x14ac:dyDescent="0.2">
      <c r="A44" s="77" t="s">
        <v>1190</v>
      </c>
      <c r="B44" s="4">
        <f>$N$19</f>
        <v>9.8859999999999992</v>
      </c>
      <c r="C44" s="138" t="s">
        <v>1172</v>
      </c>
      <c r="D44" s="62" t="str">
        <f>IF($N$12&gt;0,"L(req'd) = P/(Ca*C1*D)","L(req'd) = P/(C*C1*D)")</f>
        <v>L(req'd) = P/(Ca*C1*D)</v>
      </c>
      <c r="E44" s="205"/>
      <c r="F44" s="205"/>
      <c r="G44" s="205"/>
      <c r="H44" s="21"/>
      <c r="I44" s="24"/>
      <c r="K44" s="260">
        <v>2.2000000000000002</v>
      </c>
      <c r="L44" s="253">
        <v>9.7000000000000003E-2</v>
      </c>
      <c r="M44" s="254">
        <v>0.127</v>
      </c>
      <c r="N44" s="254">
        <v>0.16300000000000001</v>
      </c>
      <c r="O44" s="254">
        <v>0.20499999999999999</v>
      </c>
      <c r="P44" s="254">
        <v>0.25</v>
      </c>
      <c r="Q44" s="254">
        <v>0.30099999999999999</v>
      </c>
      <c r="R44" s="254">
        <v>0.35699999999999998</v>
      </c>
      <c r="S44" s="254">
        <v>0.41699999999999998</v>
      </c>
      <c r="T44" s="254">
        <v>0.48799999999999999</v>
      </c>
      <c r="U44" s="254">
        <v>0.54900000000000004</v>
      </c>
      <c r="V44" s="254">
        <v>0.61399999999999999</v>
      </c>
      <c r="W44" s="254">
        <v>0.75</v>
      </c>
      <c r="X44" s="254">
        <v>0.88300000000000001</v>
      </c>
      <c r="Y44" s="250">
        <v>1.02</v>
      </c>
      <c r="Z44" s="250">
        <v>1.17</v>
      </c>
      <c r="AA44" s="251">
        <v>1.33</v>
      </c>
      <c r="AB44" s="307">
        <v>20</v>
      </c>
      <c r="AC44" s="169">
        <v>20</v>
      </c>
      <c r="AD44" s="170">
        <f t="shared" si="0"/>
        <v>0.30099999999999999</v>
      </c>
      <c r="AE44" s="171">
        <f t="shared" si="1"/>
        <v>0.30099999999999999</v>
      </c>
      <c r="AF44" s="172">
        <f t="shared" si="2"/>
        <v>0.35699999999999998</v>
      </c>
    </row>
    <row r="45" spans="1:32" x14ac:dyDescent="0.2">
      <c r="A45" s="30"/>
      <c r="B45" s="21"/>
      <c r="C45" s="21"/>
      <c r="D45" s="21"/>
      <c r="E45" s="21"/>
      <c r="F45" s="21"/>
      <c r="G45" s="21"/>
      <c r="H45" s="21"/>
      <c r="I45" s="24"/>
      <c r="K45" s="260">
        <v>2.4</v>
      </c>
      <c r="L45" s="253">
        <v>8.8999999999999996E-2</v>
      </c>
      <c r="M45" s="254">
        <v>0.11700000000000001</v>
      </c>
      <c r="N45" s="254">
        <v>0.15</v>
      </c>
      <c r="O45" s="254">
        <v>0.188</v>
      </c>
      <c r="P45" s="254">
        <v>0.23</v>
      </c>
      <c r="Q45" s="254">
        <v>0.27700000000000002</v>
      </c>
      <c r="R45" s="254">
        <v>0.32800000000000001</v>
      </c>
      <c r="S45" s="254">
        <v>0.39300000000000002</v>
      </c>
      <c r="T45" s="254">
        <v>0.44700000000000001</v>
      </c>
      <c r="U45" s="254">
        <v>0.504</v>
      </c>
      <c r="V45" s="254">
        <v>0.56299999999999994</v>
      </c>
      <c r="W45" s="254">
        <v>0.68899999999999995</v>
      </c>
      <c r="X45" s="254">
        <v>0.81899999999999995</v>
      </c>
      <c r="Y45" s="254">
        <v>0.95</v>
      </c>
      <c r="Z45" s="250">
        <v>1.0900000000000001</v>
      </c>
      <c r="AA45" s="251">
        <v>1.23</v>
      </c>
      <c r="AB45" s="307">
        <v>21</v>
      </c>
      <c r="AC45" s="169">
        <v>21</v>
      </c>
      <c r="AD45" s="170">
        <f t="shared" si="0"/>
        <v>0.27700000000000002</v>
      </c>
      <c r="AE45" s="171">
        <f t="shared" si="1"/>
        <v>0.27700000000000002</v>
      </c>
      <c r="AF45" s="172">
        <f t="shared" si="2"/>
        <v>0.32800000000000001</v>
      </c>
    </row>
    <row r="46" spans="1:32" x14ac:dyDescent="0.2">
      <c r="A46" s="30"/>
      <c r="B46" s="21"/>
      <c r="C46" s="21"/>
      <c r="D46" s="301" t="str">
        <f>IF(OR($N$18&gt;$C$11*16,$N$19&gt;$N$3),"Weld is overstressed!","Weld is adequate!")</f>
        <v>Weld is adequate!</v>
      </c>
      <c r="E46" s="35"/>
      <c r="F46" s="36"/>
      <c r="G46" s="21"/>
      <c r="H46" s="21"/>
      <c r="I46" s="24"/>
      <c r="K46" s="260">
        <v>2.6</v>
      </c>
      <c r="L46" s="253">
        <v>8.2000000000000003E-2</v>
      </c>
      <c r="M46" s="254">
        <v>0.108</v>
      </c>
      <c r="N46" s="254">
        <v>0.13900000000000001</v>
      </c>
      <c r="O46" s="254">
        <v>0.17299999999999999</v>
      </c>
      <c r="P46" s="254">
        <v>0.21199999999999999</v>
      </c>
      <c r="Q46" s="254">
        <v>0.255</v>
      </c>
      <c r="R46" s="254">
        <v>0.30199999999999999</v>
      </c>
      <c r="S46" s="254">
        <v>0.36199999999999999</v>
      </c>
      <c r="T46" s="254">
        <v>0.41199999999999998</v>
      </c>
      <c r="U46" s="254">
        <v>0.46500000000000002</v>
      </c>
      <c r="V46" s="254">
        <v>0.52</v>
      </c>
      <c r="W46" s="254">
        <v>0.63700000000000001</v>
      </c>
      <c r="X46" s="254">
        <v>0.76300000000000001</v>
      </c>
      <c r="Y46" s="254">
        <v>0.88600000000000001</v>
      </c>
      <c r="Z46" s="250">
        <v>1.02</v>
      </c>
      <c r="AA46" s="251">
        <v>1.1499999999999999</v>
      </c>
      <c r="AB46" s="307">
        <v>22</v>
      </c>
      <c r="AC46" s="169">
        <v>22</v>
      </c>
      <c r="AD46" s="170">
        <f t="shared" si="0"/>
        <v>0.255</v>
      </c>
      <c r="AE46" s="171">
        <f t="shared" si="1"/>
        <v>0.255</v>
      </c>
      <c r="AF46" s="172">
        <f t="shared" si="2"/>
        <v>0.30199999999999999</v>
      </c>
    </row>
    <row r="47" spans="1:32" x14ac:dyDescent="0.2">
      <c r="A47" s="30"/>
      <c r="B47" s="21"/>
      <c r="C47" s="21"/>
      <c r="D47" s="302" t="str">
        <f>IF($N$18&gt;$C$11*16,"D(req'd) = "&amp;$N$18&amp;" &gt; "&amp;$C$11*16&amp;" (1/16's)","D(req'd) = "&amp;$N$18&amp;" &lt;= "&amp;$C$11*16&amp;" (1/16's)")</f>
        <v>D(req'd) = 7.909 &lt;= 8 (1/16's)</v>
      </c>
      <c r="E47" s="37"/>
      <c r="F47" s="303"/>
      <c r="G47" s="21"/>
      <c r="H47" s="21"/>
      <c r="I47" s="24"/>
      <c r="K47" s="260">
        <v>2.8</v>
      </c>
      <c r="L47" s="253">
        <v>7.5999999999999998E-2</v>
      </c>
      <c r="M47" s="254">
        <v>0.1</v>
      </c>
      <c r="N47" s="254">
        <v>0.129</v>
      </c>
      <c r="O47" s="254">
        <v>0.161</v>
      </c>
      <c r="P47" s="254">
        <v>0.19700000000000001</v>
      </c>
      <c r="Q47" s="254">
        <v>0.23699999999999999</v>
      </c>
      <c r="R47" s="254">
        <v>0.28100000000000003</v>
      </c>
      <c r="S47" s="254">
        <v>0.33600000000000002</v>
      </c>
      <c r="T47" s="254">
        <v>0.38200000000000001</v>
      </c>
      <c r="U47" s="254">
        <v>0.43099999999999999</v>
      </c>
      <c r="V47" s="254">
        <v>0.48299999999999998</v>
      </c>
      <c r="W47" s="254">
        <v>0.59199999999999997</v>
      </c>
      <c r="X47" s="254">
        <v>0.71</v>
      </c>
      <c r="Y47" s="254">
        <v>0.83</v>
      </c>
      <c r="Z47" s="254">
        <v>0.95299999999999996</v>
      </c>
      <c r="AA47" s="251">
        <v>1.08</v>
      </c>
      <c r="AB47" s="307">
        <v>23</v>
      </c>
      <c r="AC47" s="169">
        <v>23</v>
      </c>
      <c r="AD47" s="170">
        <f t="shared" si="0"/>
        <v>0.23699999999999999</v>
      </c>
      <c r="AE47" s="171">
        <f t="shared" si="1"/>
        <v>0.23699999999999999</v>
      </c>
      <c r="AF47" s="172">
        <f t="shared" si="2"/>
        <v>0.28100000000000003</v>
      </c>
    </row>
    <row r="48" spans="1:32" ht="12.75" customHeight="1" x14ac:dyDescent="0.2">
      <c r="A48" s="30"/>
      <c r="B48" s="21"/>
      <c r="C48" s="21"/>
      <c r="D48" s="304" t="str">
        <f>IF($N$19&gt;$N$3,"L(req'd) = "&amp;$N$19&amp;" &gt; "&amp;$N$3&amp;" in.","L(req'd) = "&amp;$N$19&amp;" &lt;= "&amp;$N$3&amp;" in.")</f>
        <v>L(req'd) = 9.886 &lt;= 10 in.</v>
      </c>
      <c r="E48" s="305"/>
      <c r="F48" s="306"/>
      <c r="G48" s="21"/>
      <c r="H48" s="21"/>
      <c r="I48" s="24"/>
      <c r="K48" s="261">
        <v>3</v>
      </c>
      <c r="L48" s="256">
        <v>7.0999999999999994E-2</v>
      </c>
      <c r="M48" s="257">
        <v>9.4E-2</v>
      </c>
      <c r="N48" s="257">
        <v>0.12</v>
      </c>
      <c r="O48" s="257">
        <v>0.15</v>
      </c>
      <c r="P48" s="257">
        <v>0.184</v>
      </c>
      <c r="Q48" s="257">
        <v>0.221</v>
      </c>
      <c r="R48" s="257">
        <v>0.26200000000000001</v>
      </c>
      <c r="S48" s="257">
        <v>0.314</v>
      </c>
      <c r="T48" s="257">
        <v>0.35699999999999998</v>
      </c>
      <c r="U48" s="257">
        <v>0.40200000000000002</v>
      </c>
      <c r="V48" s="257">
        <v>0.45</v>
      </c>
      <c r="W48" s="257">
        <v>0.55300000000000005</v>
      </c>
      <c r="X48" s="257">
        <v>0.66400000000000003</v>
      </c>
      <c r="Y48" s="257">
        <v>0.78</v>
      </c>
      <c r="Z48" s="257">
        <v>0.89700000000000002</v>
      </c>
      <c r="AA48" s="252">
        <v>1.02</v>
      </c>
      <c r="AB48" s="307">
        <v>24</v>
      </c>
      <c r="AC48" s="173">
        <v>24</v>
      </c>
      <c r="AD48" s="174">
        <f t="shared" si="0"/>
        <v>0.221</v>
      </c>
      <c r="AE48" s="175">
        <f t="shared" si="1"/>
        <v>0.221</v>
      </c>
      <c r="AF48" s="176">
        <f t="shared" si="2"/>
        <v>0.26200000000000001</v>
      </c>
    </row>
    <row r="49" spans="1:32" x14ac:dyDescent="0.2">
      <c r="A49" s="30"/>
      <c r="B49" s="21"/>
      <c r="C49" s="21"/>
      <c r="D49" s="21"/>
      <c r="E49" s="21"/>
      <c r="F49" s="21"/>
      <c r="G49" s="21"/>
      <c r="H49" s="21"/>
      <c r="I49" s="24"/>
      <c r="K49" s="197" t="s">
        <v>1107</v>
      </c>
      <c r="L49" s="198">
        <v>0</v>
      </c>
      <c r="M49" s="199">
        <v>8.0000000000000002E-3</v>
      </c>
      <c r="N49" s="198">
        <v>2.8000000000000001E-2</v>
      </c>
      <c r="O49" s="199">
        <v>5.6000000000000001E-2</v>
      </c>
      <c r="P49" s="198">
        <v>8.7999999999999995E-2</v>
      </c>
      <c r="Q49" s="199">
        <v>0.125</v>
      </c>
      <c r="R49" s="198">
        <v>0.16300000000000001</v>
      </c>
      <c r="S49" s="199">
        <v>0.20399999999999999</v>
      </c>
      <c r="T49" s="198">
        <v>0.246</v>
      </c>
      <c r="U49" s="199">
        <v>0.28899999999999998</v>
      </c>
      <c r="V49" s="198">
        <v>0.33300000000000002</v>
      </c>
      <c r="W49" s="199">
        <v>0.42299999999999999</v>
      </c>
      <c r="X49" s="198">
        <v>0.51500000000000001</v>
      </c>
      <c r="Y49" s="199">
        <v>0.60899999999999999</v>
      </c>
      <c r="Z49" s="198">
        <v>0.70399999999999996</v>
      </c>
      <c r="AA49" s="425">
        <v>0.8</v>
      </c>
      <c r="AB49" s="177"/>
      <c r="AC49" s="178" t="s">
        <v>1096</v>
      </c>
      <c r="AD49" s="179"/>
      <c r="AE49" s="180"/>
      <c r="AF49" s="181" t="s">
        <v>1097</v>
      </c>
    </row>
    <row r="50" spans="1:32" x14ac:dyDescent="0.2">
      <c r="A50" s="31"/>
      <c r="B50" s="32"/>
      <c r="C50" s="32"/>
      <c r="D50" s="32"/>
      <c r="E50" s="32"/>
      <c r="F50" s="32"/>
      <c r="G50" s="32"/>
      <c r="H50" s="32"/>
      <c r="I50" s="33"/>
      <c r="J50" s="51"/>
      <c r="K50" s="217" t="s">
        <v>1094</v>
      </c>
      <c r="L50" s="217">
        <v>1</v>
      </c>
      <c r="M50" s="217">
        <v>2</v>
      </c>
      <c r="N50" s="217">
        <v>3</v>
      </c>
      <c r="O50" s="217">
        <v>4</v>
      </c>
      <c r="P50" s="217">
        <v>5</v>
      </c>
      <c r="Q50" s="217">
        <v>6</v>
      </c>
      <c r="R50" s="217">
        <v>7</v>
      </c>
      <c r="S50" s="217">
        <v>8</v>
      </c>
      <c r="T50" s="217">
        <v>9</v>
      </c>
      <c r="U50" s="217">
        <v>10</v>
      </c>
      <c r="V50" s="217">
        <v>11</v>
      </c>
      <c r="W50" s="217">
        <v>12</v>
      </c>
      <c r="X50" s="217">
        <v>13</v>
      </c>
      <c r="Y50" s="217">
        <v>14</v>
      </c>
      <c r="Z50" s="217">
        <v>15</v>
      </c>
      <c r="AA50" s="217">
        <v>16</v>
      </c>
      <c r="AB50" s="19"/>
      <c r="AC50" s="182">
        <f>IF($N$7&gt;=0.06,LOOKUP($AE$50,$K$25:$K$48,$AB$25:$AB$48),0)</f>
        <v>12</v>
      </c>
      <c r="AD50" s="183" t="s">
        <v>1194</v>
      </c>
      <c r="AE50" s="184">
        <f>IF($N$7&gt;=0.06,LOOKUP($N$7,$K$25:$K$48),0)</f>
        <v>0.8</v>
      </c>
      <c r="AF50" s="185">
        <f>IF($N$7&gt;=0.06,LOOKUP($AE$50,$K$25:$K$48,$AE25:$AE48),0.928*(1+2*$N$8))</f>
        <v>0.77700000000000002</v>
      </c>
    </row>
    <row r="51" spans="1:32" x14ac:dyDescent="0.2">
      <c r="A51" s="21"/>
      <c r="M51" s="47"/>
      <c r="N51" s="47"/>
      <c r="O51" s="52"/>
      <c r="P51" s="47"/>
      <c r="Q51" s="18"/>
      <c r="R51" s="18"/>
      <c r="S51" s="18"/>
      <c r="T51" s="18"/>
      <c r="U51" s="18"/>
      <c r="V51" s="18"/>
      <c r="W51" s="18"/>
      <c r="AC51" s="186"/>
      <c r="AD51" s="187" t="s">
        <v>1095</v>
      </c>
      <c r="AE51" s="171">
        <f>$N$7</f>
        <v>0.875</v>
      </c>
      <c r="AF51" s="188">
        <f>IF($AE$50=$AE$52,$AF$50,($AF$52-$AF$50)*($AE$51-$AE$50)/($AE$52-$AE$50)+$AF$50)</f>
        <v>0.72150000000000003</v>
      </c>
    </row>
    <row r="52" spans="1:32" x14ac:dyDescent="0.2">
      <c r="B52" s="21"/>
      <c r="C52" s="21"/>
      <c r="D52" s="21"/>
      <c r="E52" s="21"/>
      <c r="F52" s="21"/>
      <c r="G52" s="21"/>
      <c r="H52" s="21"/>
      <c r="I52" s="51"/>
      <c r="J52" s="51"/>
      <c r="N52" s="43"/>
      <c r="O52" s="52"/>
      <c r="Q52" s="18"/>
      <c r="R52" s="18"/>
      <c r="S52" s="18"/>
      <c r="T52" s="18"/>
      <c r="U52" s="18"/>
      <c r="V52" s="18"/>
      <c r="W52" s="18"/>
      <c r="AC52" s="189">
        <f>LOOKUP($AC$50+1,$AB$25:$AB$48)</f>
        <v>13</v>
      </c>
      <c r="AD52" s="190" t="s">
        <v>1194</v>
      </c>
      <c r="AE52" s="191">
        <f>LOOKUP($AC$52,$AB$25:$AB$48,$K$25:$K$48)</f>
        <v>0.9</v>
      </c>
      <c r="AF52" s="176">
        <f>LOOKUP($AE$52,$K$25:$K$48,$AE25:$AE48)</f>
        <v>0.70299999999999996</v>
      </c>
    </row>
    <row r="53" spans="1:32" x14ac:dyDescent="0.2">
      <c r="A53" s="203"/>
      <c r="H53" s="203"/>
      <c r="I53" s="21"/>
    </row>
    <row r="54" spans="1:32" x14ac:dyDescent="0.2">
      <c r="A54" s="203"/>
      <c r="H54" s="203"/>
      <c r="I54" s="21"/>
      <c r="K54" s="55"/>
      <c r="N54" s="43"/>
      <c r="P54" s="44"/>
      <c r="V54" s="14"/>
    </row>
    <row r="55" spans="1:32" x14ac:dyDescent="0.2">
      <c r="A55" s="203"/>
      <c r="H55" s="203"/>
      <c r="I55" s="21"/>
      <c r="K55" s="55"/>
      <c r="P55" s="44"/>
    </row>
    <row r="56" spans="1:32" x14ac:dyDescent="0.2">
      <c r="A56" s="203"/>
      <c r="H56" s="203"/>
      <c r="I56" s="21"/>
      <c r="K56" s="55"/>
      <c r="P56" s="44"/>
    </row>
    <row r="57" spans="1:32" x14ac:dyDescent="0.2">
      <c r="A57" s="203"/>
      <c r="H57" s="205"/>
      <c r="I57" s="125"/>
      <c r="K57" s="55"/>
      <c r="P57" s="44"/>
    </row>
    <row r="58" spans="1:32" x14ac:dyDescent="0.2">
      <c r="A58" s="203"/>
      <c r="H58" s="205"/>
      <c r="I58" s="125"/>
      <c r="K58" s="55"/>
      <c r="P58" s="44"/>
    </row>
    <row r="59" spans="1:32" x14ac:dyDescent="0.2">
      <c r="A59" s="203"/>
      <c r="H59" s="205"/>
      <c r="I59" s="11"/>
      <c r="K59" s="55"/>
      <c r="O59" s="192"/>
      <c r="P59" s="192"/>
      <c r="Q59" s="192"/>
    </row>
    <row r="60" spans="1:32" x14ac:dyDescent="0.2">
      <c r="A60" s="203"/>
      <c r="H60" s="205"/>
      <c r="I60" s="58"/>
      <c r="J60" s="67"/>
      <c r="K60" s="55"/>
      <c r="O60" s="192"/>
      <c r="P60" s="192"/>
      <c r="Q60" s="192"/>
    </row>
    <row r="61" spans="1:32" x14ac:dyDescent="0.2">
      <c r="A61" s="203"/>
      <c r="H61" s="205"/>
      <c r="I61" s="11"/>
      <c r="J61" s="57"/>
      <c r="K61" s="55"/>
      <c r="O61" s="192"/>
      <c r="P61" s="192"/>
      <c r="Q61" s="192"/>
    </row>
    <row r="62" spans="1:32" x14ac:dyDescent="0.2">
      <c r="A62" s="203"/>
      <c r="H62" s="205"/>
      <c r="I62" s="11"/>
      <c r="J62" s="57"/>
      <c r="K62" s="55"/>
      <c r="N62" s="55"/>
      <c r="O62" s="192"/>
      <c r="P62" s="192"/>
      <c r="Q62" s="192"/>
    </row>
    <row r="63" spans="1:32" x14ac:dyDescent="0.2">
      <c r="A63" s="203"/>
      <c r="B63" s="21"/>
      <c r="C63" s="21"/>
      <c r="D63" s="21"/>
      <c r="E63" s="21"/>
      <c r="F63" s="21"/>
      <c r="G63" s="21"/>
      <c r="H63" s="21"/>
      <c r="I63" s="21"/>
      <c r="J63" s="57"/>
      <c r="K63" s="55"/>
      <c r="N63" s="55"/>
      <c r="O63" s="192"/>
      <c r="P63" s="192"/>
      <c r="Q63" s="192"/>
    </row>
    <row r="64" spans="1:32" x14ac:dyDescent="0.2">
      <c r="A64" s="21"/>
      <c r="B64" s="21"/>
      <c r="C64" s="21"/>
      <c r="D64" s="21"/>
      <c r="E64" s="21"/>
      <c r="F64" s="21"/>
      <c r="G64" s="64"/>
      <c r="H64" s="64"/>
      <c r="I64" s="64"/>
      <c r="J64" s="57"/>
      <c r="N64" s="43"/>
    </row>
    <row r="65" spans="1:14" x14ac:dyDescent="0.2">
      <c r="A65" s="113"/>
      <c r="B65" s="9"/>
      <c r="F65" s="64"/>
      <c r="G65" s="64"/>
      <c r="H65" s="64"/>
      <c r="I65" s="64"/>
      <c r="J65" s="57"/>
      <c r="N65" s="43"/>
    </row>
    <row r="66" spans="1:14" x14ac:dyDescent="0.2">
      <c r="A66" s="93"/>
      <c r="B66" s="9"/>
      <c r="F66" s="64"/>
      <c r="G66" s="64"/>
      <c r="H66" s="64"/>
      <c r="I66" s="64"/>
      <c r="N66" s="43"/>
    </row>
    <row r="67" spans="1:14" x14ac:dyDescent="0.2">
      <c r="A67" s="93"/>
      <c r="B67" s="9"/>
      <c r="F67" s="64"/>
      <c r="G67" s="64"/>
      <c r="H67" s="64"/>
      <c r="I67" s="64"/>
      <c r="N67" s="43"/>
    </row>
    <row r="68" spans="1:14" x14ac:dyDescent="0.2">
      <c r="A68" s="93"/>
      <c r="B68" s="9"/>
      <c r="C68" s="73"/>
      <c r="D68" s="73"/>
      <c r="E68" s="64"/>
      <c r="F68" s="64"/>
      <c r="G68" s="64"/>
      <c r="H68" s="64"/>
      <c r="I68" s="64"/>
      <c r="N68" s="43"/>
    </row>
    <row r="69" spans="1:14" x14ac:dyDescent="0.2">
      <c r="A69" s="93"/>
      <c r="B69" s="9"/>
      <c r="C69" s="10"/>
      <c r="D69" s="73"/>
      <c r="E69" s="64"/>
      <c r="F69" s="64"/>
      <c r="G69" s="64"/>
      <c r="H69" s="64"/>
      <c r="I69" s="64"/>
      <c r="N69" s="43"/>
    </row>
    <row r="70" spans="1:14" x14ac:dyDescent="0.2">
      <c r="A70" s="64"/>
      <c r="B70" s="64"/>
      <c r="C70" s="64"/>
      <c r="D70" s="64"/>
      <c r="E70" s="64"/>
      <c r="F70" s="64"/>
      <c r="G70" s="64"/>
      <c r="H70" s="64"/>
      <c r="I70" s="64"/>
      <c r="N70" s="43"/>
    </row>
    <row r="71" spans="1:14" x14ac:dyDescent="0.2">
      <c r="A71" s="71"/>
      <c r="B71" s="64"/>
      <c r="C71" s="64"/>
      <c r="D71" s="64"/>
      <c r="E71" s="64"/>
      <c r="F71" s="64"/>
      <c r="G71" s="64"/>
      <c r="H71" s="64"/>
      <c r="I71" s="64"/>
      <c r="N71" s="43"/>
    </row>
    <row r="72" spans="1:14" x14ac:dyDescent="0.2">
      <c r="A72" s="64"/>
      <c r="B72" s="64"/>
      <c r="C72" s="64"/>
      <c r="D72" s="64"/>
      <c r="E72" s="64"/>
      <c r="F72" s="64"/>
      <c r="G72" s="64"/>
      <c r="H72" s="64"/>
      <c r="I72" s="64"/>
      <c r="N72" s="43"/>
    </row>
    <row r="73" spans="1:14" x14ac:dyDescent="0.2">
      <c r="A73" s="93"/>
      <c r="B73" s="9"/>
      <c r="C73" s="73"/>
      <c r="D73" s="64"/>
      <c r="E73" s="64"/>
      <c r="F73" s="64"/>
      <c r="G73" s="64"/>
      <c r="H73" s="108"/>
      <c r="I73" s="57"/>
      <c r="N73" s="43"/>
    </row>
    <row r="74" spans="1:14" x14ac:dyDescent="0.2">
      <c r="A74" s="57"/>
      <c r="B74" s="57"/>
      <c r="C74" s="57"/>
      <c r="D74" s="65"/>
      <c r="E74" s="64"/>
      <c r="F74" s="64"/>
      <c r="G74" s="64"/>
      <c r="H74" s="64"/>
      <c r="I74" s="64"/>
      <c r="N74" s="54"/>
    </row>
    <row r="75" spans="1:14" x14ac:dyDescent="0.2">
      <c r="A75" s="93"/>
      <c r="B75" s="9"/>
      <c r="C75" s="62"/>
      <c r="D75" s="62"/>
      <c r="E75" s="62"/>
      <c r="F75" s="64"/>
      <c r="G75" s="64"/>
      <c r="H75" s="64"/>
      <c r="I75" s="57"/>
      <c r="N75" s="43"/>
    </row>
    <row r="76" spans="1:14" x14ac:dyDescent="0.2">
      <c r="A76" s="93"/>
      <c r="B76" s="9"/>
      <c r="C76" s="62"/>
      <c r="D76" s="73"/>
      <c r="E76" s="73"/>
      <c r="F76" s="64"/>
      <c r="G76" s="64"/>
      <c r="H76" s="64"/>
      <c r="I76" s="57"/>
      <c r="N76" s="43"/>
    </row>
    <row r="77" spans="1:14" x14ac:dyDescent="0.2">
      <c r="A77" s="100"/>
      <c r="B77" s="58"/>
      <c r="C77" s="62"/>
      <c r="D77" s="84"/>
      <c r="E77" s="84"/>
      <c r="F77" s="64"/>
      <c r="G77" s="64"/>
      <c r="H77" s="64"/>
      <c r="I77" s="64"/>
      <c r="N77" s="43"/>
    </row>
    <row r="78" spans="1:14" x14ac:dyDescent="0.2">
      <c r="A78" s="100"/>
      <c r="B78" s="58"/>
      <c r="C78" s="62"/>
      <c r="D78" s="84"/>
      <c r="E78" s="84"/>
      <c r="F78" s="64"/>
      <c r="G78" s="64"/>
      <c r="H78" s="64"/>
      <c r="I78" s="64"/>
      <c r="N78" s="43"/>
    </row>
    <row r="79" spans="1:14" x14ac:dyDescent="0.2">
      <c r="A79" s="64"/>
      <c r="B79" s="64"/>
      <c r="C79" s="64"/>
      <c r="D79" s="62"/>
      <c r="E79" s="64"/>
      <c r="F79" s="64"/>
      <c r="G79" s="64"/>
      <c r="H79" s="64"/>
      <c r="I79" s="64"/>
      <c r="N79" s="43"/>
    </row>
    <row r="80" spans="1:14" x14ac:dyDescent="0.2">
      <c r="A80" s="64"/>
      <c r="B80" s="64"/>
      <c r="C80" s="64"/>
      <c r="D80" s="64"/>
      <c r="E80" s="64"/>
      <c r="F80" s="64"/>
      <c r="G80" s="108"/>
      <c r="H80" s="64"/>
      <c r="I80" s="64"/>
      <c r="K80" s="70"/>
      <c r="N80" s="43"/>
    </row>
    <row r="81" spans="1:14" x14ac:dyDescent="0.2">
      <c r="A81" s="194"/>
      <c r="B81" s="64"/>
      <c r="C81" s="64"/>
      <c r="D81" s="64"/>
      <c r="E81" s="64"/>
      <c r="F81" s="108"/>
      <c r="G81" s="64"/>
      <c r="H81" s="64"/>
      <c r="I81" s="64"/>
      <c r="N81" s="43"/>
    </row>
    <row r="82" spans="1:14" x14ac:dyDescent="0.2">
      <c r="A82" s="57"/>
      <c r="B82" s="57"/>
      <c r="C82" s="57"/>
      <c r="D82" s="62"/>
      <c r="E82" s="57"/>
      <c r="F82" s="64"/>
      <c r="G82" s="64"/>
      <c r="H82" s="64"/>
      <c r="I82" s="64"/>
      <c r="N82" s="43"/>
    </row>
    <row r="83" spans="1:14" x14ac:dyDescent="0.2">
      <c r="A83" s="67"/>
      <c r="B83" s="58"/>
      <c r="C83" s="62"/>
      <c r="D83" s="62"/>
      <c r="E83" s="57"/>
      <c r="F83" s="57"/>
      <c r="G83" s="57"/>
      <c r="H83" s="57"/>
      <c r="I83" s="57"/>
      <c r="N83" s="43"/>
    </row>
    <row r="84" spans="1:14" x14ac:dyDescent="0.2">
      <c r="A84" s="67"/>
      <c r="B84" s="58"/>
      <c r="C84" s="62"/>
      <c r="D84" s="62"/>
      <c r="E84" s="57"/>
      <c r="F84" s="57"/>
      <c r="G84" s="57"/>
      <c r="H84" s="57"/>
      <c r="I84" s="64"/>
      <c r="N84" s="43"/>
    </row>
    <row r="85" spans="1:14" x14ac:dyDescent="0.2">
      <c r="A85" s="67"/>
      <c r="B85" s="9"/>
      <c r="C85" s="62"/>
      <c r="D85" s="62"/>
      <c r="E85" s="64"/>
      <c r="F85" s="64"/>
      <c r="G85" s="64"/>
      <c r="H85" s="64"/>
      <c r="I85" s="57"/>
      <c r="N85" s="43"/>
    </row>
    <row r="86" spans="1:14" x14ac:dyDescent="0.2">
      <c r="A86" s="67"/>
      <c r="B86" s="9"/>
      <c r="C86" s="62"/>
      <c r="D86" s="62"/>
      <c r="E86" s="57"/>
      <c r="F86" s="57"/>
      <c r="G86" s="64"/>
      <c r="H86" s="108"/>
      <c r="I86" s="57"/>
      <c r="N86" s="43"/>
    </row>
    <row r="87" spans="1:14" x14ac:dyDescent="0.2">
      <c r="A87" s="57"/>
      <c r="B87" s="64"/>
      <c r="C87" s="64"/>
      <c r="D87" s="62"/>
      <c r="E87" s="64"/>
      <c r="F87" s="64"/>
      <c r="G87" s="64"/>
      <c r="H87" s="64"/>
      <c r="I87" s="64"/>
      <c r="N87" s="43"/>
    </row>
    <row r="88" spans="1:14" x14ac:dyDescent="0.2">
      <c r="A88" s="67"/>
      <c r="B88" s="9"/>
      <c r="C88" s="62"/>
      <c r="D88" s="62"/>
      <c r="E88" s="57"/>
      <c r="F88" s="57"/>
      <c r="G88" s="57"/>
      <c r="H88" s="57"/>
      <c r="I88" s="57"/>
      <c r="N88" s="43"/>
    </row>
    <row r="89" spans="1:14" x14ac:dyDescent="0.2">
      <c r="A89" s="67"/>
      <c r="B89" s="89"/>
      <c r="C89" s="62"/>
      <c r="D89" s="62"/>
      <c r="E89" s="64"/>
      <c r="F89" s="64"/>
      <c r="G89" s="64"/>
      <c r="H89" s="108"/>
      <c r="I89" s="57"/>
      <c r="N89" s="43"/>
    </row>
    <row r="90" spans="1:14" x14ac:dyDescent="0.2">
      <c r="A90" s="57"/>
      <c r="B90" s="64"/>
      <c r="C90" s="64"/>
      <c r="D90" s="62"/>
      <c r="E90" s="64"/>
      <c r="F90" s="64"/>
      <c r="G90" s="64"/>
      <c r="H90" s="64"/>
      <c r="I90" s="57"/>
      <c r="N90" s="43"/>
    </row>
    <row r="91" spans="1:14" x14ac:dyDescent="0.2">
      <c r="A91" s="93"/>
      <c r="B91" s="9"/>
      <c r="C91" s="73"/>
      <c r="D91" s="62"/>
      <c r="E91" s="64"/>
      <c r="F91" s="64"/>
      <c r="G91" s="64"/>
      <c r="H91" s="64"/>
      <c r="I91" s="57"/>
      <c r="K91" s="47"/>
      <c r="N91" s="43"/>
    </row>
    <row r="92" spans="1:14" x14ac:dyDescent="0.2">
      <c r="A92" s="93"/>
      <c r="B92" s="9"/>
      <c r="C92" s="73"/>
      <c r="D92" s="62"/>
      <c r="E92" s="64"/>
      <c r="F92" s="64"/>
      <c r="G92" s="64"/>
      <c r="H92" s="64"/>
      <c r="I92" s="64"/>
      <c r="M92" s="52"/>
      <c r="N92" s="43"/>
    </row>
    <row r="93" spans="1:14" x14ac:dyDescent="0.2">
      <c r="A93" s="93"/>
      <c r="B93" s="9"/>
      <c r="C93" s="64"/>
      <c r="D93" s="62"/>
      <c r="E93" s="64"/>
      <c r="F93" s="64"/>
      <c r="G93" s="64"/>
      <c r="H93" s="64"/>
      <c r="I93" s="64"/>
      <c r="N93" s="43"/>
    </row>
    <row r="94" spans="1:14" x14ac:dyDescent="0.2">
      <c r="A94" s="93"/>
      <c r="B94" s="9"/>
      <c r="C94" s="64"/>
      <c r="D94" s="73"/>
      <c r="E94" s="64"/>
      <c r="F94" s="64"/>
      <c r="G94" s="64"/>
      <c r="H94" s="64"/>
      <c r="I94" s="57"/>
      <c r="N94" s="43"/>
    </row>
    <row r="95" spans="1:14" x14ac:dyDescent="0.2">
      <c r="A95" s="93"/>
      <c r="B95" s="9"/>
      <c r="C95" s="64"/>
      <c r="D95" s="73"/>
      <c r="E95" s="64"/>
      <c r="F95" s="64"/>
      <c r="G95" s="64"/>
      <c r="H95" s="64"/>
      <c r="I95" s="64"/>
      <c r="N95" s="43"/>
    </row>
    <row r="96" spans="1:14" x14ac:dyDescent="0.2">
      <c r="A96" s="93"/>
      <c r="B96" s="9"/>
      <c r="C96" s="73"/>
      <c r="D96" s="64"/>
      <c r="E96" s="64"/>
      <c r="F96" s="64"/>
      <c r="G96" s="64"/>
      <c r="H96" s="64"/>
      <c r="I96" s="57"/>
    </row>
    <row r="97" spans="1:14" x14ac:dyDescent="0.2">
      <c r="A97" s="57"/>
      <c r="B97" s="12"/>
      <c r="C97" s="57"/>
      <c r="D97" s="73"/>
      <c r="E97" s="64"/>
      <c r="F97" s="64"/>
      <c r="G97" s="64"/>
      <c r="H97" s="64"/>
      <c r="I97" s="57"/>
      <c r="K97" s="59"/>
      <c r="N97" s="43"/>
    </row>
    <row r="98" spans="1:14" x14ac:dyDescent="0.2">
      <c r="A98" s="57"/>
      <c r="B98" s="12"/>
      <c r="C98" s="57"/>
      <c r="D98" s="73"/>
      <c r="E98" s="64"/>
      <c r="F98" s="64"/>
      <c r="G98" s="64"/>
      <c r="H98" s="64"/>
      <c r="I98" s="64"/>
      <c r="N98" s="43"/>
    </row>
    <row r="99" spans="1:14" x14ac:dyDescent="0.2">
      <c r="A99" s="64"/>
      <c r="B99" s="64"/>
      <c r="C99" s="64"/>
      <c r="D99" s="64"/>
      <c r="E99" s="64"/>
      <c r="F99" s="64"/>
      <c r="G99" s="64"/>
      <c r="H99" s="108"/>
      <c r="I99" s="57"/>
      <c r="N99" s="43"/>
    </row>
    <row r="100" spans="1:14" x14ac:dyDescent="0.2">
      <c r="A100" s="64"/>
      <c r="B100" s="64"/>
      <c r="C100" s="64"/>
      <c r="D100" s="64"/>
      <c r="E100" s="57"/>
      <c r="F100" s="57"/>
      <c r="G100" s="57"/>
      <c r="H100" s="80"/>
      <c r="I100" s="12"/>
      <c r="N100" s="43"/>
    </row>
    <row r="101" spans="1:14" x14ac:dyDescent="0.2">
      <c r="A101" s="64"/>
      <c r="B101" s="64"/>
      <c r="C101" s="64"/>
      <c r="D101" s="64"/>
      <c r="E101" s="57"/>
      <c r="F101" s="57"/>
      <c r="G101" s="57"/>
      <c r="H101" s="80"/>
      <c r="I101" s="127"/>
      <c r="N101" s="43"/>
    </row>
    <row r="102" spans="1:14" x14ac:dyDescent="0.2">
      <c r="A102" s="194"/>
      <c r="B102" s="21"/>
      <c r="C102" s="21"/>
      <c r="D102" s="21"/>
      <c r="E102" s="21"/>
      <c r="F102" s="21"/>
      <c r="G102" s="21"/>
      <c r="H102" s="94"/>
      <c r="I102" s="96"/>
      <c r="N102" s="43"/>
    </row>
    <row r="103" spans="1:14" x14ac:dyDescent="0.2">
      <c r="A103" s="21"/>
      <c r="B103" s="21"/>
      <c r="C103" s="21"/>
      <c r="D103" s="21"/>
      <c r="E103" s="21"/>
      <c r="F103" s="21"/>
      <c r="G103" s="21"/>
      <c r="H103" s="94"/>
      <c r="I103" s="41"/>
      <c r="N103" s="43"/>
    </row>
    <row r="104" spans="1:14" x14ac:dyDescent="0.2">
      <c r="A104" s="126"/>
      <c r="B104" s="8"/>
      <c r="C104" s="62"/>
      <c r="D104" s="73"/>
      <c r="E104" s="21"/>
      <c r="F104" s="21"/>
      <c r="G104" s="21"/>
      <c r="H104" s="94"/>
      <c r="I104" s="41"/>
      <c r="N104" s="43"/>
    </row>
    <row r="105" spans="1:14" x14ac:dyDescent="0.2">
      <c r="A105" s="126"/>
      <c r="B105" s="8"/>
      <c r="C105" s="62"/>
      <c r="D105" s="73"/>
      <c r="E105" s="21"/>
      <c r="F105" s="21"/>
      <c r="G105" s="21"/>
      <c r="H105" s="94"/>
      <c r="I105" s="21"/>
      <c r="N105" s="43"/>
    </row>
    <row r="106" spans="1:14" x14ac:dyDescent="0.2">
      <c r="A106" s="126"/>
      <c r="B106" s="8"/>
      <c r="C106" s="10"/>
      <c r="D106" s="73"/>
      <c r="E106" s="21"/>
      <c r="F106" s="21"/>
      <c r="G106" s="21"/>
      <c r="H106" s="21"/>
      <c r="I106" s="21"/>
      <c r="N106" s="43"/>
    </row>
    <row r="107" spans="1:14" x14ac:dyDescent="0.2">
      <c r="A107" s="21"/>
      <c r="B107" s="21"/>
      <c r="C107" s="21"/>
      <c r="D107" s="21"/>
      <c r="E107" s="21"/>
      <c r="F107" s="21"/>
      <c r="G107" s="21"/>
      <c r="H107" s="21"/>
      <c r="I107" s="21"/>
      <c r="N107" s="43"/>
    </row>
    <row r="108" spans="1:14" x14ac:dyDescent="0.2">
      <c r="A108" s="57"/>
      <c r="B108" s="67"/>
      <c r="C108" s="62"/>
      <c r="D108" s="62"/>
      <c r="E108" s="21"/>
      <c r="F108" s="21"/>
      <c r="G108" s="21"/>
      <c r="H108" s="21"/>
      <c r="I108" s="21"/>
      <c r="N108" s="43"/>
    </row>
    <row r="109" spans="1:14" x14ac:dyDescent="0.2">
      <c r="A109" s="67"/>
      <c r="B109" s="8"/>
      <c r="C109" s="62"/>
      <c r="D109" s="62"/>
      <c r="E109" s="21"/>
      <c r="F109" s="21"/>
      <c r="G109" s="21"/>
      <c r="H109" s="21"/>
      <c r="I109" s="21"/>
      <c r="N109" s="43"/>
    </row>
    <row r="110" spans="1:14" x14ac:dyDescent="0.2">
      <c r="A110" s="67"/>
      <c r="B110" s="8"/>
      <c r="C110" s="62"/>
      <c r="D110" s="62"/>
      <c r="E110" s="21"/>
      <c r="F110" s="21"/>
      <c r="G110" s="21"/>
      <c r="H110" s="83"/>
      <c r="I110" s="64"/>
      <c r="N110" s="43"/>
    </row>
    <row r="111" spans="1:14" x14ac:dyDescent="0.2">
      <c r="A111" s="21"/>
      <c r="B111" s="21"/>
      <c r="C111" s="21"/>
      <c r="D111" s="21"/>
      <c r="E111" s="21"/>
      <c r="F111" s="21"/>
      <c r="G111" s="21"/>
      <c r="H111" s="21"/>
      <c r="I111" s="21"/>
      <c r="N111" s="43"/>
    </row>
    <row r="112" spans="1:14" x14ac:dyDescent="0.2">
      <c r="A112" s="57"/>
      <c r="B112" s="57"/>
      <c r="C112" s="57"/>
      <c r="D112" s="62"/>
      <c r="E112" s="57"/>
      <c r="F112" s="57"/>
      <c r="G112" s="57"/>
      <c r="H112" s="57"/>
      <c r="I112" s="57"/>
      <c r="N112" s="43"/>
    </row>
    <row r="113" spans="1:14" x14ac:dyDescent="0.2">
      <c r="A113" s="93"/>
      <c r="B113" s="8"/>
      <c r="C113" s="73"/>
      <c r="D113" s="73"/>
      <c r="E113" s="21"/>
      <c r="F113" s="21"/>
      <c r="G113" s="21"/>
      <c r="H113" s="21"/>
      <c r="I113" s="21"/>
      <c r="N113" s="43"/>
    </row>
    <row r="114" spans="1:14" x14ac:dyDescent="0.2">
      <c r="A114" s="93"/>
      <c r="B114" s="11"/>
      <c r="C114" s="73"/>
      <c r="D114" s="73"/>
      <c r="E114" s="21"/>
      <c r="F114" s="21"/>
      <c r="G114" s="21"/>
      <c r="H114" s="21"/>
      <c r="I114" s="21"/>
      <c r="N114" s="43"/>
    </row>
    <row r="115" spans="1:14" x14ac:dyDescent="0.2">
      <c r="A115" s="100"/>
      <c r="B115" s="11"/>
      <c r="C115" s="73"/>
      <c r="D115" s="84"/>
      <c r="E115" s="21"/>
      <c r="F115" s="21"/>
      <c r="G115" s="21"/>
      <c r="H115" s="21"/>
      <c r="I115" s="21"/>
      <c r="N115" s="43"/>
    </row>
    <row r="116" spans="1:14" x14ac:dyDescent="0.2">
      <c r="A116" s="100"/>
      <c r="B116" s="11"/>
      <c r="C116" s="73"/>
      <c r="D116" s="84"/>
      <c r="E116" s="21"/>
      <c r="F116" s="21"/>
      <c r="G116" s="21"/>
      <c r="H116" s="21"/>
      <c r="I116" s="21"/>
      <c r="N116" s="43"/>
    </row>
    <row r="117" spans="1:14" x14ac:dyDescent="0.2">
      <c r="A117" s="21"/>
      <c r="B117" s="21"/>
      <c r="C117" s="21"/>
      <c r="D117" s="21"/>
      <c r="E117" s="21"/>
      <c r="F117" s="21"/>
      <c r="G117" s="68"/>
      <c r="H117" s="21"/>
      <c r="I117" s="21"/>
      <c r="N117" s="43"/>
    </row>
    <row r="118" spans="1:14" x14ac:dyDescent="0.2">
      <c r="A118" s="99"/>
      <c r="B118" s="8"/>
      <c r="C118" s="62"/>
      <c r="D118" s="62"/>
      <c r="E118" s="57"/>
      <c r="F118" s="68"/>
      <c r="G118" s="57"/>
      <c r="H118" s="57"/>
      <c r="I118" s="57"/>
      <c r="N118" s="43"/>
    </row>
    <row r="119" spans="1:14" x14ac:dyDescent="0.2">
      <c r="A119" s="21"/>
      <c r="B119" s="21"/>
      <c r="C119" s="21"/>
      <c r="D119" s="21"/>
      <c r="E119" s="21"/>
      <c r="F119" s="21"/>
      <c r="G119" s="21"/>
      <c r="H119" s="21"/>
      <c r="I119" s="21"/>
      <c r="N119" s="43"/>
    </row>
    <row r="120" spans="1:14" x14ac:dyDescent="0.2">
      <c r="A120" s="126"/>
      <c r="B120" s="195"/>
      <c r="C120" s="62"/>
      <c r="D120" s="73"/>
      <c r="E120" s="57"/>
      <c r="F120" s="57"/>
      <c r="G120" s="57"/>
      <c r="H120" s="57"/>
      <c r="I120" s="21"/>
      <c r="N120" s="43"/>
    </row>
    <row r="121" spans="1:14" x14ac:dyDescent="0.2">
      <c r="A121" s="126"/>
      <c r="B121" s="8"/>
      <c r="C121" s="62"/>
      <c r="D121" s="73"/>
      <c r="E121" s="57"/>
      <c r="F121" s="57"/>
      <c r="G121" s="57"/>
      <c r="H121" s="57"/>
      <c r="I121" s="21"/>
      <c r="N121" s="43"/>
    </row>
    <row r="122" spans="1:14" x14ac:dyDescent="0.2">
      <c r="A122" s="74"/>
      <c r="B122" s="8"/>
      <c r="C122" s="10"/>
      <c r="D122" s="73"/>
      <c r="E122" s="57"/>
      <c r="F122" s="57"/>
      <c r="G122" s="57"/>
      <c r="H122" s="57"/>
      <c r="I122" s="21"/>
      <c r="N122" s="43"/>
    </row>
    <row r="123" spans="1:14" x14ac:dyDescent="0.2">
      <c r="A123" s="64"/>
      <c r="B123" s="93"/>
      <c r="C123" s="62"/>
      <c r="D123" s="57"/>
      <c r="E123" s="57"/>
      <c r="F123" s="57"/>
      <c r="G123" s="57"/>
      <c r="H123" s="57"/>
      <c r="I123" s="64"/>
      <c r="N123" s="43"/>
    </row>
    <row r="124" spans="1:14" x14ac:dyDescent="0.2">
      <c r="A124" s="93"/>
      <c r="B124" s="8"/>
      <c r="C124" s="62"/>
      <c r="D124" s="62"/>
      <c r="E124" s="57"/>
      <c r="F124" s="57"/>
      <c r="G124" s="57"/>
      <c r="H124" s="57"/>
      <c r="I124" s="64"/>
      <c r="L124" s="52"/>
      <c r="N124" s="43"/>
    </row>
    <row r="125" spans="1:14" x14ac:dyDescent="0.2">
      <c r="A125" s="93"/>
      <c r="B125" s="8"/>
      <c r="C125" s="73"/>
      <c r="D125" s="62"/>
      <c r="E125" s="51"/>
      <c r="F125" s="57"/>
      <c r="G125" s="21"/>
      <c r="H125" s="83"/>
      <c r="I125" s="57"/>
      <c r="N125" s="43"/>
    </row>
    <row r="126" spans="1:14" x14ac:dyDescent="0.2">
      <c r="A126" s="67"/>
      <c r="B126" s="13"/>
      <c r="C126" s="62"/>
      <c r="D126" s="62"/>
      <c r="E126" s="51"/>
      <c r="F126" s="21"/>
      <c r="G126" s="21"/>
      <c r="H126" s="57"/>
      <c r="I126" s="57"/>
      <c r="N126" s="43"/>
    </row>
    <row r="127" spans="1:14" x14ac:dyDescent="0.2">
      <c r="A127" s="93"/>
      <c r="B127" s="8"/>
      <c r="C127" s="62"/>
      <c r="D127" s="62"/>
      <c r="E127" s="57"/>
      <c r="F127" s="21"/>
      <c r="G127" s="83"/>
      <c r="H127" s="64"/>
      <c r="I127" s="57"/>
      <c r="N127" s="43"/>
    </row>
    <row r="128" spans="1:14" x14ac:dyDescent="0.2">
      <c r="A128" s="56"/>
      <c r="B128" s="8"/>
      <c r="C128" s="62"/>
      <c r="D128" s="21"/>
      <c r="E128" s="21"/>
      <c r="F128" s="21"/>
      <c r="G128" s="21"/>
      <c r="H128" s="21"/>
      <c r="I128" s="57"/>
      <c r="K128" s="54"/>
      <c r="N128" s="43"/>
    </row>
    <row r="129" spans="1:14" x14ac:dyDescent="0.2">
      <c r="A129" s="56"/>
      <c r="B129" s="8"/>
      <c r="C129" s="73"/>
      <c r="D129" s="62"/>
      <c r="E129" s="21"/>
      <c r="F129" s="21"/>
      <c r="G129" s="21"/>
      <c r="H129" s="83"/>
      <c r="I129" s="57"/>
      <c r="K129" s="52"/>
      <c r="N129" s="43"/>
    </row>
    <row r="130" spans="1:14" x14ac:dyDescent="0.2">
      <c r="A130" s="73"/>
      <c r="B130" s="64"/>
      <c r="C130" s="64"/>
      <c r="D130" s="73"/>
      <c r="E130" s="64"/>
      <c r="F130" s="64"/>
      <c r="G130" s="64"/>
      <c r="H130" s="57"/>
      <c r="I130" s="57"/>
      <c r="K130" s="54"/>
      <c r="N130" s="43"/>
    </row>
    <row r="131" spans="1:14" x14ac:dyDescent="0.2">
      <c r="A131" s="56"/>
      <c r="B131" s="8"/>
      <c r="C131" s="21"/>
      <c r="D131" s="73"/>
      <c r="E131" s="21"/>
      <c r="F131" s="21"/>
      <c r="G131" s="21"/>
      <c r="H131" s="21"/>
      <c r="I131" s="57"/>
      <c r="N131" s="43"/>
    </row>
    <row r="132" spans="1:14" x14ac:dyDescent="0.2">
      <c r="A132" s="93"/>
      <c r="B132" s="8"/>
      <c r="C132" s="73"/>
      <c r="D132" s="73"/>
      <c r="E132" s="64"/>
      <c r="F132" s="64"/>
      <c r="G132" s="64"/>
      <c r="H132" s="21"/>
      <c r="I132" s="57"/>
      <c r="N132" s="43"/>
    </row>
    <row r="133" spans="1:14" x14ac:dyDescent="0.2">
      <c r="A133" s="100"/>
      <c r="B133" s="11"/>
      <c r="C133" s="73"/>
      <c r="D133" s="84"/>
      <c r="E133" s="64"/>
      <c r="F133" s="64"/>
      <c r="G133" s="21"/>
      <c r="H133" s="21"/>
      <c r="I133" s="21"/>
      <c r="N133" s="43"/>
    </row>
    <row r="134" spans="1:14" x14ac:dyDescent="0.2">
      <c r="A134" s="100"/>
      <c r="B134" s="11"/>
      <c r="C134" s="73"/>
      <c r="D134" s="84"/>
      <c r="E134" s="21"/>
      <c r="F134" s="21"/>
      <c r="G134" s="21"/>
      <c r="H134" s="68"/>
      <c r="I134" s="21"/>
      <c r="N134" s="43"/>
    </row>
    <row r="135" spans="1:14" x14ac:dyDescent="0.2">
      <c r="A135" s="21"/>
      <c r="B135" s="21"/>
      <c r="C135" s="21"/>
      <c r="D135" s="21"/>
      <c r="E135" s="21"/>
      <c r="F135" s="21"/>
      <c r="G135" s="68"/>
      <c r="H135" s="21"/>
      <c r="I135" s="21"/>
      <c r="N135" s="43"/>
    </row>
    <row r="136" spans="1:14" x14ac:dyDescent="0.2">
      <c r="A136" s="73"/>
      <c r="B136" s="64"/>
      <c r="C136" s="57"/>
      <c r="D136" s="57"/>
      <c r="E136" s="21"/>
      <c r="F136" s="68"/>
      <c r="G136" s="21"/>
      <c r="H136" s="21"/>
      <c r="I136" s="21"/>
      <c r="N136" s="43"/>
    </row>
    <row r="137" spans="1:14" x14ac:dyDescent="0.2">
      <c r="A137" s="21"/>
      <c r="B137" s="21"/>
      <c r="C137" s="21"/>
      <c r="D137" s="21"/>
      <c r="E137" s="21"/>
      <c r="F137" s="21"/>
      <c r="G137" s="21"/>
      <c r="H137" s="21"/>
      <c r="I137" s="21"/>
      <c r="N137" s="43"/>
    </row>
    <row r="138" spans="1:14" x14ac:dyDescent="0.2">
      <c r="A138" s="106"/>
      <c r="B138" s="40"/>
      <c r="C138" s="40"/>
      <c r="D138" s="40"/>
      <c r="E138" s="40"/>
      <c r="F138" s="40"/>
      <c r="G138" s="40"/>
      <c r="H138" s="40"/>
      <c r="I138" s="21"/>
      <c r="N138" s="43"/>
    </row>
    <row r="139" spans="1:14" x14ac:dyDescent="0.2">
      <c r="A139" s="93"/>
      <c r="B139" s="8"/>
      <c r="C139" s="59"/>
      <c r="D139" s="59"/>
      <c r="E139" s="40"/>
      <c r="F139" s="40"/>
      <c r="G139" s="40"/>
      <c r="H139" s="40"/>
      <c r="I139" s="21"/>
      <c r="N139" s="43"/>
    </row>
    <row r="140" spans="1:14" x14ac:dyDescent="0.2">
      <c r="A140" s="93"/>
      <c r="B140" s="8"/>
      <c r="C140" s="59"/>
      <c r="D140" s="59"/>
      <c r="E140" s="40"/>
      <c r="F140" s="40"/>
      <c r="G140" s="40"/>
      <c r="H140" s="132"/>
      <c r="I140" s="21"/>
      <c r="N140" s="43"/>
    </row>
    <row r="141" spans="1:14" x14ac:dyDescent="0.2">
      <c r="A141" s="62"/>
      <c r="B141" s="40"/>
      <c r="C141" s="40"/>
      <c r="D141" s="59"/>
      <c r="E141" s="40"/>
      <c r="F141" s="40"/>
      <c r="G141" s="132"/>
      <c r="H141" s="40"/>
      <c r="I141" s="21"/>
      <c r="N141" s="43"/>
    </row>
    <row r="142" spans="1:14" x14ac:dyDescent="0.2">
      <c r="A142" s="67"/>
      <c r="B142" s="8"/>
      <c r="C142" s="59"/>
      <c r="D142" s="59"/>
      <c r="E142" s="40"/>
      <c r="F142" s="40"/>
      <c r="G142" s="40"/>
      <c r="H142" s="40"/>
      <c r="I142" s="21"/>
      <c r="N142" s="43"/>
    </row>
    <row r="143" spans="1:14" x14ac:dyDescent="0.2">
      <c r="A143" s="67"/>
      <c r="B143" s="8"/>
      <c r="C143" s="59"/>
      <c r="D143" s="59"/>
      <c r="E143" s="40"/>
      <c r="F143" s="40"/>
      <c r="G143" s="40"/>
      <c r="H143" s="40"/>
      <c r="I143" s="21"/>
      <c r="N143" s="43"/>
    </row>
    <row r="144" spans="1:14" x14ac:dyDescent="0.2">
      <c r="A144" s="99"/>
      <c r="B144" s="41"/>
      <c r="C144" s="59"/>
      <c r="D144" s="40"/>
      <c r="E144" s="40"/>
      <c r="F144" s="40"/>
      <c r="G144" s="40"/>
      <c r="H144" s="132"/>
      <c r="I144" s="21"/>
      <c r="N144" s="43"/>
    </row>
    <row r="145" spans="1:14" x14ac:dyDescent="0.2">
      <c r="A145" s="21"/>
      <c r="B145" s="40"/>
      <c r="C145" s="40"/>
      <c r="D145" s="40"/>
      <c r="E145" s="40"/>
      <c r="F145" s="40"/>
      <c r="G145" s="40"/>
      <c r="H145" s="40"/>
      <c r="I145" s="21"/>
      <c r="N145" s="43"/>
    </row>
    <row r="146" spans="1:14" x14ac:dyDescent="0.2">
      <c r="A146" s="113"/>
      <c r="B146" s="8"/>
      <c r="C146" s="196"/>
      <c r="D146" s="59"/>
      <c r="E146" s="40"/>
      <c r="F146" s="40"/>
      <c r="G146" s="40"/>
      <c r="H146" s="40"/>
      <c r="I146" s="21"/>
      <c r="N146" s="43"/>
    </row>
    <row r="147" spans="1:14" x14ac:dyDescent="0.2">
      <c r="A147" s="113"/>
      <c r="B147" s="8"/>
      <c r="C147" s="59"/>
      <c r="D147" s="59"/>
      <c r="E147" s="40"/>
      <c r="F147" s="40"/>
      <c r="G147" s="40"/>
      <c r="H147" s="40"/>
      <c r="I147" s="21"/>
      <c r="N147" s="43"/>
    </row>
    <row r="148" spans="1:14" x14ac:dyDescent="0.2">
      <c r="A148" s="62"/>
      <c r="B148" s="40"/>
      <c r="C148" s="40"/>
      <c r="D148" s="40"/>
      <c r="E148" s="40"/>
      <c r="F148" s="40"/>
      <c r="G148" s="40"/>
      <c r="H148" s="40"/>
      <c r="I148" s="21"/>
      <c r="N148" s="43"/>
    </row>
    <row r="149" spans="1:14" x14ac:dyDescent="0.2">
      <c r="A149" s="107"/>
      <c r="B149" s="91"/>
      <c r="C149" s="7"/>
      <c r="D149" s="7"/>
      <c r="E149" s="7"/>
      <c r="F149" s="7"/>
      <c r="G149" s="7"/>
      <c r="H149" s="7"/>
      <c r="I149" s="7"/>
      <c r="N149" s="43"/>
    </row>
    <row r="150" spans="1:14" x14ac:dyDescent="0.2">
      <c r="A150" s="21"/>
      <c r="B150" s="21"/>
      <c r="C150" s="21"/>
      <c r="D150" s="21"/>
      <c r="E150" s="21"/>
      <c r="F150" s="21"/>
      <c r="G150" s="21"/>
      <c r="H150" s="21"/>
      <c r="I150" s="12"/>
      <c r="N150" s="43"/>
    </row>
    <row r="151" spans="1:14" x14ac:dyDescent="0.2">
      <c r="A151" s="21"/>
      <c r="B151" s="21"/>
      <c r="C151" s="21"/>
      <c r="D151" s="21"/>
      <c r="E151" s="21"/>
      <c r="F151" s="21"/>
      <c r="G151" s="21"/>
      <c r="H151" s="94"/>
      <c r="I151" s="95"/>
      <c r="N151" s="43"/>
    </row>
    <row r="152" spans="1:14" x14ac:dyDescent="0.2">
      <c r="A152" s="99"/>
      <c r="B152" s="21"/>
      <c r="C152" s="21"/>
      <c r="D152" s="21"/>
      <c r="E152" s="21"/>
      <c r="F152" s="21"/>
      <c r="G152" s="21"/>
      <c r="H152" s="94"/>
      <c r="I152" s="96"/>
      <c r="N152" s="43"/>
    </row>
    <row r="153" spans="1:14" x14ac:dyDescent="0.2">
      <c r="A153" s="93"/>
      <c r="B153" s="8"/>
      <c r="C153" s="73"/>
      <c r="D153" s="73"/>
      <c r="E153" s="21"/>
      <c r="F153" s="64"/>
      <c r="G153" s="21"/>
      <c r="H153" s="97"/>
      <c r="I153" s="41"/>
      <c r="N153" s="43"/>
    </row>
    <row r="154" spans="1:14" x14ac:dyDescent="0.2">
      <c r="A154" s="67"/>
      <c r="B154" s="13"/>
      <c r="C154" s="62"/>
      <c r="D154" s="73"/>
      <c r="E154" s="21"/>
      <c r="F154" s="64"/>
      <c r="G154" s="21"/>
      <c r="H154" s="94"/>
      <c r="I154" s="41"/>
      <c r="N154" s="43"/>
    </row>
    <row r="155" spans="1:14" x14ac:dyDescent="0.2">
      <c r="A155" s="56"/>
      <c r="B155" s="8"/>
      <c r="C155" s="62"/>
      <c r="D155" s="73"/>
      <c r="E155" s="51"/>
      <c r="F155" s="51"/>
      <c r="G155" s="51"/>
      <c r="H155" s="21"/>
      <c r="I155" s="21"/>
      <c r="N155" s="43"/>
    </row>
    <row r="156" spans="1:14" x14ac:dyDescent="0.2">
      <c r="A156" s="93"/>
      <c r="B156" s="8"/>
      <c r="C156" s="73"/>
      <c r="D156" s="62"/>
      <c r="E156" s="21"/>
      <c r="F156" s="21"/>
      <c r="G156" s="21"/>
      <c r="H156" s="21"/>
      <c r="I156" s="21"/>
      <c r="N156" s="43"/>
    </row>
    <row r="157" spans="1:14" x14ac:dyDescent="0.2">
      <c r="A157" s="93"/>
      <c r="B157" s="8"/>
      <c r="C157" s="62"/>
      <c r="D157" s="62"/>
      <c r="E157" s="51"/>
      <c r="F157" s="51"/>
      <c r="G157" s="21"/>
      <c r="H157" s="83"/>
      <c r="I157" s="21"/>
      <c r="N157" s="43"/>
    </row>
    <row r="158" spans="1:14" x14ac:dyDescent="0.2">
      <c r="A158" s="56"/>
      <c r="B158" s="8"/>
      <c r="C158" s="73"/>
      <c r="D158" s="73"/>
      <c r="E158" s="21"/>
      <c r="F158" s="21"/>
      <c r="G158" s="21"/>
      <c r="H158" s="21"/>
      <c r="I158" s="21"/>
      <c r="N158" s="43"/>
    </row>
    <row r="159" spans="1:14" x14ac:dyDescent="0.2">
      <c r="A159" s="56"/>
      <c r="B159" s="8"/>
      <c r="C159" s="73"/>
      <c r="D159" s="90"/>
      <c r="E159" s="21"/>
      <c r="F159" s="21"/>
      <c r="G159" s="21"/>
      <c r="H159" s="21"/>
      <c r="I159" s="21"/>
      <c r="N159" s="43"/>
    </row>
    <row r="160" spans="1:14" x14ac:dyDescent="0.2">
      <c r="A160" s="67"/>
      <c r="B160" s="8"/>
      <c r="C160" s="62"/>
      <c r="D160" s="62"/>
      <c r="E160" s="21"/>
      <c r="F160" s="21"/>
      <c r="G160" s="21"/>
      <c r="H160" s="83"/>
      <c r="I160" s="21"/>
      <c r="N160" s="43"/>
    </row>
    <row r="161" spans="1:14" x14ac:dyDescent="0.2">
      <c r="A161" s="73"/>
      <c r="B161" s="64"/>
      <c r="C161" s="64"/>
      <c r="D161" s="64"/>
      <c r="E161" s="64"/>
      <c r="F161" s="21"/>
      <c r="G161" s="21"/>
      <c r="H161" s="21"/>
      <c r="I161" s="21"/>
      <c r="N161" s="43"/>
    </row>
    <row r="162" spans="1:14" x14ac:dyDescent="0.2">
      <c r="A162" s="67"/>
      <c r="B162" s="15"/>
      <c r="C162" s="73"/>
      <c r="D162" s="73"/>
      <c r="E162" s="64"/>
      <c r="F162" s="21"/>
      <c r="G162" s="21"/>
      <c r="H162" s="21"/>
      <c r="I162" s="21"/>
      <c r="N162" s="43"/>
    </row>
    <row r="163" spans="1:14" x14ac:dyDescent="0.2">
      <c r="A163" s="67"/>
      <c r="B163" s="15"/>
      <c r="C163" s="73"/>
      <c r="D163" s="73"/>
      <c r="E163" s="64"/>
      <c r="F163" s="21"/>
      <c r="G163" s="21"/>
      <c r="H163" s="21"/>
      <c r="I163" s="21"/>
      <c r="N163" s="43"/>
    </row>
    <row r="164" spans="1:14" x14ac:dyDescent="0.2">
      <c r="A164" s="67"/>
      <c r="B164" s="15"/>
      <c r="C164" s="73"/>
      <c r="D164" s="73"/>
      <c r="E164" s="64"/>
      <c r="F164" s="64"/>
      <c r="G164" s="21"/>
      <c r="H164" s="21"/>
      <c r="I164" s="64"/>
      <c r="N164" s="43"/>
    </row>
    <row r="165" spans="1:14" x14ac:dyDescent="0.2">
      <c r="A165" s="93"/>
      <c r="B165" s="15"/>
      <c r="C165" s="73"/>
      <c r="D165" s="73"/>
      <c r="E165" s="64"/>
      <c r="F165" s="64"/>
      <c r="G165" s="21"/>
      <c r="H165" s="57"/>
      <c r="I165" s="64"/>
      <c r="N165" s="43"/>
    </row>
    <row r="166" spans="1:14" x14ac:dyDescent="0.2">
      <c r="A166" s="100"/>
      <c r="B166" s="15"/>
      <c r="C166" s="64"/>
      <c r="D166" s="84"/>
      <c r="E166" s="64"/>
      <c r="F166" s="64"/>
      <c r="G166" s="21"/>
      <c r="H166" s="57"/>
      <c r="I166" s="21"/>
    </row>
    <row r="167" spans="1:14" x14ac:dyDescent="0.2">
      <c r="A167" s="93"/>
      <c r="B167" s="15"/>
      <c r="C167" s="73"/>
      <c r="D167" s="73"/>
      <c r="E167" s="64"/>
      <c r="F167" s="64"/>
      <c r="G167" s="21"/>
      <c r="H167" s="21"/>
      <c r="I167" s="21"/>
    </row>
    <row r="168" spans="1:14" x14ac:dyDescent="0.2">
      <c r="A168" s="100"/>
      <c r="B168" s="15"/>
      <c r="C168" s="64"/>
      <c r="D168" s="84"/>
      <c r="E168" s="64"/>
      <c r="F168" s="64"/>
      <c r="G168" s="21"/>
      <c r="H168" s="64"/>
      <c r="I168" s="64"/>
    </row>
    <row r="169" spans="1:14" x14ac:dyDescent="0.2">
      <c r="A169" s="100"/>
      <c r="B169" s="11"/>
      <c r="C169" s="64"/>
      <c r="D169" s="84"/>
      <c r="E169" s="64"/>
      <c r="F169" s="64"/>
      <c r="G169" s="64"/>
      <c r="H169" s="64"/>
      <c r="I169" s="64"/>
    </row>
    <row r="170" spans="1:14" x14ac:dyDescent="0.2">
      <c r="A170" s="100"/>
      <c r="B170" s="15"/>
      <c r="C170" s="64"/>
      <c r="D170" s="62"/>
      <c r="E170" s="64"/>
      <c r="F170" s="64"/>
      <c r="G170" s="64"/>
      <c r="H170" s="64"/>
      <c r="I170" s="64"/>
    </row>
    <row r="171" spans="1:14" x14ac:dyDescent="0.2">
      <c r="A171" s="93"/>
      <c r="B171" s="11"/>
      <c r="C171" s="73"/>
      <c r="D171" s="73"/>
      <c r="E171" s="64"/>
      <c r="F171" s="64"/>
      <c r="G171" s="64"/>
      <c r="H171" s="83"/>
      <c r="I171" s="64"/>
    </row>
    <row r="172" spans="1:14" x14ac:dyDescent="0.2">
      <c r="A172" s="93"/>
      <c r="B172" s="11"/>
      <c r="C172" s="73"/>
      <c r="D172" s="64"/>
      <c r="E172" s="64"/>
      <c r="F172" s="64"/>
      <c r="G172" s="64"/>
      <c r="H172" s="64"/>
      <c r="I172" s="64"/>
    </row>
    <row r="173" spans="1:14" x14ac:dyDescent="0.2">
      <c r="A173" s="100"/>
      <c r="B173" s="15"/>
      <c r="C173" s="64"/>
      <c r="D173" s="104"/>
      <c r="E173" s="64"/>
      <c r="F173" s="64"/>
      <c r="G173" s="64"/>
      <c r="H173" s="57"/>
      <c r="I173" s="64"/>
    </row>
    <row r="174" spans="1:14" x14ac:dyDescent="0.2">
      <c r="A174" s="93"/>
      <c r="B174" s="8"/>
      <c r="C174" s="73"/>
      <c r="D174" s="64"/>
      <c r="E174" s="64"/>
      <c r="F174" s="64"/>
      <c r="G174" s="64"/>
      <c r="H174" s="57"/>
      <c r="I174" s="64"/>
    </row>
    <row r="175" spans="1:14" x14ac:dyDescent="0.2">
      <c r="A175" s="64"/>
      <c r="B175" s="64"/>
      <c r="C175" s="64"/>
      <c r="D175" s="64"/>
      <c r="E175" s="64"/>
      <c r="F175" s="64"/>
      <c r="G175" s="64"/>
      <c r="H175" s="83"/>
      <c r="I175" s="64"/>
    </row>
    <row r="176" spans="1:14" x14ac:dyDescent="0.2">
      <c r="A176" s="62"/>
      <c r="B176" s="57"/>
      <c r="C176" s="57"/>
      <c r="D176" s="21"/>
      <c r="E176" s="21"/>
      <c r="F176" s="21"/>
      <c r="G176" s="21"/>
      <c r="H176" s="57"/>
      <c r="I176" s="64"/>
    </row>
    <row r="177" spans="1:9" x14ac:dyDescent="0.2">
      <c r="A177" s="67"/>
      <c r="B177" s="8"/>
      <c r="C177" s="62"/>
      <c r="D177" s="62"/>
      <c r="E177" s="21"/>
      <c r="F177" s="21"/>
      <c r="G177" s="21"/>
      <c r="H177" s="57"/>
      <c r="I177" s="21"/>
    </row>
    <row r="178" spans="1:9" x14ac:dyDescent="0.2">
      <c r="A178" s="67"/>
      <c r="B178" s="8"/>
      <c r="C178" s="62"/>
      <c r="D178" s="62"/>
      <c r="E178" s="21"/>
      <c r="F178" s="21"/>
      <c r="G178" s="21"/>
      <c r="H178" s="21"/>
      <c r="I178" s="21"/>
    </row>
    <row r="179" spans="1:9" x14ac:dyDescent="0.2">
      <c r="A179" s="67"/>
      <c r="B179" s="8"/>
      <c r="C179" s="62"/>
      <c r="D179" s="62"/>
      <c r="E179" s="21"/>
      <c r="F179" s="21"/>
      <c r="G179" s="21"/>
      <c r="H179" s="21"/>
      <c r="I179" s="21"/>
    </row>
    <row r="180" spans="1:9" x14ac:dyDescent="0.2">
      <c r="A180" s="67"/>
      <c r="B180" s="8"/>
      <c r="C180" s="62"/>
      <c r="D180" s="62"/>
      <c r="E180" s="57"/>
      <c r="F180" s="57"/>
      <c r="G180" s="21"/>
      <c r="H180" s="21"/>
      <c r="I180" s="21"/>
    </row>
    <row r="181" spans="1:9" x14ac:dyDescent="0.2">
      <c r="A181" s="62"/>
      <c r="B181" s="57"/>
      <c r="C181" s="57"/>
      <c r="D181" s="57"/>
      <c r="E181" s="57"/>
      <c r="F181" s="57"/>
      <c r="G181" s="21"/>
      <c r="H181" s="83"/>
      <c r="I181" s="21"/>
    </row>
    <row r="182" spans="1:9" x14ac:dyDescent="0.2">
      <c r="A182" s="67"/>
      <c r="B182" s="14"/>
      <c r="C182" s="62"/>
      <c r="D182" s="62"/>
      <c r="E182" s="57"/>
      <c r="F182" s="57"/>
      <c r="G182" s="57"/>
      <c r="H182" s="57"/>
      <c r="I182" s="21"/>
    </row>
    <row r="183" spans="1:9" x14ac:dyDescent="0.2">
      <c r="A183" s="67"/>
      <c r="B183" s="13"/>
      <c r="C183" s="62"/>
      <c r="D183" s="62"/>
      <c r="E183" s="57"/>
      <c r="F183" s="57"/>
      <c r="G183" s="57"/>
      <c r="H183" s="21"/>
      <c r="I183" s="21"/>
    </row>
    <row r="184" spans="1:9" x14ac:dyDescent="0.2">
      <c r="A184" s="67"/>
      <c r="B184" s="13"/>
      <c r="C184" s="73"/>
      <c r="D184" s="62"/>
      <c r="E184" s="57"/>
      <c r="F184" s="57"/>
      <c r="G184" s="21"/>
      <c r="H184" s="83"/>
      <c r="I184" s="21"/>
    </row>
    <row r="185" spans="1:9" x14ac:dyDescent="0.2">
      <c r="A185" s="57"/>
      <c r="B185" s="51"/>
      <c r="C185" s="64"/>
      <c r="D185" s="73"/>
      <c r="E185" s="64"/>
      <c r="F185" s="64"/>
      <c r="G185" s="64"/>
      <c r="H185" s="21"/>
      <c r="I185" s="21"/>
    </row>
    <row r="186" spans="1:9" x14ac:dyDescent="0.2">
      <c r="A186" s="113"/>
      <c r="B186" s="13"/>
      <c r="C186" s="62"/>
      <c r="D186" s="62"/>
      <c r="E186" s="64"/>
      <c r="F186" s="64"/>
      <c r="G186" s="64"/>
      <c r="H186" s="21"/>
      <c r="I186" s="21"/>
    </row>
    <row r="187" spans="1:9" x14ac:dyDescent="0.2">
      <c r="A187" s="67"/>
      <c r="B187" s="14"/>
      <c r="C187" s="73"/>
      <c r="D187" s="62"/>
      <c r="E187" s="57"/>
      <c r="F187" s="57"/>
      <c r="G187" s="57"/>
      <c r="H187" s="21"/>
      <c r="I187" s="21"/>
    </row>
    <row r="188" spans="1:9" x14ac:dyDescent="0.2">
      <c r="A188" s="67"/>
      <c r="B188" s="13"/>
      <c r="C188" s="73"/>
      <c r="D188" s="62"/>
      <c r="E188" s="57"/>
      <c r="F188" s="57"/>
      <c r="G188" s="57"/>
      <c r="H188" s="21"/>
      <c r="I188" s="21"/>
    </row>
    <row r="189" spans="1:9" x14ac:dyDescent="0.2">
      <c r="A189" s="67"/>
      <c r="B189" s="16"/>
      <c r="C189" s="73"/>
      <c r="D189" s="62"/>
      <c r="E189" s="57"/>
      <c r="F189" s="57"/>
      <c r="G189" s="57"/>
      <c r="H189" s="21"/>
      <c r="I189" s="21"/>
    </row>
    <row r="190" spans="1:9" x14ac:dyDescent="0.2">
      <c r="A190" s="67"/>
      <c r="B190" s="13"/>
      <c r="C190" s="73"/>
      <c r="D190" s="62"/>
      <c r="E190" s="57"/>
      <c r="F190" s="57"/>
      <c r="G190" s="57"/>
      <c r="H190" s="21"/>
      <c r="I190" s="21"/>
    </row>
    <row r="191" spans="1:9" x14ac:dyDescent="0.2">
      <c r="A191" s="67"/>
      <c r="B191" s="13"/>
      <c r="C191" s="73"/>
      <c r="D191" s="62"/>
      <c r="E191" s="57"/>
      <c r="F191" s="57"/>
      <c r="G191" s="21"/>
      <c r="H191" s="83"/>
      <c r="I191" s="57"/>
    </row>
    <row r="192" spans="1:9" x14ac:dyDescent="0.2">
      <c r="A192" s="64"/>
      <c r="B192" s="64"/>
      <c r="C192" s="64"/>
      <c r="D192" s="73"/>
      <c r="E192" s="64"/>
      <c r="F192" s="64"/>
      <c r="G192" s="64"/>
      <c r="H192" s="64"/>
      <c r="I192" s="57"/>
    </row>
    <row r="193" spans="1:9" x14ac:dyDescent="0.2">
      <c r="A193" s="93"/>
      <c r="B193" s="8"/>
      <c r="C193" s="73"/>
      <c r="D193" s="62"/>
      <c r="E193" s="64"/>
      <c r="F193" s="64"/>
      <c r="G193" s="64"/>
      <c r="H193" s="64"/>
      <c r="I193" s="21"/>
    </row>
    <row r="194" spans="1:9" x14ac:dyDescent="0.2">
      <c r="A194" s="93"/>
      <c r="B194" s="11"/>
      <c r="C194" s="73"/>
      <c r="D194" s="73"/>
      <c r="E194" s="64"/>
      <c r="F194" s="64"/>
      <c r="G194" s="64"/>
      <c r="H194" s="64"/>
      <c r="I194" s="64"/>
    </row>
    <row r="195" spans="1:9" x14ac:dyDescent="0.2">
      <c r="A195" s="100"/>
      <c r="B195" s="11"/>
      <c r="C195" s="73"/>
      <c r="D195" s="84"/>
      <c r="E195" s="21"/>
      <c r="F195" s="21"/>
      <c r="G195" s="21"/>
      <c r="H195" s="68"/>
      <c r="I195" s="57"/>
    </row>
    <row r="196" spans="1:9" x14ac:dyDescent="0.2">
      <c r="A196" s="100"/>
      <c r="B196" s="11"/>
      <c r="C196" s="73"/>
      <c r="D196" s="84"/>
      <c r="E196" s="21"/>
      <c r="F196" s="21"/>
      <c r="G196" s="21"/>
      <c r="H196" s="21"/>
      <c r="I196" s="21"/>
    </row>
    <row r="197" spans="1:9" x14ac:dyDescent="0.2">
      <c r="A197" s="21"/>
      <c r="B197" s="21"/>
      <c r="C197" s="21"/>
      <c r="D197" s="21"/>
      <c r="E197" s="21"/>
      <c r="F197" s="21"/>
      <c r="G197" s="68"/>
      <c r="H197" s="21"/>
      <c r="I197" s="21"/>
    </row>
    <row r="198" spans="1:9" x14ac:dyDescent="0.2">
      <c r="A198" s="21"/>
      <c r="B198" s="21"/>
      <c r="C198" s="21"/>
      <c r="D198" s="21"/>
      <c r="E198" s="57"/>
      <c r="F198" s="68" t="e">
        <f>IF(#REF!="Yes",IF(#REF!&gt;0,IF($B$195&gt;$B$196,"    Increase doubler or use full-pen. weld",""),""),"")</f>
        <v>#REF!</v>
      </c>
      <c r="G198" s="21"/>
      <c r="H198" s="21"/>
      <c r="I198" s="21"/>
    </row>
    <row r="199" spans="1:9" x14ac:dyDescent="0.2">
      <c r="A199" s="21"/>
      <c r="B199" s="21"/>
      <c r="C199" s="21"/>
      <c r="D199" s="21"/>
      <c r="E199" s="57"/>
      <c r="F199" s="57"/>
      <c r="G199" s="21"/>
      <c r="H199" s="21"/>
      <c r="I199" s="21"/>
    </row>
    <row r="200" spans="1:9" x14ac:dyDescent="0.2">
      <c r="A200" s="21"/>
      <c r="B200" s="21"/>
      <c r="C200" s="21"/>
      <c r="D200" s="21"/>
      <c r="E200" s="21"/>
      <c r="F200" s="21"/>
      <c r="G200" s="21"/>
      <c r="H200" s="21"/>
      <c r="I200" s="12"/>
    </row>
    <row r="201" spans="1:9" x14ac:dyDescent="0.2">
      <c r="A201" s="21"/>
      <c r="B201" s="21"/>
      <c r="C201" s="21"/>
      <c r="D201" s="21"/>
      <c r="E201" s="21"/>
      <c r="F201" s="21"/>
      <c r="G201" s="21"/>
      <c r="H201" s="94"/>
      <c r="I201" s="95"/>
    </row>
    <row r="202" spans="1:9" x14ac:dyDescent="0.2">
      <c r="A202" s="99"/>
      <c r="B202" s="21"/>
      <c r="C202" s="21"/>
      <c r="D202" s="21"/>
      <c r="E202" s="57"/>
      <c r="F202" s="57"/>
      <c r="G202" s="57"/>
      <c r="H202" s="94"/>
      <c r="I202" s="96"/>
    </row>
    <row r="203" spans="1:9" x14ac:dyDescent="0.2">
      <c r="A203" s="57"/>
      <c r="B203" s="51"/>
      <c r="C203" s="57"/>
      <c r="D203" s="62"/>
      <c r="E203" s="21"/>
      <c r="F203" s="51"/>
      <c r="G203" s="21"/>
      <c r="H203" s="97"/>
      <c r="I203" s="41"/>
    </row>
    <row r="204" spans="1:9" x14ac:dyDescent="0.2">
      <c r="A204" s="67"/>
      <c r="B204" s="14"/>
      <c r="C204" s="73"/>
      <c r="D204" s="62"/>
      <c r="E204" s="21"/>
      <c r="F204" s="51"/>
      <c r="G204" s="57"/>
      <c r="H204" s="94"/>
      <c r="I204" s="41"/>
    </row>
    <row r="205" spans="1:9" x14ac:dyDescent="0.2">
      <c r="A205" s="67"/>
      <c r="B205" s="13"/>
      <c r="C205" s="73"/>
      <c r="D205" s="62"/>
      <c r="E205" s="21"/>
      <c r="F205" s="51"/>
      <c r="G205" s="21"/>
      <c r="H205" s="21"/>
      <c r="I205" s="21"/>
    </row>
    <row r="206" spans="1:9" x14ac:dyDescent="0.2">
      <c r="A206" s="67"/>
      <c r="B206" s="13"/>
      <c r="C206" s="73"/>
      <c r="D206" s="62"/>
      <c r="E206" s="21"/>
      <c r="F206" s="21"/>
      <c r="G206" s="21"/>
      <c r="H206" s="83"/>
      <c r="I206" s="57"/>
    </row>
    <row r="207" spans="1:9" x14ac:dyDescent="0.2">
      <c r="A207" s="21"/>
      <c r="B207" s="21"/>
      <c r="C207" s="21"/>
      <c r="D207" s="21"/>
      <c r="E207" s="21"/>
      <c r="F207" s="21"/>
      <c r="G207" s="21"/>
      <c r="H207" s="21"/>
      <c r="I207" s="21"/>
    </row>
    <row r="208" spans="1:9" x14ac:dyDescent="0.2">
      <c r="A208" s="57"/>
      <c r="B208" s="64"/>
      <c r="C208" s="64"/>
      <c r="D208" s="73"/>
      <c r="E208" s="21"/>
      <c r="F208" s="21"/>
      <c r="G208" s="21"/>
      <c r="H208" s="21"/>
      <c r="I208" s="21"/>
    </row>
    <row r="209" spans="1:9" x14ac:dyDescent="0.2">
      <c r="A209" s="56"/>
      <c r="B209" s="11"/>
      <c r="C209" s="73"/>
      <c r="D209" s="73"/>
      <c r="E209" s="21"/>
      <c r="F209" s="21"/>
      <c r="G209" s="21"/>
      <c r="H209" s="21"/>
      <c r="I209" s="21"/>
    </row>
    <row r="210" spans="1:9" x14ac:dyDescent="0.2">
      <c r="A210" s="93"/>
      <c r="B210" s="8"/>
      <c r="C210" s="73"/>
      <c r="D210" s="73"/>
      <c r="E210" s="21"/>
      <c r="F210" s="21"/>
      <c r="G210" s="21"/>
      <c r="H210" s="21"/>
      <c r="I210" s="21"/>
    </row>
    <row r="211" spans="1:9" x14ac:dyDescent="0.2">
      <c r="A211" s="93"/>
      <c r="B211" s="11"/>
      <c r="C211" s="73"/>
      <c r="D211" s="73"/>
      <c r="E211" s="21"/>
      <c r="F211" s="21"/>
      <c r="G211" s="21"/>
      <c r="H211" s="21"/>
      <c r="I211" s="57"/>
    </row>
    <row r="212" spans="1:9" x14ac:dyDescent="0.2">
      <c r="A212" s="100"/>
      <c r="B212" s="11"/>
      <c r="C212" s="73"/>
      <c r="D212" s="84"/>
      <c r="E212" s="64"/>
      <c r="F212" s="21"/>
      <c r="G212" s="21"/>
      <c r="H212" s="68"/>
      <c r="I212" s="57"/>
    </row>
    <row r="213" spans="1:9" x14ac:dyDescent="0.2">
      <c r="A213" s="100"/>
      <c r="B213" s="11"/>
      <c r="C213" s="73"/>
      <c r="D213" s="84"/>
      <c r="E213" s="21"/>
      <c r="F213" s="21"/>
      <c r="G213" s="21"/>
      <c r="H213" s="21"/>
      <c r="I213" s="21"/>
    </row>
    <row r="214" spans="1:9" x14ac:dyDescent="0.2">
      <c r="A214" s="21"/>
      <c r="B214" s="21"/>
      <c r="C214" s="21"/>
      <c r="D214" s="21"/>
      <c r="E214" s="21"/>
      <c r="F214" s="21"/>
      <c r="G214" s="68"/>
      <c r="H214" s="21"/>
      <c r="I214" s="21"/>
    </row>
    <row r="215" spans="1:9" x14ac:dyDescent="0.2">
      <c r="A215" s="57"/>
      <c r="B215" s="21"/>
      <c r="C215" s="21"/>
      <c r="D215" s="21"/>
      <c r="E215" s="21"/>
      <c r="F215" s="68"/>
      <c r="G215" s="21"/>
      <c r="H215" s="21"/>
      <c r="I215" s="21"/>
    </row>
    <row r="216" spans="1:9" x14ac:dyDescent="0.2">
      <c r="A216" s="67"/>
      <c r="B216" s="8"/>
      <c r="C216" s="62"/>
      <c r="D216" s="62"/>
      <c r="E216" s="51"/>
      <c r="F216" s="21"/>
      <c r="G216" s="21"/>
      <c r="H216" s="21"/>
      <c r="I216" s="57"/>
    </row>
    <row r="217" spans="1:9" x14ac:dyDescent="0.2">
      <c r="A217" s="67"/>
      <c r="B217" s="8"/>
      <c r="C217" s="62"/>
      <c r="D217" s="62"/>
      <c r="E217" s="51"/>
      <c r="F217" s="51"/>
      <c r="G217" s="21"/>
      <c r="H217" s="83"/>
      <c r="I217" s="21"/>
    </row>
    <row r="218" spans="1:9" x14ac:dyDescent="0.2">
      <c r="A218" s="21"/>
      <c r="B218" s="21"/>
      <c r="C218" s="21"/>
      <c r="D218" s="21"/>
      <c r="E218" s="21"/>
      <c r="F218" s="21"/>
      <c r="G218" s="21"/>
      <c r="H218" s="21"/>
      <c r="I218" s="21"/>
    </row>
    <row r="219" spans="1:9" x14ac:dyDescent="0.2">
      <c r="A219" s="57"/>
      <c r="B219" s="57"/>
      <c r="C219" s="57"/>
      <c r="D219" s="62"/>
      <c r="E219" s="51"/>
      <c r="F219" s="51"/>
      <c r="G219" s="21"/>
      <c r="H219" s="21"/>
      <c r="I219" s="21"/>
    </row>
    <row r="220" spans="1:9" x14ac:dyDescent="0.2">
      <c r="A220" s="67"/>
      <c r="B220" s="15"/>
      <c r="C220" s="62"/>
      <c r="D220" s="62"/>
      <c r="E220" s="51"/>
      <c r="F220" s="51"/>
      <c r="G220" s="21"/>
      <c r="H220" s="21"/>
      <c r="I220" s="21"/>
    </row>
    <row r="221" spans="1:9" x14ac:dyDescent="0.2">
      <c r="A221" s="67"/>
      <c r="B221" s="8"/>
      <c r="C221" s="62"/>
      <c r="D221" s="62"/>
      <c r="E221" s="51"/>
      <c r="F221" s="51"/>
      <c r="G221" s="21"/>
      <c r="H221" s="21"/>
      <c r="I221" s="21"/>
    </row>
    <row r="222" spans="1:9" x14ac:dyDescent="0.2">
      <c r="A222" s="67"/>
      <c r="B222" s="8"/>
      <c r="C222" s="62"/>
      <c r="D222" s="62"/>
      <c r="E222" s="51"/>
      <c r="F222" s="51"/>
      <c r="G222" s="21"/>
      <c r="H222" s="21"/>
      <c r="I222" s="21"/>
    </row>
    <row r="223" spans="1:9" x14ac:dyDescent="0.2">
      <c r="A223" s="67"/>
      <c r="B223" s="8"/>
      <c r="C223" s="62"/>
      <c r="D223" s="62"/>
      <c r="E223" s="51"/>
      <c r="F223" s="51"/>
      <c r="G223" s="21"/>
      <c r="H223" s="83"/>
      <c r="I223" s="21"/>
    </row>
    <row r="224" spans="1:9" x14ac:dyDescent="0.2">
      <c r="A224" s="21"/>
      <c r="B224" s="21"/>
      <c r="C224" s="21"/>
      <c r="D224" s="21"/>
      <c r="E224" s="21"/>
      <c r="F224" s="21"/>
      <c r="G224" s="21"/>
      <c r="H224" s="21"/>
      <c r="I224" s="21"/>
    </row>
    <row r="225" spans="1:9" x14ac:dyDescent="0.2">
      <c r="A225" s="21"/>
      <c r="B225" s="21"/>
      <c r="C225" s="21"/>
      <c r="D225" s="21"/>
      <c r="E225" s="21"/>
      <c r="F225" s="21"/>
      <c r="G225" s="21"/>
      <c r="H225" s="21"/>
      <c r="I225" s="21"/>
    </row>
    <row r="226" spans="1:9" x14ac:dyDescent="0.2">
      <c r="A226" s="106"/>
      <c r="B226" s="21"/>
      <c r="C226" s="21"/>
      <c r="D226" s="21"/>
      <c r="E226" s="21"/>
      <c r="F226" s="21"/>
      <c r="G226" s="21"/>
      <c r="H226" s="21"/>
      <c r="I226" s="21"/>
    </row>
    <row r="227" spans="1:9" x14ac:dyDescent="0.2">
      <c r="A227" s="21"/>
      <c r="B227" s="21"/>
      <c r="C227" s="21"/>
      <c r="D227" s="21"/>
      <c r="E227" s="21"/>
      <c r="F227" s="21"/>
      <c r="G227" s="21"/>
      <c r="H227" s="21"/>
      <c r="I227" s="21"/>
    </row>
    <row r="228" spans="1:9" x14ac:dyDescent="0.2">
      <c r="A228" s="21"/>
      <c r="B228" s="21"/>
      <c r="C228" s="21"/>
      <c r="D228" s="21"/>
      <c r="E228" s="21"/>
      <c r="F228" s="21"/>
      <c r="G228" s="21"/>
      <c r="H228" s="21"/>
      <c r="I228" s="21"/>
    </row>
    <row r="229" spans="1:9" x14ac:dyDescent="0.2">
      <c r="A229" s="21"/>
      <c r="B229" s="21"/>
      <c r="C229" s="21"/>
      <c r="D229" s="21"/>
      <c r="E229" s="21"/>
      <c r="F229" s="21"/>
      <c r="G229" s="21"/>
      <c r="H229" s="21"/>
      <c r="I229" s="21"/>
    </row>
    <row r="230" spans="1:9" x14ac:dyDescent="0.2">
      <c r="A230" s="21"/>
      <c r="B230" s="21"/>
      <c r="C230" s="21"/>
      <c r="D230" s="21"/>
      <c r="E230" s="21"/>
      <c r="F230" s="21"/>
      <c r="G230" s="21"/>
      <c r="H230" s="21"/>
      <c r="I230" s="21"/>
    </row>
    <row r="231" spans="1:9" x14ac:dyDescent="0.2">
      <c r="A231" s="21"/>
      <c r="B231" s="21"/>
      <c r="C231" s="21"/>
      <c r="D231" s="21"/>
      <c r="E231" s="21"/>
      <c r="F231" s="21"/>
      <c r="G231" s="21"/>
      <c r="H231" s="21"/>
      <c r="I231" s="21"/>
    </row>
    <row r="232" spans="1:9" x14ac:dyDescent="0.2">
      <c r="A232" s="21"/>
      <c r="B232" s="21"/>
      <c r="C232" s="21"/>
      <c r="D232" s="21"/>
      <c r="E232" s="21"/>
      <c r="F232" s="21"/>
      <c r="G232" s="21"/>
      <c r="H232" s="21"/>
      <c r="I232" s="21"/>
    </row>
    <row r="233" spans="1:9" x14ac:dyDescent="0.2">
      <c r="A233" s="21"/>
      <c r="B233" s="21"/>
      <c r="C233" s="21"/>
      <c r="D233" s="21"/>
      <c r="E233" s="21"/>
      <c r="F233" s="21"/>
      <c r="G233" s="21"/>
      <c r="H233" s="21"/>
      <c r="I233" s="21"/>
    </row>
    <row r="234" spans="1:9" x14ac:dyDescent="0.2">
      <c r="A234" s="21"/>
      <c r="B234" s="21"/>
      <c r="C234" s="21"/>
      <c r="D234" s="21"/>
      <c r="E234" s="21"/>
      <c r="F234" s="21"/>
      <c r="G234" s="21"/>
      <c r="H234" s="21"/>
      <c r="I234" s="21"/>
    </row>
    <row r="235" spans="1:9" x14ac:dyDescent="0.2">
      <c r="A235" s="21"/>
      <c r="B235" s="21"/>
      <c r="C235" s="21"/>
      <c r="D235" s="21"/>
      <c r="E235" s="21"/>
      <c r="F235" s="21"/>
      <c r="G235" s="21"/>
      <c r="H235" s="21"/>
      <c r="I235" s="21"/>
    </row>
    <row r="236" spans="1:9" x14ac:dyDescent="0.2">
      <c r="A236" s="21"/>
      <c r="B236" s="21"/>
      <c r="C236" s="21"/>
      <c r="D236" s="21"/>
      <c r="E236" s="21"/>
      <c r="F236" s="21"/>
      <c r="G236" s="21"/>
      <c r="H236" s="21"/>
      <c r="I236" s="21"/>
    </row>
    <row r="237" spans="1:9" x14ac:dyDescent="0.2">
      <c r="A237" s="21"/>
      <c r="B237" s="21"/>
      <c r="C237" s="21"/>
      <c r="D237" s="21"/>
      <c r="E237" s="21"/>
      <c r="F237" s="21"/>
      <c r="G237" s="21"/>
      <c r="H237" s="21"/>
      <c r="I237" s="21"/>
    </row>
    <row r="238" spans="1:9" x14ac:dyDescent="0.2">
      <c r="A238" s="21"/>
      <c r="B238" s="21"/>
      <c r="C238" s="21"/>
      <c r="D238" s="21"/>
      <c r="E238" s="21"/>
      <c r="F238" s="21"/>
      <c r="G238" s="21"/>
      <c r="H238" s="21"/>
      <c r="I238" s="21"/>
    </row>
    <row r="239" spans="1:9" x14ac:dyDescent="0.2">
      <c r="A239" s="21"/>
      <c r="B239" s="21"/>
      <c r="C239" s="21"/>
      <c r="D239" s="21"/>
      <c r="E239" s="21"/>
      <c r="F239" s="21"/>
      <c r="G239" s="21"/>
      <c r="H239" s="21"/>
      <c r="I239" s="21"/>
    </row>
    <row r="240" spans="1:9" x14ac:dyDescent="0.2">
      <c r="A240" s="21"/>
      <c r="B240" s="21"/>
      <c r="C240" s="21"/>
      <c r="D240" s="21"/>
      <c r="E240" s="21"/>
      <c r="F240" s="21"/>
      <c r="G240" s="21"/>
      <c r="H240" s="21"/>
      <c r="I240" s="21"/>
    </row>
    <row r="241" spans="1:9" x14ac:dyDescent="0.2">
      <c r="A241" s="21"/>
      <c r="B241" s="21"/>
      <c r="C241" s="21"/>
      <c r="D241" s="21"/>
      <c r="E241" s="21"/>
      <c r="F241" s="21"/>
      <c r="G241" s="21"/>
      <c r="H241" s="21"/>
      <c r="I241" s="21"/>
    </row>
    <row r="242" spans="1:9" x14ac:dyDescent="0.2">
      <c r="A242" s="21"/>
      <c r="B242" s="21"/>
      <c r="C242" s="21"/>
      <c r="D242" s="21"/>
      <c r="E242" s="21"/>
      <c r="F242" s="21"/>
      <c r="G242" s="21"/>
      <c r="H242" s="21"/>
      <c r="I242" s="21"/>
    </row>
    <row r="243" spans="1:9" x14ac:dyDescent="0.2">
      <c r="A243" s="21"/>
      <c r="B243" s="21"/>
      <c r="C243" s="21"/>
      <c r="D243" s="21"/>
      <c r="E243" s="21"/>
      <c r="F243" s="21"/>
      <c r="G243" s="21"/>
      <c r="H243" s="21"/>
      <c r="I243" s="21"/>
    </row>
    <row r="244" spans="1:9" x14ac:dyDescent="0.2">
      <c r="A244" s="21"/>
      <c r="B244" s="21"/>
      <c r="C244" s="21"/>
      <c r="D244" s="21"/>
      <c r="E244" s="21"/>
      <c r="F244" s="21"/>
      <c r="G244" s="21"/>
      <c r="H244" s="21"/>
      <c r="I244" s="21"/>
    </row>
    <row r="245" spans="1:9" x14ac:dyDescent="0.2">
      <c r="A245" s="21"/>
      <c r="B245" s="21"/>
      <c r="C245" s="21"/>
      <c r="D245" s="21"/>
      <c r="E245" s="21"/>
      <c r="F245" s="21"/>
      <c r="G245" s="21"/>
      <c r="H245" s="21"/>
      <c r="I245" s="21"/>
    </row>
    <row r="246" spans="1:9" x14ac:dyDescent="0.2">
      <c r="A246" s="21"/>
      <c r="B246" s="21"/>
      <c r="C246" s="21"/>
      <c r="D246" s="21"/>
      <c r="E246" s="21"/>
      <c r="F246" s="21"/>
      <c r="G246" s="21"/>
      <c r="H246" s="21"/>
      <c r="I246" s="21"/>
    </row>
    <row r="247" spans="1:9" x14ac:dyDescent="0.2">
      <c r="A247" s="21"/>
      <c r="B247" s="21"/>
      <c r="C247" s="21"/>
      <c r="D247" s="21"/>
      <c r="E247" s="21"/>
      <c r="F247" s="21"/>
      <c r="G247" s="21"/>
      <c r="H247" s="21"/>
      <c r="I247" s="21"/>
    </row>
    <row r="248" spans="1:9" x14ac:dyDescent="0.2">
      <c r="A248" s="21"/>
      <c r="B248" s="21"/>
      <c r="C248" s="21"/>
      <c r="D248" s="21"/>
      <c r="E248" s="21"/>
      <c r="F248" s="21"/>
      <c r="G248" s="21"/>
      <c r="H248" s="21"/>
      <c r="I248" s="21"/>
    </row>
    <row r="249" spans="1:9" x14ac:dyDescent="0.2">
      <c r="A249" s="21"/>
      <c r="B249" s="21"/>
      <c r="C249" s="21"/>
      <c r="D249" s="21"/>
      <c r="E249" s="21"/>
      <c r="F249" s="21"/>
      <c r="G249" s="21"/>
      <c r="H249" s="21"/>
      <c r="I249" s="21"/>
    </row>
    <row r="250" spans="1:9" x14ac:dyDescent="0.2">
      <c r="A250" s="21"/>
      <c r="B250" s="21"/>
      <c r="C250" s="21"/>
      <c r="D250" s="21"/>
      <c r="E250" s="21"/>
      <c r="F250" s="21"/>
      <c r="G250" s="21"/>
      <c r="H250" s="21"/>
      <c r="I250" s="21"/>
    </row>
  </sheetData>
  <sheetProtection sheet="1" objects="1" scenarios="1"/>
  <phoneticPr fontId="0" type="noConversion"/>
  <dataValidations xWindow="208" yWindow="341" count="6">
    <dataValidation type="decimal" allowBlank="1" showInputMessage="1" showErrorMessage="1" error="The value input MUST BE between 0 and 3*L-(xL)!" prompt="The value input here should be the distance from the point of application of the vertical load (Pv) to the vertical weld portion (back) of the C-shaped weld group." sqref="C14">
      <formula1>0</formula1>
      <formula2>3*$D$8-$V$5</formula2>
    </dataValidation>
    <dataValidation type="decimal" operator="greaterThan" allowBlank="1" showInputMessage="1" showErrorMessage="1" error="The value input MUST BE &gt; 0!" prompt="The value 'Pv' is actually the vertical component of the resultant load, 'P'.  'Pv' should always be input as a positive number (&gt;0)." sqref="C12">
      <formula1>0</formula1>
    </dataValidation>
    <dataValidation type="decimal" operator="greaterThanOrEqual" allowBlank="1" showInputMessage="1" showErrorMessage="1" error="The value input MUST BE &gt;= 0!" prompt="The value of 'Ph' is actually the horizontal component of the resultant load, 'P'.  'Ph' may be input = 0 for conditions where only vertical load applies.  'Ph' is assumed applied at the C.G. of the weld group." sqref="C13">
      <formula1>0</formula1>
    </dataValidation>
    <dataValidation type="decimal" allowBlank="1" showInputMessage="1" showErrorMessage="1" error="The value input MUST BE between 0 and 2*L!_x000a_Use &quot;Weld Group (elastic)&quot; worksheet." sqref="C10">
      <formula1>0</formula1>
      <formula2>2*$C$9</formula2>
    </dataValidation>
    <dataValidation type="list" allowBlank="1" showInputMessage="1" showErrorMessage="1" error="Invalid fillet weld size!" sqref="C11">
      <formula1>$K$3:$K$11</formula1>
    </dataValidation>
    <dataValidation type="decimal" operator="greaterThanOrEqual" allowBlank="1" showInputMessage="1" showErrorMessage="1" error="The value input MUST BE &gt;= 0.5*(kL)!_x000a_Use &quot;Weld Group (elastic&quot; worksheet." sqref="C9">
      <formula1>0.5*$C$10</formula1>
    </dataValidation>
  </dataValidations>
  <pageMargins left="1" right="0.5" top="1" bottom="1" header="0.5" footer="0.5"/>
  <pageSetup scale="98" orientation="portrait" r:id="rId1"/>
  <headerFooter alignWithMargins="0">
    <oddHeader>&amp;R"WELDGRP.xls" Program
Version 2.3</oddHeader>
    <oddFooter>&amp;C&amp;P of &amp;N&amp;R&amp;D  &amp;T</oddFooter>
  </headerFooter>
  <rowBreaks count="3" manualBreakCount="3">
    <brk id="100" max="8" man="1"/>
    <brk id="150" max="8" man="1"/>
    <brk id="200" max="8" man="1"/>
  </rowBreaks>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1211211111111111121"/>
  <dimension ref="A1:AL250"/>
  <sheetViews>
    <sheetView zoomScaleNormal="100" workbookViewId="0"/>
  </sheetViews>
  <sheetFormatPr defaultRowHeight="12.75" x14ac:dyDescent="0.2"/>
  <cols>
    <col min="1" max="1" width="11.28515625" style="18" customWidth="1"/>
    <col min="2" max="2" width="9.140625" style="18"/>
    <col min="3" max="4" width="10.7109375" style="18" customWidth="1"/>
    <col min="5" max="8" width="9.140625" style="18"/>
    <col min="9" max="9" width="12.140625" style="18" customWidth="1"/>
    <col min="10" max="13" width="9.140625" style="43" hidden="1" customWidth="1"/>
    <col min="14" max="14" width="9.140625" style="44" hidden="1" customWidth="1"/>
    <col min="15" max="23" width="9.140625" style="43" hidden="1" customWidth="1"/>
    <col min="24" max="33" width="9.140625" style="18" hidden="1" customWidth="1"/>
    <col min="34" max="16384" width="9.140625" style="18"/>
  </cols>
  <sheetData>
    <row r="1" spans="1:38" ht="15.75" x14ac:dyDescent="0.25">
      <c r="A1" s="493" t="s">
        <v>1167</v>
      </c>
      <c r="B1" s="494"/>
      <c r="C1" s="494"/>
      <c r="D1" s="494"/>
      <c r="E1" s="494"/>
      <c r="F1" s="494"/>
      <c r="G1" s="494"/>
      <c r="H1" s="494"/>
      <c r="I1" s="495"/>
      <c r="J1" s="492"/>
      <c r="K1" s="245"/>
      <c r="L1" s="129"/>
      <c r="M1" s="82" t="s">
        <v>1181</v>
      </c>
      <c r="N1" s="43"/>
      <c r="O1" s="44"/>
      <c r="R1" s="51"/>
      <c r="AH1" s="317" t="s">
        <v>1266</v>
      </c>
    </row>
    <row r="2" spans="1:38" x14ac:dyDescent="0.2">
      <c r="A2" s="27" t="s">
        <v>1365</v>
      </c>
      <c r="B2" s="496"/>
      <c r="C2" s="496"/>
      <c r="D2" s="496"/>
      <c r="E2" s="496"/>
      <c r="F2" s="496"/>
      <c r="G2" s="496"/>
      <c r="H2" s="496"/>
      <c r="I2" s="497"/>
      <c r="J2" s="72"/>
      <c r="K2" s="41"/>
      <c r="L2" s="129"/>
      <c r="N2" s="43"/>
      <c r="O2" s="44"/>
      <c r="R2" s="51"/>
    </row>
    <row r="3" spans="1:38" x14ac:dyDescent="0.2">
      <c r="A3" s="20" t="s">
        <v>1204</v>
      </c>
      <c r="B3" s="498"/>
      <c r="C3" s="498"/>
      <c r="D3" s="498"/>
      <c r="E3" s="498"/>
      <c r="F3" s="498"/>
      <c r="G3" s="498"/>
      <c r="H3" s="498"/>
      <c r="I3" s="499"/>
      <c r="J3" s="72"/>
      <c r="K3" s="208">
        <v>0.125</v>
      </c>
      <c r="M3" s="69" t="s">
        <v>1196</v>
      </c>
      <c r="N3" s="11">
        <f>$C$9</f>
        <v>11.5</v>
      </c>
      <c r="O3" s="59" t="s">
        <v>1172</v>
      </c>
      <c r="P3" s="59" t="s">
        <v>1178</v>
      </c>
      <c r="R3" s="51"/>
    </row>
    <row r="4" spans="1:38" x14ac:dyDescent="0.2">
      <c r="A4" s="286" t="s">
        <v>1115</v>
      </c>
      <c r="B4" s="287"/>
      <c r="C4" s="288"/>
      <c r="D4" s="288"/>
      <c r="E4" s="288"/>
      <c r="F4" s="291" t="s">
        <v>1206</v>
      </c>
      <c r="G4" s="315"/>
      <c r="H4" s="316"/>
      <c r="I4" s="314"/>
      <c r="J4" s="121"/>
      <c r="K4" s="208">
        <v>0.1875</v>
      </c>
      <c r="M4" s="69" t="s">
        <v>1180</v>
      </c>
      <c r="N4" s="11">
        <f>$C$10</f>
        <v>3</v>
      </c>
      <c r="O4" s="59" t="s">
        <v>1172</v>
      </c>
      <c r="P4" s="59" t="s">
        <v>1100</v>
      </c>
      <c r="R4" s="51"/>
      <c r="AH4" s="45" t="s">
        <v>1174</v>
      </c>
      <c r="AI4" s="43"/>
      <c r="AJ4" s="43"/>
      <c r="AK4" s="43"/>
      <c r="AL4" s="43"/>
    </row>
    <row r="5" spans="1:38" x14ac:dyDescent="0.2">
      <c r="A5" s="286" t="s">
        <v>1111</v>
      </c>
      <c r="B5" s="313"/>
      <c r="C5" s="289"/>
      <c r="D5" s="289"/>
      <c r="E5" s="290"/>
      <c r="F5" s="291" t="s">
        <v>1207</v>
      </c>
      <c r="G5" s="312"/>
      <c r="H5" s="131" t="s">
        <v>1208</v>
      </c>
      <c r="I5" s="544"/>
      <c r="J5" s="121"/>
      <c r="K5" s="208">
        <v>0.25</v>
      </c>
      <c r="M5" s="69" t="s">
        <v>1195</v>
      </c>
      <c r="N5" s="11">
        <f>ROUND($N$4^2/(2*($N$4+$N$3)),3)</f>
        <v>0.31</v>
      </c>
      <c r="O5" s="59" t="s">
        <v>1172</v>
      </c>
      <c r="P5" s="110" t="s">
        <v>1177</v>
      </c>
      <c r="R5" s="51"/>
      <c r="AH5" s="12" t="s">
        <v>1173</v>
      </c>
      <c r="AI5" s="49" t="s">
        <v>1113</v>
      </c>
      <c r="AJ5" s="43"/>
      <c r="AK5" s="43"/>
      <c r="AL5" s="50" t="s">
        <v>1081</v>
      </c>
    </row>
    <row r="6" spans="1:38" x14ac:dyDescent="0.2">
      <c r="A6" s="81"/>
      <c r="B6" s="121"/>
      <c r="C6" s="121"/>
      <c r="D6" s="121"/>
      <c r="E6" s="121"/>
      <c r="F6" s="121"/>
      <c r="G6" s="121"/>
      <c r="H6" s="121"/>
      <c r="I6" s="547"/>
      <c r="J6" s="121"/>
      <c r="K6" s="208">
        <v>0.3125</v>
      </c>
      <c r="M6" s="69" t="s">
        <v>1090</v>
      </c>
      <c r="N6" s="11">
        <f>ROUND($N$3^2/(2*($N$4+$N$3)),3)</f>
        <v>4.5599999999999996</v>
      </c>
      <c r="O6" s="59" t="s">
        <v>1172</v>
      </c>
      <c r="P6" s="110" t="s">
        <v>1192</v>
      </c>
      <c r="AH6" s="101" t="s">
        <v>1179</v>
      </c>
      <c r="AI6" s="43"/>
      <c r="AJ6" s="43"/>
      <c r="AK6" s="43"/>
      <c r="AL6" s="85"/>
    </row>
    <row r="7" spans="1:38" x14ac:dyDescent="0.2">
      <c r="A7" s="76" t="s">
        <v>1112</v>
      </c>
      <c r="B7" s="121"/>
      <c r="C7" s="121"/>
      <c r="D7" s="121"/>
      <c r="E7" s="553"/>
      <c r="F7" s="121"/>
      <c r="G7" s="121"/>
      <c r="H7" s="121"/>
      <c r="I7" s="547"/>
      <c r="K7" s="208">
        <v>0.375</v>
      </c>
      <c r="M7" s="69" t="s">
        <v>1085</v>
      </c>
      <c r="N7" s="11">
        <f>$C$14-$N$5</f>
        <v>3.69</v>
      </c>
      <c r="O7" s="59" t="s">
        <v>1172</v>
      </c>
      <c r="P7" s="110" t="s">
        <v>1087</v>
      </c>
      <c r="AH7" s="48">
        <v>43</v>
      </c>
      <c r="AI7" s="63" t="str">
        <f>IF($C$11*16&gt;=$N$19,"D(prov'd) &gt;= D(req'd), O.K.","D(prov'd) &lt; D(req'd), Fail")</f>
        <v>D(prov'd) &gt;= D(req'd), O.K.</v>
      </c>
      <c r="AJ7" s="43"/>
      <c r="AK7" s="43"/>
      <c r="AL7" s="239">
        <f>$N$19/($C$11*16)</f>
        <v>0.97666666666666668</v>
      </c>
    </row>
    <row r="8" spans="1:38" x14ac:dyDescent="0.2">
      <c r="A8" s="81"/>
      <c r="B8" s="64"/>
      <c r="C8" s="21"/>
      <c r="D8" s="21"/>
      <c r="E8" s="21"/>
      <c r="F8" s="500"/>
      <c r="G8" s="500"/>
      <c r="H8" s="501" t="str">
        <f>"     Pv="&amp;$C$12&amp;" k"</f>
        <v xml:space="preserve">     Pv=25 k</v>
      </c>
      <c r="I8" s="24"/>
      <c r="J8" s="213"/>
      <c r="K8" s="208">
        <v>0.4375</v>
      </c>
      <c r="M8" s="69" t="s">
        <v>1124</v>
      </c>
      <c r="N8" s="11">
        <f>$N$7/$N$3</f>
        <v>0.32086956521739129</v>
      </c>
      <c r="O8" s="244"/>
      <c r="P8" s="110" t="s">
        <v>1086</v>
      </c>
      <c r="AH8" s="48">
        <v>44</v>
      </c>
      <c r="AI8" s="63" t="str">
        <f>IF($N$3&gt;=$N$20,"L(prov'd) &gt;= L(req'd), O.K.","L(prov'd) &lt; L(req'd), Fail")</f>
        <v>L(prov'd) &gt;= L(req'd), O.K.</v>
      </c>
      <c r="AJ8" s="43"/>
      <c r="AK8" s="43"/>
      <c r="AL8" s="239">
        <f>$N$20/$N$3</f>
        <v>0.9766086956521739</v>
      </c>
    </row>
    <row r="9" spans="1:38" x14ac:dyDescent="0.2">
      <c r="A9" s="81"/>
      <c r="B9" s="93" t="s">
        <v>1091</v>
      </c>
      <c r="C9" s="280">
        <v>11.5</v>
      </c>
      <c r="D9" s="193" t="s">
        <v>1172</v>
      </c>
      <c r="E9" s="21"/>
      <c r="F9" s="492"/>
      <c r="G9" s="231">
        <f>$C$14</f>
        <v>4</v>
      </c>
      <c r="H9" s="213"/>
      <c r="I9" s="24"/>
      <c r="J9" s="492"/>
      <c r="K9" s="208">
        <v>0.5</v>
      </c>
      <c r="M9" s="69" t="s">
        <v>1138</v>
      </c>
      <c r="N9" s="11">
        <f>$N$4/$N$3</f>
        <v>0.2608695652173913</v>
      </c>
      <c r="O9" s="134" t="str">
        <f>IF($N$9&gt;2,"Value of 'k' exceeds 2.0, beyond scope of table!","")</f>
        <v/>
      </c>
      <c r="P9" s="110" t="s">
        <v>1088</v>
      </c>
      <c r="S9" s="48"/>
      <c r="T9" s="63"/>
      <c r="W9" s="11"/>
    </row>
    <row r="10" spans="1:38" x14ac:dyDescent="0.2">
      <c r="A10" s="81"/>
      <c r="B10" s="93" t="s">
        <v>1140</v>
      </c>
      <c r="C10" s="281">
        <v>3</v>
      </c>
      <c r="D10" s="193" t="s">
        <v>1172</v>
      </c>
      <c r="E10" s="21"/>
      <c r="F10" s="492"/>
      <c r="G10" s="235" t="str">
        <f>"    aL="&amp;$N$7</f>
        <v xml:space="preserve">    aL=3.69</v>
      </c>
      <c r="H10" s="114" t="s">
        <v>1486</v>
      </c>
      <c r="I10" s="502" t="str">
        <f>""&amp;ROUND($N$13,2)</f>
        <v>0</v>
      </c>
      <c r="J10" s="229"/>
      <c r="K10" s="208">
        <v>0.5625</v>
      </c>
      <c r="M10" s="46" t="s">
        <v>1184</v>
      </c>
      <c r="N10" s="136">
        <f>1</f>
        <v>1</v>
      </c>
      <c r="O10" s="44"/>
      <c r="P10" s="44" t="s">
        <v>1185</v>
      </c>
      <c r="T10" s="11"/>
    </row>
    <row r="11" spans="1:38" x14ac:dyDescent="0.2">
      <c r="A11" s="81"/>
      <c r="B11" s="93" t="s">
        <v>1145</v>
      </c>
      <c r="C11" s="282">
        <v>0.1875</v>
      </c>
      <c r="D11" s="138" t="str">
        <f>"in. = "&amp;$C$11*16&amp;" (1/16's)"</f>
        <v>in. = 3 (1/16's)</v>
      </c>
      <c r="E11" s="193"/>
      <c r="F11" s="492"/>
      <c r="G11" s="93"/>
      <c r="H11" s="492"/>
      <c r="I11" s="24"/>
      <c r="J11" s="80"/>
      <c r="K11" s="208">
        <v>0.625</v>
      </c>
      <c r="M11" s="69" t="s">
        <v>1122</v>
      </c>
      <c r="N11" s="11">
        <f>ROUND(IF($N$9&lt;=2,$AF$51,"N.A."),3)</f>
        <v>0.74199999999999999</v>
      </c>
      <c r="O11" s="137"/>
      <c r="P11" s="110" t="s">
        <v>1168</v>
      </c>
      <c r="AI11" s="301" t="str">
        <f>IF(OR($N$19&gt;$C$11*16,$N$20&gt;$N$3),"Weld is overstressed!","Weld is adequate!")</f>
        <v>Weld is adequate!</v>
      </c>
      <c r="AJ11" s="35"/>
      <c r="AK11" s="36"/>
    </row>
    <row r="12" spans="1:38" x14ac:dyDescent="0.2">
      <c r="A12" s="81"/>
      <c r="B12" s="93" t="s">
        <v>1102</v>
      </c>
      <c r="C12" s="283">
        <v>25</v>
      </c>
      <c r="D12" s="193" t="s">
        <v>1114</v>
      </c>
      <c r="E12" s="193"/>
      <c r="F12" s="492"/>
      <c r="G12" s="133"/>
      <c r="H12" s="114"/>
      <c r="I12" s="294" t="str">
        <f>IF($C$13&gt;0,"     P="&amp;$N$12&amp;" k","     P=Pv")</f>
        <v xml:space="preserve">     P=Pv</v>
      </c>
      <c r="M12" s="46" t="s">
        <v>1187</v>
      </c>
      <c r="N12" s="54">
        <f>ROUND(SQRT($C$12^2+$C$13^2),2)</f>
        <v>25</v>
      </c>
      <c r="O12" s="44" t="s">
        <v>1114</v>
      </c>
      <c r="P12" s="44" t="s">
        <v>1120</v>
      </c>
      <c r="AI12" s="302" t="str">
        <f>IF($N$19&gt;$C$11*16,"D(req'd) = "&amp;$N$19&amp;" &gt; "&amp;$C$11*16&amp;" (1/16's)","D(req'd) = "&amp;$N$19&amp;" &lt;= "&amp;$C$11*16&amp;" (1/16's)")</f>
        <v>D(req'd) = 2.93 &lt;= 3 (1/16's)</v>
      </c>
      <c r="AJ12" s="37"/>
      <c r="AK12" s="303"/>
    </row>
    <row r="13" spans="1:38" x14ac:dyDescent="0.2">
      <c r="A13" s="81"/>
      <c r="B13" s="93" t="s">
        <v>1121</v>
      </c>
      <c r="C13" s="283">
        <v>0</v>
      </c>
      <c r="D13" s="193" t="s">
        <v>1114</v>
      </c>
      <c r="E13" s="21"/>
      <c r="F13" s="492"/>
      <c r="G13" s="193" t="s">
        <v>1175</v>
      </c>
      <c r="H13" s="73"/>
      <c r="I13" s="24"/>
      <c r="J13" s="133"/>
      <c r="M13" s="46" t="s">
        <v>1183</v>
      </c>
      <c r="N13" s="52">
        <f>IF($C$13&gt;0,ROUND(90-(ATAN($C$12/$C$13)*(180/PI())),3),0)</f>
        <v>0</v>
      </c>
      <c r="O13" s="44" t="s">
        <v>1103</v>
      </c>
      <c r="P13" s="102" t="s">
        <v>1157</v>
      </c>
      <c r="AI13" s="304" t="str">
        <f>IF($N$20&gt;$N$3,"L(req'd) = "&amp;$N$20&amp;" &gt; "&amp;$N$3&amp;" in.","L(req'd) = "&amp;$N$20&amp;" &lt;= "&amp;$N$3&amp;" in.")</f>
        <v>L(req'd) = 11.231 &lt;= 11.5 in.</v>
      </c>
      <c r="AJ13" s="305"/>
      <c r="AK13" s="306"/>
    </row>
    <row r="14" spans="1:38" x14ac:dyDescent="0.2">
      <c r="A14" s="81"/>
      <c r="B14" s="93" t="s">
        <v>1158</v>
      </c>
      <c r="C14" s="284">
        <v>4</v>
      </c>
      <c r="D14" s="193" t="s">
        <v>1172</v>
      </c>
      <c r="E14" s="492"/>
      <c r="F14" s="492"/>
      <c r="G14" s="492"/>
      <c r="H14" s="73"/>
      <c r="I14" s="24"/>
      <c r="J14" s="80"/>
      <c r="K14" s="208"/>
      <c r="M14" s="46" t="s">
        <v>1160</v>
      </c>
      <c r="N14" s="52" t="str">
        <f>IF($N$13&gt;0,$N$11,"N.A.")</f>
        <v>N.A.</v>
      </c>
      <c r="O14" s="44"/>
      <c r="P14" s="103" t="s">
        <v>1117</v>
      </c>
    </row>
    <row r="15" spans="1:38" x14ac:dyDescent="0.2">
      <c r="A15" s="30"/>
      <c r="B15" s="21"/>
      <c r="C15" s="21"/>
      <c r="D15" s="68" t="str">
        <f>IF($C$14&lt;$N$5,"(Use Table XXVI instead)","")</f>
        <v/>
      </c>
      <c r="E15" s="232" t="s">
        <v>1159</v>
      </c>
      <c r="F15" s="492"/>
      <c r="G15" s="492"/>
      <c r="H15" s="90"/>
      <c r="I15" s="294" t="str">
        <f>IF($C$13&gt;0,"Ph="&amp;$C$13&amp;" k","Ph=0")</f>
        <v>Ph=0</v>
      </c>
      <c r="J15" s="232"/>
      <c r="K15" s="208"/>
      <c r="M15" s="46" t="s">
        <v>1130</v>
      </c>
      <c r="N15" s="52" t="str">
        <f>IF($N$13&gt;0,0.928*(1+$N$9),"N.A.")</f>
        <v>N.A.</v>
      </c>
      <c r="O15" s="44"/>
      <c r="P15" s="103" t="s">
        <v>1123</v>
      </c>
    </row>
    <row r="16" spans="1:38" x14ac:dyDescent="0.2">
      <c r="A16" s="75" t="s">
        <v>1201</v>
      </c>
      <c r="B16" s="64"/>
      <c r="C16" s="64"/>
      <c r="D16" s="21"/>
      <c r="E16" s="231">
        <f>$N$3</f>
        <v>11.5</v>
      </c>
      <c r="F16" s="492"/>
      <c r="G16" s="501" t="str">
        <f>"          yL="&amp;$N$6</f>
        <v xml:space="preserve">          yL=4.56</v>
      </c>
      <c r="H16" s="492"/>
      <c r="I16" s="502" t="str">
        <f>IF($C$13&gt;0,"(@ C.G.)","")</f>
        <v/>
      </c>
      <c r="J16" s="80"/>
      <c r="K16" s="208"/>
      <c r="M16" s="46" t="s">
        <v>1188</v>
      </c>
      <c r="N16" s="52" t="str">
        <f>IF($N$13&gt;0,IF($N$15/$N$14&lt;1,1,$N$15/$N$14),"N.A.")</f>
        <v>N.A.</v>
      </c>
      <c r="O16" s="44"/>
      <c r="P16" s="103" t="s">
        <v>1132</v>
      </c>
    </row>
    <row r="17" spans="1:32" ht="12.75" customHeight="1" x14ac:dyDescent="0.2">
      <c r="A17" s="81"/>
      <c r="B17" s="21"/>
      <c r="C17" s="21"/>
      <c r="D17" s="21"/>
      <c r="E17" s="492"/>
      <c r="F17" s="492"/>
      <c r="G17" s="492"/>
      <c r="H17" s="492"/>
      <c r="I17" s="24"/>
      <c r="J17" s="80"/>
      <c r="K17" s="208"/>
      <c r="M17" s="46" t="s">
        <v>1133</v>
      </c>
      <c r="N17" s="52" t="str">
        <f>IF($N$13&gt;0,IF($N$16/(SIN($N$13*PI()/180)+$N$16*COS($N$13*PI()/180))&lt;1,1,$N$16/(SIN($N$13*PI()/180)+$N$16*COS($N$13*PI()/180))),"N.A.")</f>
        <v>N.A.</v>
      </c>
      <c r="O17" s="44"/>
      <c r="P17" s="44" t="s">
        <v>1198</v>
      </c>
      <c r="S17" s="86"/>
      <c r="T17" s="398"/>
    </row>
    <row r="18" spans="1:32" x14ac:dyDescent="0.2">
      <c r="A18" s="503" t="str">
        <f>IF($C$13&gt;0,"P = Ca*C1*D*L  (for inclined load)","P = Pv = C*C1*D*L  (for vertical load only)")</f>
        <v>P = Pv = C*C1*D*L  (for vertical load only)</v>
      </c>
      <c r="B18" s="64"/>
      <c r="C18" s="64"/>
      <c r="D18" s="21"/>
      <c r="E18" s="492"/>
      <c r="F18" s="492"/>
      <c r="G18" s="492"/>
      <c r="H18" s="492"/>
      <c r="I18" s="24"/>
      <c r="J18" s="80"/>
      <c r="K18" s="208"/>
      <c r="M18" s="46" t="s">
        <v>1143</v>
      </c>
      <c r="N18" s="52" t="str">
        <f>IF($N$13&gt;0,ROUND($N$17*$N$14,3),"N.A.")</f>
        <v>N.A.</v>
      </c>
      <c r="O18" s="44"/>
      <c r="P18" s="44" t="s">
        <v>1105</v>
      </c>
      <c r="S18" s="86"/>
      <c r="T18" s="398"/>
    </row>
    <row r="19" spans="1:32" x14ac:dyDescent="0.2">
      <c r="A19" s="81" t="s">
        <v>1154</v>
      </c>
      <c r="B19" s="64"/>
      <c r="C19" s="64"/>
      <c r="D19" s="21"/>
      <c r="E19" s="492"/>
      <c r="F19" s="492"/>
      <c r="G19" s="492"/>
      <c r="H19" s="492"/>
      <c r="I19" s="24"/>
      <c r="J19" s="80"/>
      <c r="K19" s="208"/>
      <c r="M19" s="69" t="s">
        <v>1193</v>
      </c>
      <c r="N19" s="11">
        <f>IF($N$13&gt;0,ROUND($N$12/($N$18*$N$10*$N$3),3),ROUND($N$12/($N$11*$N$10*$N$3),3))</f>
        <v>2.93</v>
      </c>
      <c r="O19" s="140" t="s">
        <v>1099</v>
      </c>
      <c r="P19" s="59" t="str">
        <f>IF($N$13&gt;0,"D(req'd) = P/(Ca*C1*L)","D(req'd) = P/(C*C1*L)")</f>
        <v>D(req'd) = P/(C*C1*L)</v>
      </c>
    </row>
    <row r="20" spans="1:32" x14ac:dyDescent="0.2">
      <c r="A20" s="504" t="str">
        <f>IF($C$13&gt;0,"Ca = coefficient for inclined load, Alt. Method 2","C = coefficient interpolated from Table XXV")</f>
        <v>C = coefficient interpolated from Table XXV</v>
      </c>
      <c r="B20" s="64"/>
      <c r="C20" s="64"/>
      <c r="D20" s="21"/>
      <c r="E20" s="501" t="str">
        <f>"       xL="&amp;$N$5</f>
        <v xml:space="preserve">       xL=0.31</v>
      </c>
      <c r="F20" s="38"/>
      <c r="G20" s="25" t="str">
        <f>"          "&amp;($N$9-$N$5/$N$3)*$N$3</f>
        <v xml:space="preserve">          2.69</v>
      </c>
      <c r="H20" s="133"/>
      <c r="I20" s="24"/>
      <c r="J20" s="80"/>
      <c r="K20" s="208"/>
      <c r="M20" s="69" t="s">
        <v>1190</v>
      </c>
      <c r="N20" s="11">
        <f>IF($N$13&gt;0,ROUND($N$12/($N$10*$N$18*($C$11*16)),3),ROUND($N$12/($N$10*$N$11*($C$11*16)),3))</f>
        <v>11.231</v>
      </c>
      <c r="O20" s="59" t="s">
        <v>1172</v>
      </c>
      <c r="P20" s="59" t="str">
        <f>IF($N$13&gt;0,"L(req'd) = P/(Ca*C1*D)","L(req'd) = P/(C*C1*D)")</f>
        <v>L(req'd) = P/(C*C1*D)</v>
      </c>
    </row>
    <row r="21" spans="1:32" x14ac:dyDescent="0.2">
      <c r="A21" s="81" t="s">
        <v>1106</v>
      </c>
      <c r="B21" s="64"/>
      <c r="C21" s="64"/>
      <c r="D21" s="21"/>
      <c r="E21" s="492"/>
      <c r="F21" s="492"/>
      <c r="G21" s="492"/>
      <c r="H21" s="213"/>
      <c r="I21" s="24"/>
      <c r="J21" s="80"/>
      <c r="N21" s="43"/>
      <c r="Q21" s="18"/>
      <c r="R21" s="18"/>
      <c r="S21" s="18"/>
      <c r="T21" s="18"/>
      <c r="U21" s="18"/>
      <c r="V21" s="18"/>
      <c r="W21" s="18"/>
      <c r="AC21" s="148" t="s">
        <v>1092</v>
      </c>
      <c r="AD21" s="149"/>
      <c r="AE21" s="149"/>
      <c r="AF21" s="150"/>
    </row>
    <row r="22" spans="1:32" x14ac:dyDescent="0.2">
      <c r="A22" s="81" t="s">
        <v>1135</v>
      </c>
      <c r="B22" s="64"/>
      <c r="C22" s="64"/>
      <c r="D22" s="7"/>
      <c r="E22" s="501" t="str">
        <f>"                  kL=     "&amp;$N$4</f>
        <v xml:space="preserve">                  kL=     3</v>
      </c>
      <c r="F22" s="7"/>
      <c r="G22" s="7"/>
      <c r="H22" s="213"/>
      <c r="I22" s="24"/>
      <c r="J22" s="80"/>
      <c r="K22" s="120" t="s">
        <v>1151</v>
      </c>
      <c r="L22" s="157"/>
      <c r="M22" s="116"/>
      <c r="N22" s="116"/>
      <c r="O22" s="116"/>
      <c r="P22" s="116"/>
      <c r="Q22" s="116"/>
      <c r="R22" s="116"/>
      <c r="S22" s="116"/>
      <c r="T22" s="157"/>
      <c r="U22" s="116"/>
      <c r="V22" s="116"/>
      <c r="W22" s="116"/>
      <c r="X22" s="116"/>
      <c r="Y22" s="116"/>
      <c r="Z22" s="116"/>
      <c r="AA22" s="117"/>
      <c r="AB22" s="51"/>
      <c r="AC22" s="151"/>
      <c r="AD22" s="152" t="s">
        <v>1093</v>
      </c>
      <c r="AE22" s="153" t="s">
        <v>1148</v>
      </c>
      <c r="AF22" s="154" t="s">
        <v>1093</v>
      </c>
    </row>
    <row r="23" spans="1:32" x14ac:dyDescent="0.2">
      <c r="A23" s="81" t="s">
        <v>1178</v>
      </c>
      <c r="B23" s="64"/>
      <c r="C23" s="7"/>
      <c r="D23" s="21"/>
      <c r="E23" s="492"/>
      <c r="F23" s="492"/>
      <c r="G23" s="492"/>
      <c r="H23" s="65"/>
      <c r="I23" s="24"/>
      <c r="J23" s="80"/>
      <c r="K23" s="155"/>
      <c r="L23" s="156" t="s">
        <v>1148</v>
      </c>
      <c r="M23" s="116"/>
      <c r="N23" s="116"/>
      <c r="O23" s="116"/>
      <c r="P23" s="116"/>
      <c r="Q23" s="116"/>
      <c r="R23" s="116"/>
      <c r="S23" s="116"/>
      <c r="T23" s="157"/>
      <c r="U23" s="116"/>
      <c r="V23" s="116"/>
      <c r="W23" s="116"/>
      <c r="X23" s="116"/>
      <c r="Y23" s="116"/>
      <c r="Z23" s="116"/>
      <c r="AA23" s="117"/>
      <c r="AB23" s="51"/>
      <c r="AC23" s="151"/>
      <c r="AD23" s="158">
        <f>LOOKUP($AD$24,$L$24:$AA$24,$L$51:$AA$51)</f>
        <v>3</v>
      </c>
      <c r="AE23" s="158" t="s">
        <v>1094</v>
      </c>
      <c r="AF23" s="159">
        <f>LOOKUP($AD$23+1,$L$51:$AA$51)</f>
        <v>4</v>
      </c>
    </row>
    <row r="24" spans="1:32" x14ac:dyDescent="0.2">
      <c r="A24" s="30"/>
      <c r="B24" s="21"/>
      <c r="C24" s="21"/>
      <c r="D24" s="21"/>
      <c r="E24" s="212" t="str">
        <f>IF($N$8&gt;3,"Value of 'a' exceeds 3.0, beyond scope of table!","")</f>
        <v/>
      </c>
      <c r="F24" s="21"/>
      <c r="G24" s="21"/>
      <c r="H24" s="21"/>
      <c r="I24" s="24"/>
      <c r="K24" s="160" t="s">
        <v>1095</v>
      </c>
      <c r="L24" s="161">
        <v>0</v>
      </c>
      <c r="M24" s="162">
        <v>0.1</v>
      </c>
      <c r="N24" s="161">
        <v>0.2</v>
      </c>
      <c r="O24" s="162">
        <v>0.3</v>
      </c>
      <c r="P24" s="161">
        <v>0.4</v>
      </c>
      <c r="Q24" s="162">
        <v>0.5</v>
      </c>
      <c r="R24" s="161">
        <v>0.6</v>
      </c>
      <c r="S24" s="162">
        <v>0.7</v>
      </c>
      <c r="T24" s="161">
        <v>0.8</v>
      </c>
      <c r="U24" s="162">
        <v>0.9</v>
      </c>
      <c r="V24" s="163">
        <v>1</v>
      </c>
      <c r="W24" s="162">
        <v>1.2</v>
      </c>
      <c r="X24" s="161">
        <v>1.4</v>
      </c>
      <c r="Y24" s="162">
        <v>1.6</v>
      </c>
      <c r="Z24" s="161">
        <v>1.8</v>
      </c>
      <c r="AA24" s="164">
        <v>2</v>
      </c>
      <c r="AB24" s="216" t="s">
        <v>1096</v>
      </c>
      <c r="AC24" s="165" t="s">
        <v>1096</v>
      </c>
      <c r="AD24" s="166">
        <f>LOOKUP($N$9,$L$24:$AA$24)</f>
        <v>0.2</v>
      </c>
      <c r="AE24" s="167">
        <f>$N$9</f>
        <v>0.2608695652173913</v>
      </c>
      <c r="AF24" s="168">
        <f>LOOKUP($AF$23,$L$51:$AA$51,$L$24:$AA$24)</f>
        <v>0.3</v>
      </c>
    </row>
    <row r="25" spans="1:32" x14ac:dyDescent="0.2">
      <c r="A25" s="75" t="s">
        <v>1113</v>
      </c>
      <c r="B25" s="21"/>
      <c r="C25" s="21"/>
      <c r="D25" s="21"/>
      <c r="E25" s="212" t="str">
        <f>IF($N$9&gt;2,"Value of 'k' exceeds 2.0, beyond scope of table!","")</f>
        <v/>
      </c>
      <c r="F25" s="21"/>
      <c r="G25" s="21"/>
      <c r="H25" s="21"/>
      <c r="I25" s="24"/>
      <c r="K25" s="259">
        <v>0.06</v>
      </c>
      <c r="L25" s="262">
        <v>0.83499999999999996</v>
      </c>
      <c r="M25" s="263">
        <v>0.80100000000000005</v>
      </c>
      <c r="N25" s="263">
        <v>0.88200000000000001</v>
      </c>
      <c r="O25" s="263">
        <v>0.96499999999999997</v>
      </c>
      <c r="P25" s="247">
        <v>1.05</v>
      </c>
      <c r="Q25" s="247">
        <v>1.1399999999999999</v>
      </c>
      <c r="R25" s="247">
        <v>1.22</v>
      </c>
      <c r="S25" s="247">
        <v>1.31</v>
      </c>
      <c r="T25" s="247">
        <v>1.4</v>
      </c>
      <c r="U25" s="247">
        <v>1.48</v>
      </c>
      <c r="V25" s="247">
        <v>1.57</v>
      </c>
      <c r="W25" s="247">
        <v>1.75</v>
      </c>
      <c r="X25" s="247">
        <v>1.93</v>
      </c>
      <c r="Y25" s="247">
        <v>2.11</v>
      </c>
      <c r="Z25" s="247">
        <v>2.29</v>
      </c>
      <c r="AA25" s="248">
        <v>2.4700000000000002</v>
      </c>
      <c r="AB25" s="216">
        <v>1</v>
      </c>
      <c r="AC25" s="169">
        <v>1</v>
      </c>
      <c r="AD25" s="170">
        <f t="shared" ref="AD25:AD48" si="0">LOOKUP($AD$24,$L$24:$AA$24,$L25:$AA25)</f>
        <v>0.88200000000000001</v>
      </c>
      <c r="AE25" s="171">
        <f t="shared" ref="AE25:AE48" si="1">IF($AD$24=$AF$24,$AD25,($AF25-$AD25)*($AE$24-$AD$24)/($AF$24-$AD$24)+$AD25)</f>
        <v>0.93252173913043479</v>
      </c>
      <c r="AF25" s="172">
        <f t="shared" ref="AF25:AF48" si="2">LOOKUP($AF$24,$L$24:$AA$24,$L25:$AA25)</f>
        <v>0.96499999999999997</v>
      </c>
    </row>
    <row r="26" spans="1:32" x14ac:dyDescent="0.2">
      <c r="A26" s="30"/>
      <c r="B26" s="64"/>
      <c r="C26" s="64"/>
      <c r="D26" s="62" t="str">
        <f>IF($N$13&gt;0,"(Note: AISC Alternate Method 2 is used for inclined load)","(Note: AISC Alternate Method 2 is not used for P=Pv)")</f>
        <v>(Note: AISC Alternate Method 2 is not used for P=Pv)</v>
      </c>
      <c r="E26" s="64"/>
      <c r="F26" s="64"/>
      <c r="G26" s="21"/>
      <c r="H26" s="21"/>
      <c r="I26" s="24"/>
      <c r="K26" s="260">
        <v>0.08</v>
      </c>
      <c r="L26" s="253">
        <v>0.82</v>
      </c>
      <c r="M26" s="254">
        <v>0.81399999999999995</v>
      </c>
      <c r="N26" s="254">
        <v>0.89200000000000002</v>
      </c>
      <c r="O26" s="254">
        <v>0.97399999999999998</v>
      </c>
      <c r="P26" s="250">
        <v>1.06</v>
      </c>
      <c r="Q26" s="250">
        <v>1.1399999999999999</v>
      </c>
      <c r="R26" s="250">
        <v>1.23</v>
      </c>
      <c r="S26" s="250">
        <v>1.32</v>
      </c>
      <c r="T26" s="250">
        <v>1.4</v>
      </c>
      <c r="U26" s="250">
        <v>1.49</v>
      </c>
      <c r="V26" s="250">
        <v>1.58</v>
      </c>
      <c r="W26" s="250">
        <v>1.74</v>
      </c>
      <c r="X26" s="250">
        <v>1.92</v>
      </c>
      <c r="Y26" s="250">
        <v>2.1</v>
      </c>
      <c r="Z26" s="250">
        <v>2.2799999999999998</v>
      </c>
      <c r="AA26" s="251">
        <v>2.4700000000000002</v>
      </c>
      <c r="AB26" s="216">
        <v>2</v>
      </c>
      <c r="AC26" s="169">
        <v>2</v>
      </c>
      <c r="AD26" s="170">
        <f t="shared" si="0"/>
        <v>0.89200000000000002</v>
      </c>
      <c r="AE26" s="171">
        <f t="shared" si="1"/>
        <v>0.94191304347826088</v>
      </c>
      <c r="AF26" s="172">
        <f t="shared" si="2"/>
        <v>0.97399999999999998</v>
      </c>
    </row>
    <row r="27" spans="1:32" x14ac:dyDescent="0.2">
      <c r="A27" s="77" t="s">
        <v>1196</v>
      </c>
      <c r="B27" s="276">
        <f>$N$3</f>
        <v>11.5</v>
      </c>
      <c r="C27" s="193" t="s">
        <v>1172</v>
      </c>
      <c r="D27" s="62" t="s">
        <v>1178</v>
      </c>
      <c r="E27" s="64"/>
      <c r="F27" s="21"/>
      <c r="G27" s="21"/>
      <c r="H27" s="21"/>
      <c r="I27" s="24"/>
      <c r="K27" s="260">
        <v>0.1</v>
      </c>
      <c r="L27" s="253">
        <v>0.80400000000000005</v>
      </c>
      <c r="M27" s="254">
        <v>0.81799999999999995</v>
      </c>
      <c r="N27" s="254">
        <v>0.89500000000000002</v>
      </c>
      <c r="O27" s="254">
        <v>0.97599999999999998</v>
      </c>
      <c r="P27" s="250">
        <v>1.06</v>
      </c>
      <c r="Q27" s="250">
        <v>1.1399999999999999</v>
      </c>
      <c r="R27" s="250">
        <v>1.23</v>
      </c>
      <c r="S27" s="250">
        <v>1.31</v>
      </c>
      <c r="T27" s="250">
        <v>1.4</v>
      </c>
      <c r="U27" s="250">
        <v>1.48</v>
      </c>
      <c r="V27" s="250">
        <v>1.57</v>
      </c>
      <c r="W27" s="250">
        <v>1.73</v>
      </c>
      <c r="X27" s="250">
        <v>1.91</v>
      </c>
      <c r="Y27" s="250">
        <v>2.1</v>
      </c>
      <c r="Z27" s="250">
        <v>2.2799999999999998</v>
      </c>
      <c r="AA27" s="251">
        <v>2.4700000000000002</v>
      </c>
      <c r="AB27" s="216">
        <v>3</v>
      </c>
      <c r="AC27" s="169">
        <v>3</v>
      </c>
      <c r="AD27" s="170">
        <f t="shared" si="0"/>
        <v>0.89500000000000002</v>
      </c>
      <c r="AE27" s="171">
        <f t="shared" si="1"/>
        <v>0.94430434782608696</v>
      </c>
      <c r="AF27" s="172">
        <f t="shared" si="2"/>
        <v>0.97599999999999998</v>
      </c>
    </row>
    <row r="28" spans="1:32" x14ac:dyDescent="0.2">
      <c r="A28" s="77" t="s">
        <v>1180</v>
      </c>
      <c r="B28" s="277">
        <f>$N$4</f>
        <v>3</v>
      </c>
      <c r="C28" s="193" t="s">
        <v>1172</v>
      </c>
      <c r="D28" s="62" t="s">
        <v>1100</v>
      </c>
      <c r="E28" s="64"/>
      <c r="F28" s="21"/>
      <c r="G28" s="21"/>
      <c r="H28" s="21"/>
      <c r="I28" s="24"/>
      <c r="K28" s="260">
        <v>0.15</v>
      </c>
      <c r="L28" s="253">
        <v>0.753</v>
      </c>
      <c r="M28" s="254">
        <v>0.81</v>
      </c>
      <c r="N28" s="254">
        <v>0.88200000000000001</v>
      </c>
      <c r="O28" s="254">
        <v>0.95699999999999996</v>
      </c>
      <c r="P28" s="250">
        <v>1.03</v>
      </c>
      <c r="Q28" s="250">
        <v>1.1100000000000001</v>
      </c>
      <c r="R28" s="250">
        <v>1.19</v>
      </c>
      <c r="S28" s="250">
        <v>1.27</v>
      </c>
      <c r="T28" s="250">
        <v>1.34</v>
      </c>
      <c r="U28" s="250">
        <v>1.42</v>
      </c>
      <c r="V28" s="250">
        <v>1.51</v>
      </c>
      <c r="W28" s="250">
        <v>1.67</v>
      </c>
      <c r="X28" s="250">
        <v>1.84</v>
      </c>
      <c r="Y28" s="250">
        <v>2.09</v>
      </c>
      <c r="Z28" s="250">
        <v>2.2799999999999998</v>
      </c>
      <c r="AA28" s="251">
        <v>2.46</v>
      </c>
      <c r="AB28" s="216">
        <v>4</v>
      </c>
      <c r="AC28" s="169">
        <v>4</v>
      </c>
      <c r="AD28" s="170">
        <f t="shared" si="0"/>
        <v>0.88200000000000001</v>
      </c>
      <c r="AE28" s="171">
        <f t="shared" si="1"/>
        <v>0.92765217391304344</v>
      </c>
      <c r="AF28" s="172">
        <f t="shared" si="2"/>
        <v>0.95699999999999996</v>
      </c>
    </row>
    <row r="29" spans="1:32" x14ac:dyDescent="0.2">
      <c r="A29" s="77" t="s">
        <v>1195</v>
      </c>
      <c r="B29" s="277">
        <f>$N$5</f>
        <v>0.31</v>
      </c>
      <c r="C29" s="193" t="s">
        <v>1172</v>
      </c>
      <c r="D29" s="98" t="s">
        <v>1177</v>
      </c>
      <c r="E29" s="64"/>
      <c r="F29" s="21"/>
      <c r="G29" s="21"/>
      <c r="H29" s="21"/>
      <c r="I29" s="24"/>
      <c r="K29" s="260">
        <v>0.2</v>
      </c>
      <c r="L29" s="253">
        <v>0.69299999999999995</v>
      </c>
      <c r="M29" s="254">
        <v>0.78</v>
      </c>
      <c r="N29" s="254">
        <v>0.84399999999999997</v>
      </c>
      <c r="O29" s="254">
        <v>0.91500000000000004</v>
      </c>
      <c r="P29" s="254">
        <v>0.98499999999999999</v>
      </c>
      <c r="Q29" s="250">
        <v>1.06</v>
      </c>
      <c r="R29" s="250">
        <v>1.1299999999999999</v>
      </c>
      <c r="S29" s="250">
        <v>1.2</v>
      </c>
      <c r="T29" s="250">
        <v>1.27</v>
      </c>
      <c r="U29" s="250">
        <v>1.35</v>
      </c>
      <c r="V29" s="250">
        <v>1.42</v>
      </c>
      <c r="W29" s="250">
        <v>1.58</v>
      </c>
      <c r="X29" s="250">
        <v>1.74</v>
      </c>
      <c r="Y29" s="250">
        <v>1.91</v>
      </c>
      <c r="Z29" s="250">
        <v>2.2799999999999998</v>
      </c>
      <c r="AA29" s="251">
        <v>2.2599999999999998</v>
      </c>
      <c r="AB29" s="216">
        <v>5</v>
      </c>
      <c r="AC29" s="169">
        <v>5</v>
      </c>
      <c r="AD29" s="170">
        <f t="shared" si="0"/>
        <v>0.84399999999999997</v>
      </c>
      <c r="AE29" s="171">
        <f t="shared" si="1"/>
        <v>0.88721739130434785</v>
      </c>
      <c r="AF29" s="172">
        <f t="shared" si="2"/>
        <v>0.91500000000000004</v>
      </c>
    </row>
    <row r="30" spans="1:32" ht="13.5" customHeight="1" x14ac:dyDescent="0.2">
      <c r="A30" s="77" t="s">
        <v>1090</v>
      </c>
      <c r="B30" s="277">
        <f>$N$6</f>
        <v>4.5599999999999996</v>
      </c>
      <c r="C30" s="193" t="s">
        <v>1172</v>
      </c>
      <c r="D30" s="98" t="s">
        <v>1192</v>
      </c>
      <c r="E30" s="64"/>
      <c r="F30" s="21"/>
      <c r="G30" s="21"/>
      <c r="H30" s="21"/>
      <c r="I30" s="24"/>
      <c r="K30" s="260">
        <v>0.25</v>
      </c>
      <c r="L30" s="253">
        <v>0.63</v>
      </c>
      <c r="M30" s="254">
        <v>0.71399999999999997</v>
      </c>
      <c r="N30" s="254">
        <v>0.79500000000000004</v>
      </c>
      <c r="O30" s="254">
        <v>0.86199999999999999</v>
      </c>
      <c r="P30" s="254">
        <v>0.92600000000000005</v>
      </c>
      <c r="Q30" s="254">
        <v>0.99</v>
      </c>
      <c r="R30" s="250">
        <v>1.06</v>
      </c>
      <c r="S30" s="250">
        <v>1.1200000000000001</v>
      </c>
      <c r="T30" s="250">
        <v>1.19</v>
      </c>
      <c r="U30" s="250">
        <v>1.26</v>
      </c>
      <c r="V30" s="250">
        <v>1.34</v>
      </c>
      <c r="W30" s="250">
        <v>1.49</v>
      </c>
      <c r="X30" s="250">
        <v>1.64</v>
      </c>
      <c r="Y30" s="250">
        <v>1.8</v>
      </c>
      <c r="Z30" s="250">
        <v>1.97</v>
      </c>
      <c r="AA30" s="251">
        <v>2.46</v>
      </c>
      <c r="AB30" s="216">
        <v>6</v>
      </c>
      <c r="AC30" s="169">
        <v>6</v>
      </c>
      <c r="AD30" s="170">
        <f t="shared" si="0"/>
        <v>0.79500000000000004</v>
      </c>
      <c r="AE30" s="171">
        <f t="shared" si="1"/>
        <v>0.83578260869565213</v>
      </c>
      <c r="AF30" s="172">
        <f t="shared" si="2"/>
        <v>0.86199999999999999</v>
      </c>
    </row>
    <row r="31" spans="1:32" ht="13.5" customHeight="1" x14ac:dyDescent="0.2">
      <c r="A31" s="77" t="s">
        <v>1085</v>
      </c>
      <c r="B31" s="277">
        <f>$N$7</f>
        <v>3.69</v>
      </c>
      <c r="C31" s="193" t="s">
        <v>1172</v>
      </c>
      <c r="D31" s="98" t="s">
        <v>1087</v>
      </c>
      <c r="E31" s="64"/>
      <c r="F31" s="21"/>
      <c r="G31" s="21"/>
      <c r="H31" s="21"/>
      <c r="I31" s="24"/>
      <c r="K31" s="260">
        <v>0.3</v>
      </c>
      <c r="L31" s="253">
        <v>0.56999999999999995</v>
      </c>
      <c r="M31" s="254">
        <v>0.64900000000000002</v>
      </c>
      <c r="N31" s="254">
        <v>0.72399999999999998</v>
      </c>
      <c r="O31" s="254">
        <v>0.79800000000000004</v>
      </c>
      <c r="P31" s="254">
        <v>0.86399999999999999</v>
      </c>
      <c r="Q31" s="254">
        <v>0.92300000000000004</v>
      </c>
      <c r="R31" s="254">
        <v>0.98399999999999999</v>
      </c>
      <c r="S31" s="250">
        <v>1.05</v>
      </c>
      <c r="T31" s="250">
        <v>1.1100000000000001</v>
      </c>
      <c r="U31" s="250">
        <v>1.18</v>
      </c>
      <c r="V31" s="250">
        <v>1.25</v>
      </c>
      <c r="W31" s="250">
        <v>1.39</v>
      </c>
      <c r="X31" s="250">
        <v>1.55</v>
      </c>
      <c r="Y31" s="250">
        <v>1.7</v>
      </c>
      <c r="Z31" s="250">
        <v>1.87</v>
      </c>
      <c r="AA31" s="251">
        <v>2.04</v>
      </c>
      <c r="AB31" s="216">
        <v>7</v>
      </c>
      <c r="AC31" s="169">
        <v>7</v>
      </c>
      <c r="AD31" s="170">
        <f t="shared" si="0"/>
        <v>0.72399999999999998</v>
      </c>
      <c r="AE31" s="171">
        <f t="shared" si="1"/>
        <v>0.76904347826086961</v>
      </c>
      <c r="AF31" s="172">
        <f t="shared" si="2"/>
        <v>0.79800000000000004</v>
      </c>
    </row>
    <row r="32" spans="1:32" x14ac:dyDescent="0.2">
      <c r="A32" s="77" t="s">
        <v>1124</v>
      </c>
      <c r="B32" s="277">
        <f>$N$8</f>
        <v>0.32086956521739129</v>
      </c>
      <c r="C32" s="242" t="str">
        <f>IF($N$8&gt;3,"&gt; 3.0","")</f>
        <v/>
      </c>
      <c r="D32" s="98" t="s">
        <v>1086</v>
      </c>
      <c r="E32" s="64"/>
      <c r="F32" s="21"/>
      <c r="G32" s="21"/>
      <c r="H32" s="21"/>
      <c r="I32" s="24"/>
      <c r="K32" s="260">
        <v>0.4</v>
      </c>
      <c r="L32" s="253">
        <v>0.46899999999999997</v>
      </c>
      <c r="M32" s="254">
        <v>0.53800000000000003</v>
      </c>
      <c r="N32" s="254">
        <v>0.60199999999999998</v>
      </c>
      <c r="O32" s="254">
        <v>0.66500000000000004</v>
      </c>
      <c r="P32" s="254">
        <v>0.72899999999999998</v>
      </c>
      <c r="Q32" s="254">
        <v>0.79700000000000004</v>
      </c>
      <c r="R32" s="254">
        <v>0.85099999999999998</v>
      </c>
      <c r="S32" s="254">
        <v>0.90800000000000003</v>
      </c>
      <c r="T32" s="254">
        <v>0.96699999999999997</v>
      </c>
      <c r="U32" s="250">
        <v>1.03</v>
      </c>
      <c r="V32" s="250">
        <v>1.0900000000000001</v>
      </c>
      <c r="W32" s="250">
        <v>1.23</v>
      </c>
      <c r="X32" s="250">
        <v>1.38</v>
      </c>
      <c r="Y32" s="250">
        <v>1.53</v>
      </c>
      <c r="Z32" s="250">
        <v>1.69</v>
      </c>
      <c r="AA32" s="251">
        <v>1.85</v>
      </c>
      <c r="AB32" s="216">
        <v>8</v>
      </c>
      <c r="AC32" s="169">
        <v>8</v>
      </c>
      <c r="AD32" s="170">
        <f t="shared" si="0"/>
        <v>0.60199999999999998</v>
      </c>
      <c r="AE32" s="171">
        <f t="shared" si="1"/>
        <v>0.64034782608695651</v>
      </c>
      <c r="AF32" s="172">
        <f t="shared" si="2"/>
        <v>0.66500000000000004</v>
      </c>
    </row>
    <row r="33" spans="1:32" x14ac:dyDescent="0.2">
      <c r="A33" s="77" t="s">
        <v>1138</v>
      </c>
      <c r="B33" s="277">
        <f>$N$9</f>
        <v>0.2608695652173913</v>
      </c>
      <c r="C33" s="242" t="str">
        <f>IF($N$9&gt;2,"&gt; 2.0","")</f>
        <v/>
      </c>
      <c r="D33" s="98" t="s">
        <v>1088</v>
      </c>
      <c r="E33" s="64"/>
      <c r="F33" s="21"/>
      <c r="G33" s="21"/>
      <c r="H33" s="21"/>
      <c r="I33" s="24"/>
      <c r="K33" s="260">
        <v>0.5</v>
      </c>
      <c r="L33" s="253">
        <v>0.39300000000000002</v>
      </c>
      <c r="M33" s="254">
        <v>0.45200000000000001</v>
      </c>
      <c r="N33" s="254">
        <v>0.50700000000000001</v>
      </c>
      <c r="O33" s="254">
        <v>0.56200000000000006</v>
      </c>
      <c r="P33" s="254">
        <v>0.61799999999999999</v>
      </c>
      <c r="Q33" s="254">
        <v>0.67600000000000005</v>
      </c>
      <c r="R33" s="254">
        <v>0.74</v>
      </c>
      <c r="S33" s="254">
        <v>0.79100000000000004</v>
      </c>
      <c r="T33" s="254">
        <v>0.84599999999999997</v>
      </c>
      <c r="U33" s="254">
        <v>0.90400000000000003</v>
      </c>
      <c r="V33" s="250">
        <v>0.96</v>
      </c>
      <c r="W33" s="250">
        <v>1.0900000000000001</v>
      </c>
      <c r="X33" s="250">
        <v>1.23</v>
      </c>
      <c r="Y33" s="250">
        <v>1.38</v>
      </c>
      <c r="Z33" s="250">
        <v>1.53</v>
      </c>
      <c r="AA33" s="251">
        <v>1.68</v>
      </c>
      <c r="AB33" s="216">
        <v>9</v>
      </c>
      <c r="AC33" s="169">
        <v>9</v>
      </c>
      <c r="AD33" s="170">
        <f t="shared" si="0"/>
        <v>0.50700000000000001</v>
      </c>
      <c r="AE33" s="171">
        <f t="shared" si="1"/>
        <v>0.5404782608695653</v>
      </c>
      <c r="AF33" s="172">
        <f t="shared" si="2"/>
        <v>0.56200000000000006</v>
      </c>
    </row>
    <row r="34" spans="1:32" x14ac:dyDescent="0.2">
      <c r="A34" s="390" t="s">
        <v>1184</v>
      </c>
      <c r="B34" s="278">
        <f>$N$10</f>
        <v>1</v>
      </c>
      <c r="C34" s="193"/>
      <c r="D34" s="73" t="s">
        <v>1185</v>
      </c>
      <c r="E34" s="64"/>
      <c r="F34" s="21"/>
      <c r="G34" s="21"/>
      <c r="H34" s="21"/>
      <c r="I34" s="24"/>
      <c r="K34" s="260">
        <v>0.6</v>
      </c>
      <c r="L34" s="253">
        <v>0.33600000000000002</v>
      </c>
      <c r="M34" s="254">
        <v>0.38700000000000001</v>
      </c>
      <c r="N34" s="254">
        <v>0.435</v>
      </c>
      <c r="O34" s="254">
        <v>0.48299999999999998</v>
      </c>
      <c r="P34" s="254">
        <v>0.53200000000000003</v>
      </c>
      <c r="Q34" s="254">
        <v>0.58399999999999996</v>
      </c>
      <c r="R34" s="254">
        <v>0.64</v>
      </c>
      <c r="S34" s="254">
        <v>0.69699999999999995</v>
      </c>
      <c r="T34" s="254">
        <v>0.747</v>
      </c>
      <c r="U34" s="254">
        <v>0.80100000000000005</v>
      </c>
      <c r="V34" s="254">
        <v>0.85799999999999998</v>
      </c>
      <c r="W34" s="254">
        <v>0.98099999999999998</v>
      </c>
      <c r="X34" s="250">
        <v>1.1100000000000001</v>
      </c>
      <c r="Y34" s="250">
        <v>1.25</v>
      </c>
      <c r="Z34" s="250">
        <v>1.4</v>
      </c>
      <c r="AA34" s="251">
        <v>1.55</v>
      </c>
      <c r="AB34" s="216">
        <v>10</v>
      </c>
      <c r="AC34" s="169">
        <v>10</v>
      </c>
      <c r="AD34" s="170">
        <f t="shared" si="0"/>
        <v>0.435</v>
      </c>
      <c r="AE34" s="171">
        <f t="shared" si="1"/>
        <v>0.4642173913043478</v>
      </c>
      <c r="AF34" s="172">
        <f t="shared" si="2"/>
        <v>0.48299999999999998</v>
      </c>
    </row>
    <row r="35" spans="1:32" x14ac:dyDescent="0.2">
      <c r="A35" s="77" t="s">
        <v>1122</v>
      </c>
      <c r="B35" s="277">
        <f>$N$11</f>
        <v>0.74199999999999999</v>
      </c>
      <c r="C35" s="241"/>
      <c r="D35" s="98" t="s">
        <v>1116</v>
      </c>
      <c r="E35" s="64"/>
      <c r="F35" s="21"/>
      <c r="G35" s="21"/>
      <c r="H35" s="21"/>
      <c r="I35" s="24"/>
      <c r="K35" s="260">
        <v>0.7</v>
      </c>
      <c r="L35" s="253">
        <v>0.29299999999999998</v>
      </c>
      <c r="M35" s="254">
        <v>0.33700000000000002</v>
      </c>
      <c r="N35" s="254">
        <v>0.379</v>
      </c>
      <c r="O35" s="254">
        <v>0.42099999999999999</v>
      </c>
      <c r="P35" s="254">
        <v>0.46500000000000002</v>
      </c>
      <c r="Q35" s="254">
        <v>0.51200000000000001</v>
      </c>
      <c r="R35" s="254">
        <v>0.56299999999999994</v>
      </c>
      <c r="S35" s="254">
        <v>0.62</v>
      </c>
      <c r="T35" s="254">
        <v>0.66700000000000004</v>
      </c>
      <c r="U35" s="254">
        <v>0.71799999999999997</v>
      </c>
      <c r="V35" s="254">
        <v>0.77100000000000002</v>
      </c>
      <c r="W35" s="254">
        <v>0.88700000000000001</v>
      </c>
      <c r="X35" s="250">
        <v>1.01</v>
      </c>
      <c r="Y35" s="250">
        <v>1.1499999999999999</v>
      </c>
      <c r="Z35" s="250">
        <v>1.29</v>
      </c>
      <c r="AA35" s="251">
        <v>1.43</v>
      </c>
      <c r="AB35" s="216">
        <v>11</v>
      </c>
      <c r="AC35" s="169">
        <v>11</v>
      </c>
      <c r="AD35" s="170">
        <f t="shared" si="0"/>
        <v>0.379</v>
      </c>
      <c r="AE35" s="171">
        <f t="shared" si="1"/>
        <v>0.40456521739130435</v>
      </c>
      <c r="AF35" s="172">
        <f t="shared" si="2"/>
        <v>0.42099999999999999</v>
      </c>
    </row>
    <row r="36" spans="1:32" ht="12.75" customHeight="1" x14ac:dyDescent="0.2">
      <c r="A36" s="390" t="s">
        <v>1187</v>
      </c>
      <c r="B36" s="392">
        <f>$N$12</f>
        <v>25</v>
      </c>
      <c r="C36" s="193" t="s">
        <v>1114</v>
      </c>
      <c r="D36" s="73" t="s">
        <v>1120</v>
      </c>
      <c r="E36" s="64"/>
      <c r="F36" s="21"/>
      <c r="G36" s="21"/>
      <c r="H36" s="21"/>
      <c r="I36" s="24"/>
      <c r="K36" s="260">
        <v>0.8</v>
      </c>
      <c r="L36" s="253">
        <v>0.25900000000000001</v>
      </c>
      <c r="M36" s="254">
        <v>0.29699999999999999</v>
      </c>
      <c r="N36" s="254">
        <v>0.33500000000000002</v>
      </c>
      <c r="O36" s="254">
        <v>0.373</v>
      </c>
      <c r="P36" s="254">
        <v>0.41299999999999998</v>
      </c>
      <c r="Q36" s="254">
        <v>0.45500000000000002</v>
      </c>
      <c r="R36" s="254">
        <v>0.501</v>
      </c>
      <c r="S36" s="254">
        <v>0.55800000000000005</v>
      </c>
      <c r="T36" s="254">
        <v>0.60199999999999998</v>
      </c>
      <c r="U36" s="254">
        <v>0.64900000000000002</v>
      </c>
      <c r="V36" s="254">
        <v>0.69899999999999995</v>
      </c>
      <c r="W36" s="254">
        <v>0.80800000000000005</v>
      </c>
      <c r="X36" s="254">
        <v>0.92600000000000005</v>
      </c>
      <c r="Y36" s="250">
        <v>1.05</v>
      </c>
      <c r="Z36" s="250">
        <v>1.19</v>
      </c>
      <c r="AA36" s="251">
        <v>1.33</v>
      </c>
      <c r="AB36" s="216">
        <v>12</v>
      </c>
      <c r="AC36" s="169">
        <v>12</v>
      </c>
      <c r="AD36" s="170">
        <f t="shared" si="0"/>
        <v>0.33500000000000002</v>
      </c>
      <c r="AE36" s="171">
        <f t="shared" si="1"/>
        <v>0.3581304347826087</v>
      </c>
      <c r="AF36" s="172">
        <f t="shared" si="2"/>
        <v>0.373</v>
      </c>
    </row>
    <row r="37" spans="1:32" ht="12.75" customHeight="1" x14ac:dyDescent="0.2">
      <c r="A37" s="390" t="s">
        <v>1146</v>
      </c>
      <c r="B37" s="277">
        <f>$N$13</f>
        <v>0</v>
      </c>
      <c r="C37" s="193" t="s">
        <v>1103</v>
      </c>
      <c r="D37" s="84" t="s">
        <v>1126</v>
      </c>
      <c r="E37" s="64"/>
      <c r="F37" s="21"/>
      <c r="G37" s="21"/>
      <c r="H37" s="21"/>
      <c r="I37" s="24"/>
      <c r="K37" s="260">
        <v>0.9</v>
      </c>
      <c r="L37" s="253">
        <v>0.23200000000000001</v>
      </c>
      <c r="M37" s="254">
        <v>0.26600000000000001</v>
      </c>
      <c r="N37" s="254">
        <v>0.3</v>
      </c>
      <c r="O37" s="254">
        <v>0.33400000000000002</v>
      </c>
      <c r="P37" s="254">
        <v>0.37</v>
      </c>
      <c r="Q37" s="254">
        <v>0.40899999999999997</v>
      </c>
      <c r="R37" s="254">
        <v>0.45200000000000001</v>
      </c>
      <c r="S37" s="254">
        <v>0.498</v>
      </c>
      <c r="T37" s="254">
        <v>0.54700000000000004</v>
      </c>
      <c r="U37" s="254">
        <v>0.59099999999999997</v>
      </c>
      <c r="V37" s="254">
        <v>0.63800000000000001</v>
      </c>
      <c r="W37" s="254">
        <v>0.74099999999999999</v>
      </c>
      <c r="X37" s="254">
        <v>0.85299999999999998</v>
      </c>
      <c r="Y37" s="254">
        <v>0.97499999999999998</v>
      </c>
      <c r="Z37" s="250">
        <v>1.1000000000000001</v>
      </c>
      <c r="AA37" s="251">
        <v>1.24</v>
      </c>
      <c r="AB37" s="216">
        <v>13</v>
      </c>
      <c r="AC37" s="169">
        <v>13</v>
      </c>
      <c r="AD37" s="170">
        <f t="shared" si="0"/>
        <v>0.3</v>
      </c>
      <c r="AE37" s="171">
        <f t="shared" si="1"/>
        <v>0.32069565217391305</v>
      </c>
      <c r="AF37" s="172">
        <f t="shared" si="2"/>
        <v>0.33400000000000002</v>
      </c>
    </row>
    <row r="38" spans="1:32" ht="12.75" customHeight="1" x14ac:dyDescent="0.2">
      <c r="A38" s="77" t="s">
        <v>1160</v>
      </c>
      <c r="B38" s="277" t="str">
        <f>$N$14</f>
        <v>N.A.</v>
      </c>
      <c r="C38" s="193"/>
      <c r="D38" s="73" t="s">
        <v>1153</v>
      </c>
      <c r="E38" s="80"/>
      <c r="F38" s="21"/>
      <c r="G38" s="21"/>
      <c r="H38" s="21"/>
      <c r="I38" s="24"/>
      <c r="K38" s="260">
        <v>1</v>
      </c>
      <c r="L38" s="253">
        <v>0.20899999999999999</v>
      </c>
      <c r="M38" s="254">
        <v>0.24</v>
      </c>
      <c r="N38" s="254">
        <v>0.27100000000000002</v>
      </c>
      <c r="O38" s="254">
        <v>0.30299999999999999</v>
      </c>
      <c r="P38" s="254">
        <v>0.33500000000000002</v>
      </c>
      <c r="Q38" s="254">
        <v>0.371</v>
      </c>
      <c r="R38" s="254">
        <v>0.41</v>
      </c>
      <c r="S38" s="254">
        <v>0.45300000000000001</v>
      </c>
      <c r="T38" s="254">
        <v>0.501</v>
      </c>
      <c r="U38" s="254">
        <v>0.54200000000000004</v>
      </c>
      <c r="V38" s="254">
        <v>0.58599999999999997</v>
      </c>
      <c r="W38" s="254">
        <v>0.68300000000000005</v>
      </c>
      <c r="X38" s="254">
        <v>0.79</v>
      </c>
      <c r="Y38" s="254">
        <v>0.90600000000000003</v>
      </c>
      <c r="Z38" s="250">
        <v>1.03</v>
      </c>
      <c r="AA38" s="251">
        <v>1.1599999999999999</v>
      </c>
      <c r="AB38" s="216">
        <v>14</v>
      </c>
      <c r="AC38" s="169">
        <v>14</v>
      </c>
      <c r="AD38" s="170">
        <f t="shared" si="0"/>
        <v>0.27100000000000002</v>
      </c>
      <c r="AE38" s="171">
        <f t="shared" si="1"/>
        <v>0.29047826086956524</v>
      </c>
      <c r="AF38" s="172">
        <f t="shared" si="2"/>
        <v>0.30299999999999999</v>
      </c>
    </row>
    <row r="39" spans="1:32" ht="12.75" customHeight="1" x14ac:dyDescent="0.2">
      <c r="A39" s="77" t="s">
        <v>1130</v>
      </c>
      <c r="B39" s="277" t="str">
        <f>$N$15</f>
        <v>N.A.</v>
      </c>
      <c r="C39" s="193"/>
      <c r="D39" s="73" t="s">
        <v>1123</v>
      </c>
      <c r="E39" s="57"/>
      <c r="F39" s="21"/>
      <c r="G39" s="21"/>
      <c r="H39" s="21"/>
      <c r="I39" s="24"/>
      <c r="K39" s="260">
        <v>1.2</v>
      </c>
      <c r="L39" s="253">
        <v>0.17599999999999999</v>
      </c>
      <c r="M39" s="254">
        <v>0.20100000000000001</v>
      </c>
      <c r="N39" s="254">
        <v>0.22700000000000001</v>
      </c>
      <c r="O39" s="254">
        <v>0.254</v>
      </c>
      <c r="P39" s="254">
        <v>0.28199999999999997</v>
      </c>
      <c r="Q39" s="254">
        <v>0.313</v>
      </c>
      <c r="R39" s="254">
        <v>0.34699999999999998</v>
      </c>
      <c r="S39" s="254">
        <v>0.38400000000000001</v>
      </c>
      <c r="T39" s="254">
        <v>0.42799999999999999</v>
      </c>
      <c r="U39" s="254">
        <v>0.46400000000000002</v>
      </c>
      <c r="V39" s="254">
        <v>0.504</v>
      </c>
      <c r="W39" s="254">
        <v>0.59099999999999997</v>
      </c>
      <c r="X39" s="254">
        <v>0.68799999999999994</v>
      </c>
      <c r="Y39" s="254">
        <v>0.79300000000000004</v>
      </c>
      <c r="Z39" s="254">
        <v>0.90500000000000003</v>
      </c>
      <c r="AA39" s="251">
        <v>1.02</v>
      </c>
      <c r="AB39" s="216">
        <v>15</v>
      </c>
      <c r="AC39" s="169">
        <v>15</v>
      </c>
      <c r="AD39" s="170">
        <f t="shared" si="0"/>
        <v>0.22700000000000001</v>
      </c>
      <c r="AE39" s="171">
        <f t="shared" si="1"/>
        <v>0.24343478260869567</v>
      </c>
      <c r="AF39" s="172">
        <f t="shared" si="2"/>
        <v>0.254</v>
      </c>
    </row>
    <row r="40" spans="1:32" ht="12.75" customHeight="1" x14ac:dyDescent="0.2">
      <c r="A40" s="77" t="s">
        <v>1188</v>
      </c>
      <c r="B40" s="277" t="str">
        <f>$N$16</f>
        <v>N.A.</v>
      </c>
      <c r="C40" s="193"/>
      <c r="D40" s="73" t="s">
        <v>1132</v>
      </c>
      <c r="E40" s="57"/>
      <c r="F40" s="21"/>
      <c r="G40" s="21"/>
      <c r="H40" s="21"/>
      <c r="I40" s="24"/>
      <c r="K40" s="260">
        <v>1.4</v>
      </c>
      <c r="L40" s="253">
        <v>0.151</v>
      </c>
      <c r="M40" s="254">
        <v>0.17299999999999999</v>
      </c>
      <c r="N40" s="254">
        <v>0.19600000000000001</v>
      </c>
      <c r="O40" s="254">
        <v>0.219</v>
      </c>
      <c r="P40" s="254">
        <v>0.24299999999999999</v>
      </c>
      <c r="Q40" s="254">
        <v>0.27</v>
      </c>
      <c r="R40" s="254">
        <v>0.3</v>
      </c>
      <c r="S40" s="254">
        <v>0.33300000000000002</v>
      </c>
      <c r="T40" s="254">
        <v>0.373</v>
      </c>
      <c r="U40" s="254">
        <v>0.40600000000000003</v>
      </c>
      <c r="V40" s="254">
        <v>0.441</v>
      </c>
      <c r="W40" s="254">
        <v>0.52</v>
      </c>
      <c r="X40" s="254">
        <v>0.60699999999999998</v>
      </c>
      <c r="Y40" s="254">
        <v>0.70299999999999996</v>
      </c>
      <c r="Z40" s="254">
        <v>0.80600000000000005</v>
      </c>
      <c r="AA40" s="255">
        <v>0.91500000000000004</v>
      </c>
      <c r="AB40" s="216">
        <v>16</v>
      </c>
      <c r="AC40" s="169">
        <v>16</v>
      </c>
      <c r="AD40" s="170">
        <f t="shared" si="0"/>
        <v>0.19600000000000001</v>
      </c>
      <c r="AE40" s="171">
        <f t="shared" si="1"/>
        <v>0.21</v>
      </c>
      <c r="AF40" s="172">
        <f t="shared" si="2"/>
        <v>0.219</v>
      </c>
    </row>
    <row r="41" spans="1:32" ht="12.75" customHeight="1" x14ac:dyDescent="0.2">
      <c r="A41" s="77" t="s">
        <v>1133</v>
      </c>
      <c r="B41" s="277" t="str">
        <f>$N$17</f>
        <v>N.A.</v>
      </c>
      <c r="C41" s="193"/>
      <c r="D41" s="73" t="s">
        <v>1104</v>
      </c>
      <c r="E41" s="57"/>
      <c r="F41" s="21"/>
      <c r="G41" s="21"/>
      <c r="H41" s="21"/>
      <c r="I41" s="24"/>
      <c r="K41" s="260">
        <v>1.6</v>
      </c>
      <c r="L41" s="253">
        <v>0.13200000000000001</v>
      </c>
      <c r="M41" s="254">
        <v>0.152</v>
      </c>
      <c r="N41" s="254">
        <v>0.17199999999999999</v>
      </c>
      <c r="O41" s="254">
        <v>0.192</v>
      </c>
      <c r="P41" s="254">
        <v>0.21299999999999999</v>
      </c>
      <c r="Q41" s="254">
        <v>0.23699999999999999</v>
      </c>
      <c r="R41" s="254">
        <v>0.26400000000000001</v>
      </c>
      <c r="S41" s="254">
        <v>0.29399999999999998</v>
      </c>
      <c r="T41" s="254">
        <v>0.33</v>
      </c>
      <c r="U41" s="254">
        <v>0.36</v>
      </c>
      <c r="V41" s="254">
        <v>0.39200000000000002</v>
      </c>
      <c r="W41" s="254">
        <v>0.46400000000000002</v>
      </c>
      <c r="X41" s="254">
        <v>0.54300000000000004</v>
      </c>
      <c r="Y41" s="254">
        <v>0.63</v>
      </c>
      <c r="Z41" s="254">
        <v>0.72499999999999998</v>
      </c>
      <c r="AA41" s="255">
        <v>0.82499999999999996</v>
      </c>
      <c r="AB41" s="216">
        <v>17</v>
      </c>
      <c r="AC41" s="169">
        <v>17</v>
      </c>
      <c r="AD41" s="170">
        <f t="shared" si="0"/>
        <v>0.17199999999999999</v>
      </c>
      <c r="AE41" s="171">
        <f t="shared" si="1"/>
        <v>0.18417391304347824</v>
      </c>
      <c r="AF41" s="172">
        <f t="shared" si="2"/>
        <v>0.192</v>
      </c>
    </row>
    <row r="42" spans="1:32" x14ac:dyDescent="0.2">
      <c r="A42" s="77" t="s">
        <v>1143</v>
      </c>
      <c r="B42" s="277" t="str">
        <f>$N$18</f>
        <v>N.A.</v>
      </c>
      <c r="C42" s="193"/>
      <c r="D42" s="73" t="s">
        <v>1105</v>
      </c>
      <c r="E42" s="57"/>
      <c r="F42" s="21"/>
      <c r="G42" s="21"/>
      <c r="H42" s="21"/>
      <c r="I42" s="24"/>
      <c r="K42" s="260">
        <v>1.8</v>
      </c>
      <c r="L42" s="253">
        <v>0.11799999999999999</v>
      </c>
      <c r="M42" s="254">
        <v>0.13500000000000001</v>
      </c>
      <c r="N42" s="254">
        <v>0.153</v>
      </c>
      <c r="O42" s="254">
        <v>0.17100000000000001</v>
      </c>
      <c r="P42" s="254">
        <v>0.19</v>
      </c>
      <c r="Q42" s="254">
        <v>0.21199999999999999</v>
      </c>
      <c r="R42" s="254">
        <v>0.23599999999999999</v>
      </c>
      <c r="S42" s="254">
        <v>0.26300000000000001</v>
      </c>
      <c r="T42" s="254">
        <v>0.29599999999999999</v>
      </c>
      <c r="U42" s="254">
        <v>0.32400000000000001</v>
      </c>
      <c r="V42" s="254">
        <v>0.35299999999999998</v>
      </c>
      <c r="W42" s="254">
        <v>0.41799999999999998</v>
      </c>
      <c r="X42" s="254">
        <v>0.49099999999999999</v>
      </c>
      <c r="Y42" s="254">
        <v>0.57099999999999995</v>
      </c>
      <c r="Z42" s="254">
        <v>0.65800000000000003</v>
      </c>
      <c r="AA42" s="255">
        <v>0.751</v>
      </c>
      <c r="AB42" s="216">
        <v>18</v>
      </c>
      <c r="AC42" s="169">
        <v>18</v>
      </c>
      <c r="AD42" s="170">
        <f t="shared" si="0"/>
        <v>0.153</v>
      </c>
      <c r="AE42" s="171">
        <f t="shared" si="1"/>
        <v>0.16395652173913045</v>
      </c>
      <c r="AF42" s="172">
        <f t="shared" si="2"/>
        <v>0.17100000000000001</v>
      </c>
    </row>
    <row r="43" spans="1:32" x14ac:dyDescent="0.2">
      <c r="A43" s="77" t="s">
        <v>1193</v>
      </c>
      <c r="B43" s="277">
        <f>$N$19</f>
        <v>2.93</v>
      </c>
      <c r="C43" s="193" t="s">
        <v>1099</v>
      </c>
      <c r="D43" s="62" t="str">
        <f>IF($N$13&gt;0,"D(req'd) = P/(Ca*C1*L)","D(req'd) = P/(C*C1*L)")</f>
        <v>D(req'd) = P/(C*C1*L)</v>
      </c>
      <c r="E43" s="58"/>
      <c r="F43" s="21"/>
      <c r="G43" s="21"/>
      <c r="H43" s="21"/>
      <c r="I43" s="24"/>
      <c r="K43" s="260">
        <v>2</v>
      </c>
      <c r="L43" s="253">
        <v>0.106</v>
      </c>
      <c r="M43" s="254">
        <v>0.122</v>
      </c>
      <c r="N43" s="254">
        <v>0.13800000000000001</v>
      </c>
      <c r="O43" s="254">
        <v>0.154</v>
      </c>
      <c r="P43" s="254">
        <v>0.17199999999999999</v>
      </c>
      <c r="Q43" s="254">
        <v>0.191</v>
      </c>
      <c r="R43" s="254">
        <v>0.21299999999999999</v>
      </c>
      <c r="S43" s="254">
        <v>0.23799999999999999</v>
      </c>
      <c r="T43" s="254">
        <v>0.26900000000000002</v>
      </c>
      <c r="U43" s="254">
        <v>0.29399999999999998</v>
      </c>
      <c r="V43" s="254">
        <v>0.32100000000000001</v>
      </c>
      <c r="W43" s="254">
        <v>0.38</v>
      </c>
      <c r="X43" s="254">
        <v>0.44700000000000001</v>
      </c>
      <c r="Y43" s="254">
        <v>0.52100000000000002</v>
      </c>
      <c r="Z43" s="254">
        <v>0.60199999999999998</v>
      </c>
      <c r="AA43" s="255">
        <v>0.68799999999999994</v>
      </c>
      <c r="AB43" s="216">
        <v>19</v>
      </c>
      <c r="AC43" s="169">
        <v>19</v>
      </c>
      <c r="AD43" s="170">
        <f t="shared" si="0"/>
        <v>0.13800000000000001</v>
      </c>
      <c r="AE43" s="171">
        <f t="shared" si="1"/>
        <v>0.14773913043478262</v>
      </c>
      <c r="AF43" s="172">
        <f t="shared" si="2"/>
        <v>0.154</v>
      </c>
    </row>
    <row r="44" spans="1:32" ht="12.75" customHeight="1" x14ac:dyDescent="0.2">
      <c r="A44" s="77" t="s">
        <v>1190</v>
      </c>
      <c r="B44" s="279">
        <f>$N$20</f>
        <v>11.231</v>
      </c>
      <c r="C44" s="193" t="s">
        <v>1172</v>
      </c>
      <c r="D44" s="62" t="str">
        <f>IF($N$13&gt;0,"L(req'd) = P/(Ca*C1*D)","L(req'd) = P/(C*C1*D)")</f>
        <v>L(req'd) = P/(C*C1*D)</v>
      </c>
      <c r="E44" s="58"/>
      <c r="F44" s="21"/>
      <c r="G44" s="21"/>
      <c r="H44" s="21"/>
      <c r="I44" s="24"/>
      <c r="K44" s="260">
        <v>2.2000000000000002</v>
      </c>
      <c r="L44" s="253">
        <v>9.7000000000000003E-2</v>
      </c>
      <c r="M44" s="254">
        <v>0.111</v>
      </c>
      <c r="N44" s="254">
        <v>0.125</v>
      </c>
      <c r="O44" s="254">
        <v>0.14000000000000001</v>
      </c>
      <c r="P44" s="254">
        <v>0.156</v>
      </c>
      <c r="Q44" s="254">
        <v>0.17399999999999999</v>
      </c>
      <c r="R44" s="254">
        <v>0.19400000000000001</v>
      </c>
      <c r="S44" s="254">
        <v>0.217</v>
      </c>
      <c r="T44" s="254">
        <v>0.24199999999999999</v>
      </c>
      <c r="U44" s="254">
        <v>0.26900000000000002</v>
      </c>
      <c r="V44" s="254">
        <v>0.29399999999999998</v>
      </c>
      <c r="W44" s="254">
        <v>0.34899999999999998</v>
      </c>
      <c r="X44" s="254">
        <v>0.41099999999999998</v>
      </c>
      <c r="Y44" s="254">
        <v>0.48</v>
      </c>
      <c r="Z44" s="254">
        <v>0.55400000000000005</v>
      </c>
      <c r="AA44" s="255">
        <v>0.63500000000000001</v>
      </c>
      <c r="AB44" s="216">
        <v>20</v>
      </c>
      <c r="AC44" s="169">
        <v>20</v>
      </c>
      <c r="AD44" s="170">
        <f t="shared" si="0"/>
        <v>0.125</v>
      </c>
      <c r="AE44" s="171">
        <f t="shared" si="1"/>
        <v>0.13413043478260869</v>
      </c>
      <c r="AF44" s="172">
        <f t="shared" si="2"/>
        <v>0.14000000000000001</v>
      </c>
    </row>
    <row r="45" spans="1:32" x14ac:dyDescent="0.2">
      <c r="A45" s="30"/>
      <c r="B45" s="21"/>
      <c r="C45" s="21"/>
      <c r="D45" s="21"/>
      <c r="E45" s="21"/>
      <c r="F45" s="21"/>
      <c r="G45" s="21"/>
      <c r="H45" s="21"/>
      <c r="I45" s="24"/>
      <c r="K45" s="260">
        <v>2.4</v>
      </c>
      <c r="L45" s="253">
        <v>8.8999999999999996E-2</v>
      </c>
      <c r="M45" s="254">
        <v>0.10100000000000001</v>
      </c>
      <c r="N45" s="254">
        <v>0.115</v>
      </c>
      <c r="O45" s="254">
        <v>0.128</v>
      </c>
      <c r="P45" s="254">
        <v>0.14299999999999999</v>
      </c>
      <c r="Q45" s="254">
        <v>0.16</v>
      </c>
      <c r="R45" s="254">
        <v>0.17899999999999999</v>
      </c>
      <c r="S45" s="254">
        <v>0.2</v>
      </c>
      <c r="T45" s="254">
        <v>0.223</v>
      </c>
      <c r="U45" s="254">
        <v>0.248</v>
      </c>
      <c r="V45" s="254">
        <v>0.27100000000000002</v>
      </c>
      <c r="W45" s="254">
        <v>0.32200000000000001</v>
      </c>
      <c r="X45" s="254">
        <v>0.38</v>
      </c>
      <c r="Y45" s="254">
        <v>0.44400000000000001</v>
      </c>
      <c r="Z45" s="254">
        <v>0.51300000000000001</v>
      </c>
      <c r="AA45" s="255">
        <v>0.58899999999999997</v>
      </c>
      <c r="AB45" s="216">
        <v>21</v>
      </c>
      <c r="AC45" s="169">
        <v>21</v>
      </c>
      <c r="AD45" s="170">
        <f t="shared" si="0"/>
        <v>0.115</v>
      </c>
      <c r="AE45" s="171">
        <f t="shared" si="1"/>
        <v>0.12291304347826087</v>
      </c>
      <c r="AF45" s="172">
        <f t="shared" si="2"/>
        <v>0.128</v>
      </c>
    </row>
    <row r="46" spans="1:32" x14ac:dyDescent="0.2">
      <c r="A46" s="30"/>
      <c r="B46" s="21"/>
      <c r="C46" s="21"/>
      <c r="D46" s="301" t="str">
        <f>IF(OR($N$19&gt;$C$11*16,$N$20&gt;$N$3),"Weld is overstressed!","Weld is adequate!")</f>
        <v>Weld is adequate!</v>
      </c>
      <c r="E46" s="35"/>
      <c r="F46" s="36"/>
      <c r="G46" s="344"/>
      <c r="H46" s="21"/>
      <c r="I46" s="24"/>
      <c r="K46" s="260">
        <v>2.6</v>
      </c>
      <c r="L46" s="253">
        <v>8.2000000000000003E-2</v>
      </c>
      <c r="M46" s="254">
        <v>9.4E-2</v>
      </c>
      <c r="N46" s="254">
        <v>0.106</v>
      </c>
      <c r="O46" s="254">
        <v>0.11899999999999999</v>
      </c>
      <c r="P46" s="254">
        <v>0.13200000000000001</v>
      </c>
      <c r="Q46" s="254">
        <v>0.14799999999999999</v>
      </c>
      <c r="R46" s="254">
        <v>0.16500000000000001</v>
      </c>
      <c r="S46" s="254">
        <v>0.185</v>
      </c>
      <c r="T46" s="254">
        <v>0.20699999999999999</v>
      </c>
      <c r="U46" s="254">
        <v>0.23</v>
      </c>
      <c r="V46" s="254">
        <v>0.251</v>
      </c>
      <c r="W46" s="254">
        <v>0.29899999999999999</v>
      </c>
      <c r="X46" s="254">
        <v>0.35299999999999998</v>
      </c>
      <c r="Y46" s="254">
        <v>0.41299999999999998</v>
      </c>
      <c r="Z46" s="254">
        <v>0.47799999999999998</v>
      </c>
      <c r="AA46" s="255">
        <v>0.54800000000000004</v>
      </c>
      <c r="AB46" s="216">
        <v>22</v>
      </c>
      <c r="AC46" s="169">
        <v>22</v>
      </c>
      <c r="AD46" s="170">
        <f t="shared" si="0"/>
        <v>0.106</v>
      </c>
      <c r="AE46" s="171">
        <f t="shared" si="1"/>
        <v>0.11391304347826087</v>
      </c>
      <c r="AF46" s="172">
        <f t="shared" si="2"/>
        <v>0.11899999999999999</v>
      </c>
    </row>
    <row r="47" spans="1:32" x14ac:dyDescent="0.2">
      <c r="A47" s="30"/>
      <c r="B47" s="21"/>
      <c r="C47" s="21"/>
      <c r="D47" s="302" t="str">
        <f>IF($N$19&gt;$C$11*16,"D(req'd) = "&amp;$N$19&amp;" &gt; "&amp;$C$11*16&amp;" (1/16's)","D(req'd) = "&amp;$N$19&amp;" &lt;= "&amp;$C$11*16&amp;" (1/16's)")</f>
        <v>D(req'd) = 2.93 &lt;= 3 (1/16's)</v>
      </c>
      <c r="E47" s="37"/>
      <c r="F47" s="303"/>
      <c r="G47" s="344"/>
      <c r="H47" s="21"/>
      <c r="I47" s="24"/>
      <c r="K47" s="260">
        <v>2.8</v>
      </c>
      <c r="L47" s="253">
        <v>7.5999999999999998E-2</v>
      </c>
      <c r="M47" s="254">
        <v>8.6999999999999994E-2</v>
      </c>
      <c r="N47" s="254">
        <v>9.8000000000000004E-2</v>
      </c>
      <c r="O47" s="254">
        <v>0.11</v>
      </c>
      <c r="P47" s="254">
        <v>0.123</v>
      </c>
      <c r="Q47" s="254">
        <v>0.13700000000000001</v>
      </c>
      <c r="R47" s="254">
        <v>0.154</v>
      </c>
      <c r="S47" s="254">
        <v>0.17199999999999999</v>
      </c>
      <c r="T47" s="254">
        <v>0.192</v>
      </c>
      <c r="U47" s="254">
        <v>0.214</v>
      </c>
      <c r="V47" s="254">
        <v>0.23400000000000001</v>
      </c>
      <c r="W47" s="254">
        <v>0.27900000000000003</v>
      </c>
      <c r="X47" s="254">
        <v>0.33</v>
      </c>
      <c r="Y47" s="254">
        <v>0.38600000000000001</v>
      </c>
      <c r="Z47" s="254">
        <v>0.44700000000000001</v>
      </c>
      <c r="AA47" s="255">
        <v>0.51300000000000001</v>
      </c>
      <c r="AB47" s="216">
        <v>23</v>
      </c>
      <c r="AC47" s="169">
        <v>23</v>
      </c>
      <c r="AD47" s="170">
        <f t="shared" si="0"/>
        <v>9.8000000000000004E-2</v>
      </c>
      <c r="AE47" s="171">
        <f t="shared" si="1"/>
        <v>0.10530434782608696</v>
      </c>
      <c r="AF47" s="172">
        <f t="shared" si="2"/>
        <v>0.11</v>
      </c>
    </row>
    <row r="48" spans="1:32" ht="12.75" customHeight="1" x14ac:dyDescent="0.2">
      <c r="A48" s="30"/>
      <c r="B48" s="21"/>
      <c r="C48" s="21"/>
      <c r="D48" s="304" t="str">
        <f>IF($N$20&gt;$N$3,"L(req'd) = "&amp;$N$20&amp;" &gt; "&amp;$N$3&amp;" in.","L(req'd) = "&amp;$N$20&amp;" &lt;= "&amp;$N$3&amp;" in.")</f>
        <v>L(req'd) = 11.231 &lt;= 11.5 in.</v>
      </c>
      <c r="E48" s="305"/>
      <c r="F48" s="306"/>
      <c r="G48" s="344"/>
      <c r="H48" s="21"/>
      <c r="I48" s="24"/>
      <c r="K48" s="261">
        <v>3</v>
      </c>
      <c r="L48" s="256">
        <v>7.0999999999999994E-2</v>
      </c>
      <c r="M48" s="257">
        <v>8.1000000000000003E-2</v>
      </c>
      <c r="N48" s="257">
        <v>9.1999999999999998E-2</v>
      </c>
      <c r="O48" s="257">
        <v>0.10299999999999999</v>
      </c>
      <c r="P48" s="257">
        <v>0.115</v>
      </c>
      <c r="Q48" s="257">
        <v>0.128</v>
      </c>
      <c r="R48" s="257">
        <v>0.14399999999999999</v>
      </c>
      <c r="S48" s="257">
        <v>0.161</v>
      </c>
      <c r="T48" s="257">
        <v>0.18</v>
      </c>
      <c r="U48" s="257">
        <v>0.2</v>
      </c>
      <c r="V48" s="257">
        <v>0.219</v>
      </c>
      <c r="W48" s="257">
        <v>0.26200000000000001</v>
      </c>
      <c r="X48" s="257">
        <v>0.309</v>
      </c>
      <c r="Y48" s="257">
        <v>0.36199999999999999</v>
      </c>
      <c r="Z48" s="257">
        <v>0.42</v>
      </c>
      <c r="AA48" s="258">
        <v>0.48199999999999998</v>
      </c>
      <c r="AB48" s="216">
        <v>24</v>
      </c>
      <c r="AC48" s="173">
        <v>24</v>
      </c>
      <c r="AD48" s="174">
        <f t="shared" si="0"/>
        <v>9.1999999999999998E-2</v>
      </c>
      <c r="AE48" s="175">
        <f t="shared" si="1"/>
        <v>9.8695652173913045E-2</v>
      </c>
      <c r="AF48" s="176">
        <f t="shared" si="2"/>
        <v>0.10299999999999999</v>
      </c>
    </row>
    <row r="49" spans="1:32" x14ac:dyDescent="0.2">
      <c r="A49" s="30"/>
      <c r="B49" s="21"/>
      <c r="C49" s="21"/>
      <c r="D49" s="21"/>
      <c r="E49" s="21"/>
      <c r="F49" s="21"/>
      <c r="G49" s="21"/>
      <c r="H49" s="21"/>
      <c r="I49" s="24"/>
      <c r="K49" s="270" t="s">
        <v>1107</v>
      </c>
      <c r="L49" s="264">
        <v>0</v>
      </c>
      <c r="M49" s="266">
        <v>4.0000000000000001E-3</v>
      </c>
      <c r="N49" s="268">
        <v>1.6E-2</v>
      </c>
      <c r="O49" s="266">
        <v>3.4000000000000002E-2</v>
      </c>
      <c r="P49" s="268">
        <v>5.7000000000000002E-2</v>
      </c>
      <c r="Q49" s="266">
        <v>8.3000000000000004E-2</v>
      </c>
      <c r="R49" s="268">
        <v>0.112</v>
      </c>
      <c r="S49" s="266">
        <v>0.14399999999999999</v>
      </c>
      <c r="T49" s="268">
        <v>0.17699999999999999</v>
      </c>
      <c r="U49" s="266">
        <v>0.21299999999999999</v>
      </c>
      <c r="V49" s="268">
        <v>0.25</v>
      </c>
      <c r="W49" s="266">
        <v>0.32700000000000001</v>
      </c>
      <c r="X49" s="268">
        <v>0.40799999999999997</v>
      </c>
      <c r="Y49" s="266">
        <v>0.49199999999999999</v>
      </c>
      <c r="Z49" s="268">
        <v>0.57799999999999996</v>
      </c>
      <c r="AA49" s="266">
        <v>0.66600000000000004</v>
      </c>
      <c r="AB49" s="177"/>
      <c r="AC49" s="178" t="s">
        <v>1096</v>
      </c>
      <c r="AD49" s="179"/>
      <c r="AE49" s="180"/>
      <c r="AF49" s="181" t="s">
        <v>1097</v>
      </c>
    </row>
    <row r="50" spans="1:32" x14ac:dyDescent="0.2">
      <c r="A50" s="31"/>
      <c r="B50" s="32"/>
      <c r="C50" s="32"/>
      <c r="D50" s="32"/>
      <c r="E50" s="32"/>
      <c r="F50" s="32"/>
      <c r="G50" s="32"/>
      <c r="H50" s="32"/>
      <c r="I50" s="33"/>
      <c r="K50" s="271" t="s">
        <v>1152</v>
      </c>
      <c r="L50" s="265">
        <v>0.5</v>
      </c>
      <c r="M50" s="267">
        <v>0.45400000000000001</v>
      </c>
      <c r="N50" s="269">
        <v>0.41599999999999998</v>
      </c>
      <c r="O50" s="267">
        <v>0.38400000000000001</v>
      </c>
      <c r="P50" s="269">
        <v>0.35699999999999998</v>
      </c>
      <c r="Q50" s="267">
        <v>0.33300000000000002</v>
      </c>
      <c r="R50" s="269">
        <v>0.312</v>
      </c>
      <c r="S50" s="267">
        <v>0.29399999999999998</v>
      </c>
      <c r="T50" s="269">
        <v>0.27700000000000002</v>
      </c>
      <c r="U50" s="267">
        <v>0.26300000000000001</v>
      </c>
      <c r="V50" s="269">
        <v>0.25</v>
      </c>
      <c r="W50" s="267">
        <v>0.22700000000000001</v>
      </c>
      <c r="X50" s="269">
        <v>0.20799999999999999</v>
      </c>
      <c r="Y50" s="267">
        <v>0.192</v>
      </c>
      <c r="Z50" s="269">
        <v>0.17799999999999999</v>
      </c>
      <c r="AA50" s="267">
        <v>0.16600000000000001</v>
      </c>
      <c r="AB50" s="63"/>
      <c r="AC50" s="182">
        <f>IF($N$8&gt;=0.06,LOOKUP($AE$50,$K$25:$K$48,$AB$25:$AB$48),0)</f>
        <v>7</v>
      </c>
      <c r="AD50" s="183" t="s">
        <v>1194</v>
      </c>
      <c r="AE50" s="184">
        <f>IF($N$8&gt;=0.06,LOOKUP($N$8,$K$25:$K$48),0)</f>
        <v>0.3</v>
      </c>
      <c r="AF50" s="185">
        <f>IF($N$8&gt;=0.06,LOOKUP($AE$50,$K$25:$K$48,$AE25:$AE48),0.928*(1+$N$9))</f>
        <v>0.76904347826086961</v>
      </c>
    </row>
    <row r="51" spans="1:32" x14ac:dyDescent="0.2">
      <c r="A51" s="21"/>
      <c r="K51" s="158" t="s">
        <v>1094</v>
      </c>
      <c r="L51" s="158">
        <v>1</v>
      </c>
      <c r="M51" s="158">
        <v>2</v>
      </c>
      <c r="N51" s="158">
        <v>3</v>
      </c>
      <c r="O51" s="158">
        <v>4</v>
      </c>
      <c r="P51" s="158">
        <v>5</v>
      </c>
      <c r="Q51" s="158">
        <v>6</v>
      </c>
      <c r="R51" s="158">
        <v>7</v>
      </c>
      <c r="S51" s="158">
        <v>8</v>
      </c>
      <c r="T51" s="158">
        <v>9</v>
      </c>
      <c r="U51" s="158">
        <v>10</v>
      </c>
      <c r="V51" s="158">
        <v>11</v>
      </c>
      <c r="W51" s="158">
        <v>12</v>
      </c>
      <c r="X51" s="158">
        <v>13</v>
      </c>
      <c r="Y51" s="158">
        <v>14</v>
      </c>
      <c r="Z51" s="158">
        <v>15</v>
      </c>
      <c r="AA51" s="158">
        <v>16</v>
      </c>
      <c r="AB51" s="63"/>
      <c r="AC51" s="186"/>
      <c r="AD51" s="187" t="s">
        <v>1095</v>
      </c>
      <c r="AE51" s="171">
        <f>$N$8</f>
        <v>0.32086956521739129</v>
      </c>
      <c r="AF51" s="188">
        <f>IF($AE$50=$AE$52,$AF$50,($AF$52-$AF$50)*($AE$51-$AE$50)/($AE$52-$AE$50)+$AF$50)</f>
        <v>0.74218525519848777</v>
      </c>
    </row>
    <row r="52" spans="1:32" x14ac:dyDescent="0.2">
      <c r="N52" s="43"/>
      <c r="O52" s="52"/>
      <c r="Q52" s="18"/>
      <c r="R52" s="18"/>
      <c r="S52" s="18"/>
      <c r="T52" s="18"/>
      <c r="U52" s="18"/>
      <c r="V52" s="18"/>
      <c r="W52" s="18"/>
      <c r="AC52" s="189">
        <f>LOOKUP($AC$50+1,$AB$25:$AB$48)</f>
        <v>8</v>
      </c>
      <c r="AD52" s="190" t="s">
        <v>1194</v>
      </c>
      <c r="AE52" s="191">
        <f>LOOKUP($AC$52,$AB$25:$AB$48,$K$25:$K$48)</f>
        <v>0.4</v>
      </c>
      <c r="AF52" s="176">
        <f>LOOKUP($AE$52,$K$25:$K$48,$AE25:$AE48)</f>
        <v>0.64034782608695651</v>
      </c>
    </row>
    <row r="53" spans="1:32" x14ac:dyDescent="0.2">
      <c r="G53" s="64"/>
      <c r="H53" s="64"/>
      <c r="I53" s="64"/>
      <c r="J53" s="64"/>
    </row>
    <row r="54" spans="1:32" x14ac:dyDescent="0.2">
      <c r="G54" s="64"/>
      <c r="H54" s="64"/>
      <c r="I54" s="64"/>
      <c r="K54" s="55"/>
      <c r="N54" s="43"/>
      <c r="P54" s="44"/>
      <c r="V54" s="14"/>
    </row>
    <row r="55" spans="1:32" x14ac:dyDescent="0.2">
      <c r="G55" s="64"/>
      <c r="H55" s="64"/>
      <c r="I55" s="64"/>
      <c r="K55" s="55"/>
      <c r="P55" s="44"/>
    </row>
    <row r="56" spans="1:32" x14ac:dyDescent="0.2">
      <c r="G56" s="64"/>
      <c r="H56" s="64"/>
      <c r="I56" s="64"/>
      <c r="K56" s="55"/>
      <c r="P56" s="44"/>
    </row>
    <row r="57" spans="1:32" x14ac:dyDescent="0.2">
      <c r="G57" s="64"/>
      <c r="H57" s="64"/>
      <c r="I57" s="64"/>
      <c r="K57" s="55"/>
      <c r="P57" s="44"/>
    </row>
    <row r="58" spans="1:32" x14ac:dyDescent="0.2">
      <c r="G58" s="58"/>
      <c r="H58" s="58"/>
      <c r="I58" s="113"/>
      <c r="K58" s="55"/>
      <c r="O58" s="192"/>
      <c r="P58" s="192"/>
    </row>
    <row r="59" spans="1:32" x14ac:dyDescent="0.2">
      <c r="G59" s="58"/>
      <c r="H59" s="58"/>
      <c r="I59" s="113"/>
      <c r="K59" s="55"/>
      <c r="O59" s="192"/>
      <c r="P59" s="192"/>
      <c r="Q59" s="192"/>
    </row>
    <row r="60" spans="1:32" x14ac:dyDescent="0.2">
      <c r="G60" s="58"/>
      <c r="H60" s="58"/>
      <c r="I60" s="58"/>
      <c r="K60" s="55"/>
      <c r="O60" s="192"/>
      <c r="P60" s="192"/>
      <c r="Q60" s="192"/>
    </row>
    <row r="61" spans="1:32" x14ac:dyDescent="0.2">
      <c r="G61" s="58"/>
      <c r="H61" s="58"/>
      <c r="I61" s="58"/>
      <c r="J61" s="67"/>
      <c r="K61" s="55"/>
      <c r="O61" s="192"/>
      <c r="P61" s="192"/>
      <c r="Q61" s="192"/>
    </row>
    <row r="62" spans="1:32" x14ac:dyDescent="0.2">
      <c r="G62" s="58"/>
      <c r="H62" s="58"/>
      <c r="I62" s="58"/>
      <c r="J62" s="57"/>
      <c r="K62" s="55"/>
      <c r="O62" s="192"/>
      <c r="P62" s="192"/>
      <c r="Q62" s="192"/>
    </row>
    <row r="63" spans="1:32" x14ac:dyDescent="0.2">
      <c r="G63" s="58"/>
      <c r="H63" s="58"/>
      <c r="I63" s="58"/>
      <c r="J63" s="64"/>
      <c r="Q63" s="192"/>
    </row>
    <row r="64" spans="1:32" x14ac:dyDescent="0.2">
      <c r="G64" s="64"/>
      <c r="H64" s="64"/>
      <c r="I64" s="64"/>
      <c r="J64" s="64"/>
    </row>
    <row r="65" spans="1:14" x14ac:dyDescent="0.2">
      <c r="A65" s="113"/>
      <c r="B65" s="9"/>
      <c r="C65" s="73"/>
      <c r="D65" s="73"/>
      <c r="E65" s="64"/>
      <c r="F65" s="64"/>
      <c r="G65" s="64"/>
      <c r="H65" s="64"/>
      <c r="I65" s="64"/>
      <c r="J65" s="51"/>
      <c r="N65" s="43"/>
    </row>
    <row r="66" spans="1:14" x14ac:dyDescent="0.2">
      <c r="A66" s="93"/>
      <c r="B66" s="9"/>
      <c r="C66" s="10"/>
      <c r="D66" s="73"/>
      <c r="E66" s="64"/>
      <c r="F66" s="64"/>
      <c r="G66" s="64"/>
      <c r="H66" s="64"/>
      <c r="I66" s="64"/>
      <c r="J66" s="51"/>
      <c r="N66" s="43"/>
    </row>
    <row r="67" spans="1:14" x14ac:dyDescent="0.2">
      <c r="A67" s="93"/>
      <c r="B67" s="9"/>
      <c r="D67" s="73"/>
      <c r="E67" s="64"/>
      <c r="F67" s="64"/>
      <c r="G67" s="64"/>
      <c r="H67" s="64"/>
      <c r="I67" s="64"/>
      <c r="N67" s="43"/>
    </row>
    <row r="68" spans="1:14" x14ac:dyDescent="0.2">
      <c r="A68" s="93"/>
      <c r="B68" s="9"/>
      <c r="D68" s="73"/>
      <c r="E68" s="64"/>
      <c r="F68" s="64"/>
      <c r="G68" s="64"/>
      <c r="H68" s="64"/>
      <c r="I68" s="64"/>
      <c r="N68" s="43"/>
    </row>
    <row r="69" spans="1:14" x14ac:dyDescent="0.2">
      <c r="A69" s="93"/>
      <c r="B69" s="9"/>
      <c r="D69" s="73"/>
      <c r="E69" s="64"/>
      <c r="F69" s="64"/>
      <c r="G69" s="64"/>
      <c r="H69" s="64"/>
      <c r="I69" s="64"/>
      <c r="N69" s="43"/>
    </row>
    <row r="70" spans="1:14" x14ac:dyDescent="0.2">
      <c r="A70" s="64"/>
      <c r="B70" s="64"/>
      <c r="C70" s="64"/>
      <c r="D70" s="64"/>
      <c r="E70" s="64"/>
      <c r="F70" s="64"/>
      <c r="G70" s="64"/>
      <c r="H70" s="64"/>
      <c r="I70" s="64"/>
      <c r="N70" s="43"/>
    </row>
    <row r="71" spans="1:14" x14ac:dyDescent="0.2">
      <c r="A71" s="71"/>
      <c r="B71" s="64"/>
      <c r="C71" s="64"/>
      <c r="D71" s="64"/>
      <c r="E71" s="64"/>
      <c r="F71" s="64"/>
      <c r="G71" s="64"/>
      <c r="H71" s="64"/>
      <c r="I71" s="64"/>
      <c r="N71" s="43"/>
    </row>
    <row r="72" spans="1:14" x14ac:dyDescent="0.2">
      <c r="A72" s="64"/>
      <c r="B72" s="64"/>
      <c r="C72" s="64"/>
      <c r="D72" s="64"/>
      <c r="E72" s="64"/>
      <c r="F72" s="64"/>
      <c r="G72" s="64"/>
      <c r="H72" s="64"/>
      <c r="I72" s="64"/>
      <c r="N72" s="43"/>
    </row>
    <row r="73" spans="1:14" x14ac:dyDescent="0.2">
      <c r="A73" s="93"/>
      <c r="B73" s="9"/>
      <c r="C73" s="73"/>
      <c r="D73" s="64"/>
      <c r="E73" s="64"/>
      <c r="F73" s="64"/>
      <c r="G73" s="64"/>
      <c r="H73" s="108"/>
      <c r="I73" s="57"/>
      <c r="N73" s="43"/>
    </row>
    <row r="74" spans="1:14" x14ac:dyDescent="0.2">
      <c r="A74" s="57"/>
      <c r="B74" s="57"/>
      <c r="C74" s="57"/>
      <c r="D74" s="65"/>
      <c r="E74" s="64"/>
      <c r="F74" s="64"/>
      <c r="G74" s="64"/>
      <c r="H74" s="64"/>
      <c r="I74" s="64"/>
      <c r="N74" s="54"/>
    </row>
    <row r="75" spans="1:14" x14ac:dyDescent="0.2">
      <c r="A75" s="93"/>
      <c r="B75" s="9"/>
      <c r="C75" s="62"/>
      <c r="D75" s="62"/>
      <c r="E75" s="62"/>
      <c r="F75" s="64"/>
      <c r="G75" s="64"/>
      <c r="H75" s="64"/>
      <c r="I75" s="57"/>
      <c r="N75" s="43"/>
    </row>
    <row r="76" spans="1:14" x14ac:dyDescent="0.2">
      <c r="A76" s="93"/>
      <c r="B76" s="9"/>
      <c r="C76" s="62"/>
      <c r="D76" s="73"/>
      <c r="E76" s="73"/>
      <c r="F76" s="64"/>
      <c r="G76" s="64"/>
      <c r="H76" s="64"/>
      <c r="I76" s="57"/>
      <c r="N76" s="43"/>
    </row>
    <row r="77" spans="1:14" x14ac:dyDescent="0.2">
      <c r="A77" s="100"/>
      <c r="B77" s="58"/>
      <c r="C77" s="62"/>
      <c r="D77" s="84"/>
      <c r="E77" s="84"/>
      <c r="F77" s="64"/>
      <c r="G77" s="64"/>
      <c r="H77" s="64"/>
      <c r="I77" s="64"/>
      <c r="N77" s="43"/>
    </row>
    <row r="78" spans="1:14" x14ac:dyDescent="0.2">
      <c r="A78" s="100"/>
      <c r="B78" s="58"/>
      <c r="C78" s="62"/>
      <c r="D78" s="84"/>
      <c r="E78" s="84"/>
      <c r="F78" s="64"/>
      <c r="G78" s="64"/>
      <c r="H78" s="64"/>
      <c r="I78" s="64"/>
      <c r="N78" s="43"/>
    </row>
    <row r="79" spans="1:14" x14ac:dyDescent="0.2">
      <c r="A79" s="64"/>
      <c r="B79" s="64"/>
      <c r="C79" s="64"/>
      <c r="D79" s="62"/>
      <c r="E79" s="64"/>
      <c r="F79" s="64"/>
      <c r="G79" s="64"/>
      <c r="H79" s="64"/>
      <c r="I79" s="64"/>
      <c r="N79" s="43"/>
    </row>
    <row r="80" spans="1:14" x14ac:dyDescent="0.2">
      <c r="A80" s="64"/>
      <c r="B80" s="64"/>
      <c r="C80" s="64"/>
      <c r="D80" s="64"/>
      <c r="E80" s="64"/>
      <c r="F80" s="64"/>
      <c r="G80" s="108"/>
      <c r="H80" s="64"/>
      <c r="I80" s="64"/>
      <c r="K80" s="70"/>
      <c r="N80" s="43"/>
    </row>
    <row r="81" spans="1:14" x14ac:dyDescent="0.2">
      <c r="A81" s="194"/>
      <c r="B81" s="64"/>
      <c r="C81" s="64"/>
      <c r="D81" s="64"/>
      <c r="E81" s="64"/>
      <c r="F81" s="108"/>
      <c r="G81" s="64"/>
      <c r="H81" s="64"/>
      <c r="I81" s="64"/>
      <c r="N81" s="43"/>
    </row>
    <row r="82" spans="1:14" x14ac:dyDescent="0.2">
      <c r="A82" s="57"/>
      <c r="B82" s="57"/>
      <c r="C82" s="57"/>
      <c r="D82" s="62"/>
      <c r="E82" s="57"/>
      <c r="F82" s="64"/>
      <c r="G82" s="64"/>
      <c r="H82" s="64"/>
      <c r="I82" s="64"/>
      <c r="N82" s="43"/>
    </row>
    <row r="83" spans="1:14" x14ac:dyDescent="0.2">
      <c r="A83" s="67"/>
      <c r="B83" s="58"/>
      <c r="C83" s="62"/>
      <c r="D83" s="62"/>
      <c r="E83" s="57"/>
      <c r="F83" s="57"/>
      <c r="G83" s="57"/>
      <c r="H83" s="57"/>
      <c r="I83" s="57"/>
      <c r="N83" s="43"/>
    </row>
    <row r="84" spans="1:14" x14ac:dyDescent="0.2">
      <c r="A84" s="67"/>
      <c r="B84" s="58"/>
      <c r="C84" s="62"/>
      <c r="D84" s="62"/>
      <c r="E84" s="57"/>
      <c r="F84" s="57"/>
      <c r="G84" s="57"/>
      <c r="H84" s="57"/>
      <c r="I84" s="64"/>
      <c r="N84" s="43"/>
    </row>
    <row r="85" spans="1:14" x14ac:dyDescent="0.2">
      <c r="A85" s="67"/>
      <c r="B85" s="9"/>
      <c r="C85" s="62"/>
      <c r="D85" s="62"/>
      <c r="E85" s="64"/>
      <c r="F85" s="64"/>
      <c r="G85" s="64"/>
      <c r="H85" s="64"/>
      <c r="I85" s="57"/>
      <c r="N85" s="43"/>
    </row>
    <row r="86" spans="1:14" x14ac:dyDescent="0.2">
      <c r="A86" s="67"/>
      <c r="B86" s="9"/>
      <c r="C86" s="62"/>
      <c r="D86" s="62"/>
      <c r="E86" s="57"/>
      <c r="F86" s="57"/>
      <c r="G86" s="64"/>
      <c r="H86" s="108"/>
      <c r="I86" s="57"/>
      <c r="N86" s="43"/>
    </row>
    <row r="87" spans="1:14" x14ac:dyDescent="0.2">
      <c r="A87" s="57"/>
      <c r="B87" s="64"/>
      <c r="C87" s="64"/>
      <c r="D87" s="62"/>
      <c r="E87" s="64"/>
      <c r="F87" s="64"/>
      <c r="G87" s="64"/>
      <c r="H87" s="64"/>
      <c r="I87" s="64"/>
      <c r="N87" s="43"/>
    </row>
    <row r="88" spans="1:14" x14ac:dyDescent="0.2">
      <c r="A88" s="67"/>
      <c r="B88" s="9"/>
      <c r="C88" s="62"/>
      <c r="D88" s="62"/>
      <c r="E88" s="57"/>
      <c r="F88" s="57"/>
      <c r="G88" s="57"/>
      <c r="H88" s="57"/>
      <c r="I88" s="57"/>
      <c r="N88" s="43"/>
    </row>
    <row r="89" spans="1:14" x14ac:dyDescent="0.2">
      <c r="A89" s="67"/>
      <c r="B89" s="89"/>
      <c r="C89" s="62"/>
      <c r="D89" s="62"/>
      <c r="E89" s="64"/>
      <c r="F89" s="64"/>
      <c r="G89" s="64"/>
      <c r="H89" s="108"/>
      <c r="I89" s="57"/>
      <c r="N89" s="43"/>
    </row>
    <row r="90" spans="1:14" x14ac:dyDescent="0.2">
      <c r="A90" s="57"/>
      <c r="B90" s="64"/>
      <c r="C90" s="64"/>
      <c r="D90" s="62"/>
      <c r="E90" s="64"/>
      <c r="F90" s="64"/>
      <c r="G90" s="64"/>
      <c r="H90" s="64"/>
      <c r="I90" s="57"/>
      <c r="N90" s="43"/>
    </row>
    <row r="91" spans="1:14" x14ac:dyDescent="0.2">
      <c r="A91" s="93"/>
      <c r="B91" s="9"/>
      <c r="C91" s="73"/>
      <c r="D91" s="62"/>
      <c r="E91" s="64"/>
      <c r="F91" s="64"/>
      <c r="G91" s="64"/>
      <c r="H91" s="64"/>
      <c r="I91" s="57"/>
      <c r="K91" s="47"/>
      <c r="N91" s="43"/>
    </row>
    <row r="92" spans="1:14" x14ac:dyDescent="0.2">
      <c r="A92" s="93"/>
      <c r="B92" s="9"/>
      <c r="C92" s="73"/>
      <c r="D92" s="62"/>
      <c r="E92" s="64"/>
      <c r="F92" s="64"/>
      <c r="G92" s="64"/>
      <c r="H92" s="64"/>
      <c r="I92" s="64"/>
      <c r="M92" s="52"/>
      <c r="N92" s="43"/>
    </row>
    <row r="93" spans="1:14" x14ac:dyDescent="0.2">
      <c r="A93" s="93"/>
      <c r="B93" s="9"/>
      <c r="C93" s="64"/>
      <c r="D93" s="62"/>
      <c r="E93" s="64"/>
      <c r="F93" s="64"/>
      <c r="G93" s="64"/>
      <c r="H93" s="64"/>
      <c r="I93" s="64"/>
      <c r="N93" s="43"/>
    </row>
    <row r="94" spans="1:14" x14ac:dyDescent="0.2">
      <c r="A94" s="93"/>
      <c r="B94" s="9"/>
      <c r="C94" s="64"/>
      <c r="D94" s="73"/>
      <c r="E94" s="64"/>
      <c r="F94" s="64"/>
      <c r="G94" s="64"/>
      <c r="H94" s="64"/>
      <c r="I94" s="57"/>
      <c r="N94" s="43"/>
    </row>
    <row r="95" spans="1:14" x14ac:dyDescent="0.2">
      <c r="A95" s="93"/>
      <c r="B95" s="9"/>
      <c r="C95" s="64"/>
      <c r="D95" s="73"/>
      <c r="E95" s="64"/>
      <c r="F95" s="64"/>
      <c r="G95" s="64"/>
      <c r="H95" s="64"/>
      <c r="I95" s="64"/>
      <c r="N95" s="43"/>
    </row>
    <row r="96" spans="1:14" x14ac:dyDescent="0.2">
      <c r="A96" s="93"/>
      <c r="B96" s="9"/>
      <c r="C96" s="73"/>
      <c r="D96" s="64"/>
      <c r="E96" s="64"/>
      <c r="F96" s="64"/>
      <c r="G96" s="64"/>
      <c r="H96" s="64"/>
      <c r="I96" s="57"/>
    </row>
    <row r="97" spans="1:14" x14ac:dyDescent="0.2">
      <c r="A97" s="57"/>
      <c r="B97" s="12"/>
      <c r="C97" s="57"/>
      <c r="D97" s="73"/>
      <c r="E97" s="64"/>
      <c r="F97" s="64"/>
      <c r="G97" s="64"/>
      <c r="H97" s="64"/>
      <c r="I97" s="57"/>
      <c r="K97" s="59"/>
      <c r="N97" s="43"/>
    </row>
    <row r="98" spans="1:14" x14ac:dyDescent="0.2">
      <c r="A98" s="57"/>
      <c r="B98" s="12"/>
      <c r="C98" s="57"/>
      <c r="D98" s="73"/>
      <c r="E98" s="64"/>
      <c r="F98" s="64"/>
      <c r="G98" s="64"/>
      <c r="H98" s="64"/>
      <c r="I98" s="64"/>
      <c r="N98" s="43"/>
    </row>
    <row r="99" spans="1:14" x14ac:dyDescent="0.2">
      <c r="A99" s="64"/>
      <c r="B99" s="64"/>
      <c r="C99" s="64"/>
      <c r="D99" s="64"/>
      <c r="E99" s="64"/>
      <c r="F99" s="64"/>
      <c r="G99" s="64"/>
      <c r="H99" s="108"/>
      <c r="I99" s="57"/>
      <c r="N99" s="43"/>
    </row>
    <row r="100" spans="1:14" x14ac:dyDescent="0.2">
      <c r="A100" s="64"/>
      <c r="B100" s="64"/>
      <c r="C100" s="64"/>
      <c r="D100" s="64"/>
      <c r="E100" s="57"/>
      <c r="F100" s="57"/>
      <c r="G100" s="57"/>
      <c r="H100" s="80"/>
      <c r="I100" s="12"/>
      <c r="N100" s="43"/>
    </row>
    <row r="101" spans="1:14" x14ac:dyDescent="0.2">
      <c r="A101" s="64"/>
      <c r="B101" s="64"/>
      <c r="C101" s="64"/>
      <c r="D101" s="64"/>
      <c r="E101" s="57"/>
      <c r="F101" s="57"/>
      <c r="G101" s="57"/>
      <c r="H101" s="80"/>
      <c r="I101" s="127"/>
      <c r="N101" s="43"/>
    </row>
    <row r="102" spans="1:14" x14ac:dyDescent="0.2">
      <c r="A102" s="194"/>
      <c r="B102" s="21"/>
      <c r="C102" s="21"/>
      <c r="D102" s="21"/>
      <c r="E102" s="21"/>
      <c r="F102" s="21"/>
      <c r="G102" s="21"/>
      <c r="H102" s="94"/>
      <c r="I102" s="96"/>
      <c r="N102" s="43"/>
    </row>
    <row r="103" spans="1:14" x14ac:dyDescent="0.2">
      <c r="A103" s="21"/>
      <c r="B103" s="21"/>
      <c r="C103" s="21"/>
      <c r="D103" s="21"/>
      <c r="E103" s="21"/>
      <c r="F103" s="21"/>
      <c r="G103" s="21"/>
      <c r="H103" s="94"/>
      <c r="I103" s="41"/>
      <c r="N103" s="43"/>
    </row>
    <row r="104" spans="1:14" x14ac:dyDescent="0.2">
      <c r="A104" s="126"/>
      <c r="B104" s="8"/>
      <c r="C104" s="62"/>
      <c r="D104" s="73"/>
      <c r="E104" s="21"/>
      <c r="F104" s="21"/>
      <c r="G104" s="21"/>
      <c r="H104" s="94"/>
      <c r="I104" s="41"/>
      <c r="N104" s="43"/>
    </row>
    <row r="105" spans="1:14" x14ac:dyDescent="0.2">
      <c r="A105" s="126"/>
      <c r="B105" s="8"/>
      <c r="C105" s="62"/>
      <c r="D105" s="73"/>
      <c r="E105" s="21"/>
      <c r="F105" s="21"/>
      <c r="G105" s="21"/>
      <c r="H105" s="94"/>
      <c r="I105" s="21"/>
      <c r="N105" s="43"/>
    </row>
    <row r="106" spans="1:14" x14ac:dyDescent="0.2">
      <c r="A106" s="126"/>
      <c r="B106" s="8"/>
      <c r="C106" s="10"/>
      <c r="D106" s="73"/>
      <c r="E106" s="21"/>
      <c r="F106" s="21"/>
      <c r="G106" s="21"/>
      <c r="H106" s="21"/>
      <c r="I106" s="21"/>
      <c r="N106" s="43"/>
    </row>
    <row r="107" spans="1:14" x14ac:dyDescent="0.2">
      <c r="A107" s="21"/>
      <c r="B107" s="21"/>
      <c r="C107" s="21"/>
      <c r="D107" s="21"/>
      <c r="E107" s="21"/>
      <c r="F107" s="21"/>
      <c r="G107" s="21"/>
      <c r="H107" s="21"/>
      <c r="I107" s="21"/>
      <c r="N107" s="43"/>
    </row>
    <row r="108" spans="1:14" x14ac:dyDescent="0.2">
      <c r="A108" s="57"/>
      <c r="B108" s="67"/>
      <c r="C108" s="62"/>
      <c r="D108" s="62"/>
      <c r="E108" s="21"/>
      <c r="F108" s="21"/>
      <c r="G108" s="21"/>
      <c r="H108" s="21"/>
      <c r="I108" s="21"/>
      <c r="N108" s="43"/>
    </row>
    <row r="109" spans="1:14" x14ac:dyDescent="0.2">
      <c r="A109" s="67"/>
      <c r="B109" s="8"/>
      <c r="C109" s="62"/>
      <c r="D109" s="62"/>
      <c r="E109" s="21"/>
      <c r="F109" s="21"/>
      <c r="G109" s="21"/>
      <c r="H109" s="21"/>
      <c r="I109" s="21"/>
      <c r="N109" s="43"/>
    </row>
    <row r="110" spans="1:14" x14ac:dyDescent="0.2">
      <c r="A110" s="67"/>
      <c r="B110" s="8"/>
      <c r="C110" s="62"/>
      <c r="D110" s="62"/>
      <c r="E110" s="21"/>
      <c r="F110" s="21"/>
      <c r="G110" s="21"/>
      <c r="H110" s="83"/>
      <c r="I110" s="64"/>
      <c r="N110" s="43"/>
    </row>
    <row r="111" spans="1:14" x14ac:dyDescent="0.2">
      <c r="A111" s="21"/>
      <c r="B111" s="21"/>
      <c r="C111" s="21"/>
      <c r="D111" s="21"/>
      <c r="E111" s="21"/>
      <c r="F111" s="21"/>
      <c r="G111" s="21"/>
      <c r="H111" s="21"/>
      <c r="I111" s="21"/>
      <c r="N111" s="43"/>
    </row>
    <row r="112" spans="1:14" x14ac:dyDescent="0.2">
      <c r="A112" s="57"/>
      <c r="B112" s="57"/>
      <c r="C112" s="57"/>
      <c r="D112" s="62"/>
      <c r="E112" s="57"/>
      <c r="F112" s="57"/>
      <c r="G112" s="57"/>
      <c r="H112" s="57"/>
      <c r="I112" s="57"/>
      <c r="N112" s="43"/>
    </row>
    <row r="113" spans="1:14" x14ac:dyDescent="0.2">
      <c r="A113" s="93"/>
      <c r="B113" s="8"/>
      <c r="C113" s="73"/>
      <c r="D113" s="73"/>
      <c r="E113" s="21"/>
      <c r="F113" s="21"/>
      <c r="G113" s="21"/>
      <c r="H113" s="21"/>
      <c r="I113" s="21"/>
      <c r="N113" s="43"/>
    </row>
    <row r="114" spans="1:14" x14ac:dyDescent="0.2">
      <c r="A114" s="93"/>
      <c r="B114" s="11"/>
      <c r="C114" s="73"/>
      <c r="D114" s="73"/>
      <c r="E114" s="21"/>
      <c r="F114" s="21"/>
      <c r="G114" s="21"/>
      <c r="H114" s="21"/>
      <c r="I114" s="21"/>
      <c r="N114" s="43"/>
    </row>
    <row r="115" spans="1:14" x14ac:dyDescent="0.2">
      <c r="A115" s="100"/>
      <c r="B115" s="11"/>
      <c r="C115" s="73"/>
      <c r="D115" s="84"/>
      <c r="E115" s="21"/>
      <c r="F115" s="21"/>
      <c r="G115" s="21"/>
      <c r="H115" s="21"/>
      <c r="I115" s="21"/>
      <c r="N115" s="43"/>
    </row>
    <row r="116" spans="1:14" x14ac:dyDescent="0.2">
      <c r="A116" s="100"/>
      <c r="B116" s="11"/>
      <c r="C116" s="73"/>
      <c r="D116" s="84"/>
      <c r="E116" s="21"/>
      <c r="F116" s="21"/>
      <c r="G116" s="21"/>
      <c r="H116" s="21"/>
      <c r="I116" s="21"/>
      <c r="N116" s="43"/>
    </row>
    <row r="117" spans="1:14" x14ac:dyDescent="0.2">
      <c r="A117" s="21"/>
      <c r="B117" s="21"/>
      <c r="C117" s="21"/>
      <c r="D117" s="21"/>
      <c r="E117" s="21"/>
      <c r="F117" s="21"/>
      <c r="G117" s="68"/>
      <c r="H117" s="21"/>
      <c r="I117" s="21"/>
      <c r="N117" s="43"/>
    </row>
    <row r="118" spans="1:14" x14ac:dyDescent="0.2">
      <c r="A118" s="99"/>
      <c r="B118" s="8"/>
      <c r="C118" s="62"/>
      <c r="D118" s="62"/>
      <c r="E118" s="57"/>
      <c r="F118" s="68"/>
      <c r="G118" s="57"/>
      <c r="H118" s="57"/>
      <c r="I118" s="57"/>
      <c r="N118" s="43"/>
    </row>
    <row r="119" spans="1:14" x14ac:dyDescent="0.2">
      <c r="A119" s="21"/>
      <c r="B119" s="21"/>
      <c r="C119" s="21"/>
      <c r="D119" s="21"/>
      <c r="E119" s="21"/>
      <c r="F119" s="21"/>
      <c r="G119" s="21"/>
      <c r="H119" s="21"/>
      <c r="I119" s="21"/>
      <c r="N119" s="43"/>
    </row>
    <row r="120" spans="1:14" x14ac:dyDescent="0.2">
      <c r="A120" s="126"/>
      <c r="B120" s="195"/>
      <c r="C120" s="62"/>
      <c r="D120" s="73"/>
      <c r="E120" s="57"/>
      <c r="F120" s="57"/>
      <c r="G120" s="57"/>
      <c r="H120" s="57"/>
      <c r="I120" s="21"/>
      <c r="N120" s="43"/>
    </row>
    <row r="121" spans="1:14" x14ac:dyDescent="0.2">
      <c r="A121" s="126"/>
      <c r="B121" s="8"/>
      <c r="C121" s="62"/>
      <c r="D121" s="73"/>
      <c r="E121" s="57"/>
      <c r="F121" s="57"/>
      <c r="G121" s="57"/>
      <c r="H121" s="57"/>
      <c r="I121" s="21"/>
      <c r="N121" s="43"/>
    </row>
    <row r="122" spans="1:14" x14ac:dyDescent="0.2">
      <c r="A122" s="74"/>
      <c r="B122" s="8"/>
      <c r="C122" s="10"/>
      <c r="D122" s="73"/>
      <c r="E122" s="57"/>
      <c r="F122" s="57"/>
      <c r="G122" s="57"/>
      <c r="H122" s="57"/>
      <c r="I122" s="21"/>
      <c r="N122" s="43"/>
    </row>
    <row r="123" spans="1:14" x14ac:dyDescent="0.2">
      <c r="A123" s="64"/>
      <c r="B123" s="93"/>
      <c r="C123" s="62"/>
      <c r="D123" s="57"/>
      <c r="E123" s="57"/>
      <c r="F123" s="57"/>
      <c r="G123" s="57"/>
      <c r="H123" s="57"/>
      <c r="I123" s="64"/>
      <c r="N123" s="43"/>
    </row>
    <row r="124" spans="1:14" x14ac:dyDescent="0.2">
      <c r="A124" s="93"/>
      <c r="B124" s="8"/>
      <c r="C124" s="62"/>
      <c r="D124" s="62"/>
      <c r="E124" s="57"/>
      <c r="F124" s="57"/>
      <c r="G124" s="57"/>
      <c r="H124" s="57"/>
      <c r="I124" s="64"/>
      <c r="L124" s="52"/>
      <c r="N124" s="43"/>
    </row>
    <row r="125" spans="1:14" x14ac:dyDescent="0.2">
      <c r="A125" s="93"/>
      <c r="B125" s="8"/>
      <c r="C125" s="73"/>
      <c r="D125" s="62"/>
      <c r="E125" s="51"/>
      <c r="F125" s="57"/>
      <c r="G125" s="21"/>
      <c r="H125" s="83"/>
      <c r="I125" s="57"/>
      <c r="N125" s="43"/>
    </row>
    <row r="126" spans="1:14" x14ac:dyDescent="0.2">
      <c r="A126" s="67"/>
      <c r="B126" s="13"/>
      <c r="C126" s="62"/>
      <c r="D126" s="62"/>
      <c r="E126" s="51"/>
      <c r="F126" s="21"/>
      <c r="G126" s="21"/>
      <c r="H126" s="57"/>
      <c r="I126" s="57"/>
      <c r="N126" s="43"/>
    </row>
    <row r="127" spans="1:14" x14ac:dyDescent="0.2">
      <c r="A127" s="93"/>
      <c r="B127" s="8"/>
      <c r="C127" s="62"/>
      <c r="D127" s="62"/>
      <c r="E127" s="57"/>
      <c r="F127" s="21"/>
      <c r="G127" s="83"/>
      <c r="H127" s="64"/>
      <c r="I127" s="57"/>
      <c r="N127" s="43"/>
    </row>
    <row r="128" spans="1:14" x14ac:dyDescent="0.2">
      <c r="A128" s="56"/>
      <c r="B128" s="8"/>
      <c r="C128" s="62"/>
      <c r="D128" s="21"/>
      <c r="E128" s="21"/>
      <c r="F128" s="21"/>
      <c r="G128" s="21"/>
      <c r="H128" s="21"/>
      <c r="I128" s="57"/>
      <c r="K128" s="54"/>
      <c r="N128" s="43"/>
    </row>
    <row r="129" spans="1:14" x14ac:dyDescent="0.2">
      <c r="A129" s="56"/>
      <c r="B129" s="8"/>
      <c r="C129" s="73"/>
      <c r="D129" s="62"/>
      <c r="E129" s="21"/>
      <c r="F129" s="21"/>
      <c r="G129" s="21"/>
      <c r="H129" s="83"/>
      <c r="I129" s="57"/>
      <c r="K129" s="52"/>
      <c r="N129" s="43"/>
    </row>
    <row r="130" spans="1:14" x14ac:dyDescent="0.2">
      <c r="A130" s="73"/>
      <c r="B130" s="64"/>
      <c r="C130" s="64"/>
      <c r="D130" s="73"/>
      <c r="E130" s="64"/>
      <c r="F130" s="64"/>
      <c r="G130" s="64"/>
      <c r="H130" s="57"/>
      <c r="I130" s="57"/>
      <c r="K130" s="54"/>
      <c r="N130" s="43"/>
    </row>
    <row r="131" spans="1:14" x14ac:dyDescent="0.2">
      <c r="A131" s="56"/>
      <c r="B131" s="8"/>
      <c r="C131" s="21"/>
      <c r="D131" s="73"/>
      <c r="E131" s="21"/>
      <c r="F131" s="21"/>
      <c r="G131" s="21"/>
      <c r="H131" s="21"/>
      <c r="I131" s="57"/>
      <c r="N131" s="43"/>
    </row>
    <row r="132" spans="1:14" x14ac:dyDescent="0.2">
      <c r="A132" s="93"/>
      <c r="B132" s="8"/>
      <c r="C132" s="73"/>
      <c r="D132" s="73"/>
      <c r="E132" s="64"/>
      <c r="F132" s="64"/>
      <c r="G132" s="64"/>
      <c r="H132" s="21"/>
      <c r="I132" s="57"/>
      <c r="N132" s="43"/>
    </row>
    <row r="133" spans="1:14" x14ac:dyDescent="0.2">
      <c r="A133" s="100"/>
      <c r="B133" s="11"/>
      <c r="C133" s="73"/>
      <c r="D133" s="84"/>
      <c r="E133" s="64"/>
      <c r="F133" s="64"/>
      <c r="G133" s="21"/>
      <c r="H133" s="21"/>
      <c r="I133" s="21"/>
      <c r="N133" s="43"/>
    </row>
    <row r="134" spans="1:14" x14ac:dyDescent="0.2">
      <c r="A134" s="100"/>
      <c r="B134" s="11"/>
      <c r="C134" s="73"/>
      <c r="D134" s="84"/>
      <c r="E134" s="21"/>
      <c r="F134" s="21"/>
      <c r="G134" s="21"/>
      <c r="H134" s="68"/>
      <c r="I134" s="21"/>
      <c r="N134" s="43"/>
    </row>
    <row r="135" spans="1:14" x14ac:dyDescent="0.2">
      <c r="A135" s="21"/>
      <c r="B135" s="21"/>
      <c r="C135" s="21"/>
      <c r="D135" s="21"/>
      <c r="E135" s="21"/>
      <c r="F135" s="21"/>
      <c r="G135" s="68"/>
      <c r="H135" s="21"/>
      <c r="I135" s="21"/>
      <c r="N135" s="43"/>
    </row>
    <row r="136" spans="1:14" x14ac:dyDescent="0.2">
      <c r="A136" s="73"/>
      <c r="B136" s="64"/>
      <c r="C136" s="57"/>
      <c r="D136" s="57"/>
      <c r="E136" s="21"/>
      <c r="F136" s="68"/>
      <c r="G136" s="21"/>
      <c r="H136" s="21"/>
      <c r="I136" s="21"/>
      <c r="N136" s="43"/>
    </row>
    <row r="137" spans="1:14" x14ac:dyDescent="0.2">
      <c r="A137" s="21"/>
      <c r="B137" s="21"/>
      <c r="C137" s="21"/>
      <c r="D137" s="21"/>
      <c r="E137" s="21"/>
      <c r="F137" s="21"/>
      <c r="G137" s="21"/>
      <c r="H137" s="21"/>
      <c r="I137" s="21"/>
      <c r="N137" s="43"/>
    </row>
    <row r="138" spans="1:14" x14ac:dyDescent="0.2">
      <c r="A138" s="106"/>
      <c r="B138" s="40"/>
      <c r="C138" s="40"/>
      <c r="D138" s="40"/>
      <c r="E138" s="40"/>
      <c r="F138" s="40"/>
      <c r="G138" s="40"/>
      <c r="H138" s="40"/>
      <c r="I138" s="21"/>
      <c r="N138" s="43"/>
    </row>
    <row r="139" spans="1:14" x14ac:dyDescent="0.2">
      <c r="A139" s="93"/>
      <c r="B139" s="8"/>
      <c r="C139" s="59"/>
      <c r="D139" s="59"/>
      <c r="E139" s="40"/>
      <c r="F139" s="40"/>
      <c r="G139" s="40"/>
      <c r="H139" s="40"/>
      <c r="I139" s="21"/>
      <c r="N139" s="43"/>
    </row>
    <row r="140" spans="1:14" x14ac:dyDescent="0.2">
      <c r="A140" s="93"/>
      <c r="B140" s="8"/>
      <c r="C140" s="59"/>
      <c r="D140" s="59"/>
      <c r="E140" s="40"/>
      <c r="F140" s="40"/>
      <c r="G140" s="40"/>
      <c r="H140" s="132"/>
      <c r="I140" s="21"/>
      <c r="N140" s="43"/>
    </row>
    <row r="141" spans="1:14" x14ac:dyDescent="0.2">
      <c r="A141" s="62"/>
      <c r="B141" s="40"/>
      <c r="C141" s="40"/>
      <c r="D141" s="59"/>
      <c r="E141" s="40"/>
      <c r="F141" s="40"/>
      <c r="G141" s="132"/>
      <c r="H141" s="40"/>
      <c r="I141" s="21"/>
      <c r="N141" s="43"/>
    </row>
    <row r="142" spans="1:14" x14ac:dyDescent="0.2">
      <c r="A142" s="67"/>
      <c r="B142" s="8"/>
      <c r="C142" s="59"/>
      <c r="D142" s="59"/>
      <c r="E142" s="40"/>
      <c r="F142" s="40"/>
      <c r="G142" s="40"/>
      <c r="H142" s="40"/>
      <c r="I142" s="21"/>
      <c r="N142" s="43"/>
    </row>
    <row r="143" spans="1:14" x14ac:dyDescent="0.2">
      <c r="A143" s="67"/>
      <c r="B143" s="8"/>
      <c r="C143" s="59"/>
      <c r="D143" s="59"/>
      <c r="E143" s="40"/>
      <c r="F143" s="40"/>
      <c r="G143" s="40"/>
      <c r="H143" s="40"/>
      <c r="I143" s="21"/>
      <c r="N143" s="43"/>
    </row>
    <row r="144" spans="1:14" x14ac:dyDescent="0.2">
      <c r="A144" s="99"/>
      <c r="B144" s="41"/>
      <c r="C144" s="59"/>
      <c r="D144" s="40"/>
      <c r="E144" s="40"/>
      <c r="F144" s="40"/>
      <c r="G144" s="40"/>
      <c r="H144" s="132"/>
      <c r="I144" s="21"/>
      <c r="N144" s="43"/>
    </row>
    <row r="145" spans="1:14" x14ac:dyDescent="0.2">
      <c r="A145" s="21"/>
      <c r="B145" s="40"/>
      <c r="C145" s="40"/>
      <c r="D145" s="40"/>
      <c r="E145" s="40"/>
      <c r="F145" s="40"/>
      <c r="G145" s="40"/>
      <c r="H145" s="40"/>
      <c r="I145" s="21"/>
      <c r="N145" s="43"/>
    </row>
    <row r="146" spans="1:14" x14ac:dyDescent="0.2">
      <c r="A146" s="113"/>
      <c r="B146" s="8"/>
      <c r="C146" s="196"/>
      <c r="D146" s="59"/>
      <c r="E146" s="40"/>
      <c r="F146" s="40"/>
      <c r="G146" s="40"/>
      <c r="H146" s="40"/>
      <c r="I146" s="21"/>
      <c r="N146" s="43"/>
    </row>
    <row r="147" spans="1:14" x14ac:dyDescent="0.2">
      <c r="A147" s="113"/>
      <c r="B147" s="8"/>
      <c r="C147" s="59"/>
      <c r="D147" s="59"/>
      <c r="E147" s="40"/>
      <c r="F147" s="40"/>
      <c r="G147" s="40"/>
      <c r="H147" s="40"/>
      <c r="I147" s="21"/>
      <c r="N147" s="43"/>
    </row>
    <row r="148" spans="1:14" x14ac:dyDescent="0.2">
      <c r="A148" s="62"/>
      <c r="B148" s="40"/>
      <c r="C148" s="40"/>
      <c r="D148" s="40"/>
      <c r="E148" s="40"/>
      <c r="F148" s="40"/>
      <c r="G148" s="40"/>
      <c r="H148" s="40"/>
      <c r="I148" s="21"/>
      <c r="N148" s="43"/>
    </row>
    <row r="149" spans="1:14" x14ac:dyDescent="0.2">
      <c r="A149" s="107"/>
      <c r="B149" s="91"/>
      <c r="C149" s="7"/>
      <c r="D149" s="7"/>
      <c r="E149" s="7"/>
      <c r="F149" s="7"/>
      <c r="G149" s="7"/>
      <c r="H149" s="7"/>
      <c r="I149" s="7"/>
      <c r="N149" s="43"/>
    </row>
    <row r="150" spans="1:14" x14ac:dyDescent="0.2">
      <c r="A150" s="21"/>
      <c r="B150" s="21"/>
      <c r="C150" s="21"/>
      <c r="D150" s="21"/>
      <c r="E150" s="21"/>
      <c r="F150" s="21"/>
      <c r="G150" s="21"/>
      <c r="H150" s="21"/>
      <c r="I150" s="12"/>
      <c r="N150" s="43"/>
    </row>
    <row r="151" spans="1:14" x14ac:dyDescent="0.2">
      <c r="A151" s="21"/>
      <c r="B151" s="21"/>
      <c r="C151" s="21"/>
      <c r="D151" s="21"/>
      <c r="E151" s="21"/>
      <c r="F151" s="21"/>
      <c r="G151" s="21"/>
      <c r="H151" s="94"/>
      <c r="I151" s="95"/>
      <c r="N151" s="43"/>
    </row>
    <row r="152" spans="1:14" x14ac:dyDescent="0.2">
      <c r="A152" s="99"/>
      <c r="B152" s="21"/>
      <c r="C152" s="21"/>
      <c r="D152" s="21"/>
      <c r="E152" s="21"/>
      <c r="F152" s="21"/>
      <c r="G152" s="21"/>
      <c r="H152" s="94"/>
      <c r="I152" s="96"/>
      <c r="N152" s="43"/>
    </row>
    <row r="153" spans="1:14" x14ac:dyDescent="0.2">
      <c r="A153" s="93"/>
      <c r="B153" s="8"/>
      <c r="C153" s="73"/>
      <c r="D153" s="73"/>
      <c r="E153" s="21"/>
      <c r="F153" s="64"/>
      <c r="G153" s="21"/>
      <c r="H153" s="97"/>
      <c r="I153" s="41"/>
      <c r="N153" s="43"/>
    </row>
    <row r="154" spans="1:14" x14ac:dyDescent="0.2">
      <c r="A154" s="67"/>
      <c r="B154" s="13"/>
      <c r="C154" s="62"/>
      <c r="D154" s="73"/>
      <c r="E154" s="21"/>
      <c r="F154" s="64"/>
      <c r="G154" s="21"/>
      <c r="H154" s="94"/>
      <c r="I154" s="41"/>
      <c r="N154" s="43"/>
    </row>
    <row r="155" spans="1:14" x14ac:dyDescent="0.2">
      <c r="A155" s="56"/>
      <c r="B155" s="8"/>
      <c r="C155" s="62"/>
      <c r="D155" s="73"/>
      <c r="E155" s="51"/>
      <c r="F155" s="51"/>
      <c r="G155" s="51"/>
      <c r="H155" s="21"/>
      <c r="I155" s="21"/>
      <c r="N155" s="43"/>
    </row>
    <row r="156" spans="1:14" x14ac:dyDescent="0.2">
      <c r="A156" s="93"/>
      <c r="B156" s="8"/>
      <c r="C156" s="73"/>
      <c r="D156" s="62"/>
      <c r="E156" s="21"/>
      <c r="F156" s="21"/>
      <c r="G156" s="21"/>
      <c r="H156" s="21"/>
      <c r="I156" s="21"/>
      <c r="N156" s="43"/>
    </row>
    <row r="157" spans="1:14" x14ac:dyDescent="0.2">
      <c r="A157" s="93"/>
      <c r="B157" s="8"/>
      <c r="C157" s="62"/>
      <c r="D157" s="62"/>
      <c r="E157" s="51"/>
      <c r="F157" s="51"/>
      <c r="G157" s="21"/>
      <c r="H157" s="83"/>
      <c r="I157" s="21"/>
      <c r="N157" s="43"/>
    </row>
    <row r="158" spans="1:14" x14ac:dyDescent="0.2">
      <c r="A158" s="56"/>
      <c r="B158" s="8"/>
      <c r="C158" s="73"/>
      <c r="D158" s="73"/>
      <c r="E158" s="21"/>
      <c r="F158" s="21"/>
      <c r="G158" s="21"/>
      <c r="H158" s="21"/>
      <c r="I158" s="21"/>
      <c r="N158" s="43"/>
    </row>
    <row r="159" spans="1:14" x14ac:dyDescent="0.2">
      <c r="A159" s="56"/>
      <c r="B159" s="8"/>
      <c r="C159" s="73"/>
      <c r="D159" s="90"/>
      <c r="E159" s="21"/>
      <c r="F159" s="21"/>
      <c r="G159" s="21"/>
      <c r="H159" s="21"/>
      <c r="I159" s="21"/>
      <c r="N159" s="43"/>
    </row>
    <row r="160" spans="1:14" x14ac:dyDescent="0.2">
      <c r="A160" s="67"/>
      <c r="B160" s="8"/>
      <c r="C160" s="62"/>
      <c r="D160" s="62"/>
      <c r="E160" s="21"/>
      <c r="F160" s="21"/>
      <c r="G160" s="21"/>
      <c r="H160" s="83"/>
      <c r="I160" s="21"/>
      <c r="N160" s="43"/>
    </row>
    <row r="161" spans="1:14" x14ac:dyDescent="0.2">
      <c r="A161" s="73"/>
      <c r="B161" s="64"/>
      <c r="C161" s="64"/>
      <c r="D161" s="64"/>
      <c r="E161" s="64"/>
      <c r="F161" s="21"/>
      <c r="G161" s="21"/>
      <c r="H161" s="21"/>
      <c r="I161" s="21"/>
      <c r="N161" s="43"/>
    </row>
    <row r="162" spans="1:14" x14ac:dyDescent="0.2">
      <c r="A162" s="67"/>
      <c r="B162" s="15"/>
      <c r="C162" s="73"/>
      <c r="D162" s="73"/>
      <c r="E162" s="64"/>
      <c r="F162" s="21"/>
      <c r="G162" s="21"/>
      <c r="H162" s="21"/>
      <c r="I162" s="21"/>
      <c r="N162" s="43"/>
    </row>
    <row r="163" spans="1:14" x14ac:dyDescent="0.2">
      <c r="A163" s="67"/>
      <c r="B163" s="15"/>
      <c r="C163" s="73"/>
      <c r="D163" s="73"/>
      <c r="E163" s="64"/>
      <c r="F163" s="21"/>
      <c r="G163" s="21"/>
      <c r="H163" s="21"/>
      <c r="I163" s="21"/>
      <c r="N163" s="43"/>
    </row>
    <row r="164" spans="1:14" x14ac:dyDescent="0.2">
      <c r="A164" s="67"/>
      <c r="B164" s="15"/>
      <c r="C164" s="73"/>
      <c r="D164" s="73"/>
      <c r="E164" s="64"/>
      <c r="F164" s="64"/>
      <c r="G164" s="21"/>
      <c r="H164" s="21"/>
      <c r="I164" s="64"/>
      <c r="N164" s="43"/>
    </row>
    <row r="165" spans="1:14" x14ac:dyDescent="0.2">
      <c r="A165" s="93"/>
      <c r="B165" s="15"/>
      <c r="C165" s="73"/>
      <c r="D165" s="73"/>
      <c r="E165" s="64"/>
      <c r="F165" s="64"/>
      <c r="G165" s="21"/>
      <c r="H165" s="57"/>
      <c r="I165" s="64"/>
      <c r="N165" s="43"/>
    </row>
    <row r="166" spans="1:14" x14ac:dyDescent="0.2">
      <c r="A166" s="100"/>
      <c r="B166" s="15"/>
      <c r="C166" s="64"/>
      <c r="D166" s="84"/>
      <c r="E166" s="64"/>
      <c r="F166" s="64"/>
      <c r="G166" s="21"/>
      <c r="H166" s="57"/>
      <c r="I166" s="21"/>
    </row>
    <row r="167" spans="1:14" x14ac:dyDescent="0.2">
      <c r="A167" s="93"/>
      <c r="B167" s="15"/>
      <c r="C167" s="73"/>
      <c r="D167" s="73"/>
      <c r="E167" s="64"/>
      <c r="F167" s="64"/>
      <c r="G167" s="21"/>
      <c r="H167" s="21"/>
      <c r="I167" s="21"/>
    </row>
    <row r="168" spans="1:14" x14ac:dyDescent="0.2">
      <c r="A168" s="100"/>
      <c r="B168" s="15"/>
      <c r="C168" s="64"/>
      <c r="D168" s="84"/>
      <c r="E168" s="64"/>
      <c r="F168" s="64"/>
      <c r="G168" s="21"/>
      <c r="H168" s="64"/>
      <c r="I168" s="64"/>
    </row>
    <row r="169" spans="1:14" x14ac:dyDescent="0.2">
      <c r="A169" s="100"/>
      <c r="B169" s="11"/>
      <c r="C169" s="64"/>
      <c r="D169" s="84"/>
      <c r="E169" s="64"/>
      <c r="F169" s="64"/>
      <c r="G169" s="64"/>
      <c r="H169" s="64"/>
      <c r="I169" s="64"/>
    </row>
    <row r="170" spans="1:14" x14ac:dyDescent="0.2">
      <c r="A170" s="100"/>
      <c r="B170" s="15"/>
      <c r="C170" s="64"/>
      <c r="D170" s="62"/>
      <c r="E170" s="64"/>
      <c r="F170" s="64"/>
      <c r="G170" s="64"/>
      <c r="H170" s="64"/>
      <c r="I170" s="64"/>
    </row>
    <row r="171" spans="1:14" x14ac:dyDescent="0.2">
      <c r="A171" s="93"/>
      <c r="B171" s="11"/>
      <c r="C171" s="73"/>
      <c r="D171" s="73"/>
      <c r="E171" s="64"/>
      <c r="F171" s="64"/>
      <c r="G171" s="64"/>
      <c r="H171" s="83"/>
      <c r="I171" s="64"/>
    </row>
    <row r="172" spans="1:14" x14ac:dyDescent="0.2">
      <c r="A172" s="93"/>
      <c r="B172" s="11"/>
      <c r="C172" s="73"/>
      <c r="D172" s="64"/>
      <c r="E172" s="64"/>
      <c r="F172" s="64"/>
      <c r="G172" s="64"/>
      <c r="H172" s="64"/>
      <c r="I172" s="64"/>
    </row>
    <row r="173" spans="1:14" x14ac:dyDescent="0.2">
      <c r="A173" s="100"/>
      <c r="B173" s="15"/>
      <c r="C173" s="64"/>
      <c r="D173" s="104"/>
      <c r="E173" s="64"/>
      <c r="F173" s="64"/>
      <c r="G173" s="64"/>
      <c r="H173" s="57"/>
      <c r="I173" s="64"/>
    </row>
    <row r="174" spans="1:14" x14ac:dyDescent="0.2">
      <c r="A174" s="93"/>
      <c r="B174" s="8"/>
      <c r="C174" s="73"/>
      <c r="D174" s="64"/>
      <c r="E174" s="64"/>
      <c r="F174" s="64"/>
      <c r="G174" s="64"/>
      <c r="H174" s="57"/>
      <c r="I174" s="64"/>
    </row>
    <row r="175" spans="1:14" x14ac:dyDescent="0.2">
      <c r="A175" s="64"/>
      <c r="B175" s="64"/>
      <c r="C175" s="64"/>
      <c r="D175" s="64"/>
      <c r="E175" s="64"/>
      <c r="F175" s="64"/>
      <c r="G175" s="64"/>
      <c r="H175" s="83"/>
      <c r="I175" s="64"/>
    </row>
    <row r="176" spans="1:14" x14ac:dyDescent="0.2">
      <c r="A176" s="62"/>
      <c r="B176" s="57"/>
      <c r="C176" s="57"/>
      <c r="D176" s="21"/>
      <c r="E176" s="21"/>
      <c r="F176" s="21"/>
      <c r="G176" s="21"/>
      <c r="H176" s="57"/>
      <c r="I176" s="64"/>
    </row>
    <row r="177" spans="1:9" x14ac:dyDescent="0.2">
      <c r="A177" s="67"/>
      <c r="B177" s="8"/>
      <c r="C177" s="62"/>
      <c r="D177" s="62"/>
      <c r="E177" s="21"/>
      <c r="F177" s="21"/>
      <c r="G177" s="21"/>
      <c r="H177" s="57"/>
      <c r="I177" s="21"/>
    </row>
    <row r="178" spans="1:9" x14ac:dyDescent="0.2">
      <c r="A178" s="67"/>
      <c r="B178" s="8"/>
      <c r="C178" s="62"/>
      <c r="D178" s="62"/>
      <c r="E178" s="21"/>
      <c r="F178" s="21"/>
      <c r="G178" s="21"/>
      <c r="H178" s="21"/>
      <c r="I178" s="21"/>
    </row>
    <row r="179" spans="1:9" x14ac:dyDescent="0.2">
      <c r="A179" s="67"/>
      <c r="B179" s="8"/>
      <c r="C179" s="62"/>
      <c r="D179" s="62"/>
      <c r="E179" s="21"/>
      <c r="F179" s="21"/>
      <c r="G179" s="21"/>
      <c r="H179" s="21"/>
      <c r="I179" s="21"/>
    </row>
    <row r="180" spans="1:9" x14ac:dyDescent="0.2">
      <c r="A180" s="67"/>
      <c r="B180" s="8"/>
      <c r="C180" s="62"/>
      <c r="D180" s="62"/>
      <c r="E180" s="57"/>
      <c r="F180" s="57"/>
      <c r="G180" s="21"/>
      <c r="H180" s="21"/>
      <c r="I180" s="21"/>
    </row>
    <row r="181" spans="1:9" x14ac:dyDescent="0.2">
      <c r="A181" s="62"/>
      <c r="B181" s="57"/>
      <c r="C181" s="57"/>
      <c r="D181" s="57"/>
      <c r="E181" s="57"/>
      <c r="F181" s="57"/>
      <c r="G181" s="21"/>
      <c r="H181" s="83"/>
      <c r="I181" s="21"/>
    </row>
    <row r="182" spans="1:9" x14ac:dyDescent="0.2">
      <c r="A182" s="67"/>
      <c r="B182" s="14"/>
      <c r="C182" s="62"/>
      <c r="D182" s="62"/>
      <c r="E182" s="57"/>
      <c r="F182" s="57"/>
      <c r="G182" s="57"/>
      <c r="H182" s="57"/>
      <c r="I182" s="21"/>
    </row>
    <row r="183" spans="1:9" x14ac:dyDescent="0.2">
      <c r="A183" s="67"/>
      <c r="B183" s="13"/>
      <c r="C183" s="62"/>
      <c r="D183" s="62"/>
      <c r="E183" s="57"/>
      <c r="F183" s="57"/>
      <c r="G183" s="57"/>
      <c r="H183" s="21"/>
      <c r="I183" s="21"/>
    </row>
    <row r="184" spans="1:9" x14ac:dyDescent="0.2">
      <c r="A184" s="67"/>
      <c r="B184" s="13"/>
      <c r="C184" s="73"/>
      <c r="D184" s="62"/>
      <c r="E184" s="57"/>
      <c r="F184" s="57"/>
      <c r="G184" s="21"/>
      <c r="H184" s="83"/>
      <c r="I184" s="21"/>
    </row>
    <row r="185" spans="1:9" x14ac:dyDescent="0.2">
      <c r="A185" s="57"/>
      <c r="B185" s="51"/>
      <c r="C185" s="64"/>
      <c r="D185" s="73"/>
      <c r="E185" s="64"/>
      <c r="F185" s="64"/>
      <c r="G185" s="64"/>
      <c r="H185" s="21"/>
      <c r="I185" s="21"/>
    </row>
    <row r="186" spans="1:9" x14ac:dyDescent="0.2">
      <c r="A186" s="113"/>
      <c r="B186" s="13"/>
      <c r="C186" s="62"/>
      <c r="D186" s="62"/>
      <c r="E186" s="64"/>
      <c r="F186" s="64"/>
      <c r="G186" s="64"/>
      <c r="H186" s="21"/>
      <c r="I186" s="21"/>
    </row>
    <row r="187" spans="1:9" x14ac:dyDescent="0.2">
      <c r="A187" s="67"/>
      <c r="B187" s="14"/>
      <c r="C187" s="73"/>
      <c r="D187" s="62"/>
      <c r="E187" s="57"/>
      <c r="F187" s="57"/>
      <c r="G187" s="57"/>
      <c r="H187" s="21"/>
      <c r="I187" s="21"/>
    </row>
    <row r="188" spans="1:9" x14ac:dyDescent="0.2">
      <c r="A188" s="67"/>
      <c r="B188" s="13"/>
      <c r="C188" s="73"/>
      <c r="D188" s="62"/>
      <c r="E188" s="57"/>
      <c r="F188" s="57"/>
      <c r="G188" s="57"/>
      <c r="H188" s="21"/>
      <c r="I188" s="21"/>
    </row>
    <row r="189" spans="1:9" x14ac:dyDescent="0.2">
      <c r="A189" s="67"/>
      <c r="B189" s="16"/>
      <c r="C189" s="73"/>
      <c r="D189" s="62"/>
      <c r="E189" s="57"/>
      <c r="F189" s="57"/>
      <c r="G189" s="57"/>
      <c r="H189" s="21"/>
      <c r="I189" s="21"/>
    </row>
    <row r="190" spans="1:9" x14ac:dyDescent="0.2">
      <c r="A190" s="67"/>
      <c r="B190" s="13"/>
      <c r="C190" s="73"/>
      <c r="D190" s="62"/>
      <c r="E190" s="57"/>
      <c r="F190" s="57"/>
      <c r="G190" s="57"/>
      <c r="H190" s="21"/>
      <c r="I190" s="21"/>
    </row>
    <row r="191" spans="1:9" x14ac:dyDescent="0.2">
      <c r="A191" s="67"/>
      <c r="B191" s="13"/>
      <c r="C191" s="73"/>
      <c r="D191" s="62"/>
      <c r="E191" s="57"/>
      <c r="F191" s="57"/>
      <c r="G191" s="21"/>
      <c r="H191" s="83"/>
      <c r="I191" s="57"/>
    </row>
    <row r="192" spans="1:9" x14ac:dyDescent="0.2">
      <c r="A192" s="64"/>
      <c r="B192" s="64"/>
      <c r="C192" s="64"/>
      <c r="D192" s="73"/>
      <c r="E192" s="64"/>
      <c r="F192" s="64"/>
      <c r="G192" s="64"/>
      <c r="H192" s="64"/>
      <c r="I192" s="57"/>
    </row>
    <row r="193" spans="1:9" x14ac:dyDescent="0.2">
      <c r="A193" s="93"/>
      <c r="B193" s="8"/>
      <c r="C193" s="73"/>
      <c r="D193" s="62"/>
      <c r="E193" s="64"/>
      <c r="F193" s="64"/>
      <c r="G193" s="64"/>
      <c r="H193" s="64"/>
      <c r="I193" s="21"/>
    </row>
    <row r="194" spans="1:9" x14ac:dyDescent="0.2">
      <c r="A194" s="93"/>
      <c r="B194" s="11"/>
      <c r="C194" s="73"/>
      <c r="D194" s="73"/>
      <c r="E194" s="64"/>
      <c r="F194" s="64"/>
      <c r="G194" s="64"/>
      <c r="H194" s="64"/>
      <c r="I194" s="64"/>
    </row>
    <row r="195" spans="1:9" x14ac:dyDescent="0.2">
      <c r="A195" s="100"/>
      <c r="B195" s="11"/>
      <c r="C195" s="73"/>
      <c r="D195" s="84"/>
      <c r="E195" s="21"/>
      <c r="F195" s="21"/>
      <c r="G195" s="21"/>
      <c r="H195" s="68"/>
      <c r="I195" s="57"/>
    </row>
    <row r="196" spans="1:9" x14ac:dyDescent="0.2">
      <c r="A196" s="100"/>
      <c r="B196" s="11"/>
      <c r="C196" s="73"/>
      <c r="D196" s="84"/>
      <c r="E196" s="21"/>
      <c r="F196" s="21"/>
      <c r="G196" s="21"/>
      <c r="H196" s="21"/>
      <c r="I196" s="21"/>
    </row>
    <row r="197" spans="1:9" x14ac:dyDescent="0.2">
      <c r="A197" s="21"/>
      <c r="B197" s="21"/>
      <c r="C197" s="21"/>
      <c r="D197" s="21"/>
      <c r="E197" s="21"/>
      <c r="F197" s="21"/>
      <c r="G197" s="68"/>
      <c r="H197" s="21"/>
      <c r="I197" s="21"/>
    </row>
    <row r="198" spans="1:9" x14ac:dyDescent="0.2">
      <c r="A198" s="21"/>
      <c r="B198" s="21"/>
      <c r="C198" s="21"/>
      <c r="D198" s="21"/>
      <c r="E198" s="57"/>
      <c r="F198" s="68" t="e">
        <f>IF(#REF!="Yes",IF(#REF!&gt;0,IF($B$195&gt;$B$196,"    Increase doubler or use full-pen. weld",""),""),"")</f>
        <v>#REF!</v>
      </c>
      <c r="G198" s="21"/>
      <c r="H198" s="21"/>
      <c r="I198" s="21"/>
    </row>
    <row r="199" spans="1:9" x14ac:dyDescent="0.2">
      <c r="A199" s="21"/>
      <c r="B199" s="21"/>
      <c r="C199" s="21"/>
      <c r="D199" s="21"/>
      <c r="E199" s="57"/>
      <c r="F199" s="57"/>
      <c r="G199" s="21"/>
      <c r="H199" s="21"/>
      <c r="I199" s="21"/>
    </row>
    <row r="200" spans="1:9" x14ac:dyDescent="0.2">
      <c r="A200" s="21"/>
      <c r="B200" s="21"/>
      <c r="C200" s="21"/>
      <c r="D200" s="21"/>
      <c r="E200" s="21"/>
      <c r="F200" s="21"/>
      <c r="G200" s="21"/>
      <c r="H200" s="21"/>
      <c r="I200" s="12"/>
    </row>
    <row r="201" spans="1:9" x14ac:dyDescent="0.2">
      <c r="A201" s="21"/>
      <c r="B201" s="21"/>
      <c r="C201" s="21"/>
      <c r="D201" s="21"/>
      <c r="E201" s="21"/>
      <c r="F201" s="21"/>
      <c r="G201" s="21"/>
      <c r="H201" s="94"/>
      <c r="I201" s="95"/>
    </row>
    <row r="202" spans="1:9" x14ac:dyDescent="0.2">
      <c r="A202" s="99"/>
      <c r="B202" s="21"/>
      <c r="C202" s="21"/>
      <c r="D202" s="21"/>
      <c r="E202" s="57"/>
      <c r="F202" s="57"/>
      <c r="G202" s="57"/>
      <c r="H202" s="94"/>
      <c r="I202" s="96"/>
    </row>
    <row r="203" spans="1:9" x14ac:dyDescent="0.2">
      <c r="A203" s="57"/>
      <c r="B203" s="51"/>
      <c r="C203" s="57"/>
      <c r="D203" s="62"/>
      <c r="E203" s="21"/>
      <c r="F203" s="51"/>
      <c r="G203" s="21"/>
      <c r="H203" s="97"/>
      <c r="I203" s="41"/>
    </row>
    <row r="204" spans="1:9" x14ac:dyDescent="0.2">
      <c r="A204" s="67"/>
      <c r="B204" s="14"/>
      <c r="C204" s="73"/>
      <c r="D204" s="62"/>
      <c r="E204" s="21"/>
      <c r="F204" s="51"/>
      <c r="G204" s="57"/>
      <c r="H204" s="94"/>
      <c r="I204" s="41"/>
    </row>
    <row r="205" spans="1:9" x14ac:dyDescent="0.2">
      <c r="A205" s="67"/>
      <c r="B205" s="13"/>
      <c r="C205" s="73"/>
      <c r="D205" s="62"/>
      <c r="E205" s="21"/>
      <c r="F205" s="51"/>
      <c r="G205" s="21"/>
      <c r="H205" s="21"/>
      <c r="I205" s="21"/>
    </row>
    <row r="206" spans="1:9" x14ac:dyDescent="0.2">
      <c r="A206" s="67"/>
      <c r="B206" s="13"/>
      <c r="C206" s="73"/>
      <c r="D206" s="62"/>
      <c r="E206" s="21"/>
      <c r="F206" s="21"/>
      <c r="G206" s="21"/>
      <c r="H206" s="83"/>
      <c r="I206" s="57"/>
    </row>
    <row r="207" spans="1:9" x14ac:dyDescent="0.2">
      <c r="A207" s="21"/>
      <c r="B207" s="21"/>
      <c r="C207" s="21"/>
      <c r="D207" s="21"/>
      <c r="E207" s="21"/>
      <c r="F207" s="21"/>
      <c r="G207" s="21"/>
      <c r="H207" s="21"/>
      <c r="I207" s="21"/>
    </row>
    <row r="208" spans="1:9" x14ac:dyDescent="0.2">
      <c r="A208" s="57"/>
      <c r="B208" s="64"/>
      <c r="C208" s="64"/>
      <c r="D208" s="73"/>
      <c r="E208" s="21"/>
      <c r="F208" s="21"/>
      <c r="G208" s="21"/>
      <c r="H208" s="21"/>
      <c r="I208" s="21"/>
    </row>
    <row r="209" spans="1:9" x14ac:dyDescent="0.2">
      <c r="A209" s="56"/>
      <c r="B209" s="11"/>
      <c r="C209" s="73"/>
      <c r="D209" s="73"/>
      <c r="E209" s="21"/>
      <c r="F209" s="21"/>
      <c r="G209" s="21"/>
      <c r="H209" s="21"/>
      <c r="I209" s="21"/>
    </row>
    <row r="210" spans="1:9" x14ac:dyDescent="0.2">
      <c r="A210" s="93"/>
      <c r="B210" s="8"/>
      <c r="C210" s="73"/>
      <c r="D210" s="73"/>
      <c r="E210" s="21"/>
      <c r="F210" s="21"/>
      <c r="G210" s="21"/>
      <c r="H210" s="21"/>
      <c r="I210" s="21"/>
    </row>
    <row r="211" spans="1:9" x14ac:dyDescent="0.2">
      <c r="A211" s="93"/>
      <c r="B211" s="11"/>
      <c r="C211" s="73"/>
      <c r="D211" s="73"/>
      <c r="E211" s="21"/>
      <c r="F211" s="21"/>
      <c r="G211" s="21"/>
      <c r="H211" s="21"/>
      <c r="I211" s="57"/>
    </row>
    <row r="212" spans="1:9" x14ac:dyDescent="0.2">
      <c r="A212" s="100"/>
      <c r="B212" s="11"/>
      <c r="C212" s="73"/>
      <c r="D212" s="84"/>
      <c r="E212" s="64"/>
      <c r="F212" s="21"/>
      <c r="G212" s="21"/>
      <c r="H212" s="68"/>
      <c r="I212" s="57"/>
    </row>
    <row r="213" spans="1:9" x14ac:dyDescent="0.2">
      <c r="A213" s="100"/>
      <c r="B213" s="11"/>
      <c r="C213" s="73"/>
      <c r="D213" s="84"/>
      <c r="E213" s="21"/>
      <c r="F213" s="21"/>
      <c r="G213" s="21"/>
      <c r="H213" s="21"/>
      <c r="I213" s="21"/>
    </row>
    <row r="214" spans="1:9" x14ac:dyDescent="0.2">
      <c r="A214" s="21"/>
      <c r="B214" s="21"/>
      <c r="C214" s="21"/>
      <c r="D214" s="21"/>
      <c r="E214" s="21"/>
      <c r="F214" s="21"/>
      <c r="G214" s="68"/>
      <c r="H214" s="21"/>
      <c r="I214" s="21"/>
    </row>
    <row r="215" spans="1:9" x14ac:dyDescent="0.2">
      <c r="A215" s="57"/>
      <c r="B215" s="21"/>
      <c r="C215" s="21"/>
      <c r="D215" s="21"/>
      <c r="E215" s="21"/>
      <c r="F215" s="68"/>
      <c r="G215" s="21"/>
      <c r="H215" s="21"/>
      <c r="I215" s="21"/>
    </row>
    <row r="216" spans="1:9" x14ac:dyDescent="0.2">
      <c r="A216" s="67"/>
      <c r="B216" s="8"/>
      <c r="C216" s="62"/>
      <c r="D216" s="62"/>
      <c r="E216" s="51"/>
      <c r="F216" s="21"/>
      <c r="G216" s="21"/>
      <c r="H216" s="21"/>
      <c r="I216" s="57"/>
    </row>
    <row r="217" spans="1:9" x14ac:dyDescent="0.2">
      <c r="A217" s="67"/>
      <c r="B217" s="8"/>
      <c r="C217" s="62"/>
      <c r="D217" s="62"/>
      <c r="E217" s="51"/>
      <c r="F217" s="51"/>
      <c r="G217" s="21"/>
      <c r="H217" s="83"/>
      <c r="I217" s="21"/>
    </row>
    <row r="218" spans="1:9" x14ac:dyDescent="0.2">
      <c r="A218" s="21"/>
      <c r="B218" s="21"/>
      <c r="C218" s="21"/>
      <c r="D218" s="21"/>
      <c r="E218" s="21"/>
      <c r="F218" s="21"/>
      <c r="G218" s="21"/>
      <c r="H218" s="21"/>
      <c r="I218" s="21"/>
    </row>
    <row r="219" spans="1:9" x14ac:dyDescent="0.2">
      <c r="A219" s="57"/>
      <c r="B219" s="57"/>
      <c r="C219" s="57"/>
      <c r="D219" s="62"/>
      <c r="E219" s="51"/>
      <c r="F219" s="51"/>
      <c r="G219" s="21"/>
      <c r="H219" s="21"/>
      <c r="I219" s="21"/>
    </row>
    <row r="220" spans="1:9" x14ac:dyDescent="0.2">
      <c r="A220" s="67"/>
      <c r="B220" s="15"/>
      <c r="C220" s="62"/>
      <c r="D220" s="62"/>
      <c r="E220" s="51"/>
      <c r="F220" s="51"/>
      <c r="G220" s="21"/>
      <c r="H220" s="21"/>
      <c r="I220" s="21"/>
    </row>
    <row r="221" spans="1:9" x14ac:dyDescent="0.2">
      <c r="A221" s="67"/>
      <c r="B221" s="8"/>
      <c r="C221" s="62"/>
      <c r="D221" s="62"/>
      <c r="E221" s="51"/>
      <c r="F221" s="51"/>
      <c r="G221" s="21"/>
      <c r="H221" s="21"/>
      <c r="I221" s="21"/>
    </row>
    <row r="222" spans="1:9" x14ac:dyDescent="0.2">
      <c r="A222" s="67"/>
      <c r="B222" s="8"/>
      <c r="C222" s="62"/>
      <c r="D222" s="62"/>
      <c r="E222" s="51"/>
      <c r="F222" s="51"/>
      <c r="G222" s="21"/>
      <c r="H222" s="21"/>
      <c r="I222" s="21"/>
    </row>
    <row r="223" spans="1:9" x14ac:dyDescent="0.2">
      <c r="A223" s="67"/>
      <c r="B223" s="8"/>
      <c r="C223" s="62"/>
      <c r="D223" s="62"/>
      <c r="E223" s="51"/>
      <c r="F223" s="51"/>
      <c r="G223" s="21"/>
      <c r="H223" s="83"/>
      <c r="I223" s="21"/>
    </row>
    <row r="224" spans="1:9" x14ac:dyDescent="0.2">
      <c r="A224" s="21"/>
      <c r="B224" s="21"/>
      <c r="C224" s="21"/>
      <c r="D224" s="21"/>
      <c r="E224" s="21"/>
      <c r="F224" s="21"/>
      <c r="G224" s="21"/>
      <c r="H224" s="21"/>
      <c r="I224" s="21"/>
    </row>
    <row r="225" spans="1:9" x14ac:dyDescent="0.2">
      <c r="A225" s="21"/>
      <c r="B225" s="21"/>
      <c r="C225" s="21"/>
      <c r="D225" s="21"/>
      <c r="E225" s="21"/>
      <c r="F225" s="21"/>
      <c r="G225" s="21"/>
      <c r="H225" s="21"/>
      <c r="I225" s="21"/>
    </row>
    <row r="226" spans="1:9" x14ac:dyDescent="0.2">
      <c r="A226" s="106"/>
      <c r="B226" s="21"/>
      <c r="C226" s="21"/>
      <c r="D226" s="21"/>
      <c r="E226" s="21"/>
      <c r="F226" s="21"/>
      <c r="G226" s="21"/>
      <c r="H226" s="21"/>
      <c r="I226" s="21"/>
    </row>
    <row r="227" spans="1:9" x14ac:dyDescent="0.2">
      <c r="A227" s="21"/>
      <c r="B227" s="21"/>
      <c r="C227" s="21"/>
      <c r="D227" s="21"/>
      <c r="E227" s="21"/>
      <c r="F227" s="21"/>
      <c r="G227" s="21"/>
      <c r="H227" s="21"/>
      <c r="I227" s="21"/>
    </row>
    <row r="228" spans="1:9" x14ac:dyDescent="0.2">
      <c r="A228" s="21"/>
      <c r="B228" s="21"/>
      <c r="C228" s="21"/>
      <c r="D228" s="21"/>
      <c r="E228" s="21"/>
      <c r="F228" s="21"/>
      <c r="G228" s="21"/>
      <c r="H228" s="21"/>
      <c r="I228" s="21"/>
    </row>
    <row r="229" spans="1:9" x14ac:dyDescent="0.2">
      <c r="A229" s="21"/>
      <c r="B229" s="21"/>
      <c r="C229" s="21"/>
      <c r="D229" s="21"/>
      <c r="E229" s="21"/>
      <c r="F229" s="21"/>
      <c r="G229" s="21"/>
      <c r="H229" s="21"/>
      <c r="I229" s="21"/>
    </row>
    <row r="230" spans="1:9" x14ac:dyDescent="0.2">
      <c r="A230" s="21"/>
      <c r="B230" s="21"/>
      <c r="C230" s="21"/>
      <c r="D230" s="21"/>
      <c r="E230" s="21"/>
      <c r="F230" s="21"/>
      <c r="G230" s="21"/>
      <c r="H230" s="21"/>
      <c r="I230" s="21"/>
    </row>
    <row r="231" spans="1:9" x14ac:dyDescent="0.2">
      <c r="A231" s="21"/>
      <c r="B231" s="21"/>
      <c r="C231" s="21"/>
      <c r="D231" s="21"/>
      <c r="E231" s="21"/>
      <c r="F231" s="21"/>
      <c r="G231" s="21"/>
      <c r="H231" s="21"/>
      <c r="I231" s="21"/>
    </row>
    <row r="232" spans="1:9" x14ac:dyDescent="0.2">
      <c r="A232" s="21"/>
      <c r="B232" s="21"/>
      <c r="C232" s="21"/>
      <c r="D232" s="21"/>
      <c r="E232" s="21"/>
      <c r="F232" s="21"/>
      <c r="G232" s="21"/>
      <c r="H232" s="21"/>
      <c r="I232" s="21"/>
    </row>
    <row r="233" spans="1:9" x14ac:dyDescent="0.2">
      <c r="A233" s="21"/>
      <c r="B233" s="21"/>
      <c r="C233" s="21"/>
      <c r="D233" s="21"/>
      <c r="E233" s="21"/>
      <c r="F233" s="21"/>
      <c r="G233" s="21"/>
      <c r="H233" s="21"/>
      <c r="I233" s="21"/>
    </row>
    <row r="234" spans="1:9" x14ac:dyDescent="0.2">
      <c r="A234" s="21"/>
      <c r="B234" s="21"/>
      <c r="C234" s="21"/>
      <c r="D234" s="21"/>
      <c r="E234" s="21"/>
      <c r="F234" s="21"/>
      <c r="G234" s="21"/>
      <c r="H234" s="21"/>
      <c r="I234" s="21"/>
    </row>
    <row r="235" spans="1:9" x14ac:dyDescent="0.2">
      <c r="A235" s="21"/>
      <c r="B235" s="21"/>
      <c r="C235" s="21"/>
      <c r="D235" s="21"/>
      <c r="E235" s="21"/>
      <c r="F235" s="21"/>
      <c r="G235" s="21"/>
      <c r="H235" s="21"/>
      <c r="I235" s="21"/>
    </row>
    <row r="236" spans="1:9" x14ac:dyDescent="0.2">
      <c r="A236" s="21"/>
      <c r="B236" s="21"/>
      <c r="C236" s="21"/>
      <c r="D236" s="21"/>
      <c r="E236" s="21"/>
      <c r="F236" s="21"/>
      <c r="G236" s="21"/>
      <c r="H236" s="21"/>
      <c r="I236" s="21"/>
    </row>
    <row r="237" spans="1:9" x14ac:dyDescent="0.2">
      <c r="A237" s="21"/>
      <c r="B237" s="21"/>
      <c r="C237" s="21"/>
      <c r="D237" s="21"/>
      <c r="E237" s="21"/>
      <c r="F237" s="21"/>
      <c r="G237" s="21"/>
      <c r="H237" s="21"/>
      <c r="I237" s="21"/>
    </row>
    <row r="238" spans="1:9" x14ac:dyDescent="0.2">
      <c r="A238" s="21"/>
      <c r="B238" s="21"/>
      <c r="C238" s="21"/>
      <c r="D238" s="21"/>
      <c r="E238" s="21"/>
      <c r="F238" s="21"/>
      <c r="G238" s="21"/>
      <c r="H238" s="21"/>
      <c r="I238" s="21"/>
    </row>
    <row r="239" spans="1:9" x14ac:dyDescent="0.2">
      <c r="A239" s="21"/>
      <c r="B239" s="21"/>
      <c r="C239" s="21"/>
      <c r="D239" s="21"/>
      <c r="E239" s="21"/>
      <c r="F239" s="21"/>
      <c r="G239" s="21"/>
      <c r="H239" s="21"/>
      <c r="I239" s="21"/>
    </row>
    <row r="240" spans="1:9" x14ac:dyDescent="0.2">
      <c r="A240" s="21"/>
      <c r="B240" s="21"/>
      <c r="C240" s="21"/>
      <c r="D240" s="21"/>
      <c r="E240" s="21"/>
      <c r="F240" s="21"/>
      <c r="G240" s="21"/>
      <c r="H240" s="21"/>
      <c r="I240" s="21"/>
    </row>
    <row r="241" spans="1:9" x14ac:dyDescent="0.2">
      <c r="A241" s="21"/>
      <c r="B241" s="21"/>
      <c r="C241" s="21"/>
      <c r="D241" s="21"/>
      <c r="E241" s="21"/>
      <c r="F241" s="21"/>
      <c r="G241" s="21"/>
      <c r="H241" s="21"/>
      <c r="I241" s="21"/>
    </row>
    <row r="242" spans="1:9" x14ac:dyDescent="0.2">
      <c r="A242" s="21"/>
      <c r="B242" s="21"/>
      <c r="C242" s="21"/>
      <c r="D242" s="21"/>
      <c r="E242" s="21"/>
      <c r="F242" s="21"/>
      <c r="G242" s="21"/>
      <c r="H242" s="21"/>
      <c r="I242" s="21"/>
    </row>
    <row r="243" spans="1:9" x14ac:dyDescent="0.2">
      <c r="A243" s="21"/>
      <c r="B243" s="21"/>
      <c r="C243" s="21"/>
      <c r="D243" s="21"/>
      <c r="E243" s="21"/>
      <c r="F243" s="21"/>
      <c r="G243" s="21"/>
      <c r="H243" s="21"/>
      <c r="I243" s="21"/>
    </row>
    <row r="244" spans="1:9" x14ac:dyDescent="0.2">
      <c r="A244" s="21"/>
      <c r="B244" s="21"/>
      <c r="C244" s="21"/>
      <c r="D244" s="21"/>
      <c r="E244" s="21"/>
      <c r="F244" s="21"/>
      <c r="G244" s="21"/>
      <c r="H244" s="21"/>
      <c r="I244" s="21"/>
    </row>
    <row r="245" spans="1:9" x14ac:dyDescent="0.2">
      <c r="A245" s="21"/>
      <c r="B245" s="21"/>
      <c r="C245" s="21"/>
      <c r="D245" s="21"/>
      <c r="E245" s="21"/>
      <c r="F245" s="21"/>
      <c r="G245" s="21"/>
      <c r="H245" s="21"/>
      <c r="I245" s="21"/>
    </row>
    <row r="246" spans="1:9" x14ac:dyDescent="0.2">
      <c r="A246" s="21"/>
      <c r="B246" s="21"/>
      <c r="C246" s="21"/>
      <c r="D246" s="21"/>
      <c r="E246" s="21"/>
      <c r="F246" s="21"/>
      <c r="G246" s="21"/>
      <c r="H246" s="21"/>
      <c r="I246" s="21"/>
    </row>
    <row r="247" spans="1:9" x14ac:dyDescent="0.2">
      <c r="A247" s="21"/>
      <c r="B247" s="21"/>
      <c r="C247" s="21"/>
      <c r="D247" s="21"/>
      <c r="E247" s="21"/>
      <c r="F247" s="21"/>
      <c r="G247" s="21"/>
      <c r="H247" s="21"/>
      <c r="I247" s="21"/>
    </row>
    <row r="248" spans="1:9" x14ac:dyDescent="0.2">
      <c r="A248" s="21"/>
      <c r="B248" s="21"/>
      <c r="C248" s="21"/>
      <c r="D248" s="21"/>
      <c r="E248" s="21"/>
      <c r="F248" s="21"/>
      <c r="G248" s="21"/>
      <c r="H248" s="21"/>
      <c r="I248" s="21"/>
    </row>
    <row r="249" spans="1:9" x14ac:dyDescent="0.2">
      <c r="A249" s="21"/>
      <c r="B249" s="21"/>
      <c r="C249" s="21"/>
      <c r="D249" s="21"/>
      <c r="E249" s="21"/>
      <c r="F249" s="21"/>
      <c r="G249" s="21"/>
      <c r="H249" s="21"/>
      <c r="I249" s="21"/>
    </row>
    <row r="250" spans="1:9" x14ac:dyDescent="0.2">
      <c r="A250" s="21"/>
      <c r="B250" s="21"/>
      <c r="C250" s="21"/>
      <c r="D250" s="21"/>
      <c r="E250" s="21"/>
      <c r="F250" s="21"/>
      <c r="G250" s="21"/>
      <c r="H250" s="21"/>
      <c r="I250" s="21"/>
    </row>
  </sheetData>
  <sheetProtection sheet="1" objects="1" scenarios="1"/>
  <phoneticPr fontId="0" type="noConversion"/>
  <dataValidations xWindow="208" yWindow="341" count="6">
    <dataValidation type="decimal" allowBlank="1" showInputMessage="1" showErrorMessage="1" error="The value input MUST BE between 0 and 3*L+(xL)!" prompt="The value input here should be the distance from the point of application of the vertical load (Pv) to the vertical weld portion (back) of the L-shaped weld group." sqref="C14">
      <formula1>0</formula1>
      <formula2>3*$D$8+$V$5</formula2>
    </dataValidation>
    <dataValidation type="decimal" operator="greaterThan" allowBlank="1" showInputMessage="1" showErrorMessage="1" error="The value input MUST BE &gt; 0!" prompt="The value 'Pv' is actually the vertical component of the resultant load, 'P'.  'Pv' should always be input as a positive number (&gt;0)." sqref="C12">
      <formula1>0</formula1>
    </dataValidation>
    <dataValidation type="decimal" operator="greaterThanOrEqual" allowBlank="1" showInputMessage="1" showErrorMessage="1" error="The value input MUST BE &gt;= 0!" prompt="The value of 'Ph' is actually the horizontal component of the resultant load, 'P'.  'Ph' may be input = 0 for conditions where only vertical load applies.  'Ph' is assumed applied at the C.G. of the weld group." sqref="C13">
      <formula1>0</formula1>
    </dataValidation>
    <dataValidation type="decimal" allowBlank="1" showInputMessage="1" showErrorMessage="1" error="The value input MUST BE between 0 and 2*L!_x000a_Use &quot;Weld Group (elastic)&quot; worksheet." sqref="C10">
      <formula1>0</formula1>
      <formula2>2*$C$9</formula2>
    </dataValidation>
    <dataValidation type="list" allowBlank="1" showInputMessage="1" showErrorMessage="1" error="Invalid fillet weld size!" sqref="C11">
      <formula1>$K$3:$K$11</formula1>
    </dataValidation>
    <dataValidation type="decimal" operator="greaterThanOrEqual" allowBlank="1" showInputMessage="1" showErrorMessage="1" error="The value input MUST BE &gt;= 0.5*(kL)!_x000a_Use &quot;Weld Group (elastic)&quot; program." sqref="C9">
      <formula1>0.5*$C$10</formula1>
    </dataValidation>
  </dataValidations>
  <pageMargins left="1" right="0.5" top="1" bottom="1" header="0.5" footer="0.5"/>
  <pageSetup scale="98" orientation="portrait" r:id="rId1"/>
  <headerFooter alignWithMargins="0">
    <oddHeader>&amp;R"WELDGRP.xls" Program
Version 2.3</oddHeader>
    <oddFooter>&amp;C&amp;P of &amp;N&amp;R&amp;D  &amp;T</oddFooter>
  </headerFooter>
  <rowBreaks count="3" manualBreakCount="3">
    <brk id="100" max="8" man="1"/>
    <brk id="150" max="8" man="1"/>
    <brk id="200" max="8" man="1"/>
  </rowBreaks>
  <drawing r:id="rId2"/>
  <legacyDrawing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1211211111111111111"/>
  <dimension ref="A1:AL250"/>
  <sheetViews>
    <sheetView zoomScaleNormal="100" workbookViewId="0"/>
  </sheetViews>
  <sheetFormatPr defaultRowHeight="12.75" x14ac:dyDescent="0.2"/>
  <cols>
    <col min="1" max="1" width="11.28515625" style="18" customWidth="1"/>
    <col min="2" max="2" width="9.140625" style="18"/>
    <col min="3" max="4" width="10.7109375" style="18" customWidth="1"/>
    <col min="5" max="8" width="9.140625" style="18"/>
    <col min="9" max="9" width="12.140625" style="18" customWidth="1"/>
    <col min="10" max="10" width="9.140625" style="43" hidden="1" customWidth="1"/>
    <col min="11" max="13" width="0" style="43" hidden="1" customWidth="1"/>
    <col min="14" max="14" width="0" style="44" hidden="1" customWidth="1"/>
    <col min="15" max="23" width="0" style="43" hidden="1" customWidth="1"/>
    <col min="24" max="33" width="0" style="18" hidden="1" customWidth="1"/>
    <col min="34" max="16384" width="9.140625" style="18"/>
  </cols>
  <sheetData>
    <row r="1" spans="1:38" ht="15.75" x14ac:dyDescent="0.25">
      <c r="A1" s="17" t="s">
        <v>1167</v>
      </c>
      <c r="B1" s="26"/>
      <c r="C1" s="26"/>
      <c r="D1" s="26"/>
      <c r="E1" s="26"/>
      <c r="F1" s="26"/>
      <c r="G1" s="26"/>
      <c r="H1" s="26"/>
      <c r="I1" s="285"/>
      <c r="J1" s="213"/>
      <c r="K1" s="245"/>
      <c r="L1" s="129"/>
      <c r="M1" s="82" t="s">
        <v>1181</v>
      </c>
      <c r="N1" s="43"/>
      <c r="O1" s="44"/>
      <c r="R1" s="51"/>
      <c r="AH1" s="317" t="s">
        <v>1266</v>
      </c>
    </row>
    <row r="2" spans="1:38" x14ac:dyDescent="0.2">
      <c r="A2" s="27" t="s">
        <v>1365</v>
      </c>
      <c r="B2" s="28"/>
      <c r="C2" s="28"/>
      <c r="D2" s="28"/>
      <c r="E2" s="28"/>
      <c r="F2" s="28"/>
      <c r="G2" s="28"/>
      <c r="H2" s="28"/>
      <c r="I2" s="292"/>
      <c r="J2" s="213"/>
      <c r="K2" s="41"/>
      <c r="L2" s="129"/>
      <c r="N2" s="43"/>
      <c r="O2" s="44"/>
      <c r="R2" s="51"/>
    </row>
    <row r="3" spans="1:38" x14ac:dyDescent="0.2">
      <c r="A3" s="20" t="s">
        <v>1080</v>
      </c>
      <c r="B3" s="34"/>
      <c r="C3" s="34"/>
      <c r="D3" s="34"/>
      <c r="E3" s="34"/>
      <c r="F3" s="34"/>
      <c r="G3" s="34"/>
      <c r="H3" s="34"/>
      <c r="I3" s="326"/>
      <c r="J3" s="213"/>
      <c r="K3" s="208">
        <v>0.125</v>
      </c>
      <c r="M3" s="69" t="s">
        <v>1196</v>
      </c>
      <c r="N3" s="11">
        <f>$C$9</f>
        <v>11.5</v>
      </c>
      <c r="O3" s="59" t="s">
        <v>1172</v>
      </c>
      <c r="P3" s="59" t="s">
        <v>1178</v>
      </c>
      <c r="R3" s="51"/>
    </row>
    <row r="4" spans="1:38" x14ac:dyDescent="0.2">
      <c r="A4" s="286" t="s">
        <v>1115</v>
      </c>
      <c r="B4" s="287"/>
      <c r="C4" s="288"/>
      <c r="D4" s="288"/>
      <c r="E4" s="288"/>
      <c r="F4" s="291" t="s">
        <v>1206</v>
      </c>
      <c r="G4" s="315"/>
      <c r="H4" s="316"/>
      <c r="I4" s="314"/>
      <c r="J4" s="121"/>
      <c r="K4" s="208">
        <v>0.1875</v>
      </c>
      <c r="M4" s="69" t="s">
        <v>1180</v>
      </c>
      <c r="N4" s="11">
        <f>$C$10</f>
        <v>3</v>
      </c>
      <c r="O4" s="59" t="s">
        <v>1172</v>
      </c>
      <c r="P4" s="59" t="s">
        <v>1100</v>
      </c>
      <c r="R4" s="51"/>
      <c r="AH4" s="45" t="s">
        <v>1174</v>
      </c>
      <c r="AI4" s="43"/>
      <c r="AJ4" s="43"/>
      <c r="AK4" s="43"/>
      <c r="AL4" s="43"/>
    </row>
    <row r="5" spans="1:38" x14ac:dyDescent="0.2">
      <c r="A5" s="286" t="s">
        <v>1111</v>
      </c>
      <c r="B5" s="313"/>
      <c r="C5" s="289"/>
      <c r="D5" s="289"/>
      <c r="E5" s="290"/>
      <c r="F5" s="291" t="s">
        <v>1207</v>
      </c>
      <c r="G5" s="312"/>
      <c r="H5" s="131" t="s">
        <v>1208</v>
      </c>
      <c r="I5" s="544"/>
      <c r="J5" s="121"/>
      <c r="K5" s="208">
        <v>0.25</v>
      </c>
      <c r="M5" s="69" t="s">
        <v>1195</v>
      </c>
      <c r="N5" s="11">
        <f>ROUND($N$4^2/(2*($N$4+$N$3)),3)</f>
        <v>0.31</v>
      </c>
      <c r="O5" s="59" t="s">
        <v>1172</v>
      </c>
      <c r="P5" s="110" t="s">
        <v>1177</v>
      </c>
      <c r="R5" s="51"/>
      <c r="AH5" s="12" t="s">
        <v>1173</v>
      </c>
      <c r="AI5" s="49" t="s">
        <v>1113</v>
      </c>
      <c r="AJ5" s="43"/>
      <c r="AK5" s="43"/>
      <c r="AL5" s="50" t="s">
        <v>1081</v>
      </c>
    </row>
    <row r="6" spans="1:38" x14ac:dyDescent="0.2">
      <c r="A6" s="30"/>
      <c r="B6" s="121"/>
      <c r="C6" s="121"/>
      <c r="D6" s="121"/>
      <c r="E6" s="121"/>
      <c r="F6" s="121"/>
      <c r="G6" s="121"/>
      <c r="H6" s="121"/>
      <c r="I6" s="547"/>
      <c r="J6" s="21"/>
      <c r="K6" s="208">
        <v>0.3125</v>
      </c>
      <c r="M6" s="69" t="s">
        <v>1090</v>
      </c>
      <c r="N6" s="11">
        <f>ROUND($N$3^2/(2*($N$4+$N$3)),3)</f>
        <v>4.5599999999999996</v>
      </c>
      <c r="O6" s="59" t="s">
        <v>1172</v>
      </c>
      <c r="P6" s="110" t="s">
        <v>1192</v>
      </c>
      <c r="AH6" s="101" t="s">
        <v>1179</v>
      </c>
      <c r="AI6" s="43"/>
      <c r="AJ6" s="43"/>
      <c r="AK6" s="43"/>
      <c r="AL6" s="85"/>
    </row>
    <row r="7" spans="1:38" x14ac:dyDescent="0.2">
      <c r="A7" s="115" t="s">
        <v>1112</v>
      </c>
      <c r="B7" s="121"/>
      <c r="C7" s="121"/>
      <c r="D7" s="121"/>
      <c r="E7" s="121"/>
      <c r="F7" s="121"/>
      <c r="G7" s="121"/>
      <c r="H7" s="121"/>
      <c r="I7" s="547"/>
      <c r="K7" s="208">
        <v>0.375</v>
      </c>
      <c r="M7" s="69" t="s">
        <v>1085</v>
      </c>
      <c r="N7" s="11">
        <f>$C$14+$N$5</f>
        <v>3.46</v>
      </c>
      <c r="O7" s="59" t="s">
        <v>1172</v>
      </c>
      <c r="P7" s="110" t="s">
        <v>1199</v>
      </c>
      <c r="AH7" s="48">
        <v>43</v>
      </c>
      <c r="AI7" s="63" t="str">
        <f>IF($C$11*16&gt;=$N$19,"D(prov'd) &gt;= D(req'd), O.K.","D(prov'd) &lt; D(req'd), Fail")</f>
        <v>D(prov'd) &gt;= D(req'd), O.K.</v>
      </c>
      <c r="AJ7" s="43"/>
      <c r="AK7" s="43"/>
      <c r="AL7" s="239">
        <f>$N$19/($C$11*16)</f>
        <v>0.98133333333333328</v>
      </c>
    </row>
    <row r="8" spans="1:38" x14ac:dyDescent="0.2">
      <c r="A8" s="30"/>
      <c r="B8" s="21"/>
      <c r="C8" s="21"/>
      <c r="D8" s="21"/>
      <c r="E8" s="25" t="str">
        <f>"      Pv="&amp;$C$12&amp;" k"</f>
        <v xml:space="preserve">      Pv=26 k</v>
      </c>
      <c r="F8" s="121"/>
      <c r="G8" s="121"/>
      <c r="H8" s="21"/>
      <c r="I8" s="389"/>
      <c r="K8" s="208">
        <v>0.4375</v>
      </c>
      <c r="M8" s="69" t="s">
        <v>1124</v>
      </c>
      <c r="N8" s="11">
        <f>$N$7/$N$3</f>
        <v>0.30086956521739128</v>
      </c>
      <c r="O8" s="62"/>
      <c r="P8" s="110" t="s">
        <v>1086</v>
      </c>
      <c r="AH8" s="48">
        <v>44</v>
      </c>
      <c r="AI8" s="63" t="str">
        <f>IF($N$3&gt;=$N$20,"L(prov'd) &gt;= L(req'd), O.K.","L(prov'd) &lt; L(req'd), Fail")</f>
        <v>L(prov'd) &gt;= L(req'd), O.K.</v>
      </c>
      <c r="AJ8" s="43"/>
      <c r="AK8" s="43"/>
      <c r="AL8" s="239">
        <f>$N$20/$N$3</f>
        <v>0.981304347826087</v>
      </c>
    </row>
    <row r="9" spans="1:38" x14ac:dyDescent="0.2">
      <c r="A9" s="30"/>
      <c r="B9" s="56" t="s">
        <v>1091</v>
      </c>
      <c r="C9" s="280">
        <v>11.5</v>
      </c>
      <c r="D9" s="138" t="s">
        <v>1172</v>
      </c>
      <c r="E9" s="21"/>
      <c r="F9" s="42" t="str">
        <f>"    aL="&amp;$N$7</f>
        <v xml:space="preserve">    aL=3.46</v>
      </c>
      <c r="G9" s="21"/>
      <c r="H9" s="141"/>
      <c r="I9" s="551"/>
      <c r="K9" s="208">
        <v>0.5</v>
      </c>
      <c r="M9" s="69" t="s">
        <v>1138</v>
      </c>
      <c r="N9" s="11">
        <f>$N$4/$N$3</f>
        <v>0.2608695652173913</v>
      </c>
      <c r="O9" s="134" t="str">
        <f>IF($N$9&gt;2,"Value of 'k' exceeds 2.0, beyond scope of table!","")</f>
        <v/>
      </c>
      <c r="P9" s="110" t="s">
        <v>1088</v>
      </c>
      <c r="S9" s="48"/>
      <c r="T9" s="63"/>
      <c r="W9" s="11"/>
    </row>
    <row r="10" spans="1:38" x14ac:dyDescent="0.2">
      <c r="A10" s="30"/>
      <c r="B10" s="56" t="s">
        <v>1140</v>
      </c>
      <c r="C10" s="281">
        <v>3</v>
      </c>
      <c r="D10" s="138" t="s">
        <v>1172</v>
      </c>
      <c r="E10" s="21"/>
      <c r="F10" s="231">
        <f>$C$14</f>
        <v>3.15</v>
      </c>
      <c r="G10" s="21"/>
      <c r="H10" s="135"/>
      <c r="I10" s="552"/>
      <c r="K10" s="208">
        <v>0.5625</v>
      </c>
      <c r="M10" s="46" t="s">
        <v>1184</v>
      </c>
      <c r="N10" s="136">
        <f>1</f>
        <v>1</v>
      </c>
      <c r="O10" s="44"/>
      <c r="P10" s="44" t="s">
        <v>1185</v>
      </c>
      <c r="T10" s="11"/>
    </row>
    <row r="11" spans="1:38" x14ac:dyDescent="0.2">
      <c r="A11" s="30"/>
      <c r="B11" s="56" t="s">
        <v>1197</v>
      </c>
      <c r="C11" s="282">
        <v>0.1875</v>
      </c>
      <c r="D11" s="138" t="str">
        <f>"in. = "&amp;$C$11*16&amp;" (1/16's)"</f>
        <v>in. = 3 (1/16's)</v>
      </c>
      <c r="E11" s="40" t="s">
        <v>1487</v>
      </c>
      <c r="F11" s="112"/>
      <c r="G11" s="21"/>
      <c r="H11" s="56"/>
      <c r="I11" s="441"/>
      <c r="K11" s="208">
        <v>0.625</v>
      </c>
      <c r="M11" s="69" t="s">
        <v>1122</v>
      </c>
      <c r="N11" s="11">
        <f>ROUND(IF($N$9&lt;=2,$AF$51,"N.A."),3)</f>
        <v>0.76800000000000002</v>
      </c>
      <c r="O11" s="137"/>
      <c r="P11" s="110" t="s">
        <v>1168</v>
      </c>
      <c r="AI11" s="301" t="str">
        <f>IF(OR($N$19&gt;$C$11*16,$N$20&gt;$N$3),"Weld is overstressed!","Weld is adequate!")</f>
        <v>Weld is adequate!</v>
      </c>
      <c r="AJ11" s="35"/>
      <c r="AK11" s="36"/>
    </row>
    <row r="12" spans="1:38" x14ac:dyDescent="0.2">
      <c r="A12" s="30"/>
      <c r="B12" s="56" t="s">
        <v>1102</v>
      </c>
      <c r="C12" s="283">
        <v>26</v>
      </c>
      <c r="D12" s="138" t="s">
        <v>1114</v>
      </c>
      <c r="E12" s="102"/>
      <c r="F12" s="25" t="str">
        <f>IF($C$13&gt;0,"     P="&amp;$N$12&amp;" k","     P=Pv")</f>
        <v xml:space="preserve">     P=Pv</v>
      </c>
      <c r="G12" s="21"/>
      <c r="H12" s="143"/>
      <c r="I12" s="24"/>
      <c r="K12" s="230"/>
      <c r="M12" s="46" t="s">
        <v>1187</v>
      </c>
      <c r="N12" s="54">
        <f>ROUND(SQRT($C$12^2+$C$13^2),2)</f>
        <v>26</v>
      </c>
      <c r="O12" s="44" t="s">
        <v>1114</v>
      </c>
      <c r="P12" s="44" t="s">
        <v>1120</v>
      </c>
      <c r="AI12" s="302" t="str">
        <f>IF($N$19&gt;$C$11*16,"D(req'd) = "&amp;$N$19&amp;" &gt; "&amp;$C$11*16&amp;" (1/16's)","D(req'd) = "&amp;$N$19&amp;" &lt;= "&amp;$C$11*16&amp;" (1/16's)")</f>
        <v>D(req'd) = 2.944 &lt;= 3 (1/16's)</v>
      </c>
      <c r="AJ12" s="37"/>
      <c r="AK12" s="303"/>
    </row>
    <row r="13" spans="1:38" x14ac:dyDescent="0.2">
      <c r="A13" s="30"/>
      <c r="B13" s="56" t="s">
        <v>1121</v>
      </c>
      <c r="C13" s="283">
        <v>0</v>
      </c>
      <c r="D13" s="138" t="s">
        <v>1114</v>
      </c>
      <c r="E13" s="60"/>
      <c r="F13" s="143"/>
      <c r="G13" s="21"/>
      <c r="H13" s="138" t="s">
        <v>1175</v>
      </c>
      <c r="I13" s="505" t="str">
        <f>"  yL="&amp;$N$6</f>
        <v xml:space="preserve">  yL=4.56</v>
      </c>
      <c r="K13" s="230"/>
      <c r="M13" s="46" t="s">
        <v>1183</v>
      </c>
      <c r="N13" s="52">
        <f>IF($C$13&gt;0,ROUND(90-(ATAN($C$12/$C$13)*(180/PI())),3),0)</f>
        <v>0</v>
      </c>
      <c r="O13" s="44" t="s">
        <v>1103</v>
      </c>
      <c r="P13" s="102" t="s">
        <v>1157</v>
      </c>
      <c r="AI13" s="304" t="str">
        <f>IF($N$20&gt;$N$3,"L(req'd) = "&amp;$N$20&amp;" &gt; "&amp;$N$3&amp;" in.","L(req'd) = "&amp;$N$20&amp;" &lt;= "&amp;$N$3&amp;" in.")</f>
        <v>L(req'd) = 11.285 &lt;= 11.5 in.</v>
      </c>
      <c r="AJ13" s="305"/>
      <c r="AK13" s="306"/>
    </row>
    <row r="14" spans="1:38" x14ac:dyDescent="0.2">
      <c r="A14" s="30"/>
      <c r="B14" s="56" t="s">
        <v>1158</v>
      </c>
      <c r="C14" s="284">
        <v>3.15</v>
      </c>
      <c r="D14" s="138" t="s">
        <v>1172</v>
      </c>
      <c r="E14" s="60"/>
      <c r="F14" s="112"/>
      <c r="G14" s="21"/>
      <c r="H14" s="21"/>
      <c r="I14" s="24"/>
      <c r="K14" s="53"/>
      <c r="M14" s="46" t="s">
        <v>1160</v>
      </c>
      <c r="N14" s="52" t="str">
        <f>IF($N$13&gt;0,$N$11,"N.A.")</f>
        <v>N.A.</v>
      </c>
      <c r="O14" s="44"/>
      <c r="P14" s="103" t="s">
        <v>1117</v>
      </c>
    </row>
    <row r="15" spans="1:38" x14ac:dyDescent="0.2">
      <c r="A15" s="30"/>
      <c r="B15" s="21"/>
      <c r="C15" s="21"/>
      <c r="D15" s="68" t="str">
        <f>IF(AND($C$14&lt;0,ABS($C$14)&gt;$N$5),"ABS(Dist.) must be &lt;= xL !","")</f>
        <v/>
      </c>
      <c r="E15" s="40"/>
      <c r="F15" s="25" t="str">
        <f>IF($C$13&gt;0,"Ph="&amp;$C$13&amp;" k","Ph=0")</f>
        <v>Ph=0</v>
      </c>
      <c r="G15" s="21"/>
      <c r="H15" s="21"/>
      <c r="I15" s="294" t="s">
        <v>1159</v>
      </c>
      <c r="K15" s="53"/>
      <c r="M15" s="46" t="s">
        <v>1130</v>
      </c>
      <c r="N15" s="52" t="str">
        <f>IF($N$13&gt;0,0.928*(1+$N$9),"N.A.")</f>
        <v>N.A.</v>
      </c>
      <c r="O15" s="44"/>
      <c r="P15" s="103" t="s">
        <v>1123</v>
      </c>
    </row>
    <row r="16" spans="1:38" x14ac:dyDescent="0.2">
      <c r="A16" s="22" t="s">
        <v>1201</v>
      </c>
      <c r="B16" s="21"/>
      <c r="C16" s="21"/>
      <c r="D16" s="68" t="str">
        <f>IF(AND($C$14&lt;0,ABS($C$14)&gt;$N$5),"(Use Table XXV instead)","")</f>
        <v/>
      </c>
      <c r="E16" s="21"/>
      <c r="F16" s="42" t="str">
        <f>IF($C$13&gt;0,"(@ C.G.)","")</f>
        <v/>
      </c>
      <c r="G16" s="21"/>
      <c r="H16" s="21"/>
      <c r="I16" s="507">
        <f>$N$3</f>
        <v>11.5</v>
      </c>
      <c r="K16" s="53"/>
      <c r="M16" s="46" t="s">
        <v>1188</v>
      </c>
      <c r="N16" s="52" t="str">
        <f>IF($N$13&gt;0,IF($N$15/$N$14&lt;1,1,$N$15/$N$14),"N.A.")</f>
        <v>N.A.</v>
      </c>
      <c r="O16" s="44"/>
      <c r="P16" s="103" t="s">
        <v>1132</v>
      </c>
    </row>
    <row r="17" spans="1:32" ht="12.75" customHeight="1" x14ac:dyDescent="0.2">
      <c r="A17" s="30"/>
      <c r="B17" s="21"/>
      <c r="C17" s="21"/>
      <c r="D17" s="21"/>
      <c r="E17" s="21"/>
      <c r="F17" s="21"/>
      <c r="G17" s="21"/>
      <c r="H17" s="21"/>
      <c r="I17" s="430"/>
      <c r="K17" s="53"/>
      <c r="M17" s="46" t="s">
        <v>1133</v>
      </c>
      <c r="N17" s="52" t="str">
        <f>IF($N$13&gt;0,IF($N$16/(SIN($N$13*PI()/180)+$N$16*COS($N$13*PI()/180))&lt;1,1,$N$16/(SIN($N$13*PI()/180)+$N$16*COS($N$13*PI()/180))),"N.A.")</f>
        <v>N.A.</v>
      </c>
      <c r="O17" s="44"/>
      <c r="P17" s="44" t="s">
        <v>1198</v>
      </c>
      <c r="S17" s="86"/>
      <c r="T17" s="398"/>
    </row>
    <row r="18" spans="1:32" x14ac:dyDescent="0.2">
      <c r="A18" s="105" t="str">
        <f>IF($C$13&gt;0,"P = Ca*C1*D*L  (for inclined load)","P = Pv = C*C1*D*L  (for vertical load only)")</f>
        <v>P = Pv = C*C1*D*L  (for vertical load only)</v>
      </c>
      <c r="B18" s="21"/>
      <c r="C18" s="21"/>
      <c r="D18" s="21"/>
      <c r="E18" s="21"/>
      <c r="F18" s="21"/>
      <c r="G18" s="21"/>
      <c r="H18" s="21"/>
      <c r="I18" s="430"/>
      <c r="K18" s="53"/>
      <c r="M18" s="46" t="s">
        <v>1143</v>
      </c>
      <c r="N18" s="52" t="str">
        <f>IF($N$13&gt;0,ROUND($N$17*$N$14,3),"N.A.")</f>
        <v>N.A.</v>
      </c>
      <c r="O18" s="44"/>
      <c r="P18" s="44" t="s">
        <v>1105</v>
      </c>
      <c r="S18" s="86"/>
      <c r="T18" s="398"/>
    </row>
    <row r="19" spans="1:32" x14ac:dyDescent="0.2">
      <c r="A19" s="30" t="s">
        <v>1154</v>
      </c>
      <c r="B19" s="21"/>
      <c r="C19" s="21"/>
      <c r="D19" s="21"/>
      <c r="E19" s="21"/>
      <c r="F19" s="21"/>
      <c r="G19" s="21"/>
      <c r="H19" s="21"/>
      <c r="I19" s="430"/>
      <c r="K19" s="53"/>
      <c r="M19" s="69" t="s">
        <v>1193</v>
      </c>
      <c r="N19" s="11">
        <f>IF($N$13&gt;0,ROUND($N$12/($N$18*$N$10*$N$3),3),ROUND($N$12/($N$11*$N$10*$N$3),3))</f>
        <v>2.944</v>
      </c>
      <c r="O19" s="140" t="s">
        <v>1099</v>
      </c>
      <c r="P19" s="59" t="str">
        <f>IF($N$13&gt;0,"D(req'd) = P/(Ca*C1*L)","D(req'd) = P/(C*C1*L)")</f>
        <v>D(req'd) = P/(C*C1*L)</v>
      </c>
    </row>
    <row r="20" spans="1:32" x14ac:dyDescent="0.2">
      <c r="A20" s="296" t="str">
        <f>IF($C$13&gt;0,"Ca = coefficient for inclined load, Alt. Method 2","C = coefficient interpolated from Table XXVI")</f>
        <v>C = coefficient interpolated from Table XXVI</v>
      </c>
      <c r="B20" s="21"/>
      <c r="C20" s="21"/>
      <c r="D20" s="21"/>
      <c r="E20" s="21"/>
      <c r="F20" s="42" t="str">
        <f>"       xL="&amp;$N$5</f>
        <v xml:space="preserve">       xL=0.31</v>
      </c>
      <c r="G20" s="21"/>
      <c r="H20" s="25" t="str">
        <f>"          "&amp;($N$9-$N$5/$N$3)*$N$3</f>
        <v xml:space="preserve">          2.69</v>
      </c>
      <c r="I20" s="430"/>
      <c r="K20" s="53"/>
      <c r="M20" s="69" t="s">
        <v>1190</v>
      </c>
      <c r="N20" s="11">
        <f>IF($N$13&gt;0,ROUND($N$12/($N$10*$N$18*($C$11*16)),3),ROUND($N$12/($N$10*$N$11*($C$11*16)),3))</f>
        <v>11.285</v>
      </c>
      <c r="O20" s="59" t="s">
        <v>1172</v>
      </c>
      <c r="P20" s="59" t="str">
        <f>IF($N$13&gt;0,"L(req'd) = P/(Ca*C1*D)","L(req'd) = P/(C*C1*D)")</f>
        <v>L(req'd) = P/(C*C1*D)</v>
      </c>
    </row>
    <row r="21" spans="1:32" x14ac:dyDescent="0.2">
      <c r="A21" s="30" t="s">
        <v>1106</v>
      </c>
      <c r="B21" s="21"/>
      <c r="C21" s="21"/>
      <c r="D21" s="21"/>
      <c r="E21" s="21"/>
      <c r="F21" s="21"/>
      <c r="G21" s="21"/>
      <c r="H21" s="21"/>
      <c r="I21" s="430"/>
      <c r="N21" s="43"/>
      <c r="Q21" s="18"/>
      <c r="R21" s="18"/>
      <c r="S21" s="18"/>
      <c r="T21" s="18"/>
      <c r="U21" s="18"/>
      <c r="V21" s="18"/>
      <c r="W21" s="18"/>
      <c r="AC21" s="148" t="s">
        <v>1092</v>
      </c>
      <c r="AD21" s="149"/>
      <c r="AE21" s="149"/>
      <c r="AF21" s="150"/>
    </row>
    <row r="22" spans="1:32" x14ac:dyDescent="0.2">
      <c r="A22" s="30" t="s">
        <v>1135</v>
      </c>
      <c r="B22" s="21"/>
      <c r="C22" s="21"/>
      <c r="D22" s="21"/>
      <c r="E22" s="21"/>
      <c r="F22" s="42" t="str">
        <f>"                  kL=     "&amp;$N$4</f>
        <v xml:space="preserve">                  kL=     3</v>
      </c>
      <c r="G22" s="7"/>
      <c r="H22" s="7"/>
      <c r="I22" s="430"/>
      <c r="J22" s="37"/>
      <c r="K22" s="120" t="s">
        <v>1144</v>
      </c>
      <c r="L22" s="209"/>
      <c r="M22" s="210"/>
      <c r="N22" s="210"/>
      <c r="O22" s="210"/>
      <c r="P22" s="210"/>
      <c r="Q22" s="210"/>
      <c r="R22" s="210"/>
      <c r="S22" s="210"/>
      <c r="T22" s="209"/>
      <c r="U22" s="210"/>
      <c r="V22" s="210"/>
      <c r="W22" s="210"/>
      <c r="X22" s="211"/>
      <c r="Y22" s="210"/>
      <c r="Z22" s="123"/>
      <c r="AA22" s="124"/>
      <c r="AB22" s="51"/>
      <c r="AC22" s="151"/>
      <c r="AD22" s="152" t="s">
        <v>1093</v>
      </c>
      <c r="AE22" s="153" t="s">
        <v>1148</v>
      </c>
      <c r="AF22" s="154" t="s">
        <v>1093</v>
      </c>
    </row>
    <row r="23" spans="1:32" x14ac:dyDescent="0.2">
      <c r="A23" s="30" t="s">
        <v>1178</v>
      </c>
      <c r="B23" s="21"/>
      <c r="C23" s="37"/>
      <c r="D23" s="21"/>
      <c r="E23" s="21"/>
      <c r="F23" s="21"/>
      <c r="G23" s="21"/>
      <c r="H23" s="21"/>
      <c r="I23" s="92"/>
      <c r="K23" s="155"/>
      <c r="L23" s="156" t="s">
        <v>1148</v>
      </c>
      <c r="M23" s="116"/>
      <c r="N23" s="116"/>
      <c r="O23" s="116"/>
      <c r="P23" s="116"/>
      <c r="Q23" s="116"/>
      <c r="R23" s="116"/>
      <c r="S23" s="116"/>
      <c r="T23" s="157"/>
      <c r="U23" s="116"/>
      <c r="V23" s="116"/>
      <c r="W23" s="116"/>
      <c r="X23" s="116"/>
      <c r="Y23" s="116"/>
      <c r="Z23" s="116"/>
      <c r="AA23" s="117"/>
      <c r="AB23" s="51"/>
      <c r="AC23" s="151"/>
      <c r="AD23" s="158">
        <f>LOOKUP($AD$24,$L$24:$AA$24,$L$51:$AA$51)</f>
        <v>3</v>
      </c>
      <c r="AE23" s="158" t="s">
        <v>1094</v>
      </c>
      <c r="AF23" s="159">
        <f>LOOKUP($AD$23+1,$L$51:$AA$51)</f>
        <v>4</v>
      </c>
    </row>
    <row r="24" spans="1:32" x14ac:dyDescent="0.2">
      <c r="A24" s="30"/>
      <c r="B24" s="21"/>
      <c r="C24" s="21"/>
      <c r="D24" s="21"/>
      <c r="E24" s="212" t="str">
        <f>IF($N$8&gt;3,"Value of 'a' exceeds 3.0, beyond scope of table!","")</f>
        <v/>
      </c>
      <c r="F24" s="21"/>
      <c r="G24" s="21"/>
      <c r="H24" s="21"/>
      <c r="I24" s="24"/>
      <c r="K24" s="160" t="s">
        <v>1095</v>
      </c>
      <c r="L24" s="161">
        <v>0</v>
      </c>
      <c r="M24" s="162">
        <v>0.1</v>
      </c>
      <c r="N24" s="161">
        <v>0.2</v>
      </c>
      <c r="O24" s="162">
        <v>0.3</v>
      </c>
      <c r="P24" s="161">
        <v>0.4</v>
      </c>
      <c r="Q24" s="162">
        <v>0.5</v>
      </c>
      <c r="R24" s="161">
        <v>0.6</v>
      </c>
      <c r="S24" s="162">
        <v>0.7</v>
      </c>
      <c r="T24" s="161">
        <v>0.8</v>
      </c>
      <c r="U24" s="162">
        <v>0.9</v>
      </c>
      <c r="V24" s="163">
        <v>1</v>
      </c>
      <c r="W24" s="162">
        <v>1.2</v>
      </c>
      <c r="X24" s="161">
        <v>1.4</v>
      </c>
      <c r="Y24" s="162">
        <v>1.6</v>
      </c>
      <c r="Z24" s="161">
        <v>1.8</v>
      </c>
      <c r="AA24" s="164">
        <v>2</v>
      </c>
      <c r="AB24" s="216" t="s">
        <v>1096</v>
      </c>
      <c r="AC24" s="165" t="s">
        <v>1096</v>
      </c>
      <c r="AD24" s="166">
        <f>LOOKUP($N$9,$L$24:$AA$24)</f>
        <v>0.2</v>
      </c>
      <c r="AE24" s="167">
        <f>$N$9</f>
        <v>0.2608695652173913</v>
      </c>
      <c r="AF24" s="168">
        <f>LOOKUP($AF$23,$L$51:$AA$51,$L$24:$AA$24)</f>
        <v>0.3</v>
      </c>
    </row>
    <row r="25" spans="1:32" x14ac:dyDescent="0.2">
      <c r="A25" s="75" t="s">
        <v>1113</v>
      </c>
      <c r="B25" s="21"/>
      <c r="C25" s="21"/>
      <c r="D25" s="21"/>
      <c r="E25" s="212" t="str">
        <f>IF($N$9&gt;2,"Value of 'k' exceeds 2.0, beyond scope of table!","")</f>
        <v/>
      </c>
      <c r="F25" s="21"/>
      <c r="G25" s="21"/>
      <c r="H25" s="21"/>
      <c r="I25" s="24"/>
      <c r="K25" s="259">
        <v>0.06</v>
      </c>
      <c r="L25" s="262">
        <v>0.83499999999999996</v>
      </c>
      <c r="M25" s="263">
        <v>0.80700000000000005</v>
      </c>
      <c r="N25" s="263">
        <v>0.89400000000000002</v>
      </c>
      <c r="O25" s="263">
        <v>0.98299999999999998</v>
      </c>
      <c r="P25" s="247">
        <v>1.07</v>
      </c>
      <c r="Q25" s="247">
        <v>1.1599999999999999</v>
      </c>
      <c r="R25" s="247">
        <v>1.25</v>
      </c>
      <c r="S25" s="247">
        <v>1.34</v>
      </c>
      <c r="T25" s="247">
        <v>1.42</v>
      </c>
      <c r="U25" s="247">
        <v>1.5</v>
      </c>
      <c r="V25" s="247">
        <v>1.58</v>
      </c>
      <c r="W25" s="247">
        <v>1.73</v>
      </c>
      <c r="X25" s="247">
        <v>1.88</v>
      </c>
      <c r="Y25" s="247">
        <v>2.0299999999999998</v>
      </c>
      <c r="Z25" s="247">
        <v>2.19</v>
      </c>
      <c r="AA25" s="248">
        <v>2.34</v>
      </c>
      <c r="AB25" s="216">
        <v>1</v>
      </c>
      <c r="AC25" s="169">
        <v>1</v>
      </c>
      <c r="AD25" s="170">
        <f t="shared" ref="AD25:AD48" si="0">LOOKUP($AD$24,$L$24:$AA$24,$L25:$AA25)</f>
        <v>0.89400000000000002</v>
      </c>
      <c r="AE25" s="171">
        <f t="shared" ref="AE25:AE48" si="1">IF($AD$24=$AF$24,$AD25,($AF25-$AD25)*($AE$24-$AD$24)/($AF$24-$AD$24)+$AD25)</f>
        <v>0.94817391304347831</v>
      </c>
      <c r="AF25" s="172">
        <f t="shared" ref="AF25:AF48" si="2">LOOKUP($AF$24,$L$24:$AA$24,$L25:$AA25)</f>
        <v>0.98299999999999998</v>
      </c>
    </row>
    <row r="26" spans="1:32" x14ac:dyDescent="0.2">
      <c r="A26" s="30"/>
      <c r="B26" s="64"/>
      <c r="C26" s="64"/>
      <c r="D26" s="62" t="str">
        <f>IF($N$13&gt;0,"(Note: AISC Alternate Method 2 is used for inclined load)","(Note: AISC Alternate Method 2 is not used for P=Pv)")</f>
        <v>(Note: AISC Alternate Method 2 is not used for P=Pv)</v>
      </c>
      <c r="E26" s="64"/>
      <c r="F26" s="64"/>
      <c r="G26" s="21"/>
      <c r="H26" s="21"/>
      <c r="I26" s="24"/>
      <c r="K26" s="260">
        <v>0.08</v>
      </c>
      <c r="L26" s="253">
        <v>0.82</v>
      </c>
      <c r="M26" s="254">
        <v>0.82</v>
      </c>
      <c r="N26" s="254">
        <v>0.90400000000000003</v>
      </c>
      <c r="O26" s="254">
        <v>0.99</v>
      </c>
      <c r="P26" s="250">
        <v>1.08</v>
      </c>
      <c r="Q26" s="250">
        <v>1.1599999999999999</v>
      </c>
      <c r="R26" s="250">
        <v>1.25</v>
      </c>
      <c r="S26" s="250">
        <v>1.33</v>
      </c>
      <c r="T26" s="250">
        <v>1.41</v>
      </c>
      <c r="U26" s="250">
        <v>1.48</v>
      </c>
      <c r="V26" s="250">
        <v>1.56</v>
      </c>
      <c r="W26" s="250">
        <v>1.7</v>
      </c>
      <c r="X26" s="250">
        <v>1.85</v>
      </c>
      <c r="Y26" s="250">
        <v>2</v>
      </c>
      <c r="Z26" s="250">
        <v>2.15</v>
      </c>
      <c r="AA26" s="251">
        <v>2.31</v>
      </c>
      <c r="AB26" s="216">
        <v>2</v>
      </c>
      <c r="AC26" s="169">
        <v>2</v>
      </c>
      <c r="AD26" s="170">
        <f t="shared" si="0"/>
        <v>0.90400000000000003</v>
      </c>
      <c r="AE26" s="171">
        <f t="shared" si="1"/>
        <v>0.95634782608695657</v>
      </c>
      <c r="AF26" s="172">
        <f t="shared" si="2"/>
        <v>0.99</v>
      </c>
    </row>
    <row r="27" spans="1:32" x14ac:dyDescent="0.2">
      <c r="A27" s="77" t="s">
        <v>1196</v>
      </c>
      <c r="B27" s="276">
        <f>$N$3</f>
        <v>11.5</v>
      </c>
      <c r="C27" s="193" t="s">
        <v>1172</v>
      </c>
      <c r="D27" s="62" t="s">
        <v>1178</v>
      </c>
      <c r="E27" s="64"/>
      <c r="F27" s="21"/>
      <c r="G27" s="21"/>
      <c r="H27" s="21"/>
      <c r="I27" s="24"/>
      <c r="K27" s="260">
        <v>0.1</v>
      </c>
      <c r="L27" s="253">
        <v>0.80400000000000005</v>
      </c>
      <c r="M27" s="254">
        <v>0.82599999999999996</v>
      </c>
      <c r="N27" s="254">
        <v>0.90800000000000003</v>
      </c>
      <c r="O27" s="254">
        <v>0.99199999999999999</v>
      </c>
      <c r="P27" s="250">
        <v>1.08</v>
      </c>
      <c r="Q27" s="250">
        <v>1.1599999999999999</v>
      </c>
      <c r="R27" s="250">
        <v>1.24</v>
      </c>
      <c r="S27" s="250">
        <v>1.31</v>
      </c>
      <c r="T27" s="250">
        <v>1.39</v>
      </c>
      <c r="U27" s="250">
        <v>1.46</v>
      </c>
      <c r="V27" s="250">
        <v>1.53</v>
      </c>
      <c r="W27" s="250">
        <v>1.68</v>
      </c>
      <c r="X27" s="250">
        <v>1.82</v>
      </c>
      <c r="Y27" s="250">
        <v>1.97</v>
      </c>
      <c r="Z27" s="250">
        <v>2.12</v>
      </c>
      <c r="AA27" s="251">
        <v>2.27</v>
      </c>
      <c r="AB27" s="216">
        <v>3</v>
      </c>
      <c r="AC27" s="169">
        <v>3</v>
      </c>
      <c r="AD27" s="170">
        <f t="shared" si="0"/>
        <v>0.90800000000000003</v>
      </c>
      <c r="AE27" s="171">
        <f t="shared" si="1"/>
        <v>0.95913043478260873</v>
      </c>
      <c r="AF27" s="172">
        <f t="shared" si="2"/>
        <v>0.99199999999999999</v>
      </c>
    </row>
    <row r="28" spans="1:32" x14ac:dyDescent="0.2">
      <c r="A28" s="77" t="s">
        <v>1180</v>
      </c>
      <c r="B28" s="277">
        <f>$N$4</f>
        <v>3</v>
      </c>
      <c r="C28" s="193" t="s">
        <v>1172</v>
      </c>
      <c r="D28" s="62" t="s">
        <v>1100</v>
      </c>
      <c r="E28" s="64"/>
      <c r="F28" s="21"/>
      <c r="G28" s="21"/>
      <c r="H28" s="21"/>
      <c r="I28" s="24"/>
      <c r="K28" s="260">
        <v>0.15</v>
      </c>
      <c r="L28" s="253">
        <v>0.753</v>
      </c>
      <c r="M28" s="254">
        <v>0.82099999999999995</v>
      </c>
      <c r="N28" s="254">
        <v>0.89800000000000002</v>
      </c>
      <c r="O28" s="254">
        <v>0.97599999999999998</v>
      </c>
      <c r="P28" s="250">
        <v>1.05</v>
      </c>
      <c r="Q28" s="250">
        <v>1.1299999999999999</v>
      </c>
      <c r="R28" s="250">
        <v>1.2</v>
      </c>
      <c r="S28" s="250">
        <v>1.27</v>
      </c>
      <c r="T28" s="250">
        <v>1.33</v>
      </c>
      <c r="U28" s="250">
        <v>1.4</v>
      </c>
      <c r="V28" s="250">
        <v>1.47</v>
      </c>
      <c r="W28" s="250">
        <v>1.6</v>
      </c>
      <c r="X28" s="250">
        <v>1.74</v>
      </c>
      <c r="Y28" s="250">
        <v>1.89</v>
      </c>
      <c r="Z28" s="250">
        <v>2.0299999999999998</v>
      </c>
      <c r="AA28" s="251">
        <v>2.19</v>
      </c>
      <c r="AB28" s="216">
        <v>4</v>
      </c>
      <c r="AC28" s="169">
        <v>4</v>
      </c>
      <c r="AD28" s="170">
        <f t="shared" si="0"/>
        <v>0.89800000000000002</v>
      </c>
      <c r="AE28" s="171">
        <f t="shared" si="1"/>
        <v>0.94547826086956521</v>
      </c>
      <c r="AF28" s="172">
        <f t="shared" si="2"/>
        <v>0.97599999999999998</v>
      </c>
    </row>
    <row r="29" spans="1:32" x14ac:dyDescent="0.2">
      <c r="A29" s="77" t="s">
        <v>1195</v>
      </c>
      <c r="B29" s="277">
        <f>$N$5</f>
        <v>0.31</v>
      </c>
      <c r="C29" s="193" t="s">
        <v>1172</v>
      </c>
      <c r="D29" s="98" t="s">
        <v>1177</v>
      </c>
      <c r="E29" s="64"/>
      <c r="F29" s="21"/>
      <c r="G29" s="21"/>
      <c r="H29" s="21"/>
      <c r="I29" s="24"/>
      <c r="K29" s="260">
        <v>0.2</v>
      </c>
      <c r="L29" s="253">
        <v>0.69299999999999995</v>
      </c>
      <c r="M29" s="254">
        <v>0.78100000000000003</v>
      </c>
      <c r="N29" s="254">
        <v>0.86599999999999999</v>
      </c>
      <c r="O29" s="254">
        <v>0.94599999999999995</v>
      </c>
      <c r="P29" s="250">
        <v>1.02</v>
      </c>
      <c r="Q29" s="250">
        <v>1.1000000000000001</v>
      </c>
      <c r="R29" s="250">
        <v>1.18</v>
      </c>
      <c r="S29" s="250">
        <v>1.21</v>
      </c>
      <c r="T29" s="250">
        <v>1.27</v>
      </c>
      <c r="U29" s="250">
        <v>1.33</v>
      </c>
      <c r="V29" s="250">
        <v>1.4</v>
      </c>
      <c r="W29" s="250">
        <v>1.53</v>
      </c>
      <c r="X29" s="250">
        <v>1.66</v>
      </c>
      <c r="Y29" s="250">
        <v>1.81</v>
      </c>
      <c r="Z29" s="250">
        <v>1.95</v>
      </c>
      <c r="AA29" s="251">
        <v>2.1</v>
      </c>
      <c r="AB29" s="216">
        <v>5</v>
      </c>
      <c r="AC29" s="169">
        <v>5</v>
      </c>
      <c r="AD29" s="170">
        <f t="shared" si="0"/>
        <v>0.86599999999999999</v>
      </c>
      <c r="AE29" s="171">
        <f t="shared" si="1"/>
        <v>0.91469565217391302</v>
      </c>
      <c r="AF29" s="172">
        <f t="shared" si="2"/>
        <v>0.94599999999999995</v>
      </c>
    </row>
    <row r="30" spans="1:32" ht="13.5" customHeight="1" x14ac:dyDescent="0.2">
      <c r="A30" s="77" t="s">
        <v>1090</v>
      </c>
      <c r="B30" s="277">
        <f>$N$6</f>
        <v>4.5599999999999996</v>
      </c>
      <c r="C30" s="193" t="s">
        <v>1172</v>
      </c>
      <c r="D30" s="98" t="s">
        <v>1192</v>
      </c>
      <c r="E30" s="64"/>
      <c r="F30" s="21"/>
      <c r="G30" s="21"/>
      <c r="H30" s="21"/>
      <c r="I30" s="24"/>
      <c r="K30" s="260">
        <v>0.25</v>
      </c>
      <c r="L30" s="253">
        <v>0.63</v>
      </c>
      <c r="M30" s="254">
        <v>0.71499999999999997</v>
      </c>
      <c r="N30" s="254">
        <v>0.79500000000000004</v>
      </c>
      <c r="O30" s="254">
        <v>0.871</v>
      </c>
      <c r="P30" s="254">
        <v>0.94499999999999995</v>
      </c>
      <c r="Q30" s="250">
        <v>1.02</v>
      </c>
      <c r="R30" s="250">
        <v>1.0900000000000001</v>
      </c>
      <c r="S30" s="250">
        <v>1.1599999999999999</v>
      </c>
      <c r="T30" s="250">
        <v>1.24</v>
      </c>
      <c r="U30" s="250">
        <v>1.26</v>
      </c>
      <c r="V30" s="250">
        <v>1.33</v>
      </c>
      <c r="W30" s="250">
        <v>1.46</v>
      </c>
      <c r="X30" s="250">
        <v>1.59</v>
      </c>
      <c r="Y30" s="250">
        <v>1.73</v>
      </c>
      <c r="Z30" s="250">
        <v>1.88</v>
      </c>
      <c r="AA30" s="251">
        <v>2.0299999999999998</v>
      </c>
      <c r="AB30" s="216">
        <v>6</v>
      </c>
      <c r="AC30" s="169">
        <v>6</v>
      </c>
      <c r="AD30" s="170">
        <f t="shared" si="0"/>
        <v>0.79500000000000004</v>
      </c>
      <c r="AE30" s="171">
        <f t="shared" si="1"/>
        <v>0.8412608695652174</v>
      </c>
      <c r="AF30" s="172">
        <f t="shared" si="2"/>
        <v>0.871</v>
      </c>
    </row>
    <row r="31" spans="1:32" ht="13.5" customHeight="1" x14ac:dyDescent="0.2">
      <c r="A31" s="77" t="s">
        <v>1085</v>
      </c>
      <c r="B31" s="277">
        <f>$N$7</f>
        <v>3.46</v>
      </c>
      <c r="C31" s="193" t="s">
        <v>1172</v>
      </c>
      <c r="D31" s="98" t="s">
        <v>1087</v>
      </c>
      <c r="E31" s="64"/>
      <c r="F31" s="21"/>
      <c r="G31" s="21"/>
      <c r="H31" s="21"/>
      <c r="I31" s="24"/>
      <c r="K31" s="260">
        <v>0.3</v>
      </c>
      <c r="L31" s="253">
        <v>0.56999999999999995</v>
      </c>
      <c r="M31" s="254">
        <v>0.65</v>
      </c>
      <c r="N31" s="254">
        <v>0.72499999999999998</v>
      </c>
      <c r="O31" s="254">
        <v>0.79700000000000004</v>
      </c>
      <c r="P31" s="254">
        <v>0.86699999999999999</v>
      </c>
      <c r="Q31" s="254">
        <v>0.93600000000000005</v>
      </c>
      <c r="R31" s="250">
        <v>1.01</v>
      </c>
      <c r="S31" s="250">
        <v>1.08</v>
      </c>
      <c r="T31" s="250">
        <v>1.1499999999999999</v>
      </c>
      <c r="U31" s="250">
        <v>1.23</v>
      </c>
      <c r="V31" s="250">
        <v>1.26</v>
      </c>
      <c r="W31" s="250">
        <v>1.39</v>
      </c>
      <c r="X31" s="250">
        <v>1.52</v>
      </c>
      <c r="Y31" s="250">
        <v>1.66</v>
      </c>
      <c r="Z31" s="250">
        <v>1.8</v>
      </c>
      <c r="AA31" s="251">
        <v>1.95</v>
      </c>
      <c r="AB31" s="216">
        <v>7</v>
      </c>
      <c r="AC31" s="169">
        <v>7</v>
      </c>
      <c r="AD31" s="170">
        <f t="shared" si="0"/>
        <v>0.72499999999999998</v>
      </c>
      <c r="AE31" s="171">
        <f t="shared" si="1"/>
        <v>0.76882608695652177</v>
      </c>
      <c r="AF31" s="172">
        <f t="shared" si="2"/>
        <v>0.79700000000000004</v>
      </c>
    </row>
    <row r="32" spans="1:32" x14ac:dyDescent="0.2">
      <c r="A32" s="77" t="s">
        <v>1124</v>
      </c>
      <c r="B32" s="277">
        <f>$N$8</f>
        <v>0.30086956521739128</v>
      </c>
      <c r="C32" s="242" t="str">
        <f>IF($N$8&gt;3,"&gt; 3.0","")</f>
        <v/>
      </c>
      <c r="D32" s="98" t="s">
        <v>1086</v>
      </c>
      <c r="E32" s="64"/>
      <c r="F32" s="21"/>
      <c r="G32" s="21"/>
      <c r="H32" s="21"/>
      <c r="I32" s="24"/>
      <c r="K32" s="260">
        <v>0.4</v>
      </c>
      <c r="L32" s="253">
        <v>0.46899999999999997</v>
      </c>
      <c r="M32" s="254">
        <v>0.53800000000000003</v>
      </c>
      <c r="N32" s="254">
        <v>0.60199999999999998</v>
      </c>
      <c r="O32" s="254">
        <v>0.66300000000000003</v>
      </c>
      <c r="P32" s="254">
        <v>0.72699999999999998</v>
      </c>
      <c r="Q32" s="254">
        <v>0.79400000000000004</v>
      </c>
      <c r="R32" s="254">
        <v>0.86399999999999999</v>
      </c>
      <c r="S32" s="254">
        <v>0.93600000000000005</v>
      </c>
      <c r="T32" s="250">
        <v>1.01</v>
      </c>
      <c r="U32" s="250">
        <v>1.0900000000000001</v>
      </c>
      <c r="V32" s="250">
        <v>1.1599999999999999</v>
      </c>
      <c r="W32" s="250">
        <v>1.26</v>
      </c>
      <c r="X32" s="250">
        <v>1.39</v>
      </c>
      <c r="Y32" s="250">
        <v>1.53</v>
      </c>
      <c r="Z32" s="250">
        <v>1.67</v>
      </c>
      <c r="AA32" s="251">
        <v>1.81</v>
      </c>
      <c r="AB32" s="216">
        <v>8</v>
      </c>
      <c r="AC32" s="169">
        <v>8</v>
      </c>
      <c r="AD32" s="170">
        <f t="shared" si="0"/>
        <v>0.60199999999999998</v>
      </c>
      <c r="AE32" s="171">
        <f t="shared" si="1"/>
        <v>0.63913043478260867</v>
      </c>
      <c r="AF32" s="172">
        <f t="shared" si="2"/>
        <v>0.66300000000000003</v>
      </c>
    </row>
    <row r="33" spans="1:32" x14ac:dyDescent="0.2">
      <c r="A33" s="77" t="s">
        <v>1138</v>
      </c>
      <c r="B33" s="277">
        <f>$N$9</f>
        <v>0.2608695652173913</v>
      </c>
      <c r="C33" s="242" t="str">
        <f>IF($N$9&gt;2,"&gt; 2.0","")</f>
        <v/>
      </c>
      <c r="D33" s="98" t="s">
        <v>1088</v>
      </c>
      <c r="E33" s="64"/>
      <c r="F33" s="21"/>
      <c r="G33" s="21"/>
      <c r="H33" s="21"/>
      <c r="I33" s="24"/>
      <c r="K33" s="260">
        <v>0.5</v>
      </c>
      <c r="L33" s="253">
        <v>0.39300000000000002</v>
      </c>
      <c r="M33" s="254">
        <v>0.45</v>
      </c>
      <c r="N33" s="254">
        <v>0.503</v>
      </c>
      <c r="O33" s="254">
        <v>0.55900000000000005</v>
      </c>
      <c r="P33" s="254">
        <v>0.62</v>
      </c>
      <c r="Q33" s="254">
        <v>0.68300000000000005</v>
      </c>
      <c r="R33" s="254">
        <v>0.749</v>
      </c>
      <c r="S33" s="254">
        <v>0.81799999999999995</v>
      </c>
      <c r="T33" s="254">
        <v>0.88900000000000001</v>
      </c>
      <c r="U33" s="254">
        <v>0.96199999999999997</v>
      </c>
      <c r="V33" s="250">
        <v>1.04</v>
      </c>
      <c r="W33" s="250">
        <v>1.19</v>
      </c>
      <c r="X33" s="250">
        <v>1.28</v>
      </c>
      <c r="Y33" s="250">
        <v>1.41</v>
      </c>
      <c r="Z33" s="250">
        <v>1.55</v>
      </c>
      <c r="AA33" s="251">
        <v>1.69</v>
      </c>
      <c r="AB33" s="216">
        <v>9</v>
      </c>
      <c r="AC33" s="169">
        <v>9</v>
      </c>
      <c r="AD33" s="170">
        <f t="shared" si="0"/>
        <v>0.503</v>
      </c>
      <c r="AE33" s="171">
        <f t="shared" si="1"/>
        <v>0.5370869565217391</v>
      </c>
      <c r="AF33" s="172">
        <f t="shared" si="2"/>
        <v>0.55900000000000005</v>
      </c>
    </row>
    <row r="34" spans="1:32" x14ac:dyDescent="0.2">
      <c r="A34" s="390" t="s">
        <v>1184</v>
      </c>
      <c r="B34" s="278">
        <f>$N$10</f>
        <v>1</v>
      </c>
      <c r="C34" s="193"/>
      <c r="D34" s="73" t="s">
        <v>1185</v>
      </c>
      <c r="E34" s="64"/>
      <c r="F34" s="21"/>
      <c r="G34" s="21"/>
      <c r="H34" s="21"/>
      <c r="I34" s="24"/>
      <c r="K34" s="260">
        <v>0.6</v>
      </c>
      <c r="L34" s="253">
        <v>0.33600000000000002</v>
      </c>
      <c r="M34" s="254">
        <v>0.38400000000000001</v>
      </c>
      <c r="N34" s="254">
        <v>0.42899999999999999</v>
      </c>
      <c r="O34" s="254">
        <v>0.48</v>
      </c>
      <c r="P34" s="254">
        <v>0.53600000000000003</v>
      </c>
      <c r="Q34" s="254">
        <v>0.59499999999999997</v>
      </c>
      <c r="R34" s="254">
        <v>0.65700000000000003</v>
      </c>
      <c r="S34" s="254">
        <v>0.72099999999999997</v>
      </c>
      <c r="T34" s="254">
        <v>0.78900000000000003</v>
      </c>
      <c r="U34" s="254">
        <v>0.85799999999999998</v>
      </c>
      <c r="V34" s="254">
        <v>0.93100000000000005</v>
      </c>
      <c r="W34" s="250">
        <v>1.08</v>
      </c>
      <c r="X34" s="250">
        <v>1.18</v>
      </c>
      <c r="Y34" s="250">
        <v>1.31</v>
      </c>
      <c r="Z34" s="250">
        <v>1.44</v>
      </c>
      <c r="AA34" s="251">
        <v>1.58</v>
      </c>
      <c r="AB34" s="216">
        <v>10</v>
      </c>
      <c r="AC34" s="169">
        <v>10</v>
      </c>
      <c r="AD34" s="170">
        <f t="shared" si="0"/>
        <v>0.42899999999999999</v>
      </c>
      <c r="AE34" s="171">
        <f t="shared" si="1"/>
        <v>0.46004347826086955</v>
      </c>
      <c r="AF34" s="172">
        <f t="shared" si="2"/>
        <v>0.48</v>
      </c>
    </row>
    <row r="35" spans="1:32" x14ac:dyDescent="0.2">
      <c r="A35" s="77" t="s">
        <v>1122</v>
      </c>
      <c r="B35" s="277">
        <f>$N$11</f>
        <v>0.76800000000000002</v>
      </c>
      <c r="C35" s="241"/>
      <c r="D35" s="98" t="s">
        <v>1168</v>
      </c>
      <c r="E35" s="64"/>
      <c r="F35" s="21"/>
      <c r="G35" s="21"/>
      <c r="H35" s="21"/>
      <c r="I35" s="24"/>
      <c r="K35" s="260">
        <v>0.7</v>
      </c>
      <c r="L35" s="253">
        <v>0.29299999999999998</v>
      </c>
      <c r="M35" s="254">
        <v>0.33300000000000002</v>
      </c>
      <c r="N35" s="254">
        <v>0.374</v>
      </c>
      <c r="O35" s="254">
        <v>0.42</v>
      </c>
      <c r="P35" s="254">
        <v>0.47</v>
      </c>
      <c r="Q35" s="254">
        <v>0.52400000000000002</v>
      </c>
      <c r="R35" s="254">
        <v>0.58099999999999996</v>
      </c>
      <c r="S35" s="254">
        <v>0.64200000000000002</v>
      </c>
      <c r="T35" s="254">
        <v>0.70499999999999996</v>
      </c>
      <c r="U35" s="254">
        <v>0.77100000000000002</v>
      </c>
      <c r="V35" s="254">
        <v>0.84</v>
      </c>
      <c r="W35" s="254">
        <v>0.98499999999999999</v>
      </c>
      <c r="X35" s="250">
        <v>1.0900000000000001</v>
      </c>
      <c r="Y35" s="250">
        <v>1.21</v>
      </c>
      <c r="Z35" s="250">
        <v>1.34</v>
      </c>
      <c r="AA35" s="251">
        <v>1.48</v>
      </c>
      <c r="AB35" s="216">
        <v>11</v>
      </c>
      <c r="AC35" s="169">
        <v>11</v>
      </c>
      <c r="AD35" s="170">
        <f t="shared" si="0"/>
        <v>0.374</v>
      </c>
      <c r="AE35" s="171">
        <f t="shared" si="1"/>
        <v>0.40199999999999997</v>
      </c>
      <c r="AF35" s="172">
        <f t="shared" si="2"/>
        <v>0.42</v>
      </c>
    </row>
    <row r="36" spans="1:32" ht="12.75" customHeight="1" x14ac:dyDescent="0.2">
      <c r="A36" s="390" t="s">
        <v>1187</v>
      </c>
      <c r="B36" s="392">
        <f>$N$12</f>
        <v>26</v>
      </c>
      <c r="C36" s="193" t="s">
        <v>1114</v>
      </c>
      <c r="D36" s="73" t="s">
        <v>1120</v>
      </c>
      <c r="E36" s="64"/>
      <c r="F36" s="21"/>
      <c r="G36" s="21"/>
      <c r="H36" s="21"/>
      <c r="I36" s="24"/>
      <c r="K36" s="260">
        <v>0.8</v>
      </c>
      <c r="L36" s="253">
        <v>0.25900000000000001</v>
      </c>
      <c r="M36" s="254">
        <v>0.29399999999999998</v>
      </c>
      <c r="N36" s="254">
        <v>0.33100000000000002</v>
      </c>
      <c r="O36" s="254">
        <v>0.372</v>
      </c>
      <c r="P36" s="254">
        <v>0.41799999999999998</v>
      </c>
      <c r="Q36" s="254">
        <v>0.46700000000000003</v>
      </c>
      <c r="R36" s="254">
        <v>0.52</v>
      </c>
      <c r="S36" s="254">
        <v>0.57599999999999996</v>
      </c>
      <c r="T36" s="254">
        <v>0.63600000000000001</v>
      </c>
      <c r="U36" s="254">
        <v>0.69799999999999995</v>
      </c>
      <c r="V36" s="254">
        <v>0.76300000000000001</v>
      </c>
      <c r="W36" s="254">
        <v>0.90100000000000002</v>
      </c>
      <c r="X36" s="250">
        <v>1.05</v>
      </c>
      <c r="Y36" s="250">
        <v>1.1299999999999999</v>
      </c>
      <c r="Z36" s="250">
        <v>1.26</v>
      </c>
      <c r="AA36" s="251">
        <v>1.39</v>
      </c>
      <c r="AB36" s="216">
        <v>12</v>
      </c>
      <c r="AC36" s="169">
        <v>12</v>
      </c>
      <c r="AD36" s="170">
        <f t="shared" si="0"/>
        <v>0.33100000000000002</v>
      </c>
      <c r="AE36" s="171">
        <f t="shared" si="1"/>
        <v>0.35595652173913045</v>
      </c>
      <c r="AF36" s="172">
        <f t="shared" si="2"/>
        <v>0.372</v>
      </c>
    </row>
    <row r="37" spans="1:32" ht="12.75" customHeight="1" x14ac:dyDescent="0.2">
      <c r="A37" s="390" t="s">
        <v>1146</v>
      </c>
      <c r="B37" s="277">
        <f>$N$13</f>
        <v>0</v>
      </c>
      <c r="C37" s="193" t="s">
        <v>1103</v>
      </c>
      <c r="D37" s="84" t="s">
        <v>1126</v>
      </c>
      <c r="E37" s="64"/>
      <c r="F37" s="21"/>
      <c r="G37" s="21"/>
      <c r="H37" s="21"/>
      <c r="I37" s="24"/>
      <c r="K37" s="260">
        <v>0.9</v>
      </c>
      <c r="L37" s="253">
        <v>0.23200000000000001</v>
      </c>
      <c r="M37" s="254">
        <v>0.26300000000000001</v>
      </c>
      <c r="N37" s="254">
        <v>0.29599999999999999</v>
      </c>
      <c r="O37" s="254">
        <v>0.33400000000000002</v>
      </c>
      <c r="P37" s="254">
        <v>0.375</v>
      </c>
      <c r="Q37" s="254">
        <v>0.42</v>
      </c>
      <c r="R37" s="254">
        <v>0.46899999999999997</v>
      </c>
      <c r="S37" s="254">
        <v>0.52200000000000002</v>
      </c>
      <c r="T37" s="254">
        <v>0.57699999999999996</v>
      </c>
      <c r="U37" s="254">
        <v>0.63600000000000001</v>
      </c>
      <c r="V37" s="254">
        <v>0.69699999999999995</v>
      </c>
      <c r="W37" s="254">
        <v>0.82799999999999996</v>
      </c>
      <c r="X37" s="254">
        <v>0.96799999999999997</v>
      </c>
      <c r="Y37" s="250">
        <v>1.06</v>
      </c>
      <c r="Z37" s="250">
        <v>1.18</v>
      </c>
      <c r="AA37" s="251">
        <v>1.3</v>
      </c>
      <c r="AB37" s="216">
        <v>13</v>
      </c>
      <c r="AC37" s="169">
        <v>13</v>
      </c>
      <c r="AD37" s="170">
        <f t="shared" si="0"/>
        <v>0.29599999999999999</v>
      </c>
      <c r="AE37" s="171">
        <f t="shared" si="1"/>
        <v>0.31913043478260872</v>
      </c>
      <c r="AF37" s="172">
        <f t="shared" si="2"/>
        <v>0.33400000000000002</v>
      </c>
    </row>
    <row r="38" spans="1:32" ht="12.75" customHeight="1" x14ac:dyDescent="0.2">
      <c r="A38" s="77" t="s">
        <v>1160</v>
      </c>
      <c r="B38" s="277" t="str">
        <f>$N$14</f>
        <v>N.A.</v>
      </c>
      <c r="C38" s="193"/>
      <c r="D38" s="73" t="s">
        <v>1117</v>
      </c>
      <c r="E38" s="80"/>
      <c r="F38" s="64"/>
      <c r="G38" s="21"/>
      <c r="H38" s="21"/>
      <c r="I38" s="24"/>
      <c r="K38" s="260">
        <v>1</v>
      </c>
      <c r="L38" s="253">
        <v>0.20899999999999999</v>
      </c>
      <c r="M38" s="254">
        <v>0.23699999999999999</v>
      </c>
      <c r="N38" s="254">
        <v>0.26800000000000002</v>
      </c>
      <c r="O38" s="254">
        <v>0.30199999999999999</v>
      </c>
      <c r="P38" s="254">
        <v>0.34</v>
      </c>
      <c r="Q38" s="254">
        <v>0.38100000000000001</v>
      </c>
      <c r="R38" s="254">
        <v>0.42699999999999999</v>
      </c>
      <c r="S38" s="254">
        <v>0.47499999999999998</v>
      </c>
      <c r="T38" s="254">
        <v>0.52800000000000002</v>
      </c>
      <c r="U38" s="254">
        <v>0.58299999999999996</v>
      </c>
      <c r="V38" s="254">
        <v>0.64100000000000001</v>
      </c>
      <c r="W38" s="254">
        <v>0.76400000000000001</v>
      </c>
      <c r="X38" s="254">
        <v>0.89700000000000002</v>
      </c>
      <c r="Y38" s="254">
        <v>0.99099999999999999</v>
      </c>
      <c r="Z38" s="250">
        <v>1.1100000000000001</v>
      </c>
      <c r="AA38" s="251">
        <v>1.23</v>
      </c>
      <c r="AB38" s="216">
        <v>14</v>
      </c>
      <c r="AC38" s="169">
        <v>14</v>
      </c>
      <c r="AD38" s="170">
        <f t="shared" si="0"/>
        <v>0.26800000000000002</v>
      </c>
      <c r="AE38" s="171">
        <f t="shared" si="1"/>
        <v>0.28869565217391302</v>
      </c>
      <c r="AF38" s="172">
        <f t="shared" si="2"/>
        <v>0.30199999999999999</v>
      </c>
    </row>
    <row r="39" spans="1:32" ht="12.75" customHeight="1" x14ac:dyDescent="0.2">
      <c r="A39" s="77" t="s">
        <v>1130</v>
      </c>
      <c r="B39" s="277" t="str">
        <f>$N$15</f>
        <v>N.A.</v>
      </c>
      <c r="C39" s="193"/>
      <c r="D39" s="73" t="s">
        <v>1123</v>
      </c>
      <c r="E39" s="57"/>
      <c r="F39" s="12"/>
      <c r="G39" s="21"/>
      <c r="H39" s="21"/>
      <c r="I39" s="24"/>
      <c r="K39" s="260">
        <v>1.2</v>
      </c>
      <c r="L39" s="253">
        <v>0.17599999999999999</v>
      </c>
      <c r="M39" s="254">
        <v>0.19900000000000001</v>
      </c>
      <c r="N39" s="254">
        <v>0.22500000000000001</v>
      </c>
      <c r="O39" s="254">
        <v>0.254</v>
      </c>
      <c r="P39" s="254">
        <v>0.28599999999999998</v>
      </c>
      <c r="Q39" s="254">
        <v>0.32100000000000001</v>
      </c>
      <c r="R39" s="254">
        <v>0.36</v>
      </c>
      <c r="S39" s="254">
        <v>0.40300000000000002</v>
      </c>
      <c r="T39" s="254">
        <v>0.44900000000000001</v>
      </c>
      <c r="U39" s="254">
        <v>0.497</v>
      </c>
      <c r="V39" s="254">
        <v>0.54900000000000004</v>
      </c>
      <c r="W39" s="254">
        <v>0.66</v>
      </c>
      <c r="X39" s="254">
        <v>0.78100000000000003</v>
      </c>
      <c r="Y39" s="254">
        <v>0.91</v>
      </c>
      <c r="Z39" s="254">
        <v>0.98599999999999999</v>
      </c>
      <c r="AA39" s="251">
        <v>1.1000000000000001</v>
      </c>
      <c r="AB39" s="216">
        <v>15</v>
      </c>
      <c r="AC39" s="169">
        <v>15</v>
      </c>
      <c r="AD39" s="170">
        <f t="shared" si="0"/>
        <v>0.22500000000000001</v>
      </c>
      <c r="AE39" s="171">
        <f t="shared" si="1"/>
        <v>0.24265217391304347</v>
      </c>
      <c r="AF39" s="172">
        <f t="shared" si="2"/>
        <v>0.254</v>
      </c>
    </row>
    <row r="40" spans="1:32" ht="12.75" customHeight="1" x14ac:dyDescent="0.2">
      <c r="A40" s="77" t="s">
        <v>1188</v>
      </c>
      <c r="B40" s="277" t="str">
        <f>$N$16</f>
        <v>N.A.</v>
      </c>
      <c r="C40" s="193"/>
      <c r="D40" s="73" t="s">
        <v>1132</v>
      </c>
      <c r="E40" s="57"/>
      <c r="F40" s="12"/>
      <c r="G40" s="21"/>
      <c r="H40" s="21"/>
      <c r="I40" s="24"/>
      <c r="K40" s="260">
        <v>1.4</v>
      </c>
      <c r="L40" s="253">
        <v>0.151</v>
      </c>
      <c r="M40" s="254">
        <v>0.17100000000000001</v>
      </c>
      <c r="N40" s="254">
        <v>0.19400000000000001</v>
      </c>
      <c r="O40" s="254">
        <v>0.218</v>
      </c>
      <c r="P40" s="254">
        <v>0.246</v>
      </c>
      <c r="Q40" s="254">
        <v>0.27700000000000002</v>
      </c>
      <c r="R40" s="254">
        <v>0.311</v>
      </c>
      <c r="S40" s="254">
        <v>0.34799999999999998</v>
      </c>
      <c r="T40" s="254">
        <v>0.38900000000000001</v>
      </c>
      <c r="U40" s="254">
        <v>0.432</v>
      </c>
      <c r="V40" s="254">
        <v>0.47899999999999998</v>
      </c>
      <c r="W40" s="254">
        <v>0.57899999999999996</v>
      </c>
      <c r="X40" s="254">
        <v>0.68799999999999994</v>
      </c>
      <c r="Y40" s="254">
        <v>0.80700000000000005</v>
      </c>
      <c r="Z40" s="254">
        <v>0.88600000000000001</v>
      </c>
      <c r="AA40" s="255">
        <v>0.99199999999999999</v>
      </c>
      <c r="AB40" s="216">
        <v>16</v>
      </c>
      <c r="AC40" s="169">
        <v>16</v>
      </c>
      <c r="AD40" s="170">
        <f t="shared" si="0"/>
        <v>0.19400000000000001</v>
      </c>
      <c r="AE40" s="171">
        <f t="shared" si="1"/>
        <v>0.20860869565217391</v>
      </c>
      <c r="AF40" s="172">
        <f t="shared" si="2"/>
        <v>0.218</v>
      </c>
    </row>
    <row r="41" spans="1:32" ht="12.75" customHeight="1" x14ac:dyDescent="0.2">
      <c r="A41" s="77" t="s">
        <v>1133</v>
      </c>
      <c r="B41" s="277" t="str">
        <f>$N$17</f>
        <v>N.A.</v>
      </c>
      <c r="C41" s="193"/>
      <c r="D41" s="73" t="s">
        <v>1104</v>
      </c>
      <c r="E41" s="57"/>
      <c r="F41" s="12"/>
      <c r="G41" s="21"/>
      <c r="H41" s="21"/>
      <c r="I41" s="24"/>
      <c r="K41" s="260">
        <v>1.6</v>
      </c>
      <c r="L41" s="253">
        <v>0.13200000000000001</v>
      </c>
      <c r="M41" s="254">
        <v>0.15</v>
      </c>
      <c r="N41" s="254">
        <v>0.17</v>
      </c>
      <c r="O41" s="254">
        <v>0.192</v>
      </c>
      <c r="P41" s="254">
        <v>0.216</v>
      </c>
      <c r="Q41" s="254">
        <v>0.24299999999999999</v>
      </c>
      <c r="R41" s="254">
        <v>0.27300000000000002</v>
      </c>
      <c r="S41" s="254">
        <v>0.307</v>
      </c>
      <c r="T41" s="254">
        <v>0.34300000000000003</v>
      </c>
      <c r="U41" s="254">
        <v>0.38200000000000001</v>
      </c>
      <c r="V41" s="254">
        <v>0.42299999999999999</v>
      </c>
      <c r="W41" s="254">
        <v>0.51400000000000001</v>
      </c>
      <c r="X41" s="254">
        <v>0.61399999999999999</v>
      </c>
      <c r="Y41" s="254">
        <v>0.72299999999999998</v>
      </c>
      <c r="Z41" s="254">
        <v>0.80200000000000005</v>
      </c>
      <c r="AA41" s="255">
        <v>0.90100000000000002</v>
      </c>
      <c r="AB41" s="216">
        <v>17</v>
      </c>
      <c r="AC41" s="169">
        <v>17</v>
      </c>
      <c r="AD41" s="170">
        <f t="shared" si="0"/>
        <v>0.17</v>
      </c>
      <c r="AE41" s="171">
        <f t="shared" si="1"/>
        <v>0.18339130434782608</v>
      </c>
      <c r="AF41" s="172">
        <f t="shared" si="2"/>
        <v>0.192</v>
      </c>
    </row>
    <row r="42" spans="1:32" x14ac:dyDescent="0.2">
      <c r="A42" s="77" t="s">
        <v>1143</v>
      </c>
      <c r="B42" s="277" t="str">
        <f>$N$18</f>
        <v>N.A.</v>
      </c>
      <c r="C42" s="193"/>
      <c r="D42" s="73" t="s">
        <v>1105</v>
      </c>
      <c r="E42" s="57"/>
      <c r="F42" s="12"/>
      <c r="G42" s="21"/>
      <c r="H42" s="21"/>
      <c r="I42" s="24"/>
      <c r="K42" s="260">
        <v>1.8</v>
      </c>
      <c r="L42" s="253">
        <v>0.11799999999999999</v>
      </c>
      <c r="M42" s="254">
        <v>0.13400000000000001</v>
      </c>
      <c r="N42" s="254">
        <v>0.151</v>
      </c>
      <c r="O42" s="254">
        <v>0.17100000000000001</v>
      </c>
      <c r="P42" s="254">
        <v>0.192</v>
      </c>
      <c r="Q42" s="254">
        <v>0.216</v>
      </c>
      <c r="R42" s="254">
        <v>0.24299999999999999</v>
      </c>
      <c r="S42" s="254">
        <v>0.27300000000000002</v>
      </c>
      <c r="T42" s="254">
        <v>0.30599999999999999</v>
      </c>
      <c r="U42" s="254">
        <v>0.34100000000000003</v>
      </c>
      <c r="V42" s="254">
        <v>0.379</v>
      </c>
      <c r="W42" s="254">
        <v>0.46200000000000002</v>
      </c>
      <c r="X42" s="254">
        <v>0.55300000000000005</v>
      </c>
      <c r="Y42" s="254">
        <v>0.65300000000000002</v>
      </c>
      <c r="Z42" s="254">
        <v>0.76100000000000001</v>
      </c>
      <c r="AA42" s="255">
        <v>0.82499999999999996</v>
      </c>
      <c r="AB42" s="216">
        <v>18</v>
      </c>
      <c r="AC42" s="169">
        <v>18</v>
      </c>
      <c r="AD42" s="170">
        <f t="shared" si="0"/>
        <v>0.151</v>
      </c>
      <c r="AE42" s="171">
        <f t="shared" si="1"/>
        <v>0.16317391304347828</v>
      </c>
      <c r="AF42" s="172">
        <f t="shared" si="2"/>
        <v>0.17100000000000001</v>
      </c>
    </row>
    <row r="43" spans="1:32" x14ac:dyDescent="0.2">
      <c r="A43" s="77" t="s">
        <v>1193</v>
      </c>
      <c r="B43" s="277">
        <f>$N$19</f>
        <v>2.944</v>
      </c>
      <c r="C43" s="193" t="s">
        <v>1099</v>
      </c>
      <c r="D43" s="62" t="str">
        <f>IF($N$13&gt;0,"D(req'd) = P/(Ca*C1*L)","D(req'd) = P/(C*C1*L)")</f>
        <v>D(req'd) = P/(C*C1*L)</v>
      </c>
      <c r="E43" s="58"/>
      <c r="F43" s="58"/>
      <c r="G43" s="21"/>
      <c r="H43" s="21"/>
      <c r="I43" s="24"/>
      <c r="K43" s="260">
        <v>2</v>
      </c>
      <c r="L43" s="253">
        <v>0.106</v>
      </c>
      <c r="M43" s="254">
        <v>0.12</v>
      </c>
      <c r="N43" s="254">
        <v>0.13600000000000001</v>
      </c>
      <c r="O43" s="254">
        <v>0.154</v>
      </c>
      <c r="P43" s="254">
        <v>0.17299999999999999</v>
      </c>
      <c r="Q43" s="254">
        <v>0.19500000000000001</v>
      </c>
      <c r="R43" s="254">
        <v>0.219</v>
      </c>
      <c r="S43" s="254">
        <v>0.247</v>
      </c>
      <c r="T43" s="254">
        <v>0.27600000000000002</v>
      </c>
      <c r="U43" s="254">
        <v>0.308</v>
      </c>
      <c r="V43" s="254">
        <v>0.34300000000000003</v>
      </c>
      <c r="W43" s="254">
        <v>0.41799999999999998</v>
      </c>
      <c r="X43" s="254">
        <v>0.503</v>
      </c>
      <c r="Y43" s="254">
        <v>0.57699999999999996</v>
      </c>
      <c r="Z43" s="254">
        <v>0.66700000000000004</v>
      </c>
      <c r="AA43" s="255">
        <v>0.75900000000000001</v>
      </c>
      <c r="AB43" s="216">
        <v>19</v>
      </c>
      <c r="AC43" s="169">
        <v>19</v>
      </c>
      <c r="AD43" s="170">
        <f t="shared" si="0"/>
        <v>0.13600000000000001</v>
      </c>
      <c r="AE43" s="171">
        <f t="shared" si="1"/>
        <v>0.14695652173913043</v>
      </c>
      <c r="AF43" s="172">
        <f t="shared" si="2"/>
        <v>0.154</v>
      </c>
    </row>
    <row r="44" spans="1:32" ht="12.75" customHeight="1" x14ac:dyDescent="0.2">
      <c r="A44" s="77" t="s">
        <v>1190</v>
      </c>
      <c r="B44" s="279">
        <f>$N$20</f>
        <v>11.285</v>
      </c>
      <c r="C44" s="193" t="s">
        <v>1172</v>
      </c>
      <c r="D44" s="62" t="str">
        <f>IF($N$13&gt;0,"L(req'd) = P/(Ca*C1*D)","L(req'd) = P/(C*C1*D)")</f>
        <v>L(req'd) = P/(C*C1*D)</v>
      </c>
      <c r="E44" s="58"/>
      <c r="F44" s="58"/>
      <c r="G44" s="21"/>
      <c r="H44" s="21"/>
      <c r="I44" s="24"/>
      <c r="K44" s="260">
        <v>2.2000000000000002</v>
      </c>
      <c r="L44" s="253">
        <v>9.7000000000000003E-2</v>
      </c>
      <c r="M44" s="254">
        <v>0.11</v>
      </c>
      <c r="N44" s="254">
        <v>0.124</v>
      </c>
      <c r="O44" s="254">
        <v>0.14000000000000001</v>
      </c>
      <c r="P44" s="254">
        <v>0.158</v>
      </c>
      <c r="Q44" s="254">
        <v>0.17699999999999999</v>
      </c>
      <c r="R44" s="254">
        <v>0.2</v>
      </c>
      <c r="S44" s="254">
        <v>0.22500000000000001</v>
      </c>
      <c r="T44" s="254">
        <v>0.252</v>
      </c>
      <c r="U44" s="254">
        <v>0.28100000000000003</v>
      </c>
      <c r="V44" s="254">
        <v>0.313</v>
      </c>
      <c r="W44" s="254">
        <v>0.38200000000000001</v>
      </c>
      <c r="X44" s="254">
        <v>0.45</v>
      </c>
      <c r="Y44" s="254">
        <v>0.52700000000000002</v>
      </c>
      <c r="Z44" s="254">
        <v>0.61</v>
      </c>
      <c r="AA44" s="255">
        <v>0.7</v>
      </c>
      <c r="AB44" s="216">
        <v>20</v>
      </c>
      <c r="AC44" s="169">
        <v>20</v>
      </c>
      <c r="AD44" s="170">
        <f t="shared" si="0"/>
        <v>0.124</v>
      </c>
      <c r="AE44" s="171">
        <f t="shared" si="1"/>
        <v>0.13373913043478261</v>
      </c>
      <c r="AF44" s="172">
        <f t="shared" si="2"/>
        <v>0.14000000000000001</v>
      </c>
    </row>
    <row r="45" spans="1:32" x14ac:dyDescent="0.2">
      <c r="A45" s="30"/>
      <c r="B45" s="21"/>
      <c r="C45" s="21"/>
      <c r="D45" s="21"/>
      <c r="E45" s="21"/>
      <c r="F45" s="21"/>
      <c r="G45" s="21"/>
      <c r="H45" s="21"/>
      <c r="I45" s="24"/>
      <c r="K45" s="260">
        <v>2.4</v>
      </c>
      <c r="L45" s="253">
        <v>8.8999999999999996E-2</v>
      </c>
      <c r="M45" s="254">
        <v>0.10100000000000001</v>
      </c>
      <c r="N45" s="254">
        <v>0.114</v>
      </c>
      <c r="O45" s="254">
        <v>0.128</v>
      </c>
      <c r="P45" s="254">
        <v>0.14499999999999999</v>
      </c>
      <c r="Q45" s="254">
        <v>0.16300000000000001</v>
      </c>
      <c r="R45" s="254">
        <v>0.183</v>
      </c>
      <c r="S45" s="254">
        <v>0.20599999999999999</v>
      </c>
      <c r="T45" s="254">
        <v>0.23100000000000001</v>
      </c>
      <c r="U45" s="254">
        <v>0.25800000000000001</v>
      </c>
      <c r="V45" s="254">
        <v>0.28699999999999998</v>
      </c>
      <c r="W45" s="254">
        <v>0.35199999999999998</v>
      </c>
      <c r="X45" s="254">
        <v>0.41399999999999998</v>
      </c>
      <c r="Y45" s="254">
        <v>0.48499999999999999</v>
      </c>
      <c r="Z45" s="254">
        <v>0.56200000000000006</v>
      </c>
      <c r="AA45" s="255">
        <v>0.64600000000000002</v>
      </c>
      <c r="AB45" s="216">
        <v>21</v>
      </c>
      <c r="AC45" s="169">
        <v>21</v>
      </c>
      <c r="AD45" s="170">
        <f t="shared" si="0"/>
        <v>0.114</v>
      </c>
      <c r="AE45" s="171">
        <f t="shared" si="1"/>
        <v>0.12252173913043479</v>
      </c>
      <c r="AF45" s="172">
        <f t="shared" si="2"/>
        <v>0.128</v>
      </c>
    </row>
    <row r="46" spans="1:32" x14ac:dyDescent="0.2">
      <c r="A46" s="30"/>
      <c r="B46" s="21"/>
      <c r="C46" s="21"/>
      <c r="D46" s="301" t="str">
        <f>IF(OR($N$19&gt;$C$11*16,$N$20&gt;$N$3),"Weld is overstressed!","Weld is adequate!")</f>
        <v>Weld is adequate!</v>
      </c>
      <c r="E46" s="35"/>
      <c r="F46" s="36"/>
      <c r="G46" s="21"/>
      <c r="H46" s="21"/>
      <c r="I46" s="24"/>
      <c r="K46" s="260">
        <v>2.6</v>
      </c>
      <c r="L46" s="253">
        <v>8.2000000000000003E-2</v>
      </c>
      <c r="M46" s="254">
        <v>9.2999999999999999E-2</v>
      </c>
      <c r="N46" s="254">
        <v>0.105</v>
      </c>
      <c r="O46" s="254">
        <v>0.11899999999999999</v>
      </c>
      <c r="P46" s="254">
        <v>0.13400000000000001</v>
      </c>
      <c r="Q46" s="254">
        <v>0.15</v>
      </c>
      <c r="R46" s="254">
        <v>0.16900000000000001</v>
      </c>
      <c r="S46" s="254">
        <v>0.19</v>
      </c>
      <c r="T46" s="254">
        <v>0.21299999999999999</v>
      </c>
      <c r="U46" s="254">
        <v>0.23899999999999999</v>
      </c>
      <c r="V46" s="254">
        <v>0.26600000000000001</v>
      </c>
      <c r="W46" s="254">
        <v>0.32600000000000001</v>
      </c>
      <c r="X46" s="254">
        <v>0.38200000000000001</v>
      </c>
      <c r="Y46" s="254">
        <v>0.44800000000000001</v>
      </c>
      <c r="Z46" s="254">
        <v>0.52100000000000002</v>
      </c>
      <c r="AA46" s="255">
        <v>0.59899999999999998</v>
      </c>
      <c r="AB46" s="216">
        <v>22</v>
      </c>
      <c r="AC46" s="169">
        <v>22</v>
      </c>
      <c r="AD46" s="170">
        <f t="shared" si="0"/>
        <v>0.105</v>
      </c>
      <c r="AE46" s="171">
        <f t="shared" si="1"/>
        <v>0.11352173913043478</v>
      </c>
      <c r="AF46" s="172">
        <f t="shared" si="2"/>
        <v>0.11899999999999999</v>
      </c>
    </row>
    <row r="47" spans="1:32" x14ac:dyDescent="0.2">
      <c r="A47" s="30"/>
      <c r="B47" s="21"/>
      <c r="C47" s="21"/>
      <c r="D47" s="302" t="str">
        <f>IF($N$19&gt;$C$11*16,"D(req'd) = "&amp;$N$19&amp;" &gt; "&amp;$C$11*16&amp;" (1/16's)","D(req'd) = "&amp;$N$19&amp;" &lt;= "&amp;$C$11*16&amp;" (1/16's)")</f>
        <v>D(req'd) = 2.944 &lt;= 3 (1/16's)</v>
      </c>
      <c r="E47" s="37"/>
      <c r="F47" s="303"/>
      <c r="G47" s="21"/>
      <c r="H47" s="21"/>
      <c r="I47" s="24"/>
      <c r="K47" s="260">
        <v>2.8</v>
      </c>
      <c r="L47" s="253">
        <v>7.5999999999999998E-2</v>
      </c>
      <c r="M47" s="254">
        <v>8.5999999999999993E-2</v>
      </c>
      <c r="N47" s="254">
        <v>9.8000000000000004E-2</v>
      </c>
      <c r="O47" s="254">
        <v>0.11</v>
      </c>
      <c r="P47" s="254">
        <v>0.124</v>
      </c>
      <c r="Q47" s="254">
        <v>0.14000000000000001</v>
      </c>
      <c r="R47" s="254">
        <v>0.157</v>
      </c>
      <c r="S47" s="254">
        <v>0.17699999999999999</v>
      </c>
      <c r="T47" s="254">
        <v>0.19800000000000001</v>
      </c>
      <c r="U47" s="254">
        <v>0.222</v>
      </c>
      <c r="V47" s="254">
        <v>0.247</v>
      </c>
      <c r="W47" s="254">
        <v>0.3</v>
      </c>
      <c r="X47" s="254">
        <v>0.35499999999999998</v>
      </c>
      <c r="Y47" s="254">
        <v>0.41699999999999998</v>
      </c>
      <c r="Z47" s="254">
        <v>0.48499999999999999</v>
      </c>
      <c r="AA47" s="255">
        <v>0.55800000000000005</v>
      </c>
      <c r="AB47" s="216">
        <v>23</v>
      </c>
      <c r="AC47" s="169">
        <v>23</v>
      </c>
      <c r="AD47" s="170">
        <f t="shared" si="0"/>
        <v>9.8000000000000004E-2</v>
      </c>
      <c r="AE47" s="171">
        <f t="shared" si="1"/>
        <v>0.10530434782608696</v>
      </c>
      <c r="AF47" s="172">
        <f t="shared" si="2"/>
        <v>0.11</v>
      </c>
    </row>
    <row r="48" spans="1:32" ht="12.75" customHeight="1" x14ac:dyDescent="0.2">
      <c r="A48" s="30"/>
      <c r="B48" s="21"/>
      <c r="C48" s="21"/>
      <c r="D48" s="304" t="str">
        <f>IF($N$20&gt;$N$3,"L(req'd) = "&amp;$N$20&amp;" &gt; "&amp;$N$3&amp;" in.","L(req'd) = "&amp;$N$20&amp;" &lt;= "&amp;$N$3&amp;" in.")</f>
        <v>L(req'd) = 11.285 &lt;= 11.5 in.</v>
      </c>
      <c r="E48" s="305"/>
      <c r="F48" s="306"/>
      <c r="G48" s="21"/>
      <c r="H48" s="21"/>
      <c r="I48" s="24"/>
      <c r="K48" s="261">
        <v>3</v>
      </c>
      <c r="L48" s="256">
        <v>7.0999999999999994E-2</v>
      </c>
      <c r="M48" s="257">
        <v>8.1000000000000003E-2</v>
      </c>
      <c r="N48" s="257">
        <v>9.0999999999999998E-2</v>
      </c>
      <c r="O48" s="257">
        <v>0.10299999999999999</v>
      </c>
      <c r="P48" s="257">
        <v>0.11600000000000001</v>
      </c>
      <c r="Q48" s="257">
        <v>0.13</v>
      </c>
      <c r="R48" s="257">
        <v>0.14699999999999999</v>
      </c>
      <c r="S48" s="257">
        <v>0.16500000000000001</v>
      </c>
      <c r="T48" s="257">
        <v>0.185</v>
      </c>
      <c r="U48" s="257">
        <v>0.20699999999999999</v>
      </c>
      <c r="V48" s="257">
        <v>0.23100000000000001</v>
      </c>
      <c r="W48" s="257">
        <v>0.28000000000000003</v>
      </c>
      <c r="X48" s="257">
        <v>0.33200000000000002</v>
      </c>
      <c r="Y48" s="257">
        <v>0.39</v>
      </c>
      <c r="Z48" s="257">
        <v>0.45300000000000001</v>
      </c>
      <c r="AA48" s="258">
        <v>0.52200000000000002</v>
      </c>
      <c r="AB48" s="216">
        <v>24</v>
      </c>
      <c r="AC48" s="173">
        <v>24</v>
      </c>
      <c r="AD48" s="174">
        <f t="shared" si="0"/>
        <v>9.0999999999999998E-2</v>
      </c>
      <c r="AE48" s="175">
        <f t="shared" si="1"/>
        <v>9.8304347826086949E-2</v>
      </c>
      <c r="AF48" s="176">
        <f t="shared" si="2"/>
        <v>0.10299999999999999</v>
      </c>
    </row>
    <row r="49" spans="1:32" x14ac:dyDescent="0.2">
      <c r="A49" s="30"/>
      <c r="B49" s="21"/>
      <c r="C49" s="21"/>
      <c r="D49" s="21"/>
      <c r="E49" s="21"/>
      <c r="F49" s="21"/>
      <c r="G49" s="21"/>
      <c r="H49" s="21"/>
      <c r="I49" s="24"/>
      <c r="K49" s="272" t="s">
        <v>1107</v>
      </c>
      <c r="L49" s="274">
        <v>0</v>
      </c>
      <c r="M49" s="266">
        <v>4.0000000000000001E-3</v>
      </c>
      <c r="N49" s="266">
        <v>1.6E-2</v>
      </c>
      <c r="O49" s="268">
        <v>3.4000000000000002E-2</v>
      </c>
      <c r="P49" s="266">
        <v>5.7000000000000002E-2</v>
      </c>
      <c r="Q49" s="268">
        <v>8.3000000000000004E-2</v>
      </c>
      <c r="R49" s="266">
        <v>0.112</v>
      </c>
      <c r="S49" s="268">
        <v>0.14399999999999999</v>
      </c>
      <c r="T49" s="266">
        <v>0.17699999999999999</v>
      </c>
      <c r="U49" s="268">
        <v>0.21299999999999999</v>
      </c>
      <c r="V49" s="266">
        <v>0.25</v>
      </c>
      <c r="W49" s="268">
        <v>0.32700000000000001</v>
      </c>
      <c r="X49" s="266">
        <v>0.40799999999999997</v>
      </c>
      <c r="Y49" s="268">
        <v>0.49199999999999999</v>
      </c>
      <c r="Z49" s="266">
        <v>0.57799999999999996</v>
      </c>
      <c r="AA49" s="275">
        <v>0.66600000000000004</v>
      </c>
      <c r="AB49" s="177"/>
      <c r="AC49" s="178" t="s">
        <v>1096</v>
      </c>
      <c r="AD49" s="179"/>
      <c r="AE49" s="180"/>
      <c r="AF49" s="181" t="s">
        <v>1097</v>
      </c>
    </row>
    <row r="50" spans="1:32" x14ac:dyDescent="0.2">
      <c r="A50" s="31"/>
      <c r="B50" s="32"/>
      <c r="C50" s="32"/>
      <c r="D50" s="32"/>
      <c r="E50" s="32"/>
      <c r="F50" s="32"/>
      <c r="G50" s="32"/>
      <c r="H50" s="32"/>
      <c r="I50" s="33"/>
      <c r="K50" s="273" t="s">
        <v>1152</v>
      </c>
      <c r="L50" s="269">
        <v>0.5</v>
      </c>
      <c r="M50" s="267">
        <v>0.45400000000000001</v>
      </c>
      <c r="N50" s="267">
        <v>0.41599999999999998</v>
      </c>
      <c r="O50" s="269">
        <v>0.38400000000000001</v>
      </c>
      <c r="P50" s="267">
        <v>0.35699999999999998</v>
      </c>
      <c r="Q50" s="269">
        <v>0.33300000000000002</v>
      </c>
      <c r="R50" s="267">
        <v>0.312</v>
      </c>
      <c r="S50" s="269">
        <v>0.29399999999999998</v>
      </c>
      <c r="T50" s="267">
        <v>0.27700000000000002</v>
      </c>
      <c r="U50" s="269">
        <v>0.26300000000000001</v>
      </c>
      <c r="V50" s="267">
        <v>0.25</v>
      </c>
      <c r="W50" s="269">
        <v>0.22700000000000001</v>
      </c>
      <c r="X50" s="267">
        <v>0.20799999999999999</v>
      </c>
      <c r="Y50" s="269">
        <v>0.192</v>
      </c>
      <c r="Z50" s="267">
        <v>0.17799999999999999</v>
      </c>
      <c r="AA50" s="267">
        <v>0.16600000000000001</v>
      </c>
      <c r="AB50" s="63"/>
      <c r="AC50" s="182">
        <f>IF($N$8&gt;=0.06,LOOKUP($AE$50,$K$25:$K$48,$AB$25:$AB$48),0)</f>
        <v>7</v>
      </c>
      <c r="AD50" s="183" t="s">
        <v>1194</v>
      </c>
      <c r="AE50" s="184">
        <f>IF($N$8&gt;=0.06,LOOKUP($N$8,$K$25:$K$48),0)</f>
        <v>0.3</v>
      </c>
      <c r="AF50" s="185">
        <f>IF($N$8&gt;=0.06,LOOKUP($AE$50,$K$25:$K$48,$AE25:$AE48),0.928*(1+$N$9))</f>
        <v>0.76882608695652177</v>
      </c>
    </row>
    <row r="51" spans="1:32" x14ac:dyDescent="0.2">
      <c r="A51" s="21"/>
      <c r="K51" s="158" t="s">
        <v>1094</v>
      </c>
      <c r="L51" s="158">
        <v>1</v>
      </c>
      <c r="M51" s="158">
        <v>2</v>
      </c>
      <c r="N51" s="158">
        <v>3</v>
      </c>
      <c r="O51" s="158">
        <v>4</v>
      </c>
      <c r="P51" s="158">
        <v>5</v>
      </c>
      <c r="Q51" s="158">
        <v>6</v>
      </c>
      <c r="R51" s="158">
        <v>7</v>
      </c>
      <c r="S51" s="158">
        <v>8</v>
      </c>
      <c r="T51" s="158">
        <v>9</v>
      </c>
      <c r="U51" s="158">
        <v>10</v>
      </c>
      <c r="V51" s="158">
        <v>11</v>
      </c>
      <c r="W51" s="158">
        <v>12</v>
      </c>
      <c r="X51" s="158">
        <v>13</v>
      </c>
      <c r="Y51" s="158">
        <v>14</v>
      </c>
      <c r="Z51" s="158">
        <v>15</v>
      </c>
      <c r="AA51" s="158">
        <v>16</v>
      </c>
      <c r="AB51" s="51"/>
      <c r="AC51" s="186"/>
      <c r="AD51" s="187" t="s">
        <v>1095</v>
      </c>
      <c r="AE51" s="171">
        <f>$N$8</f>
        <v>0.30086956521739128</v>
      </c>
      <c r="AF51" s="188">
        <f>IF($AE$50=$AE$52,$AF$50,($AF$52-$AF$50)*($AE$51-$AE$50)/($AE$52-$AE$50)+$AF$50)</f>
        <v>0.76769829867674866</v>
      </c>
    </row>
    <row r="52" spans="1:32" x14ac:dyDescent="0.2">
      <c r="N52" s="43"/>
      <c r="O52" s="52"/>
      <c r="Q52" s="18"/>
      <c r="R52" s="18"/>
      <c r="S52" s="18"/>
      <c r="T52" s="18"/>
      <c r="U52" s="18"/>
      <c r="V52" s="18"/>
      <c r="W52" s="18"/>
      <c r="AC52" s="189">
        <f>LOOKUP($AC$50+1,$AB$25:$AB$48)</f>
        <v>8</v>
      </c>
      <c r="AD52" s="190" t="s">
        <v>1194</v>
      </c>
      <c r="AE52" s="191">
        <f>LOOKUP($AC$52,$AB$25:$AB$48,$K$25:$K$48)</f>
        <v>0.4</v>
      </c>
      <c r="AF52" s="176">
        <f>LOOKUP($AE$52,$K$25:$K$48,$AE25:$AE48)</f>
        <v>0.63913043478260867</v>
      </c>
    </row>
    <row r="53" spans="1:32" x14ac:dyDescent="0.2">
      <c r="G53" s="64"/>
      <c r="H53" s="64"/>
      <c r="I53" s="64"/>
      <c r="J53" s="64"/>
    </row>
    <row r="54" spans="1:32" x14ac:dyDescent="0.2">
      <c r="G54" s="64"/>
      <c r="H54" s="64"/>
      <c r="I54" s="64"/>
      <c r="K54" s="55"/>
      <c r="N54" s="43"/>
      <c r="P54" s="44"/>
      <c r="V54" s="14"/>
    </row>
    <row r="55" spans="1:32" x14ac:dyDescent="0.2">
      <c r="G55" s="64"/>
      <c r="H55" s="64"/>
      <c r="I55" s="64"/>
      <c r="K55" s="55"/>
      <c r="P55" s="44"/>
    </row>
    <row r="56" spans="1:32" x14ac:dyDescent="0.2">
      <c r="G56" s="64"/>
      <c r="H56" s="64"/>
      <c r="I56" s="64"/>
      <c r="K56" s="55"/>
      <c r="P56" s="44"/>
    </row>
    <row r="57" spans="1:32" x14ac:dyDescent="0.2">
      <c r="G57" s="64"/>
      <c r="H57" s="64"/>
      <c r="I57" s="64"/>
      <c r="K57" s="55"/>
      <c r="P57" s="44"/>
    </row>
    <row r="58" spans="1:32" x14ac:dyDescent="0.2">
      <c r="G58" s="58"/>
      <c r="H58" s="58"/>
      <c r="I58" s="113"/>
      <c r="K58" s="55"/>
      <c r="O58" s="192"/>
      <c r="P58" s="192"/>
    </row>
    <row r="59" spans="1:32" x14ac:dyDescent="0.2">
      <c r="G59" s="58"/>
      <c r="H59" s="58"/>
      <c r="I59" s="113"/>
      <c r="K59" s="55"/>
      <c r="O59" s="192"/>
      <c r="P59" s="192"/>
      <c r="Q59" s="192"/>
    </row>
    <row r="60" spans="1:32" x14ac:dyDescent="0.2">
      <c r="G60" s="58"/>
      <c r="H60" s="58"/>
      <c r="I60" s="58"/>
      <c r="K60" s="55"/>
      <c r="O60" s="192"/>
      <c r="P60" s="192"/>
      <c r="Q60" s="192"/>
    </row>
    <row r="61" spans="1:32" x14ac:dyDescent="0.2">
      <c r="G61" s="58"/>
      <c r="H61" s="58"/>
      <c r="I61" s="58"/>
      <c r="J61" s="67"/>
      <c r="K61" s="55"/>
      <c r="O61" s="192"/>
      <c r="P61" s="192"/>
      <c r="Q61" s="192"/>
    </row>
    <row r="62" spans="1:32" x14ac:dyDescent="0.2">
      <c r="G62" s="58"/>
      <c r="H62" s="58"/>
      <c r="I62" s="58"/>
      <c r="J62" s="57"/>
      <c r="K62" s="55"/>
      <c r="O62" s="192"/>
      <c r="P62" s="192"/>
      <c r="Q62" s="192"/>
    </row>
    <row r="63" spans="1:32" x14ac:dyDescent="0.2">
      <c r="G63" s="58"/>
      <c r="H63" s="58"/>
      <c r="I63" s="58"/>
      <c r="J63" s="64"/>
      <c r="Q63" s="192"/>
    </row>
    <row r="64" spans="1:32" x14ac:dyDescent="0.2">
      <c r="G64" s="64"/>
      <c r="H64" s="64"/>
      <c r="I64" s="64"/>
      <c r="J64" s="64"/>
    </row>
    <row r="65" spans="1:14" x14ac:dyDescent="0.2">
      <c r="A65" s="506"/>
      <c r="B65" s="9"/>
      <c r="C65" s="73"/>
      <c r="D65" s="73"/>
      <c r="E65" s="64"/>
      <c r="F65" s="64"/>
      <c r="G65" s="64"/>
      <c r="H65" s="64"/>
      <c r="I65" s="64"/>
      <c r="J65" s="51"/>
      <c r="N65" s="43"/>
    </row>
    <row r="66" spans="1:14" x14ac:dyDescent="0.2">
      <c r="A66" s="93"/>
      <c r="B66" s="9"/>
      <c r="C66" s="10"/>
      <c r="D66" s="73"/>
      <c r="E66" s="64"/>
      <c r="F66" s="64"/>
      <c r="G66" s="64"/>
      <c r="H66" s="64"/>
      <c r="I66" s="64"/>
      <c r="J66" s="51"/>
      <c r="N66" s="43"/>
    </row>
    <row r="67" spans="1:14" x14ac:dyDescent="0.2">
      <c r="A67" s="93"/>
      <c r="B67" s="9"/>
      <c r="C67" s="73"/>
      <c r="D67" s="73"/>
      <c r="E67" s="64"/>
      <c r="F67" s="64"/>
      <c r="G67" s="64"/>
      <c r="H67" s="64"/>
      <c r="I67" s="64"/>
      <c r="N67" s="43"/>
    </row>
    <row r="68" spans="1:14" x14ac:dyDescent="0.2">
      <c r="A68" s="93"/>
      <c r="B68" s="9"/>
      <c r="C68" s="73"/>
      <c r="D68" s="73"/>
      <c r="E68" s="64"/>
      <c r="F68" s="64"/>
      <c r="G68" s="64"/>
      <c r="H68" s="64"/>
      <c r="I68" s="64"/>
      <c r="N68" s="43"/>
    </row>
    <row r="69" spans="1:14" x14ac:dyDescent="0.2">
      <c r="A69" s="93"/>
      <c r="B69" s="9"/>
      <c r="D69" s="73"/>
      <c r="E69" s="64"/>
      <c r="F69" s="64"/>
      <c r="G69" s="64"/>
      <c r="H69" s="64"/>
      <c r="I69" s="64"/>
      <c r="N69" s="43"/>
    </row>
    <row r="70" spans="1:14" x14ac:dyDescent="0.2">
      <c r="A70" s="64"/>
      <c r="B70" s="64"/>
      <c r="D70" s="64"/>
      <c r="E70" s="64"/>
      <c r="F70" s="64"/>
      <c r="G70" s="64"/>
      <c r="H70" s="64"/>
      <c r="I70" s="64"/>
      <c r="N70" s="43"/>
    </row>
    <row r="71" spans="1:14" x14ac:dyDescent="0.2">
      <c r="A71" s="71"/>
      <c r="B71" s="64"/>
      <c r="D71" s="64"/>
      <c r="E71" s="64"/>
      <c r="F71" s="64"/>
      <c r="G71" s="64"/>
      <c r="H71" s="64"/>
      <c r="I71" s="64"/>
      <c r="N71" s="43"/>
    </row>
    <row r="72" spans="1:14" x14ac:dyDescent="0.2">
      <c r="A72" s="64"/>
      <c r="B72" s="64"/>
      <c r="C72" s="64"/>
      <c r="D72" s="64"/>
      <c r="E72" s="64"/>
      <c r="F72" s="64"/>
      <c r="G72" s="64"/>
      <c r="H72" s="64"/>
      <c r="I72" s="64"/>
      <c r="N72" s="43"/>
    </row>
    <row r="73" spans="1:14" x14ac:dyDescent="0.2">
      <c r="A73" s="93"/>
      <c r="B73" s="9"/>
      <c r="C73" s="73"/>
      <c r="D73" s="64"/>
      <c r="E73" s="64"/>
      <c r="F73" s="64"/>
      <c r="G73" s="64"/>
      <c r="H73" s="108"/>
      <c r="I73" s="57"/>
      <c r="N73" s="43"/>
    </row>
    <row r="74" spans="1:14" x14ac:dyDescent="0.2">
      <c r="A74" s="57"/>
      <c r="B74" s="57"/>
      <c r="C74" s="57"/>
      <c r="D74" s="65"/>
      <c r="E74" s="64"/>
      <c r="F74" s="64"/>
      <c r="G74" s="64"/>
      <c r="H74" s="64"/>
      <c r="I74" s="64"/>
      <c r="N74" s="54"/>
    </row>
    <row r="75" spans="1:14" x14ac:dyDescent="0.2">
      <c r="A75" s="93"/>
      <c r="B75" s="9"/>
      <c r="C75" s="62"/>
      <c r="D75" s="62"/>
      <c r="E75" s="62"/>
      <c r="F75" s="64"/>
      <c r="G75" s="64"/>
      <c r="H75" s="64"/>
      <c r="I75" s="57"/>
      <c r="N75" s="43"/>
    </row>
    <row r="76" spans="1:14" x14ac:dyDescent="0.2">
      <c r="A76" s="93"/>
      <c r="B76" s="9"/>
      <c r="C76" s="62"/>
      <c r="D76" s="73"/>
      <c r="E76" s="73"/>
      <c r="F76" s="64"/>
      <c r="G76" s="64"/>
      <c r="H76" s="64"/>
      <c r="I76" s="57"/>
      <c r="N76" s="43"/>
    </row>
    <row r="77" spans="1:14" x14ac:dyDescent="0.2">
      <c r="A77" s="100"/>
      <c r="B77" s="58"/>
      <c r="C77" s="62"/>
      <c r="D77" s="84"/>
      <c r="E77" s="84"/>
      <c r="F77" s="64"/>
      <c r="G77" s="64"/>
      <c r="H77" s="64"/>
      <c r="I77" s="64"/>
      <c r="N77" s="43"/>
    </row>
    <row r="78" spans="1:14" x14ac:dyDescent="0.2">
      <c r="A78" s="100"/>
      <c r="B78" s="58"/>
      <c r="C78" s="62"/>
      <c r="D78" s="84"/>
      <c r="E78" s="84"/>
      <c r="F78" s="64"/>
      <c r="G78" s="64"/>
      <c r="H78" s="64"/>
      <c r="I78" s="64"/>
      <c r="N78" s="43"/>
    </row>
    <row r="79" spans="1:14" x14ac:dyDescent="0.2">
      <c r="A79" s="64"/>
      <c r="B79" s="64"/>
      <c r="C79" s="64"/>
      <c r="D79" s="62"/>
      <c r="E79" s="64"/>
      <c r="F79" s="64"/>
      <c r="G79" s="64"/>
      <c r="H79" s="64"/>
      <c r="I79" s="64"/>
      <c r="N79" s="43"/>
    </row>
    <row r="80" spans="1:14" x14ac:dyDescent="0.2">
      <c r="A80" s="64"/>
      <c r="B80" s="64"/>
      <c r="C80" s="64"/>
      <c r="D80" s="64"/>
      <c r="E80" s="64"/>
      <c r="F80" s="64"/>
      <c r="G80" s="108"/>
      <c r="H80" s="64"/>
      <c r="I80" s="64"/>
      <c r="K80" s="70"/>
      <c r="N80" s="43"/>
    </row>
    <row r="81" spans="1:14" x14ac:dyDescent="0.2">
      <c r="A81" s="194"/>
      <c r="B81" s="64"/>
      <c r="C81" s="64"/>
      <c r="D81" s="64"/>
      <c r="E81" s="64"/>
      <c r="F81" s="108"/>
      <c r="G81" s="64"/>
      <c r="H81" s="64"/>
      <c r="I81" s="64"/>
      <c r="N81" s="43"/>
    </row>
    <row r="82" spans="1:14" x14ac:dyDescent="0.2">
      <c r="A82" s="57"/>
      <c r="B82" s="57"/>
      <c r="C82" s="57"/>
      <c r="D82" s="62"/>
      <c r="E82" s="57"/>
      <c r="F82" s="64"/>
      <c r="G82" s="64"/>
      <c r="H82" s="64"/>
      <c r="I82" s="64"/>
      <c r="N82" s="43"/>
    </row>
    <row r="83" spans="1:14" x14ac:dyDescent="0.2">
      <c r="A83" s="67"/>
      <c r="B83" s="58"/>
      <c r="C83" s="62"/>
      <c r="D83" s="62"/>
      <c r="E83" s="57"/>
      <c r="F83" s="57"/>
      <c r="G83" s="57"/>
      <c r="H83" s="57"/>
      <c r="I83" s="57"/>
      <c r="N83" s="43"/>
    </row>
    <row r="84" spans="1:14" x14ac:dyDescent="0.2">
      <c r="A84" s="67"/>
      <c r="B84" s="58"/>
      <c r="C84" s="62"/>
      <c r="D84" s="62"/>
      <c r="E84" s="57"/>
      <c r="F84" s="57"/>
      <c r="G84" s="57"/>
      <c r="H84" s="57"/>
      <c r="I84" s="64"/>
      <c r="N84" s="43"/>
    </row>
    <row r="85" spans="1:14" x14ac:dyDescent="0.2">
      <c r="A85" s="67"/>
      <c r="B85" s="9"/>
      <c r="C85" s="62"/>
      <c r="D85" s="62"/>
      <c r="E85" s="64"/>
      <c r="F85" s="64"/>
      <c r="G85" s="64"/>
      <c r="H85" s="64"/>
      <c r="I85" s="57"/>
      <c r="N85" s="43"/>
    </row>
    <row r="86" spans="1:14" x14ac:dyDescent="0.2">
      <c r="A86" s="67"/>
      <c r="B86" s="9"/>
      <c r="C86" s="62"/>
      <c r="D86" s="62"/>
      <c r="E86" s="57"/>
      <c r="F86" s="57"/>
      <c r="G86" s="64"/>
      <c r="H86" s="108"/>
      <c r="I86" s="57"/>
      <c r="N86" s="43"/>
    </row>
    <row r="87" spans="1:14" x14ac:dyDescent="0.2">
      <c r="A87" s="57"/>
      <c r="B87" s="64"/>
      <c r="C87" s="64"/>
      <c r="D87" s="62"/>
      <c r="E87" s="64"/>
      <c r="F87" s="64"/>
      <c r="G87" s="64"/>
      <c r="H87" s="64"/>
      <c r="I87" s="64"/>
      <c r="N87" s="43"/>
    </row>
    <row r="88" spans="1:14" x14ac:dyDescent="0.2">
      <c r="A88" s="67"/>
      <c r="B88" s="9"/>
      <c r="C88" s="62"/>
      <c r="D88" s="62"/>
      <c r="E88" s="57"/>
      <c r="F88" s="57"/>
      <c r="G88" s="57"/>
      <c r="H88" s="57"/>
      <c r="I88" s="57"/>
      <c r="N88" s="43"/>
    </row>
    <row r="89" spans="1:14" x14ac:dyDescent="0.2">
      <c r="A89" s="67"/>
      <c r="B89" s="89"/>
      <c r="C89" s="62"/>
      <c r="D89" s="62"/>
      <c r="E89" s="64"/>
      <c r="F89" s="64"/>
      <c r="G89" s="64"/>
      <c r="H89" s="108"/>
      <c r="I89" s="57"/>
      <c r="N89" s="43"/>
    </row>
    <row r="90" spans="1:14" x14ac:dyDescent="0.2">
      <c r="A90" s="57"/>
      <c r="B90" s="64"/>
      <c r="C90" s="64"/>
      <c r="D90" s="62"/>
      <c r="E90" s="64"/>
      <c r="F90" s="64"/>
      <c r="G90" s="64"/>
      <c r="H90" s="64"/>
      <c r="I90" s="57"/>
      <c r="N90" s="43"/>
    </row>
    <row r="91" spans="1:14" x14ac:dyDescent="0.2">
      <c r="A91" s="93"/>
      <c r="B91" s="9"/>
      <c r="C91" s="73"/>
      <c r="D91" s="62"/>
      <c r="E91" s="64"/>
      <c r="F91" s="64"/>
      <c r="G91" s="64"/>
      <c r="H91" s="64"/>
      <c r="I91" s="57"/>
      <c r="K91" s="47"/>
      <c r="N91" s="43"/>
    </row>
    <row r="92" spans="1:14" x14ac:dyDescent="0.2">
      <c r="A92" s="93"/>
      <c r="B92" s="9"/>
      <c r="C92" s="73"/>
      <c r="D92" s="62"/>
      <c r="E92" s="64"/>
      <c r="F92" s="64"/>
      <c r="G92" s="64"/>
      <c r="H92" s="64"/>
      <c r="I92" s="64"/>
      <c r="M92" s="52"/>
      <c r="N92" s="43"/>
    </row>
    <row r="93" spans="1:14" x14ac:dyDescent="0.2">
      <c r="A93" s="93"/>
      <c r="B93" s="9"/>
      <c r="C93" s="64"/>
      <c r="D93" s="62"/>
      <c r="E93" s="64"/>
      <c r="F93" s="64"/>
      <c r="G93" s="64"/>
      <c r="H93" s="64"/>
      <c r="I93" s="64"/>
      <c r="N93" s="43"/>
    </row>
    <row r="94" spans="1:14" x14ac:dyDescent="0.2">
      <c r="A94" s="93"/>
      <c r="B94" s="9"/>
      <c r="C94" s="64"/>
      <c r="D94" s="73"/>
      <c r="E94" s="64"/>
      <c r="F94" s="64"/>
      <c r="G94" s="64"/>
      <c r="H94" s="64"/>
      <c r="I94" s="57"/>
      <c r="N94" s="43"/>
    </row>
    <row r="95" spans="1:14" x14ac:dyDescent="0.2">
      <c r="A95" s="93"/>
      <c r="B95" s="9"/>
      <c r="C95" s="64"/>
      <c r="D95" s="73"/>
      <c r="E95" s="64"/>
      <c r="F95" s="64"/>
      <c r="G95" s="64"/>
      <c r="H95" s="64"/>
      <c r="I95" s="64"/>
      <c r="N95" s="43"/>
    </row>
    <row r="96" spans="1:14" x14ac:dyDescent="0.2">
      <c r="A96" s="93"/>
      <c r="B96" s="9"/>
      <c r="C96" s="73"/>
      <c r="D96" s="64"/>
      <c r="E96" s="64"/>
      <c r="F96" s="64"/>
      <c r="G96" s="64"/>
      <c r="H96" s="64"/>
      <c r="I96" s="57"/>
    </row>
    <row r="97" spans="1:14" x14ac:dyDescent="0.2">
      <c r="A97" s="57"/>
      <c r="B97" s="12"/>
      <c r="C97" s="57"/>
      <c r="D97" s="73"/>
      <c r="E97" s="64"/>
      <c r="F97" s="64"/>
      <c r="G97" s="64"/>
      <c r="H97" s="64"/>
      <c r="I97" s="57"/>
      <c r="K97" s="59"/>
      <c r="N97" s="43"/>
    </row>
    <row r="98" spans="1:14" x14ac:dyDescent="0.2">
      <c r="A98" s="57"/>
      <c r="B98" s="12"/>
      <c r="C98" s="57"/>
      <c r="D98" s="73"/>
      <c r="E98" s="64"/>
      <c r="F98" s="64"/>
      <c r="G98" s="64"/>
      <c r="H98" s="64"/>
      <c r="I98" s="64"/>
      <c r="N98" s="43"/>
    </row>
    <row r="99" spans="1:14" x14ac:dyDescent="0.2">
      <c r="A99" s="64"/>
      <c r="B99" s="64"/>
      <c r="C99" s="64"/>
      <c r="D99" s="64"/>
      <c r="E99" s="64"/>
      <c r="F99" s="64"/>
      <c r="G99" s="64"/>
      <c r="H99" s="108"/>
      <c r="I99" s="57"/>
      <c r="N99" s="43"/>
    </row>
    <row r="100" spans="1:14" x14ac:dyDescent="0.2">
      <c r="A100" s="64"/>
      <c r="B100" s="64"/>
      <c r="C100" s="64"/>
      <c r="D100" s="64"/>
      <c r="E100" s="57"/>
      <c r="F100" s="57"/>
      <c r="G100" s="57"/>
      <c r="H100" s="80"/>
      <c r="I100" s="12"/>
      <c r="N100" s="43"/>
    </row>
    <row r="101" spans="1:14" x14ac:dyDescent="0.2">
      <c r="A101" s="64"/>
      <c r="B101" s="64"/>
      <c r="C101" s="64"/>
      <c r="D101" s="64"/>
      <c r="E101" s="57"/>
      <c r="F101" s="57"/>
      <c r="G101" s="57"/>
      <c r="H101" s="80"/>
      <c r="I101" s="127"/>
      <c r="N101" s="43"/>
    </row>
    <row r="102" spans="1:14" x14ac:dyDescent="0.2">
      <c r="A102" s="194"/>
      <c r="B102" s="21"/>
      <c r="C102" s="21"/>
      <c r="D102" s="21"/>
      <c r="E102" s="21"/>
      <c r="F102" s="21"/>
      <c r="G102" s="21"/>
      <c r="H102" s="94"/>
      <c r="I102" s="96"/>
      <c r="N102" s="43"/>
    </row>
    <row r="103" spans="1:14" x14ac:dyDescent="0.2">
      <c r="A103" s="21"/>
      <c r="B103" s="21"/>
      <c r="C103" s="21"/>
      <c r="D103" s="21"/>
      <c r="E103" s="21"/>
      <c r="F103" s="21"/>
      <c r="G103" s="21"/>
      <c r="H103" s="94"/>
      <c r="I103" s="41"/>
      <c r="N103" s="43"/>
    </row>
    <row r="104" spans="1:14" x14ac:dyDescent="0.2">
      <c r="A104" s="126"/>
      <c r="B104" s="8"/>
      <c r="C104" s="62"/>
      <c r="D104" s="73"/>
      <c r="E104" s="21"/>
      <c r="F104" s="21"/>
      <c r="G104" s="21"/>
      <c r="H104" s="94"/>
      <c r="I104" s="41"/>
      <c r="N104" s="43"/>
    </row>
    <row r="105" spans="1:14" x14ac:dyDescent="0.2">
      <c r="A105" s="126"/>
      <c r="B105" s="8"/>
      <c r="C105" s="62"/>
      <c r="D105" s="73"/>
      <c r="E105" s="21"/>
      <c r="F105" s="21"/>
      <c r="G105" s="21"/>
      <c r="H105" s="94"/>
      <c r="I105" s="21"/>
      <c r="N105" s="43"/>
    </row>
    <row r="106" spans="1:14" x14ac:dyDescent="0.2">
      <c r="A106" s="126"/>
      <c r="B106" s="8"/>
      <c r="C106" s="10"/>
      <c r="D106" s="73"/>
      <c r="E106" s="21"/>
      <c r="F106" s="21"/>
      <c r="G106" s="21"/>
      <c r="H106" s="21"/>
      <c r="I106" s="21"/>
      <c r="N106" s="43"/>
    </row>
    <row r="107" spans="1:14" x14ac:dyDescent="0.2">
      <c r="A107" s="21"/>
      <c r="B107" s="21"/>
      <c r="C107" s="21"/>
      <c r="D107" s="21"/>
      <c r="E107" s="21"/>
      <c r="F107" s="21"/>
      <c r="G107" s="21"/>
      <c r="H107" s="21"/>
      <c r="I107" s="21"/>
      <c r="N107" s="43"/>
    </row>
    <row r="108" spans="1:14" x14ac:dyDescent="0.2">
      <c r="A108" s="57"/>
      <c r="B108" s="67"/>
      <c r="C108" s="62"/>
      <c r="D108" s="62"/>
      <c r="E108" s="21"/>
      <c r="F108" s="21"/>
      <c r="G108" s="21"/>
      <c r="H108" s="21"/>
      <c r="I108" s="21"/>
      <c r="N108" s="43"/>
    </row>
    <row r="109" spans="1:14" x14ac:dyDescent="0.2">
      <c r="A109" s="67"/>
      <c r="B109" s="8"/>
      <c r="C109" s="62"/>
      <c r="D109" s="62"/>
      <c r="E109" s="21"/>
      <c r="F109" s="21"/>
      <c r="G109" s="21"/>
      <c r="H109" s="21"/>
      <c r="I109" s="21"/>
      <c r="N109" s="43"/>
    </row>
    <row r="110" spans="1:14" x14ac:dyDescent="0.2">
      <c r="A110" s="67"/>
      <c r="B110" s="8"/>
      <c r="C110" s="62"/>
      <c r="D110" s="62"/>
      <c r="E110" s="21"/>
      <c r="F110" s="21"/>
      <c r="G110" s="21"/>
      <c r="H110" s="83"/>
      <c r="I110" s="64"/>
      <c r="N110" s="43"/>
    </row>
    <row r="111" spans="1:14" x14ac:dyDescent="0.2">
      <c r="A111" s="21"/>
      <c r="B111" s="21"/>
      <c r="C111" s="21"/>
      <c r="D111" s="21"/>
      <c r="E111" s="21"/>
      <c r="F111" s="21"/>
      <c r="G111" s="21"/>
      <c r="H111" s="21"/>
      <c r="I111" s="21"/>
      <c r="N111" s="43"/>
    </row>
    <row r="112" spans="1:14" x14ac:dyDescent="0.2">
      <c r="A112" s="57"/>
      <c r="B112" s="57"/>
      <c r="C112" s="57"/>
      <c r="D112" s="62"/>
      <c r="E112" s="57"/>
      <c r="F112" s="57"/>
      <c r="G112" s="57"/>
      <c r="H112" s="57"/>
      <c r="I112" s="57"/>
      <c r="N112" s="43"/>
    </row>
    <row r="113" spans="1:14" x14ac:dyDescent="0.2">
      <c r="A113" s="93"/>
      <c r="B113" s="8"/>
      <c r="C113" s="73"/>
      <c r="D113" s="73"/>
      <c r="E113" s="21"/>
      <c r="F113" s="21"/>
      <c r="G113" s="21"/>
      <c r="H113" s="21"/>
      <c r="I113" s="21"/>
      <c r="N113" s="43"/>
    </row>
    <row r="114" spans="1:14" x14ac:dyDescent="0.2">
      <c r="A114" s="93"/>
      <c r="B114" s="11"/>
      <c r="C114" s="73"/>
      <c r="D114" s="73"/>
      <c r="E114" s="21"/>
      <c r="F114" s="21"/>
      <c r="G114" s="21"/>
      <c r="H114" s="21"/>
      <c r="I114" s="21"/>
      <c r="N114" s="43"/>
    </row>
    <row r="115" spans="1:14" x14ac:dyDescent="0.2">
      <c r="A115" s="100"/>
      <c r="B115" s="11"/>
      <c r="C115" s="73"/>
      <c r="D115" s="84"/>
      <c r="E115" s="21"/>
      <c r="F115" s="21"/>
      <c r="G115" s="21"/>
      <c r="H115" s="21"/>
      <c r="I115" s="21"/>
      <c r="N115" s="43"/>
    </row>
    <row r="116" spans="1:14" x14ac:dyDescent="0.2">
      <c r="A116" s="100"/>
      <c r="B116" s="11"/>
      <c r="C116" s="73"/>
      <c r="D116" s="84"/>
      <c r="E116" s="21"/>
      <c r="F116" s="21"/>
      <c r="G116" s="21"/>
      <c r="H116" s="21"/>
      <c r="I116" s="21"/>
      <c r="N116" s="43"/>
    </row>
    <row r="117" spans="1:14" x14ac:dyDescent="0.2">
      <c r="A117" s="21"/>
      <c r="B117" s="21"/>
      <c r="C117" s="21"/>
      <c r="D117" s="21"/>
      <c r="E117" s="21"/>
      <c r="F117" s="21"/>
      <c r="G117" s="68"/>
      <c r="H117" s="21"/>
      <c r="I117" s="21"/>
      <c r="N117" s="43"/>
    </row>
    <row r="118" spans="1:14" x14ac:dyDescent="0.2">
      <c r="A118" s="99"/>
      <c r="B118" s="8"/>
      <c r="C118" s="62"/>
      <c r="D118" s="62"/>
      <c r="E118" s="57"/>
      <c r="F118" s="68"/>
      <c r="G118" s="57"/>
      <c r="H118" s="57"/>
      <c r="I118" s="57"/>
      <c r="N118" s="43"/>
    </row>
    <row r="119" spans="1:14" x14ac:dyDescent="0.2">
      <c r="A119" s="21"/>
      <c r="B119" s="21"/>
      <c r="C119" s="21"/>
      <c r="D119" s="21"/>
      <c r="E119" s="21"/>
      <c r="F119" s="21"/>
      <c r="G119" s="21"/>
      <c r="H119" s="21"/>
      <c r="I119" s="21"/>
      <c r="N119" s="43"/>
    </row>
    <row r="120" spans="1:14" x14ac:dyDescent="0.2">
      <c r="A120" s="126"/>
      <c r="B120" s="195"/>
      <c r="C120" s="62"/>
      <c r="D120" s="73"/>
      <c r="E120" s="57"/>
      <c r="F120" s="57"/>
      <c r="G120" s="57"/>
      <c r="H120" s="57"/>
      <c r="I120" s="21"/>
      <c r="N120" s="43"/>
    </row>
    <row r="121" spans="1:14" x14ac:dyDescent="0.2">
      <c r="A121" s="126"/>
      <c r="B121" s="8"/>
      <c r="C121" s="62"/>
      <c r="D121" s="73"/>
      <c r="E121" s="57"/>
      <c r="F121" s="57"/>
      <c r="G121" s="57"/>
      <c r="H121" s="57"/>
      <c r="I121" s="21"/>
      <c r="N121" s="43"/>
    </row>
    <row r="122" spans="1:14" x14ac:dyDescent="0.2">
      <c r="A122" s="74"/>
      <c r="B122" s="8"/>
      <c r="C122" s="10"/>
      <c r="D122" s="73"/>
      <c r="E122" s="57"/>
      <c r="F122" s="57"/>
      <c r="G122" s="57"/>
      <c r="H122" s="57"/>
      <c r="I122" s="21"/>
      <c r="N122" s="43"/>
    </row>
    <row r="123" spans="1:14" x14ac:dyDescent="0.2">
      <c r="A123" s="64"/>
      <c r="B123" s="93"/>
      <c r="C123" s="62"/>
      <c r="D123" s="57"/>
      <c r="E123" s="57"/>
      <c r="F123" s="57"/>
      <c r="G123" s="57"/>
      <c r="H123" s="57"/>
      <c r="I123" s="64"/>
      <c r="N123" s="43"/>
    </row>
    <row r="124" spans="1:14" x14ac:dyDescent="0.2">
      <c r="A124" s="93"/>
      <c r="B124" s="8"/>
      <c r="C124" s="62"/>
      <c r="D124" s="62"/>
      <c r="E124" s="57"/>
      <c r="F124" s="57"/>
      <c r="G124" s="57"/>
      <c r="H124" s="57"/>
      <c r="I124" s="64"/>
      <c r="L124" s="52"/>
      <c r="N124" s="43"/>
    </row>
    <row r="125" spans="1:14" x14ac:dyDescent="0.2">
      <c r="A125" s="93"/>
      <c r="B125" s="8"/>
      <c r="C125" s="73"/>
      <c r="D125" s="62"/>
      <c r="E125" s="51"/>
      <c r="F125" s="57"/>
      <c r="G125" s="21"/>
      <c r="H125" s="83"/>
      <c r="I125" s="57"/>
      <c r="N125" s="43"/>
    </row>
    <row r="126" spans="1:14" x14ac:dyDescent="0.2">
      <c r="A126" s="67"/>
      <c r="B126" s="13"/>
      <c r="C126" s="62"/>
      <c r="D126" s="62"/>
      <c r="E126" s="51"/>
      <c r="F126" s="21"/>
      <c r="G126" s="21"/>
      <c r="H126" s="57"/>
      <c r="I126" s="57"/>
      <c r="N126" s="43"/>
    </row>
    <row r="127" spans="1:14" x14ac:dyDescent="0.2">
      <c r="A127" s="93"/>
      <c r="B127" s="8"/>
      <c r="C127" s="62"/>
      <c r="D127" s="62"/>
      <c r="E127" s="57"/>
      <c r="F127" s="21"/>
      <c r="G127" s="83"/>
      <c r="H127" s="64"/>
      <c r="I127" s="57"/>
      <c r="N127" s="43"/>
    </row>
    <row r="128" spans="1:14" x14ac:dyDescent="0.2">
      <c r="A128" s="56"/>
      <c r="B128" s="8"/>
      <c r="C128" s="62"/>
      <c r="D128" s="21"/>
      <c r="E128" s="21"/>
      <c r="F128" s="21"/>
      <c r="G128" s="21"/>
      <c r="H128" s="21"/>
      <c r="I128" s="57"/>
      <c r="K128" s="54"/>
      <c r="N128" s="43"/>
    </row>
    <row r="129" spans="1:14" x14ac:dyDescent="0.2">
      <c r="A129" s="56"/>
      <c r="B129" s="8"/>
      <c r="C129" s="73"/>
      <c r="D129" s="62"/>
      <c r="E129" s="21"/>
      <c r="F129" s="21"/>
      <c r="G129" s="21"/>
      <c r="H129" s="83"/>
      <c r="I129" s="57"/>
      <c r="K129" s="52"/>
      <c r="N129" s="43"/>
    </row>
    <row r="130" spans="1:14" x14ac:dyDescent="0.2">
      <c r="A130" s="73"/>
      <c r="B130" s="64"/>
      <c r="C130" s="64"/>
      <c r="D130" s="73"/>
      <c r="E130" s="64"/>
      <c r="F130" s="64"/>
      <c r="G130" s="64"/>
      <c r="H130" s="57"/>
      <c r="I130" s="57"/>
      <c r="K130" s="54"/>
      <c r="N130" s="43"/>
    </row>
    <row r="131" spans="1:14" x14ac:dyDescent="0.2">
      <c r="A131" s="56"/>
      <c r="B131" s="8"/>
      <c r="C131" s="21"/>
      <c r="D131" s="73"/>
      <c r="E131" s="21"/>
      <c r="F131" s="21"/>
      <c r="G131" s="21"/>
      <c r="H131" s="21"/>
      <c r="I131" s="57"/>
      <c r="N131" s="43"/>
    </row>
    <row r="132" spans="1:14" x14ac:dyDescent="0.2">
      <c r="A132" s="93"/>
      <c r="B132" s="8"/>
      <c r="C132" s="73"/>
      <c r="D132" s="73"/>
      <c r="E132" s="64"/>
      <c r="F132" s="64"/>
      <c r="G132" s="64"/>
      <c r="H132" s="21"/>
      <c r="I132" s="57"/>
      <c r="N132" s="43"/>
    </row>
    <row r="133" spans="1:14" x14ac:dyDescent="0.2">
      <c r="A133" s="100"/>
      <c r="B133" s="11"/>
      <c r="C133" s="73"/>
      <c r="D133" s="84"/>
      <c r="E133" s="64"/>
      <c r="F133" s="64"/>
      <c r="G133" s="21"/>
      <c r="H133" s="21"/>
      <c r="I133" s="21"/>
      <c r="N133" s="43"/>
    </row>
    <row r="134" spans="1:14" x14ac:dyDescent="0.2">
      <c r="A134" s="100"/>
      <c r="B134" s="11"/>
      <c r="C134" s="73"/>
      <c r="D134" s="84"/>
      <c r="E134" s="21"/>
      <c r="F134" s="21"/>
      <c r="G134" s="21"/>
      <c r="H134" s="68"/>
      <c r="I134" s="21"/>
      <c r="N134" s="43"/>
    </row>
    <row r="135" spans="1:14" x14ac:dyDescent="0.2">
      <c r="A135" s="21"/>
      <c r="B135" s="21"/>
      <c r="C135" s="21"/>
      <c r="D135" s="21"/>
      <c r="E135" s="21"/>
      <c r="F135" s="21"/>
      <c r="G135" s="68"/>
      <c r="H135" s="21"/>
      <c r="I135" s="21"/>
      <c r="N135" s="43"/>
    </row>
    <row r="136" spans="1:14" x14ac:dyDescent="0.2">
      <c r="A136" s="73"/>
      <c r="B136" s="64"/>
      <c r="C136" s="57"/>
      <c r="D136" s="57"/>
      <c r="E136" s="21"/>
      <c r="F136" s="68"/>
      <c r="G136" s="21"/>
      <c r="H136" s="21"/>
      <c r="I136" s="21"/>
      <c r="N136" s="43"/>
    </row>
    <row r="137" spans="1:14" x14ac:dyDescent="0.2">
      <c r="A137" s="21"/>
      <c r="B137" s="21"/>
      <c r="C137" s="21"/>
      <c r="D137" s="21"/>
      <c r="E137" s="21"/>
      <c r="F137" s="21"/>
      <c r="G137" s="21"/>
      <c r="H137" s="21"/>
      <c r="I137" s="21"/>
      <c r="N137" s="43"/>
    </row>
    <row r="138" spans="1:14" x14ac:dyDescent="0.2">
      <c r="A138" s="106"/>
      <c r="B138" s="40"/>
      <c r="C138" s="40"/>
      <c r="D138" s="40"/>
      <c r="E138" s="40"/>
      <c r="F138" s="40"/>
      <c r="G138" s="40"/>
      <c r="H138" s="40"/>
      <c r="I138" s="21"/>
      <c r="N138" s="43"/>
    </row>
    <row r="139" spans="1:14" x14ac:dyDescent="0.2">
      <c r="A139" s="93"/>
      <c r="B139" s="8"/>
      <c r="C139" s="59"/>
      <c r="D139" s="59"/>
      <c r="E139" s="40"/>
      <c r="F139" s="40"/>
      <c r="G139" s="40"/>
      <c r="H139" s="40"/>
      <c r="I139" s="21"/>
      <c r="N139" s="43"/>
    </row>
    <row r="140" spans="1:14" x14ac:dyDescent="0.2">
      <c r="A140" s="93"/>
      <c r="B140" s="8"/>
      <c r="C140" s="59"/>
      <c r="D140" s="59"/>
      <c r="E140" s="40"/>
      <c r="F140" s="40"/>
      <c r="G140" s="40"/>
      <c r="H140" s="132"/>
      <c r="I140" s="21"/>
      <c r="N140" s="43"/>
    </row>
    <row r="141" spans="1:14" x14ac:dyDescent="0.2">
      <c r="A141" s="62"/>
      <c r="B141" s="40"/>
      <c r="C141" s="40"/>
      <c r="D141" s="59"/>
      <c r="E141" s="40"/>
      <c r="F141" s="40"/>
      <c r="G141" s="132"/>
      <c r="H141" s="40"/>
      <c r="I141" s="21"/>
      <c r="N141" s="43"/>
    </row>
    <row r="142" spans="1:14" x14ac:dyDescent="0.2">
      <c r="A142" s="67"/>
      <c r="B142" s="8"/>
      <c r="C142" s="59"/>
      <c r="D142" s="59"/>
      <c r="E142" s="40"/>
      <c r="F142" s="40"/>
      <c r="G142" s="40"/>
      <c r="H142" s="40"/>
      <c r="I142" s="21"/>
      <c r="N142" s="43"/>
    </row>
    <row r="143" spans="1:14" x14ac:dyDescent="0.2">
      <c r="A143" s="67"/>
      <c r="B143" s="8"/>
      <c r="C143" s="59"/>
      <c r="D143" s="59"/>
      <c r="E143" s="40"/>
      <c r="F143" s="40"/>
      <c r="G143" s="40"/>
      <c r="H143" s="40"/>
      <c r="I143" s="21"/>
      <c r="N143" s="43"/>
    </row>
    <row r="144" spans="1:14" x14ac:dyDescent="0.2">
      <c r="A144" s="99"/>
      <c r="B144" s="41"/>
      <c r="C144" s="59"/>
      <c r="D144" s="40"/>
      <c r="E144" s="40"/>
      <c r="F144" s="40"/>
      <c r="G144" s="40"/>
      <c r="H144" s="132"/>
      <c r="I144" s="21"/>
      <c r="N144" s="43"/>
    </row>
    <row r="145" spans="1:14" x14ac:dyDescent="0.2">
      <c r="A145" s="21"/>
      <c r="B145" s="40"/>
      <c r="C145" s="40"/>
      <c r="D145" s="40"/>
      <c r="E145" s="40"/>
      <c r="F145" s="40"/>
      <c r="G145" s="40"/>
      <c r="H145" s="40"/>
      <c r="I145" s="21"/>
      <c r="N145" s="43"/>
    </row>
    <row r="146" spans="1:14" x14ac:dyDescent="0.2">
      <c r="A146" s="113"/>
      <c r="B146" s="8"/>
      <c r="C146" s="196"/>
      <c r="D146" s="59"/>
      <c r="E146" s="40"/>
      <c r="F146" s="40"/>
      <c r="G146" s="40"/>
      <c r="H146" s="40"/>
      <c r="I146" s="21"/>
      <c r="N146" s="43"/>
    </row>
    <row r="147" spans="1:14" x14ac:dyDescent="0.2">
      <c r="A147" s="113"/>
      <c r="B147" s="8"/>
      <c r="C147" s="59"/>
      <c r="D147" s="59"/>
      <c r="E147" s="40"/>
      <c r="F147" s="40"/>
      <c r="G147" s="40"/>
      <c r="H147" s="40"/>
      <c r="I147" s="21"/>
      <c r="N147" s="43"/>
    </row>
    <row r="148" spans="1:14" x14ac:dyDescent="0.2">
      <c r="A148" s="62"/>
      <c r="B148" s="40"/>
      <c r="C148" s="40"/>
      <c r="D148" s="40"/>
      <c r="E148" s="40"/>
      <c r="F148" s="40"/>
      <c r="G148" s="40"/>
      <c r="H148" s="40"/>
      <c r="I148" s="21"/>
      <c r="N148" s="43"/>
    </row>
    <row r="149" spans="1:14" x14ac:dyDescent="0.2">
      <c r="A149" s="107"/>
      <c r="B149" s="91"/>
      <c r="C149" s="7"/>
      <c r="D149" s="7"/>
      <c r="E149" s="7"/>
      <c r="F149" s="7"/>
      <c r="G149" s="7"/>
      <c r="H149" s="7"/>
      <c r="I149" s="7"/>
      <c r="N149" s="43"/>
    </row>
    <row r="150" spans="1:14" x14ac:dyDescent="0.2">
      <c r="A150" s="21"/>
      <c r="B150" s="21"/>
      <c r="C150" s="21"/>
      <c r="D150" s="21"/>
      <c r="E150" s="21"/>
      <c r="F150" s="21"/>
      <c r="G150" s="21"/>
      <c r="H150" s="21"/>
      <c r="I150" s="12"/>
      <c r="N150" s="43"/>
    </row>
    <row r="151" spans="1:14" x14ac:dyDescent="0.2">
      <c r="A151" s="21"/>
      <c r="B151" s="21"/>
      <c r="C151" s="21"/>
      <c r="D151" s="21"/>
      <c r="E151" s="21"/>
      <c r="F151" s="21"/>
      <c r="G151" s="21"/>
      <c r="H151" s="94"/>
      <c r="I151" s="95"/>
      <c r="N151" s="43"/>
    </row>
    <row r="152" spans="1:14" x14ac:dyDescent="0.2">
      <c r="A152" s="99"/>
      <c r="B152" s="21"/>
      <c r="C152" s="21"/>
      <c r="D152" s="21"/>
      <c r="E152" s="21"/>
      <c r="F152" s="21"/>
      <c r="G152" s="21"/>
      <c r="H152" s="94"/>
      <c r="I152" s="96"/>
      <c r="N152" s="43"/>
    </row>
    <row r="153" spans="1:14" x14ac:dyDescent="0.2">
      <c r="A153" s="93"/>
      <c r="B153" s="8"/>
      <c r="C153" s="73"/>
      <c r="D153" s="73"/>
      <c r="E153" s="21"/>
      <c r="F153" s="64"/>
      <c r="G153" s="21"/>
      <c r="H153" s="97"/>
      <c r="I153" s="41"/>
      <c r="N153" s="43"/>
    </row>
    <row r="154" spans="1:14" x14ac:dyDescent="0.2">
      <c r="A154" s="67"/>
      <c r="B154" s="13"/>
      <c r="C154" s="62"/>
      <c r="D154" s="73"/>
      <c r="E154" s="21"/>
      <c r="F154" s="64"/>
      <c r="G154" s="21"/>
      <c r="H154" s="94"/>
      <c r="I154" s="41"/>
      <c r="N154" s="43"/>
    </row>
    <row r="155" spans="1:14" x14ac:dyDescent="0.2">
      <c r="A155" s="56"/>
      <c r="B155" s="8"/>
      <c r="C155" s="62"/>
      <c r="D155" s="73"/>
      <c r="E155" s="51"/>
      <c r="F155" s="51"/>
      <c r="G155" s="51"/>
      <c r="H155" s="21"/>
      <c r="I155" s="21"/>
      <c r="N155" s="43"/>
    </row>
    <row r="156" spans="1:14" x14ac:dyDescent="0.2">
      <c r="A156" s="93"/>
      <c r="B156" s="8"/>
      <c r="C156" s="73"/>
      <c r="D156" s="62"/>
      <c r="E156" s="21"/>
      <c r="F156" s="21"/>
      <c r="G156" s="21"/>
      <c r="H156" s="21"/>
      <c r="I156" s="21"/>
      <c r="N156" s="43"/>
    </row>
    <row r="157" spans="1:14" x14ac:dyDescent="0.2">
      <c r="A157" s="93"/>
      <c r="B157" s="8"/>
      <c r="C157" s="62"/>
      <c r="D157" s="62"/>
      <c r="E157" s="51"/>
      <c r="F157" s="51"/>
      <c r="G157" s="21"/>
      <c r="H157" s="83"/>
      <c r="I157" s="21"/>
      <c r="N157" s="43"/>
    </row>
    <row r="158" spans="1:14" x14ac:dyDescent="0.2">
      <c r="A158" s="56"/>
      <c r="B158" s="8"/>
      <c r="C158" s="73"/>
      <c r="D158" s="73"/>
      <c r="E158" s="21"/>
      <c r="F158" s="21"/>
      <c r="G158" s="21"/>
      <c r="H158" s="21"/>
      <c r="I158" s="21"/>
      <c r="N158" s="43"/>
    </row>
    <row r="159" spans="1:14" x14ac:dyDescent="0.2">
      <c r="A159" s="56"/>
      <c r="B159" s="8"/>
      <c r="C159" s="73"/>
      <c r="D159" s="90"/>
      <c r="E159" s="21"/>
      <c r="F159" s="21"/>
      <c r="G159" s="21"/>
      <c r="H159" s="21"/>
      <c r="I159" s="21"/>
      <c r="N159" s="43"/>
    </row>
    <row r="160" spans="1:14" x14ac:dyDescent="0.2">
      <c r="A160" s="67"/>
      <c r="B160" s="8"/>
      <c r="C160" s="62"/>
      <c r="D160" s="62"/>
      <c r="E160" s="21"/>
      <c r="F160" s="21"/>
      <c r="G160" s="21"/>
      <c r="H160" s="83"/>
      <c r="I160" s="21"/>
      <c r="N160" s="43"/>
    </row>
    <row r="161" spans="1:14" x14ac:dyDescent="0.2">
      <c r="A161" s="73"/>
      <c r="B161" s="64"/>
      <c r="C161" s="64"/>
      <c r="D161" s="64"/>
      <c r="E161" s="64"/>
      <c r="F161" s="21"/>
      <c r="G161" s="21"/>
      <c r="H161" s="21"/>
      <c r="I161" s="21"/>
      <c r="N161" s="43"/>
    </row>
    <row r="162" spans="1:14" x14ac:dyDescent="0.2">
      <c r="A162" s="67"/>
      <c r="B162" s="15"/>
      <c r="C162" s="73"/>
      <c r="D162" s="73"/>
      <c r="E162" s="64"/>
      <c r="F162" s="21"/>
      <c r="G162" s="21"/>
      <c r="H162" s="21"/>
      <c r="I162" s="21"/>
      <c r="N162" s="43"/>
    </row>
    <row r="163" spans="1:14" x14ac:dyDescent="0.2">
      <c r="A163" s="67"/>
      <c r="B163" s="15"/>
      <c r="C163" s="73"/>
      <c r="D163" s="73"/>
      <c r="E163" s="64"/>
      <c r="F163" s="21"/>
      <c r="G163" s="21"/>
      <c r="H163" s="21"/>
      <c r="I163" s="21"/>
      <c r="N163" s="43"/>
    </row>
    <row r="164" spans="1:14" x14ac:dyDescent="0.2">
      <c r="A164" s="67"/>
      <c r="B164" s="15"/>
      <c r="C164" s="73"/>
      <c r="D164" s="73"/>
      <c r="E164" s="64"/>
      <c r="F164" s="64"/>
      <c r="G164" s="21"/>
      <c r="H164" s="21"/>
      <c r="I164" s="64"/>
      <c r="N164" s="43"/>
    </row>
    <row r="165" spans="1:14" x14ac:dyDescent="0.2">
      <c r="A165" s="93"/>
      <c r="B165" s="15"/>
      <c r="C165" s="73"/>
      <c r="D165" s="73"/>
      <c r="E165" s="64"/>
      <c r="F165" s="64"/>
      <c r="G165" s="21"/>
      <c r="H165" s="57"/>
      <c r="I165" s="64"/>
      <c r="N165" s="43"/>
    </row>
    <row r="166" spans="1:14" x14ac:dyDescent="0.2">
      <c r="A166" s="100"/>
      <c r="B166" s="15"/>
      <c r="C166" s="64"/>
      <c r="D166" s="84"/>
      <c r="E166" s="64"/>
      <c r="F166" s="64"/>
      <c r="G166" s="21"/>
      <c r="H166" s="57"/>
      <c r="I166" s="21"/>
    </row>
    <row r="167" spans="1:14" x14ac:dyDescent="0.2">
      <c r="A167" s="93"/>
      <c r="B167" s="15"/>
      <c r="C167" s="73"/>
      <c r="D167" s="73"/>
      <c r="E167" s="64"/>
      <c r="F167" s="64"/>
      <c r="G167" s="21"/>
      <c r="H167" s="21"/>
      <c r="I167" s="21"/>
    </row>
    <row r="168" spans="1:14" x14ac:dyDescent="0.2">
      <c r="A168" s="100"/>
      <c r="B168" s="15"/>
      <c r="C168" s="64"/>
      <c r="D168" s="84"/>
      <c r="E168" s="64"/>
      <c r="F168" s="64"/>
      <c r="G168" s="21"/>
      <c r="H168" s="64"/>
      <c r="I168" s="64"/>
    </row>
    <row r="169" spans="1:14" x14ac:dyDescent="0.2">
      <c r="A169" s="100"/>
      <c r="B169" s="11"/>
      <c r="C169" s="64"/>
      <c r="D169" s="84"/>
      <c r="E169" s="64"/>
      <c r="F169" s="64"/>
      <c r="G169" s="64"/>
      <c r="H169" s="64"/>
      <c r="I169" s="64"/>
    </row>
    <row r="170" spans="1:14" x14ac:dyDescent="0.2">
      <c r="A170" s="100"/>
      <c r="B170" s="15"/>
      <c r="C170" s="64"/>
      <c r="D170" s="62"/>
      <c r="E170" s="64"/>
      <c r="F170" s="64"/>
      <c r="G170" s="64"/>
      <c r="H170" s="64"/>
      <c r="I170" s="64"/>
    </row>
    <row r="171" spans="1:14" x14ac:dyDescent="0.2">
      <c r="A171" s="93"/>
      <c r="B171" s="11"/>
      <c r="C171" s="73"/>
      <c r="D171" s="73"/>
      <c r="E171" s="64"/>
      <c r="F171" s="64"/>
      <c r="G171" s="64"/>
      <c r="H171" s="83"/>
      <c r="I171" s="64"/>
    </row>
    <row r="172" spans="1:14" x14ac:dyDescent="0.2">
      <c r="A172" s="93"/>
      <c r="B172" s="11"/>
      <c r="C172" s="73"/>
      <c r="D172" s="64"/>
      <c r="E172" s="64"/>
      <c r="F172" s="64"/>
      <c r="G172" s="64"/>
      <c r="H172" s="64"/>
      <c r="I172" s="64"/>
    </row>
    <row r="173" spans="1:14" x14ac:dyDescent="0.2">
      <c r="A173" s="100"/>
      <c r="B173" s="15"/>
      <c r="C173" s="64"/>
      <c r="D173" s="104"/>
      <c r="E173" s="64"/>
      <c r="F173" s="64"/>
      <c r="G173" s="64"/>
      <c r="H173" s="57"/>
      <c r="I173" s="64"/>
    </row>
    <row r="174" spans="1:14" x14ac:dyDescent="0.2">
      <c r="A174" s="93"/>
      <c r="B174" s="8"/>
      <c r="C174" s="73"/>
      <c r="D174" s="64"/>
      <c r="E174" s="64"/>
      <c r="F174" s="64"/>
      <c r="G174" s="64"/>
      <c r="H174" s="57"/>
      <c r="I174" s="64"/>
    </row>
    <row r="175" spans="1:14" x14ac:dyDescent="0.2">
      <c r="A175" s="64"/>
      <c r="B175" s="64"/>
      <c r="C175" s="64"/>
      <c r="D175" s="64"/>
      <c r="E175" s="64"/>
      <c r="F175" s="64"/>
      <c r="G175" s="64"/>
      <c r="H175" s="83"/>
      <c r="I175" s="64"/>
    </row>
    <row r="176" spans="1:14" x14ac:dyDescent="0.2">
      <c r="A176" s="62"/>
      <c r="B176" s="57"/>
      <c r="C176" s="57"/>
      <c r="D176" s="21"/>
      <c r="E176" s="21"/>
      <c r="F176" s="21"/>
      <c r="G176" s="21"/>
      <c r="H176" s="57"/>
      <c r="I176" s="64"/>
    </row>
    <row r="177" spans="1:9" x14ac:dyDescent="0.2">
      <c r="A177" s="67"/>
      <c r="B177" s="8"/>
      <c r="C177" s="62"/>
      <c r="D177" s="62"/>
      <c r="E177" s="21"/>
      <c r="F177" s="21"/>
      <c r="G177" s="21"/>
      <c r="H177" s="57"/>
      <c r="I177" s="21"/>
    </row>
    <row r="178" spans="1:9" x14ac:dyDescent="0.2">
      <c r="A178" s="67"/>
      <c r="B178" s="8"/>
      <c r="C178" s="62"/>
      <c r="D178" s="62"/>
      <c r="E178" s="21"/>
      <c r="F178" s="21"/>
      <c r="G178" s="21"/>
      <c r="H178" s="21"/>
      <c r="I178" s="21"/>
    </row>
    <row r="179" spans="1:9" x14ac:dyDescent="0.2">
      <c r="A179" s="67"/>
      <c r="B179" s="8"/>
      <c r="C179" s="62"/>
      <c r="D179" s="62"/>
      <c r="E179" s="21"/>
      <c r="F179" s="21"/>
      <c r="G179" s="21"/>
      <c r="H179" s="21"/>
      <c r="I179" s="21"/>
    </row>
    <row r="180" spans="1:9" x14ac:dyDescent="0.2">
      <c r="A180" s="67"/>
      <c r="B180" s="8"/>
      <c r="C180" s="62"/>
      <c r="D180" s="62"/>
      <c r="E180" s="57"/>
      <c r="F180" s="57"/>
      <c r="G180" s="21"/>
      <c r="H180" s="21"/>
      <c r="I180" s="21"/>
    </row>
    <row r="181" spans="1:9" x14ac:dyDescent="0.2">
      <c r="A181" s="62"/>
      <c r="B181" s="57"/>
      <c r="C181" s="57"/>
      <c r="D181" s="57"/>
      <c r="E181" s="57"/>
      <c r="F181" s="57"/>
      <c r="G181" s="21"/>
      <c r="H181" s="83"/>
      <c r="I181" s="21"/>
    </row>
    <row r="182" spans="1:9" x14ac:dyDescent="0.2">
      <c r="A182" s="67"/>
      <c r="B182" s="14"/>
      <c r="C182" s="62"/>
      <c r="D182" s="62"/>
      <c r="E182" s="57"/>
      <c r="F182" s="57"/>
      <c r="G182" s="57"/>
      <c r="H182" s="57"/>
      <c r="I182" s="21"/>
    </row>
    <row r="183" spans="1:9" x14ac:dyDescent="0.2">
      <c r="A183" s="67"/>
      <c r="B183" s="13"/>
      <c r="C183" s="62"/>
      <c r="D183" s="62"/>
      <c r="E183" s="57"/>
      <c r="F183" s="57"/>
      <c r="G183" s="57"/>
      <c r="H183" s="21"/>
      <c r="I183" s="21"/>
    </row>
    <row r="184" spans="1:9" x14ac:dyDescent="0.2">
      <c r="A184" s="67"/>
      <c r="B184" s="13"/>
      <c r="C184" s="73"/>
      <c r="D184" s="62"/>
      <c r="E184" s="57"/>
      <c r="F184" s="57"/>
      <c r="G184" s="21"/>
      <c r="H184" s="83"/>
      <c r="I184" s="21"/>
    </row>
    <row r="185" spans="1:9" x14ac:dyDescent="0.2">
      <c r="A185" s="57"/>
      <c r="B185" s="51"/>
      <c r="C185" s="64"/>
      <c r="D185" s="73"/>
      <c r="E185" s="64"/>
      <c r="F185" s="64"/>
      <c r="G185" s="64"/>
      <c r="H185" s="21"/>
      <c r="I185" s="21"/>
    </row>
    <row r="186" spans="1:9" x14ac:dyDescent="0.2">
      <c r="A186" s="113"/>
      <c r="B186" s="13"/>
      <c r="C186" s="62"/>
      <c r="D186" s="62"/>
      <c r="E186" s="64"/>
      <c r="F186" s="64"/>
      <c r="G186" s="64"/>
      <c r="H186" s="21"/>
      <c r="I186" s="21"/>
    </row>
    <row r="187" spans="1:9" x14ac:dyDescent="0.2">
      <c r="A187" s="67"/>
      <c r="B187" s="14"/>
      <c r="C187" s="73"/>
      <c r="D187" s="62"/>
      <c r="E187" s="57"/>
      <c r="F187" s="57"/>
      <c r="G187" s="57"/>
      <c r="H187" s="21"/>
      <c r="I187" s="21"/>
    </row>
    <row r="188" spans="1:9" x14ac:dyDescent="0.2">
      <c r="A188" s="67"/>
      <c r="B188" s="13"/>
      <c r="C188" s="73"/>
      <c r="D188" s="62"/>
      <c r="E188" s="57"/>
      <c r="F188" s="57"/>
      <c r="G188" s="57"/>
      <c r="H188" s="21"/>
      <c r="I188" s="21"/>
    </row>
    <row r="189" spans="1:9" x14ac:dyDescent="0.2">
      <c r="A189" s="67"/>
      <c r="B189" s="16"/>
      <c r="C189" s="73"/>
      <c r="D189" s="62"/>
      <c r="E189" s="57"/>
      <c r="F189" s="57"/>
      <c r="G189" s="57"/>
      <c r="H189" s="21"/>
      <c r="I189" s="21"/>
    </row>
    <row r="190" spans="1:9" x14ac:dyDescent="0.2">
      <c r="A190" s="67"/>
      <c r="B190" s="13"/>
      <c r="C190" s="73"/>
      <c r="D190" s="62"/>
      <c r="E190" s="57"/>
      <c r="F190" s="57"/>
      <c r="G190" s="57"/>
      <c r="H190" s="21"/>
      <c r="I190" s="21"/>
    </row>
    <row r="191" spans="1:9" x14ac:dyDescent="0.2">
      <c r="A191" s="67"/>
      <c r="B191" s="13"/>
      <c r="C191" s="73"/>
      <c r="D191" s="62"/>
      <c r="E191" s="57"/>
      <c r="F191" s="57"/>
      <c r="G191" s="21"/>
      <c r="H191" s="83"/>
      <c r="I191" s="57"/>
    </row>
    <row r="192" spans="1:9" x14ac:dyDescent="0.2">
      <c r="A192" s="64"/>
      <c r="B192" s="64"/>
      <c r="C192" s="64"/>
      <c r="D192" s="73"/>
      <c r="E192" s="64"/>
      <c r="F192" s="64"/>
      <c r="G192" s="64"/>
      <c r="H192" s="64"/>
      <c r="I192" s="57"/>
    </row>
    <row r="193" spans="1:9" x14ac:dyDescent="0.2">
      <c r="A193" s="93"/>
      <c r="B193" s="8"/>
      <c r="C193" s="73"/>
      <c r="D193" s="62"/>
      <c r="E193" s="64"/>
      <c r="F193" s="64"/>
      <c r="G193" s="64"/>
      <c r="H193" s="64"/>
      <c r="I193" s="21"/>
    </row>
    <row r="194" spans="1:9" x14ac:dyDescent="0.2">
      <c r="A194" s="93"/>
      <c r="B194" s="11"/>
      <c r="C194" s="73"/>
      <c r="D194" s="73"/>
      <c r="E194" s="64"/>
      <c r="F194" s="64"/>
      <c r="G194" s="64"/>
      <c r="H194" s="64"/>
      <c r="I194" s="64"/>
    </row>
    <row r="195" spans="1:9" x14ac:dyDescent="0.2">
      <c r="A195" s="100"/>
      <c r="B195" s="11"/>
      <c r="C195" s="73"/>
      <c r="D195" s="84"/>
      <c r="E195" s="21"/>
      <c r="F195" s="21"/>
      <c r="G195" s="21"/>
      <c r="H195" s="68"/>
      <c r="I195" s="57"/>
    </row>
    <row r="196" spans="1:9" x14ac:dyDescent="0.2">
      <c r="A196" s="100"/>
      <c r="B196" s="11"/>
      <c r="C196" s="73"/>
      <c r="D196" s="84"/>
      <c r="E196" s="21"/>
      <c r="F196" s="21"/>
      <c r="G196" s="21"/>
      <c r="H196" s="21"/>
      <c r="I196" s="21"/>
    </row>
    <row r="197" spans="1:9" x14ac:dyDescent="0.2">
      <c r="A197" s="21"/>
      <c r="B197" s="21"/>
      <c r="C197" s="21"/>
      <c r="D197" s="21"/>
      <c r="E197" s="21"/>
      <c r="F197" s="21"/>
      <c r="G197" s="68"/>
      <c r="H197" s="21"/>
      <c r="I197" s="21"/>
    </row>
    <row r="198" spans="1:9" x14ac:dyDescent="0.2">
      <c r="A198" s="21"/>
      <c r="B198" s="21"/>
      <c r="C198" s="21"/>
      <c r="D198" s="21"/>
      <c r="E198" s="57"/>
      <c r="F198" s="68" t="e">
        <f>IF(#REF!="Yes",IF(#REF!&gt;0,IF($B$195&gt;$B$196,"    Increase doubler or use full-pen. weld",""),""),"")</f>
        <v>#REF!</v>
      </c>
      <c r="G198" s="21"/>
      <c r="H198" s="21"/>
      <c r="I198" s="21"/>
    </row>
    <row r="199" spans="1:9" x14ac:dyDescent="0.2">
      <c r="A199" s="21"/>
      <c r="B199" s="21"/>
      <c r="C199" s="21"/>
      <c r="D199" s="21"/>
      <c r="E199" s="57"/>
      <c r="F199" s="57"/>
      <c r="G199" s="21"/>
      <c r="H199" s="21"/>
      <c r="I199" s="21"/>
    </row>
    <row r="200" spans="1:9" x14ac:dyDescent="0.2">
      <c r="A200" s="21"/>
      <c r="B200" s="21"/>
      <c r="C200" s="21"/>
      <c r="D200" s="21"/>
      <c r="E200" s="21"/>
      <c r="F200" s="21"/>
      <c r="G200" s="21"/>
      <c r="H200" s="21"/>
      <c r="I200" s="12"/>
    </row>
    <row r="201" spans="1:9" x14ac:dyDescent="0.2">
      <c r="A201" s="21"/>
      <c r="B201" s="21"/>
      <c r="C201" s="21"/>
      <c r="D201" s="21"/>
      <c r="E201" s="21"/>
      <c r="F201" s="21"/>
      <c r="G201" s="21"/>
      <c r="H201" s="94"/>
      <c r="I201" s="95"/>
    </row>
    <row r="202" spans="1:9" x14ac:dyDescent="0.2">
      <c r="A202" s="99"/>
      <c r="B202" s="21"/>
      <c r="C202" s="21"/>
      <c r="D202" s="21"/>
      <c r="E202" s="57"/>
      <c r="F202" s="57"/>
      <c r="G202" s="57"/>
      <c r="H202" s="94"/>
      <c r="I202" s="96"/>
    </row>
    <row r="203" spans="1:9" x14ac:dyDescent="0.2">
      <c r="A203" s="57"/>
      <c r="B203" s="51"/>
      <c r="C203" s="57"/>
      <c r="D203" s="62"/>
      <c r="E203" s="21"/>
      <c r="F203" s="51"/>
      <c r="G203" s="21"/>
      <c r="H203" s="97"/>
      <c r="I203" s="41"/>
    </row>
    <row r="204" spans="1:9" x14ac:dyDescent="0.2">
      <c r="A204" s="67"/>
      <c r="B204" s="14"/>
      <c r="C204" s="73"/>
      <c r="D204" s="62"/>
      <c r="E204" s="21"/>
      <c r="F204" s="51"/>
      <c r="G204" s="57"/>
      <c r="H204" s="94"/>
      <c r="I204" s="41"/>
    </row>
    <row r="205" spans="1:9" x14ac:dyDescent="0.2">
      <c r="A205" s="67"/>
      <c r="B205" s="13"/>
      <c r="C205" s="73"/>
      <c r="D205" s="62"/>
      <c r="E205" s="21"/>
      <c r="F205" s="51"/>
      <c r="G205" s="21"/>
      <c r="H205" s="21"/>
      <c r="I205" s="21"/>
    </row>
    <row r="206" spans="1:9" x14ac:dyDescent="0.2">
      <c r="A206" s="67"/>
      <c r="B206" s="13"/>
      <c r="C206" s="73"/>
      <c r="D206" s="62"/>
      <c r="E206" s="21"/>
      <c r="F206" s="21"/>
      <c r="G206" s="21"/>
      <c r="H206" s="83"/>
      <c r="I206" s="57"/>
    </row>
    <row r="207" spans="1:9" x14ac:dyDescent="0.2">
      <c r="A207" s="21"/>
      <c r="B207" s="21"/>
      <c r="C207" s="21"/>
      <c r="D207" s="21"/>
      <c r="E207" s="21"/>
      <c r="F207" s="21"/>
      <c r="G207" s="21"/>
      <c r="H207" s="21"/>
      <c r="I207" s="21"/>
    </row>
    <row r="208" spans="1:9" x14ac:dyDescent="0.2">
      <c r="A208" s="57"/>
      <c r="B208" s="64"/>
      <c r="C208" s="64"/>
      <c r="D208" s="73"/>
      <c r="E208" s="21"/>
      <c r="F208" s="21"/>
      <c r="G208" s="21"/>
      <c r="H208" s="21"/>
      <c r="I208" s="21"/>
    </row>
    <row r="209" spans="1:9" x14ac:dyDescent="0.2">
      <c r="A209" s="56"/>
      <c r="B209" s="11"/>
      <c r="C209" s="73"/>
      <c r="D209" s="73"/>
      <c r="E209" s="21"/>
      <c r="F209" s="21"/>
      <c r="G209" s="21"/>
      <c r="H209" s="21"/>
      <c r="I209" s="21"/>
    </row>
    <row r="210" spans="1:9" x14ac:dyDescent="0.2">
      <c r="A210" s="93"/>
      <c r="B210" s="8"/>
      <c r="C210" s="73"/>
      <c r="D210" s="73"/>
      <c r="E210" s="21"/>
      <c r="F210" s="21"/>
      <c r="G210" s="21"/>
      <c r="H210" s="21"/>
      <c r="I210" s="21"/>
    </row>
    <row r="211" spans="1:9" x14ac:dyDescent="0.2">
      <c r="A211" s="93"/>
      <c r="B211" s="11"/>
      <c r="C211" s="73"/>
      <c r="D211" s="73"/>
      <c r="E211" s="21"/>
      <c r="F211" s="21"/>
      <c r="G211" s="21"/>
      <c r="H211" s="21"/>
      <c r="I211" s="57"/>
    </row>
    <row r="212" spans="1:9" x14ac:dyDescent="0.2">
      <c r="A212" s="100"/>
      <c r="B212" s="11"/>
      <c r="C212" s="73"/>
      <c r="D212" s="84"/>
      <c r="E212" s="64"/>
      <c r="F212" s="21"/>
      <c r="G212" s="21"/>
      <c r="H212" s="68"/>
      <c r="I212" s="57"/>
    </row>
    <row r="213" spans="1:9" x14ac:dyDescent="0.2">
      <c r="A213" s="100"/>
      <c r="B213" s="11"/>
      <c r="C213" s="73"/>
      <c r="D213" s="84"/>
      <c r="E213" s="21"/>
      <c r="F213" s="21"/>
      <c r="G213" s="21"/>
      <c r="H213" s="21"/>
      <c r="I213" s="21"/>
    </row>
    <row r="214" spans="1:9" x14ac:dyDescent="0.2">
      <c r="A214" s="21"/>
      <c r="B214" s="21"/>
      <c r="C214" s="21"/>
      <c r="D214" s="21"/>
      <c r="E214" s="21"/>
      <c r="F214" s="21"/>
      <c r="G214" s="68"/>
      <c r="H214" s="21"/>
      <c r="I214" s="21"/>
    </row>
    <row r="215" spans="1:9" x14ac:dyDescent="0.2">
      <c r="A215" s="57"/>
      <c r="B215" s="21"/>
      <c r="C215" s="21"/>
      <c r="D215" s="21"/>
      <c r="E215" s="21"/>
      <c r="F215" s="68"/>
      <c r="G215" s="21"/>
      <c r="H215" s="21"/>
      <c r="I215" s="21"/>
    </row>
    <row r="216" spans="1:9" x14ac:dyDescent="0.2">
      <c r="A216" s="67"/>
      <c r="B216" s="8"/>
      <c r="C216" s="62"/>
      <c r="D216" s="62"/>
      <c r="E216" s="51"/>
      <c r="F216" s="21"/>
      <c r="G216" s="21"/>
      <c r="H216" s="21"/>
      <c r="I216" s="57"/>
    </row>
    <row r="217" spans="1:9" x14ac:dyDescent="0.2">
      <c r="A217" s="67"/>
      <c r="B217" s="8"/>
      <c r="C217" s="62"/>
      <c r="D217" s="62"/>
      <c r="E217" s="51"/>
      <c r="F217" s="51"/>
      <c r="G217" s="21"/>
      <c r="H217" s="83"/>
      <c r="I217" s="21"/>
    </row>
    <row r="218" spans="1:9" x14ac:dyDescent="0.2">
      <c r="A218" s="21"/>
      <c r="B218" s="21"/>
      <c r="C218" s="21"/>
      <c r="D218" s="21"/>
      <c r="E218" s="21"/>
      <c r="F218" s="21"/>
      <c r="G218" s="21"/>
      <c r="H218" s="21"/>
      <c r="I218" s="21"/>
    </row>
    <row r="219" spans="1:9" x14ac:dyDescent="0.2">
      <c r="A219" s="57"/>
      <c r="B219" s="57"/>
      <c r="C219" s="57"/>
      <c r="D219" s="62"/>
      <c r="E219" s="51"/>
      <c r="F219" s="51"/>
      <c r="G219" s="21"/>
      <c r="H219" s="21"/>
      <c r="I219" s="21"/>
    </row>
    <row r="220" spans="1:9" x14ac:dyDescent="0.2">
      <c r="A220" s="67"/>
      <c r="B220" s="15"/>
      <c r="C220" s="62"/>
      <c r="D220" s="62"/>
      <c r="E220" s="51"/>
      <c r="F220" s="51"/>
      <c r="G220" s="21"/>
      <c r="H220" s="21"/>
      <c r="I220" s="21"/>
    </row>
    <row r="221" spans="1:9" x14ac:dyDescent="0.2">
      <c r="A221" s="67"/>
      <c r="B221" s="8"/>
      <c r="C221" s="62"/>
      <c r="D221" s="62"/>
      <c r="E221" s="51"/>
      <c r="F221" s="51"/>
      <c r="G221" s="21"/>
      <c r="H221" s="21"/>
      <c r="I221" s="21"/>
    </row>
    <row r="222" spans="1:9" x14ac:dyDescent="0.2">
      <c r="A222" s="67"/>
      <c r="B222" s="8"/>
      <c r="C222" s="62"/>
      <c r="D222" s="62"/>
      <c r="E222" s="51"/>
      <c r="F222" s="51"/>
      <c r="G222" s="21"/>
      <c r="H222" s="21"/>
      <c r="I222" s="21"/>
    </row>
    <row r="223" spans="1:9" x14ac:dyDescent="0.2">
      <c r="A223" s="67"/>
      <c r="B223" s="8"/>
      <c r="C223" s="62"/>
      <c r="D223" s="62"/>
      <c r="E223" s="51"/>
      <c r="F223" s="51"/>
      <c r="G223" s="21"/>
      <c r="H223" s="83"/>
      <c r="I223" s="21"/>
    </row>
    <row r="224" spans="1:9" x14ac:dyDescent="0.2">
      <c r="A224" s="21"/>
      <c r="B224" s="21"/>
      <c r="C224" s="21"/>
      <c r="D224" s="21"/>
      <c r="E224" s="21"/>
      <c r="F224" s="21"/>
      <c r="G224" s="21"/>
      <c r="H224" s="21"/>
      <c r="I224" s="21"/>
    </row>
    <row r="225" spans="1:9" x14ac:dyDescent="0.2">
      <c r="A225" s="21"/>
      <c r="B225" s="21"/>
      <c r="C225" s="21"/>
      <c r="D225" s="21"/>
      <c r="E225" s="21"/>
      <c r="F225" s="21"/>
      <c r="G225" s="21"/>
      <c r="H225" s="21"/>
      <c r="I225" s="21"/>
    </row>
    <row r="226" spans="1:9" x14ac:dyDescent="0.2">
      <c r="A226" s="106"/>
      <c r="B226" s="21"/>
      <c r="C226" s="21"/>
      <c r="D226" s="21"/>
      <c r="E226" s="21"/>
      <c r="F226" s="21"/>
      <c r="G226" s="21"/>
      <c r="H226" s="21"/>
      <c r="I226" s="21"/>
    </row>
    <row r="227" spans="1:9" x14ac:dyDescent="0.2">
      <c r="A227" s="21"/>
      <c r="B227" s="21"/>
      <c r="C227" s="21"/>
      <c r="D227" s="21"/>
      <c r="E227" s="21"/>
      <c r="F227" s="21"/>
      <c r="G227" s="21"/>
      <c r="H227" s="21"/>
      <c r="I227" s="21"/>
    </row>
    <row r="228" spans="1:9" x14ac:dyDescent="0.2">
      <c r="A228" s="21"/>
      <c r="B228" s="21"/>
      <c r="C228" s="21"/>
      <c r="D228" s="21"/>
      <c r="E228" s="21"/>
      <c r="F228" s="21"/>
      <c r="G228" s="21"/>
      <c r="H228" s="21"/>
      <c r="I228" s="21"/>
    </row>
    <row r="229" spans="1:9" x14ac:dyDescent="0.2">
      <c r="A229" s="21"/>
      <c r="B229" s="21"/>
      <c r="C229" s="21"/>
      <c r="D229" s="21"/>
      <c r="E229" s="21"/>
      <c r="F229" s="21"/>
      <c r="G229" s="21"/>
      <c r="H229" s="21"/>
      <c r="I229" s="21"/>
    </row>
    <row r="230" spans="1:9" x14ac:dyDescent="0.2">
      <c r="A230" s="21"/>
      <c r="B230" s="21"/>
      <c r="C230" s="21"/>
      <c r="D230" s="21"/>
      <c r="E230" s="21"/>
      <c r="F230" s="21"/>
      <c r="G230" s="21"/>
      <c r="H230" s="21"/>
      <c r="I230" s="21"/>
    </row>
    <row r="231" spans="1:9" x14ac:dyDescent="0.2">
      <c r="A231" s="21"/>
      <c r="B231" s="21"/>
      <c r="C231" s="21"/>
      <c r="D231" s="21"/>
      <c r="E231" s="21"/>
      <c r="F231" s="21"/>
      <c r="G231" s="21"/>
      <c r="H231" s="21"/>
      <c r="I231" s="21"/>
    </row>
    <row r="232" spans="1:9" x14ac:dyDescent="0.2">
      <c r="A232" s="21"/>
      <c r="B232" s="21"/>
      <c r="C232" s="21"/>
      <c r="D232" s="21"/>
      <c r="E232" s="21"/>
      <c r="F232" s="21"/>
      <c r="G232" s="21"/>
      <c r="H232" s="21"/>
      <c r="I232" s="21"/>
    </row>
    <row r="233" spans="1:9" x14ac:dyDescent="0.2">
      <c r="A233" s="21"/>
      <c r="B233" s="21"/>
      <c r="C233" s="21"/>
      <c r="D233" s="21"/>
      <c r="E233" s="21"/>
      <c r="F233" s="21"/>
      <c r="G233" s="21"/>
      <c r="H233" s="21"/>
      <c r="I233" s="21"/>
    </row>
    <row r="234" spans="1:9" x14ac:dyDescent="0.2">
      <c r="A234" s="21"/>
      <c r="B234" s="21"/>
      <c r="C234" s="21"/>
      <c r="D234" s="21"/>
      <c r="E234" s="21"/>
      <c r="F234" s="21"/>
      <c r="G234" s="21"/>
      <c r="H234" s="21"/>
      <c r="I234" s="21"/>
    </row>
    <row r="235" spans="1:9" x14ac:dyDescent="0.2">
      <c r="A235" s="21"/>
      <c r="B235" s="21"/>
      <c r="C235" s="21"/>
      <c r="D235" s="21"/>
      <c r="E235" s="21"/>
      <c r="F235" s="21"/>
      <c r="G235" s="21"/>
      <c r="H235" s="21"/>
      <c r="I235" s="21"/>
    </row>
    <row r="236" spans="1:9" x14ac:dyDescent="0.2">
      <c r="A236" s="21"/>
      <c r="B236" s="21"/>
      <c r="C236" s="21"/>
      <c r="D236" s="21"/>
      <c r="E236" s="21"/>
      <c r="F236" s="21"/>
      <c r="G236" s="21"/>
      <c r="H236" s="21"/>
      <c r="I236" s="21"/>
    </row>
    <row r="237" spans="1:9" x14ac:dyDescent="0.2">
      <c r="A237" s="21"/>
      <c r="B237" s="21"/>
      <c r="C237" s="21"/>
      <c r="D237" s="21"/>
      <c r="E237" s="21"/>
      <c r="F237" s="21"/>
      <c r="G237" s="21"/>
      <c r="H237" s="21"/>
      <c r="I237" s="21"/>
    </row>
    <row r="238" spans="1:9" x14ac:dyDescent="0.2">
      <c r="A238" s="21"/>
      <c r="B238" s="21"/>
      <c r="C238" s="21"/>
      <c r="D238" s="21"/>
      <c r="E238" s="21"/>
      <c r="F238" s="21"/>
      <c r="G238" s="21"/>
      <c r="H238" s="21"/>
      <c r="I238" s="21"/>
    </row>
    <row r="239" spans="1:9" x14ac:dyDescent="0.2">
      <c r="A239" s="21"/>
      <c r="B239" s="21"/>
      <c r="C239" s="21"/>
      <c r="D239" s="21"/>
      <c r="E239" s="21"/>
      <c r="F239" s="21"/>
      <c r="G239" s="21"/>
      <c r="H239" s="21"/>
      <c r="I239" s="21"/>
    </row>
    <row r="240" spans="1:9" x14ac:dyDescent="0.2">
      <c r="A240" s="21"/>
      <c r="B240" s="21"/>
      <c r="C240" s="21"/>
      <c r="D240" s="21"/>
      <c r="E240" s="21"/>
      <c r="F240" s="21"/>
      <c r="G240" s="21"/>
      <c r="H240" s="21"/>
      <c r="I240" s="21"/>
    </row>
    <row r="241" spans="1:9" x14ac:dyDescent="0.2">
      <c r="A241" s="21"/>
      <c r="B241" s="21"/>
      <c r="C241" s="21"/>
      <c r="D241" s="21"/>
      <c r="E241" s="21"/>
      <c r="F241" s="21"/>
      <c r="G241" s="21"/>
      <c r="H241" s="21"/>
      <c r="I241" s="21"/>
    </row>
    <row r="242" spans="1:9" x14ac:dyDescent="0.2">
      <c r="A242" s="21"/>
      <c r="B242" s="21"/>
      <c r="C242" s="21"/>
      <c r="D242" s="21"/>
      <c r="E242" s="21"/>
      <c r="F242" s="21"/>
      <c r="G242" s="21"/>
      <c r="H242" s="21"/>
      <c r="I242" s="21"/>
    </row>
    <row r="243" spans="1:9" x14ac:dyDescent="0.2">
      <c r="A243" s="21"/>
      <c r="B243" s="21"/>
      <c r="C243" s="21"/>
      <c r="D243" s="21"/>
      <c r="E243" s="21"/>
      <c r="F243" s="21"/>
      <c r="G243" s="21"/>
      <c r="H243" s="21"/>
      <c r="I243" s="21"/>
    </row>
    <row r="244" spans="1:9" x14ac:dyDescent="0.2">
      <c r="A244" s="21"/>
      <c r="B244" s="21"/>
      <c r="C244" s="21"/>
      <c r="D244" s="21"/>
      <c r="E244" s="21"/>
      <c r="F244" s="21"/>
      <c r="G244" s="21"/>
      <c r="H244" s="21"/>
      <c r="I244" s="21"/>
    </row>
    <row r="245" spans="1:9" x14ac:dyDescent="0.2">
      <c r="A245" s="21"/>
      <c r="B245" s="21"/>
      <c r="C245" s="21"/>
      <c r="D245" s="21"/>
      <c r="E245" s="21"/>
      <c r="F245" s="21"/>
      <c r="G245" s="21"/>
      <c r="H245" s="21"/>
      <c r="I245" s="21"/>
    </row>
    <row r="246" spans="1:9" x14ac:dyDescent="0.2">
      <c r="A246" s="21"/>
      <c r="B246" s="21"/>
      <c r="C246" s="21"/>
      <c r="D246" s="21"/>
      <c r="E246" s="21"/>
      <c r="F246" s="21"/>
      <c r="G246" s="21"/>
      <c r="H246" s="21"/>
      <c r="I246" s="21"/>
    </row>
    <row r="247" spans="1:9" x14ac:dyDescent="0.2">
      <c r="A247" s="21"/>
      <c r="B247" s="21"/>
      <c r="C247" s="21"/>
      <c r="D247" s="21"/>
      <c r="E247" s="21"/>
      <c r="F247" s="21"/>
      <c r="G247" s="21"/>
      <c r="H247" s="21"/>
      <c r="I247" s="21"/>
    </row>
    <row r="248" spans="1:9" x14ac:dyDescent="0.2">
      <c r="A248" s="21"/>
      <c r="B248" s="21"/>
      <c r="C248" s="21"/>
      <c r="D248" s="21"/>
      <c r="E248" s="21"/>
      <c r="F248" s="21"/>
      <c r="G248" s="21"/>
      <c r="H248" s="21"/>
      <c r="I248" s="21"/>
    </row>
    <row r="249" spans="1:9" x14ac:dyDescent="0.2">
      <c r="A249" s="21"/>
      <c r="B249" s="21"/>
      <c r="C249" s="21"/>
      <c r="D249" s="21"/>
      <c r="E249" s="21"/>
      <c r="F249" s="21"/>
      <c r="G249" s="21"/>
      <c r="H249" s="21"/>
      <c r="I249" s="21"/>
    </row>
    <row r="250" spans="1:9" x14ac:dyDescent="0.2">
      <c r="A250" s="21"/>
      <c r="B250" s="21"/>
      <c r="C250" s="21"/>
      <c r="D250" s="21"/>
      <c r="E250" s="21"/>
      <c r="F250" s="21"/>
      <c r="G250" s="21"/>
      <c r="H250" s="21"/>
      <c r="I250" s="21"/>
    </row>
  </sheetData>
  <sheetProtection sheet="1" objects="1" scenarios="1"/>
  <phoneticPr fontId="0" type="noConversion"/>
  <dataValidations xWindow="192" yWindow="341" count="6">
    <dataValidation type="decimal" allowBlank="1" showInputMessage="1" showErrorMessage="1" error="The value input MUST BE between 0 and 3*L-(xL)!" prompt="The value input here should be the distance from the point of application of the vertical load (Pv) to the vertical weld portion (back) of the L-shaped weld group." sqref="C14">
      <formula1>0</formula1>
      <formula2>3*$D$8-$V$5</formula2>
    </dataValidation>
    <dataValidation type="decimal" operator="greaterThan" allowBlank="1" showInputMessage="1" showErrorMessage="1" error="The value input MUST BE &gt; 0!" prompt="The value 'Pv' is actually the vertical component of the resultant load, 'P'.  'Pv' should always be input as a positive number (&gt;0)." sqref="C12">
      <formula1>0</formula1>
    </dataValidation>
    <dataValidation type="decimal" operator="greaterThanOrEqual" allowBlank="1" showInputMessage="1" showErrorMessage="1" error="The value input MUST BE &gt;= 0!" prompt="The value of 'Ph' is actually the horizontal component of the resultant load, 'P'.  'Ph' may be input = 0 for conditions where only vertical load applies.  'Ph' is assumed applied at the C.G. of the weld group." sqref="C13">
      <formula1>0</formula1>
    </dataValidation>
    <dataValidation type="decimal" allowBlank="1" showInputMessage="1" showErrorMessage="1" error="The value input MUST BE between 0 and 2*L!_x000a_Use &quot;Weld Group (elastic)&quot; worksheet." sqref="C10">
      <formula1>0</formula1>
      <formula2>2*$C$9</formula2>
    </dataValidation>
    <dataValidation type="list" allowBlank="1" showInputMessage="1" showErrorMessage="1" error="Invalid fillet weld size!" sqref="C11">
      <formula1>$K$3:$K$11</formula1>
    </dataValidation>
    <dataValidation type="decimal" operator="greaterThanOrEqual" allowBlank="1" showInputMessage="1" showErrorMessage="1" error="The value input MUST BE &gt;= 0.5*(kL)!_x000a_Use &quot;Weld Group (elastic)&quot; worksheet." sqref="C9">
      <formula1>0.5*$C$10</formula1>
    </dataValidation>
  </dataValidations>
  <pageMargins left="1" right="0.5" top="1" bottom="1" header="0.5" footer="0.5"/>
  <pageSetup scale="98" orientation="portrait" r:id="rId1"/>
  <headerFooter alignWithMargins="0">
    <oddHeader>&amp;R"WELDGRP.xls" Program
Version 2.3</oddHeader>
    <oddFooter>&amp;C&amp;P of &amp;N&amp;R&amp;D  &amp;T</oddFooter>
  </headerFooter>
  <rowBreaks count="3" manualBreakCount="3">
    <brk id="100" max="8" man="1"/>
    <brk id="150" max="8" man="1"/>
    <brk id="200" max="8" man="1"/>
  </rowBreaks>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11</vt:i4>
      </vt:variant>
    </vt:vector>
  </HeadingPairs>
  <TitlesOfParts>
    <vt:vector size="22" baseType="lpstr">
      <vt:lpstr>Doc</vt:lpstr>
      <vt:lpstr>Table XIX</vt:lpstr>
      <vt:lpstr>Table XX</vt:lpstr>
      <vt:lpstr>Table XXI</vt:lpstr>
      <vt:lpstr>Table XXII</vt:lpstr>
      <vt:lpstr>Table XXIII</vt:lpstr>
      <vt:lpstr>Table XXIV</vt:lpstr>
      <vt:lpstr>Table XXV</vt:lpstr>
      <vt:lpstr>Table XXVI</vt:lpstr>
      <vt:lpstr>Weld Group (elastic)</vt:lpstr>
      <vt:lpstr>Weld Data</vt:lpstr>
      <vt:lpstr>Doc!Print_Area</vt:lpstr>
      <vt:lpstr>'Table XIX'!Print_Area</vt:lpstr>
      <vt:lpstr>'Table XX'!Print_Area</vt:lpstr>
      <vt:lpstr>'Table XXI'!Print_Area</vt:lpstr>
      <vt:lpstr>'Table XXII'!Print_Area</vt:lpstr>
      <vt:lpstr>'Table XXIII'!Print_Area</vt:lpstr>
      <vt:lpstr>'Table XXIV'!Print_Area</vt:lpstr>
      <vt:lpstr>'Table XXV'!Print_Area</vt:lpstr>
      <vt:lpstr>'Table XXVI'!Print_Area</vt:lpstr>
      <vt:lpstr>'Weld Data'!Print_Area</vt:lpstr>
      <vt:lpstr>'Weld Group (elastic)'!Print_Area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"WELDGRP" Program</dc:title>
  <dc:creator>Alex Tomanovich, P.E. - 151 Shadow Lane, Lyman SC 29365 - Home: 864-968-2699 - Email: ATomanovich@bellsouth.net</dc:creator>
  <dc:description>Weld group analysis per AISC 9th Ed. (ASD)</dc:description>
  <cp:lastModifiedBy>DJ Lehr</cp:lastModifiedBy>
  <cp:lastPrinted>2008-11-26T14:01:18Z</cp:lastPrinted>
  <dcterms:created xsi:type="dcterms:W3CDTF">2000-10-29T04:55:39Z</dcterms:created>
  <dcterms:modified xsi:type="dcterms:W3CDTF">2015-11-17T21:30:10Z</dcterms:modified>
  <cp:category>Structural Engineering Analysis/Design</cp:category>
</cp:coreProperties>
</file>